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miyamotokazutaka/Downloads/"/>
    </mc:Choice>
  </mc:AlternateContent>
  <xr:revisionPtr revIDLastSave="0" documentId="8_{91A848E8-4B44-554C-9F7B-79510563A75B}" xr6:coauthVersionLast="47" xr6:coauthVersionMax="47" xr10:uidLastSave="{00000000-0000-0000-0000-000000000000}"/>
  <bookViews>
    <workbookView xWindow="32440" yWindow="-4000" windowWidth="36400" windowHeight="20320" xr2:uid="{00000000-000D-0000-FFFF-FFFF00000000}"/>
  </bookViews>
  <sheets>
    <sheet name="入力" sheetId="1" r:id="rId1"/>
    <sheet name="比較結果" sheetId="2" r:id="rId2"/>
    <sheet name="何もしない_月次" sheetId="3" r:id="rId3"/>
    <sheet name="方式1_月次" sheetId="4" r:id="rId4"/>
    <sheet name="方式2_月次" sheetId="5" r:id="rId5"/>
    <sheet name="方式3_月次" sheetId="6" r:id="rId6"/>
    <sheet name="計算チェック" sheetId="7" r:id="rId7"/>
    <sheet name="テストケース" sheetId="8" r:id="rId8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8" l="1"/>
  <c r="D12" i="8"/>
  <c r="G10" i="8"/>
  <c r="D9" i="8"/>
  <c r="D6" i="8"/>
  <c r="D23" i="7"/>
  <c r="D22" i="7"/>
  <c r="D21" i="7"/>
  <c r="D18" i="7"/>
  <c r="D17" i="7"/>
  <c r="D16" i="7"/>
  <c r="D13" i="7"/>
  <c r="D12" i="7"/>
  <c r="D11" i="7"/>
  <c r="D8" i="7"/>
  <c r="D7" i="7"/>
  <c r="D6" i="7"/>
  <c r="Y605" i="6"/>
  <c r="A605" i="6"/>
  <c r="A604" i="6"/>
  <c r="Y603" i="6"/>
  <c r="B603" i="6"/>
  <c r="A603" i="6"/>
  <c r="Y602" i="6"/>
  <c r="B602" i="6"/>
  <c r="A602" i="6"/>
  <c r="B601" i="6"/>
  <c r="A601" i="6"/>
  <c r="Y601" i="6" s="1"/>
  <c r="A600" i="6"/>
  <c r="A599" i="6"/>
  <c r="Y598" i="6"/>
  <c r="B598" i="6"/>
  <c r="A598" i="6"/>
  <c r="Y597" i="6"/>
  <c r="A597" i="6"/>
  <c r="A596" i="6"/>
  <c r="Y595" i="6"/>
  <c r="A595" i="6"/>
  <c r="Y594" i="6"/>
  <c r="B594" i="6"/>
  <c r="A594" i="6"/>
  <c r="Y593" i="6"/>
  <c r="B593" i="6"/>
  <c r="A593" i="6"/>
  <c r="Y592" i="6"/>
  <c r="A592" i="6"/>
  <c r="B592" i="6" s="1"/>
  <c r="A591" i="6"/>
  <c r="Y590" i="6"/>
  <c r="A590" i="6"/>
  <c r="Y589" i="6"/>
  <c r="B589" i="6"/>
  <c r="A589" i="6"/>
  <c r="Y588" i="6"/>
  <c r="B588" i="6"/>
  <c r="A588" i="6"/>
  <c r="Y587" i="6"/>
  <c r="A587" i="6"/>
  <c r="A586" i="6"/>
  <c r="Y585" i="6"/>
  <c r="A585" i="6"/>
  <c r="Y584" i="6"/>
  <c r="B584" i="6"/>
  <c r="A584" i="6"/>
  <c r="Y583" i="6"/>
  <c r="B583" i="6"/>
  <c r="A583" i="6"/>
  <c r="Y582" i="6"/>
  <c r="B582" i="6"/>
  <c r="A582" i="6"/>
  <c r="B581" i="6"/>
  <c r="A581" i="6"/>
  <c r="Y581" i="6" s="1"/>
  <c r="A580" i="6"/>
  <c r="B579" i="6"/>
  <c r="A579" i="6"/>
  <c r="Y578" i="6"/>
  <c r="B578" i="6"/>
  <c r="A578" i="6"/>
  <c r="B577" i="6"/>
  <c r="A577" i="6"/>
  <c r="Y576" i="6"/>
  <c r="B576" i="6"/>
  <c r="A576" i="6"/>
  <c r="Y575" i="6"/>
  <c r="A575" i="6"/>
  <c r="Y574" i="6"/>
  <c r="A574" i="6"/>
  <c r="A573" i="6"/>
  <c r="A572" i="6"/>
  <c r="Y571" i="6"/>
  <c r="B571" i="6"/>
  <c r="A571" i="6"/>
  <c r="B570" i="6"/>
  <c r="A570" i="6"/>
  <c r="A569" i="6"/>
  <c r="B568" i="6"/>
  <c r="A568" i="6"/>
  <c r="A567" i="6"/>
  <c r="Y566" i="6"/>
  <c r="A566" i="6"/>
  <c r="Y565" i="6"/>
  <c r="A565" i="6"/>
  <c r="B564" i="6"/>
  <c r="A564" i="6"/>
  <c r="A563" i="6"/>
  <c r="Y562" i="6"/>
  <c r="A562" i="6"/>
  <c r="B562" i="6" s="1"/>
  <c r="A561" i="6"/>
  <c r="B560" i="6"/>
  <c r="A560" i="6"/>
  <c r="Y559" i="6"/>
  <c r="B559" i="6"/>
  <c r="A559" i="6"/>
  <c r="A558" i="6"/>
  <c r="Y558" i="6" s="1"/>
  <c r="Y557" i="6"/>
  <c r="B557" i="6"/>
  <c r="A557" i="6"/>
  <c r="Y556" i="6"/>
  <c r="B556" i="6"/>
  <c r="A556" i="6"/>
  <c r="Y555" i="6"/>
  <c r="B555" i="6"/>
  <c r="A555" i="6"/>
  <c r="Y554" i="6"/>
  <c r="B554" i="6"/>
  <c r="A554" i="6"/>
  <c r="A553" i="6"/>
  <c r="Y552" i="6"/>
  <c r="A552" i="6"/>
  <c r="A551" i="6"/>
  <c r="Y550" i="6"/>
  <c r="B550" i="6"/>
  <c r="A550" i="6"/>
  <c r="A549" i="6"/>
  <c r="Y549" i="6" s="1"/>
  <c r="Y548" i="6"/>
  <c r="B548" i="6"/>
  <c r="A548" i="6"/>
  <c r="Y547" i="6"/>
  <c r="B547" i="6"/>
  <c r="A547" i="6"/>
  <c r="A546" i="6"/>
  <c r="Y545" i="6"/>
  <c r="B545" i="6"/>
  <c r="A545" i="6"/>
  <c r="B544" i="6"/>
  <c r="A544" i="6"/>
  <c r="A543" i="6"/>
  <c r="Y542" i="6"/>
  <c r="A542" i="6"/>
  <c r="B542" i="6" s="1"/>
  <c r="A541" i="6"/>
  <c r="Y540" i="6"/>
  <c r="A540" i="6"/>
  <c r="A539" i="6"/>
  <c r="Y538" i="6"/>
  <c r="B538" i="6"/>
  <c r="A538" i="6"/>
  <c r="A537" i="6"/>
  <c r="Y536" i="6"/>
  <c r="A536" i="6"/>
  <c r="Y535" i="6"/>
  <c r="B535" i="6"/>
  <c r="A535" i="6"/>
  <c r="B534" i="6"/>
  <c r="A534" i="6"/>
  <c r="B533" i="6"/>
  <c r="A533" i="6"/>
  <c r="A532" i="6"/>
  <c r="Y532" i="6" s="1"/>
  <c r="A531" i="6"/>
  <c r="Y530" i="6"/>
  <c r="A530" i="6"/>
  <c r="Y529" i="6"/>
  <c r="B529" i="6"/>
  <c r="A529" i="6"/>
  <c r="Y528" i="6"/>
  <c r="A528" i="6"/>
  <c r="A527" i="6"/>
  <c r="B526" i="6"/>
  <c r="A526" i="6"/>
  <c r="Y525" i="6"/>
  <c r="B525" i="6"/>
  <c r="A525" i="6"/>
  <c r="Y524" i="6"/>
  <c r="B524" i="6"/>
  <c r="A524" i="6"/>
  <c r="B523" i="6"/>
  <c r="A523" i="6"/>
  <c r="A522" i="6"/>
  <c r="Y521" i="6"/>
  <c r="B521" i="6"/>
  <c r="A521" i="6"/>
  <c r="Y520" i="6"/>
  <c r="A520" i="6"/>
  <c r="A519" i="6"/>
  <c r="Y518" i="6"/>
  <c r="A518" i="6"/>
  <c r="B518" i="6" s="1"/>
  <c r="Y517" i="6"/>
  <c r="A517" i="6"/>
  <c r="A516" i="6"/>
  <c r="Y515" i="6"/>
  <c r="A515" i="6"/>
  <c r="B515" i="6" s="1"/>
  <c r="Y514" i="6"/>
  <c r="B514" i="6"/>
  <c r="A514" i="6"/>
  <c r="B513" i="6"/>
  <c r="A513" i="6"/>
  <c r="A512" i="6"/>
  <c r="Y511" i="6"/>
  <c r="B511" i="6"/>
  <c r="A511" i="6"/>
  <c r="A510" i="6"/>
  <c r="B509" i="6"/>
  <c r="A509" i="6"/>
  <c r="Y508" i="6"/>
  <c r="A508" i="6"/>
  <c r="B508" i="6" s="1"/>
  <c r="Y507" i="6"/>
  <c r="B507" i="6"/>
  <c r="A507" i="6"/>
  <c r="Y506" i="6"/>
  <c r="B506" i="6"/>
  <c r="A506" i="6"/>
  <c r="Y505" i="6"/>
  <c r="B505" i="6"/>
  <c r="A505" i="6"/>
  <c r="Y504" i="6"/>
  <c r="B504" i="6"/>
  <c r="A504" i="6"/>
  <c r="A503" i="6"/>
  <c r="A502" i="6"/>
  <c r="Y501" i="6"/>
  <c r="B501" i="6"/>
  <c r="A501" i="6"/>
  <c r="Y500" i="6"/>
  <c r="B500" i="6"/>
  <c r="A500" i="6"/>
  <c r="B499" i="6"/>
  <c r="A499" i="6"/>
  <c r="Y499" i="6" s="1"/>
  <c r="A498" i="6"/>
  <c r="Y497" i="6"/>
  <c r="B497" i="6"/>
  <c r="A497" i="6"/>
  <c r="B496" i="6"/>
  <c r="A496" i="6"/>
  <c r="Y495" i="6"/>
  <c r="B495" i="6"/>
  <c r="A495" i="6"/>
  <c r="Y494" i="6"/>
  <c r="B494" i="6"/>
  <c r="A494" i="6"/>
  <c r="A493" i="6"/>
  <c r="Y492" i="6"/>
  <c r="B492" i="6"/>
  <c r="A492" i="6"/>
  <c r="A491" i="6"/>
  <c r="B490" i="6"/>
  <c r="A490" i="6"/>
  <c r="A489" i="6"/>
  <c r="B489" i="6" s="1"/>
  <c r="Y488" i="6"/>
  <c r="B488" i="6"/>
  <c r="A488" i="6"/>
  <c r="Y487" i="6"/>
  <c r="B487" i="6"/>
  <c r="A487" i="6"/>
  <c r="Y486" i="6"/>
  <c r="B486" i="6"/>
  <c r="A486" i="6"/>
  <c r="Y485" i="6"/>
  <c r="B485" i="6"/>
  <c r="A485" i="6"/>
  <c r="A484" i="6"/>
  <c r="B483" i="6"/>
  <c r="A483" i="6"/>
  <c r="Y482" i="6"/>
  <c r="B482" i="6"/>
  <c r="A482" i="6"/>
  <c r="Y481" i="6"/>
  <c r="B481" i="6"/>
  <c r="A481" i="6"/>
  <c r="A480" i="6"/>
  <c r="Y480" i="6" s="1"/>
  <c r="A479" i="6"/>
  <c r="Y479" i="6" s="1"/>
  <c r="Y478" i="6"/>
  <c r="B478" i="6"/>
  <c r="A478" i="6"/>
  <c r="B477" i="6"/>
  <c r="A477" i="6"/>
  <c r="B476" i="6"/>
  <c r="A476" i="6"/>
  <c r="A475" i="6"/>
  <c r="B474" i="6"/>
  <c r="A474" i="6"/>
  <c r="A473" i="6"/>
  <c r="Y473" i="6" s="1"/>
  <c r="Y472" i="6"/>
  <c r="B472" i="6"/>
  <c r="A472" i="6"/>
  <c r="A471" i="6"/>
  <c r="A470" i="6"/>
  <c r="Y469" i="6"/>
  <c r="B469" i="6"/>
  <c r="A469" i="6"/>
  <c r="A468" i="6"/>
  <c r="B467" i="6"/>
  <c r="A467" i="6"/>
  <c r="Y466" i="6"/>
  <c r="A466" i="6"/>
  <c r="B466" i="6" s="1"/>
  <c r="Y465" i="6"/>
  <c r="B465" i="6"/>
  <c r="A465" i="6"/>
  <c r="B464" i="6"/>
  <c r="A464" i="6"/>
  <c r="Y463" i="6"/>
  <c r="A463" i="6"/>
  <c r="B463" i="6" s="1"/>
  <c r="A462" i="6"/>
  <c r="A461" i="6"/>
  <c r="A460" i="6"/>
  <c r="Y459" i="6"/>
  <c r="B459" i="6"/>
  <c r="A459" i="6"/>
  <c r="B458" i="6"/>
  <c r="A458" i="6"/>
  <c r="B457" i="6"/>
  <c r="A457" i="6"/>
  <c r="Y457" i="6" s="1"/>
  <c r="Y456" i="6"/>
  <c r="A456" i="6"/>
  <c r="B456" i="6" s="1"/>
  <c r="Y455" i="6"/>
  <c r="B455" i="6"/>
  <c r="A455" i="6"/>
  <c r="B454" i="6"/>
  <c r="A454" i="6"/>
  <c r="Y453" i="6"/>
  <c r="A453" i="6"/>
  <c r="B453" i="6" s="1"/>
  <c r="Y452" i="6"/>
  <c r="B452" i="6"/>
  <c r="A452" i="6"/>
  <c r="B451" i="6"/>
  <c r="A451" i="6"/>
  <c r="Y450" i="6"/>
  <c r="B450" i="6"/>
  <c r="A450" i="6"/>
  <c r="Y449" i="6"/>
  <c r="B449" i="6"/>
  <c r="A449" i="6"/>
  <c r="Y448" i="6"/>
  <c r="A448" i="6"/>
  <c r="B447" i="6"/>
  <c r="A447" i="6"/>
  <c r="Y446" i="6"/>
  <c r="A446" i="6"/>
  <c r="B446" i="6" s="1"/>
  <c r="A445" i="6"/>
  <c r="B444" i="6"/>
  <c r="A444" i="6"/>
  <c r="Y443" i="6"/>
  <c r="A443" i="6"/>
  <c r="Y442" i="6"/>
  <c r="B442" i="6"/>
  <c r="A442" i="6"/>
  <c r="A441" i="6"/>
  <c r="B440" i="6"/>
  <c r="A440" i="6"/>
  <c r="Y439" i="6"/>
  <c r="B439" i="6"/>
  <c r="A439" i="6"/>
  <c r="A438" i="6"/>
  <c r="B437" i="6"/>
  <c r="A437" i="6"/>
  <c r="Y436" i="6"/>
  <c r="A436" i="6"/>
  <c r="B436" i="6" s="1"/>
  <c r="Y435" i="6"/>
  <c r="A435" i="6"/>
  <c r="Y434" i="6"/>
  <c r="A434" i="6"/>
  <c r="Y433" i="6"/>
  <c r="A433" i="6"/>
  <c r="Y432" i="6"/>
  <c r="B432" i="6"/>
  <c r="A432" i="6"/>
  <c r="A431" i="6"/>
  <c r="Y430" i="6"/>
  <c r="B430" i="6"/>
  <c r="A430" i="6"/>
  <c r="Y429" i="6"/>
  <c r="B429" i="6"/>
  <c r="A429" i="6"/>
  <c r="Y428" i="6"/>
  <c r="B428" i="6"/>
  <c r="A428" i="6"/>
  <c r="A427" i="6"/>
  <c r="Y427" i="6" s="1"/>
  <c r="Y426" i="6"/>
  <c r="A426" i="6"/>
  <c r="Y425" i="6"/>
  <c r="A425" i="6"/>
  <c r="Y424" i="6"/>
  <c r="B424" i="6"/>
  <c r="A424" i="6"/>
  <c r="Y423" i="6"/>
  <c r="B423" i="6"/>
  <c r="A423" i="6"/>
  <c r="B422" i="6"/>
  <c r="A422" i="6"/>
  <c r="A421" i="6"/>
  <c r="A420" i="6"/>
  <c r="Y419" i="6"/>
  <c r="B419" i="6"/>
  <c r="A419" i="6"/>
  <c r="B418" i="6"/>
  <c r="A418" i="6"/>
  <c r="Y418" i="6" s="1"/>
  <c r="B417" i="6"/>
  <c r="A417" i="6"/>
  <c r="Y416" i="6"/>
  <c r="A416" i="6"/>
  <c r="B416" i="6" s="1"/>
  <c r="B415" i="6"/>
  <c r="A415" i="6"/>
  <c r="A414" i="6"/>
  <c r="B413" i="6"/>
  <c r="A413" i="6"/>
  <c r="Y412" i="6"/>
  <c r="A412" i="6"/>
  <c r="B412" i="6" s="1"/>
  <c r="B411" i="6"/>
  <c r="A411" i="6"/>
  <c r="B410" i="6"/>
  <c r="A410" i="6"/>
  <c r="Y409" i="6"/>
  <c r="A409" i="6"/>
  <c r="B409" i="6" s="1"/>
  <c r="A408" i="6"/>
  <c r="A407" i="6"/>
  <c r="A406" i="6"/>
  <c r="Y405" i="6"/>
  <c r="B405" i="6"/>
  <c r="A405" i="6"/>
  <c r="Y404" i="6"/>
  <c r="A404" i="6"/>
  <c r="B403" i="6"/>
  <c r="A403" i="6"/>
  <c r="Y403" i="6" s="1"/>
  <c r="Y402" i="6"/>
  <c r="A402" i="6"/>
  <c r="B402" i="6" s="1"/>
  <c r="Y401" i="6"/>
  <c r="A401" i="6"/>
  <c r="A400" i="6"/>
  <c r="A399" i="6"/>
  <c r="Y399" i="6" s="1"/>
  <c r="A398" i="6"/>
  <c r="Y397" i="6"/>
  <c r="B397" i="6"/>
  <c r="A397" i="6"/>
  <c r="A396" i="6"/>
  <c r="Y395" i="6"/>
  <c r="B395" i="6"/>
  <c r="A395" i="6"/>
  <c r="A394" i="6"/>
  <c r="A393" i="6"/>
  <c r="Y392" i="6"/>
  <c r="A392" i="6"/>
  <c r="B392" i="6" s="1"/>
  <c r="Y391" i="6"/>
  <c r="B391" i="6"/>
  <c r="A391" i="6"/>
  <c r="Y390" i="6"/>
  <c r="A390" i="6"/>
  <c r="B390" i="6" s="1"/>
  <c r="Y389" i="6"/>
  <c r="B389" i="6"/>
  <c r="A389" i="6"/>
  <c r="Y388" i="6"/>
  <c r="B388" i="6"/>
  <c r="A388" i="6"/>
  <c r="A387" i="6"/>
  <c r="A386" i="6"/>
  <c r="Y385" i="6"/>
  <c r="B385" i="6"/>
  <c r="A385" i="6"/>
  <c r="B384" i="6"/>
  <c r="A384" i="6"/>
  <c r="B383" i="6"/>
  <c r="A383" i="6"/>
  <c r="Y383" i="6" s="1"/>
  <c r="Y382" i="6"/>
  <c r="A382" i="6"/>
  <c r="Y381" i="6"/>
  <c r="A381" i="6"/>
  <c r="B381" i="6" s="1"/>
  <c r="B380" i="6"/>
  <c r="A380" i="6"/>
  <c r="A379" i="6"/>
  <c r="A378" i="6"/>
  <c r="Y377" i="6"/>
  <c r="B377" i="6"/>
  <c r="A377" i="6"/>
  <c r="Y376" i="6"/>
  <c r="B376" i="6"/>
  <c r="A376" i="6"/>
  <c r="Y375" i="6"/>
  <c r="B375" i="6"/>
  <c r="A375" i="6"/>
  <c r="Y374" i="6"/>
  <c r="B374" i="6"/>
  <c r="A374" i="6"/>
  <c r="B373" i="6"/>
  <c r="A373" i="6"/>
  <c r="Y372" i="6"/>
  <c r="A372" i="6"/>
  <c r="B372" i="6" s="1"/>
  <c r="B371" i="6"/>
  <c r="A371" i="6"/>
  <c r="Y370" i="6"/>
  <c r="B370" i="6"/>
  <c r="A370" i="6"/>
  <c r="A369" i="6"/>
  <c r="Y368" i="6"/>
  <c r="B368" i="6"/>
  <c r="A368" i="6"/>
  <c r="Y367" i="6"/>
  <c r="B367" i="6"/>
  <c r="A367" i="6"/>
  <c r="B366" i="6"/>
  <c r="A366" i="6"/>
  <c r="A365" i="6"/>
  <c r="Y364" i="6"/>
  <c r="B364" i="6"/>
  <c r="A364" i="6"/>
  <c r="B363" i="6"/>
  <c r="A363" i="6"/>
  <c r="B362" i="6"/>
  <c r="A362" i="6"/>
  <c r="Y361" i="6"/>
  <c r="B361" i="6"/>
  <c r="A361" i="6"/>
  <c r="A360" i="6"/>
  <c r="A359" i="6"/>
  <c r="Y358" i="6"/>
  <c r="A358" i="6"/>
  <c r="B358" i="6" s="1"/>
  <c r="Y357" i="6"/>
  <c r="B357" i="6"/>
  <c r="A357" i="6"/>
  <c r="A356" i="6"/>
  <c r="A355" i="6"/>
  <c r="Y354" i="6"/>
  <c r="B354" i="6"/>
  <c r="A354" i="6"/>
  <c r="A353" i="6"/>
  <c r="Y352" i="6"/>
  <c r="A352" i="6"/>
  <c r="Y351" i="6"/>
  <c r="B351" i="6"/>
  <c r="A351" i="6"/>
  <c r="A350" i="6"/>
  <c r="A349" i="6"/>
  <c r="Y349" i="6" s="1"/>
  <c r="A348" i="6"/>
  <c r="Y347" i="6"/>
  <c r="B347" i="6"/>
  <c r="A347" i="6"/>
  <c r="B346" i="6"/>
  <c r="A346" i="6"/>
  <c r="Y345" i="6"/>
  <c r="B345" i="6"/>
  <c r="A345" i="6"/>
  <c r="A344" i="6"/>
  <c r="Y343" i="6"/>
  <c r="B343" i="6"/>
  <c r="A343" i="6"/>
  <c r="A342" i="6"/>
  <c r="Y342" i="6" s="1"/>
  <c r="Y341" i="6"/>
  <c r="B341" i="6"/>
  <c r="A341" i="6"/>
  <c r="A340" i="6"/>
  <c r="B340" i="6" s="1"/>
  <c r="B339" i="6"/>
  <c r="A339" i="6"/>
  <c r="Y338" i="6"/>
  <c r="A338" i="6"/>
  <c r="B338" i="6" s="1"/>
  <c r="B337" i="6"/>
  <c r="A337" i="6"/>
  <c r="A336" i="6"/>
  <c r="A335" i="6"/>
  <c r="B334" i="6"/>
  <c r="A334" i="6"/>
  <c r="Y333" i="6"/>
  <c r="A333" i="6"/>
  <c r="A332" i="6"/>
  <c r="Y331" i="6"/>
  <c r="B331" i="6"/>
  <c r="A331" i="6"/>
  <c r="B330" i="6"/>
  <c r="A330" i="6"/>
  <c r="B329" i="6"/>
  <c r="A329" i="6"/>
  <c r="Y329" i="6" s="1"/>
  <c r="A328" i="6"/>
  <c r="A327" i="6"/>
  <c r="A326" i="6"/>
  <c r="A325" i="6"/>
  <c r="Y325" i="6" s="1"/>
  <c r="Y324" i="6"/>
  <c r="A324" i="6"/>
  <c r="B324" i="6" s="1"/>
  <c r="A323" i="6"/>
  <c r="Y322" i="6"/>
  <c r="B322" i="6"/>
  <c r="A322" i="6"/>
  <c r="Y321" i="6"/>
  <c r="B321" i="6"/>
  <c r="A321" i="6"/>
  <c r="Y320" i="6"/>
  <c r="B320" i="6"/>
  <c r="A320" i="6"/>
  <c r="A319" i="6"/>
  <c r="A318" i="6"/>
  <c r="A317" i="6"/>
  <c r="Y316" i="6"/>
  <c r="A316" i="6"/>
  <c r="Y315" i="6"/>
  <c r="B315" i="6"/>
  <c r="A315" i="6"/>
  <c r="A314" i="6"/>
  <c r="Y313" i="6"/>
  <c r="B313" i="6"/>
  <c r="A313" i="6"/>
  <c r="Y312" i="6"/>
  <c r="B312" i="6"/>
  <c r="A312" i="6"/>
  <c r="A311" i="6"/>
  <c r="B310" i="6"/>
  <c r="A310" i="6"/>
  <c r="A309" i="6"/>
  <c r="B309" i="6" s="1"/>
  <c r="Y308" i="6"/>
  <c r="B308" i="6"/>
  <c r="A308" i="6"/>
  <c r="Y307" i="6"/>
  <c r="B307" i="6"/>
  <c r="A307" i="6"/>
  <c r="Y306" i="6"/>
  <c r="B306" i="6"/>
  <c r="A306" i="6"/>
  <c r="Y305" i="6"/>
  <c r="B305" i="6"/>
  <c r="A305" i="6"/>
  <c r="A304" i="6"/>
  <c r="Y303" i="6"/>
  <c r="B303" i="6"/>
  <c r="A303" i="6"/>
  <c r="Y302" i="6"/>
  <c r="B302" i="6"/>
  <c r="A302" i="6"/>
  <c r="Y301" i="6"/>
  <c r="B301" i="6"/>
  <c r="A301" i="6"/>
  <c r="A300" i="6"/>
  <c r="Y300" i="6" s="1"/>
  <c r="A299" i="6"/>
  <c r="Y299" i="6" s="1"/>
  <c r="Y298" i="6"/>
  <c r="B298" i="6"/>
  <c r="A298" i="6"/>
  <c r="B297" i="6"/>
  <c r="A297" i="6"/>
  <c r="B296" i="6"/>
  <c r="A296" i="6"/>
  <c r="A295" i="6"/>
  <c r="A294" i="6"/>
  <c r="A293" i="6"/>
  <c r="Y293" i="6" s="1"/>
  <c r="Y292" i="6"/>
  <c r="B292" i="6"/>
  <c r="A292" i="6"/>
  <c r="A291" i="6"/>
  <c r="B291" i="6" s="1"/>
  <c r="A290" i="6"/>
  <c r="Y289" i="6"/>
  <c r="A289" i="6"/>
  <c r="B289" i="6" s="1"/>
  <c r="B288" i="6"/>
  <c r="A288" i="6"/>
  <c r="Y287" i="6"/>
  <c r="B287" i="6"/>
  <c r="A287" i="6"/>
  <c r="A286" i="6"/>
  <c r="Y285" i="6"/>
  <c r="B285" i="6"/>
  <c r="A285" i="6"/>
  <c r="Y284" i="6"/>
  <c r="A284" i="6"/>
  <c r="Y283" i="6"/>
  <c r="B283" i="6"/>
  <c r="A283" i="6"/>
  <c r="Y282" i="6"/>
  <c r="B282" i="6"/>
  <c r="A282" i="6"/>
  <c r="Y281" i="6"/>
  <c r="B281" i="6"/>
  <c r="A281" i="6"/>
  <c r="B280" i="6"/>
  <c r="A280" i="6"/>
  <c r="Y280" i="6" s="1"/>
  <c r="A279" i="6"/>
  <c r="B278" i="6"/>
  <c r="A278" i="6"/>
  <c r="A277" i="6"/>
  <c r="A276" i="6"/>
  <c r="A275" i="6"/>
  <c r="B275" i="6" s="1"/>
  <c r="Y274" i="6"/>
  <c r="B274" i="6"/>
  <c r="A274" i="6"/>
  <c r="A273" i="6"/>
  <c r="Y272" i="6"/>
  <c r="A272" i="6"/>
  <c r="B272" i="6" s="1"/>
  <c r="Y271" i="6"/>
  <c r="B271" i="6"/>
  <c r="A271" i="6"/>
  <c r="A270" i="6"/>
  <c r="Y269" i="6"/>
  <c r="B269" i="6"/>
  <c r="A269" i="6"/>
  <c r="Y268" i="6"/>
  <c r="B268" i="6"/>
  <c r="A268" i="6"/>
  <c r="A267" i="6"/>
  <c r="A266" i="6"/>
  <c r="Y265" i="6"/>
  <c r="B265" i="6"/>
  <c r="A265" i="6"/>
  <c r="A264" i="6"/>
  <c r="A263" i="6"/>
  <c r="Y262" i="6"/>
  <c r="A262" i="6"/>
  <c r="B262" i="6" s="1"/>
  <c r="A261" i="6"/>
  <c r="B260" i="6"/>
  <c r="A260" i="6"/>
  <c r="Y259" i="6"/>
  <c r="A259" i="6"/>
  <c r="B259" i="6" s="1"/>
  <c r="Y258" i="6"/>
  <c r="B258" i="6"/>
  <c r="A258" i="6"/>
  <c r="A257" i="6"/>
  <c r="A256" i="6"/>
  <c r="Y255" i="6"/>
  <c r="B255" i="6"/>
  <c r="A255" i="6"/>
  <c r="Y254" i="6"/>
  <c r="B254" i="6"/>
  <c r="A254" i="6"/>
  <c r="B253" i="6"/>
  <c r="A253" i="6"/>
  <c r="Y252" i="6"/>
  <c r="A252" i="6"/>
  <c r="B252" i="6" s="1"/>
  <c r="B251" i="6"/>
  <c r="A251" i="6"/>
  <c r="A250" i="6"/>
  <c r="Y249" i="6"/>
  <c r="B249" i="6"/>
  <c r="A249" i="6"/>
  <c r="Y248" i="6"/>
  <c r="B248" i="6"/>
  <c r="A248" i="6"/>
  <c r="Y247" i="6"/>
  <c r="A247" i="6"/>
  <c r="A246" i="6"/>
  <c r="Y245" i="6"/>
  <c r="B245" i="6"/>
  <c r="A245" i="6"/>
  <c r="Y244" i="6"/>
  <c r="B244" i="6"/>
  <c r="A244" i="6"/>
  <c r="B243" i="6"/>
  <c r="A243" i="6"/>
  <c r="Y243" i="6" s="1"/>
  <c r="A242" i="6"/>
  <c r="Y241" i="6"/>
  <c r="B241" i="6"/>
  <c r="A241" i="6"/>
  <c r="B240" i="6"/>
  <c r="A240" i="6"/>
  <c r="Y239" i="6"/>
  <c r="B239" i="6"/>
  <c r="A239" i="6"/>
  <c r="Y238" i="6"/>
  <c r="A238" i="6"/>
  <c r="B238" i="6" s="1"/>
  <c r="Y237" i="6"/>
  <c r="B237" i="6"/>
  <c r="A237" i="6"/>
  <c r="Y236" i="6"/>
  <c r="B236" i="6"/>
  <c r="A236" i="6"/>
  <c r="Y235" i="6"/>
  <c r="B235" i="6"/>
  <c r="A235" i="6"/>
  <c r="Y234" i="6"/>
  <c r="B234" i="6"/>
  <c r="A234" i="6"/>
  <c r="A233" i="6"/>
  <c r="A232" i="6"/>
  <c r="B231" i="6"/>
  <c r="A231" i="6"/>
  <c r="A230" i="6"/>
  <c r="Y229" i="6"/>
  <c r="B229" i="6"/>
  <c r="A229" i="6"/>
  <c r="A228" i="6"/>
  <c r="Y227" i="6"/>
  <c r="B227" i="6"/>
  <c r="A227" i="6"/>
  <c r="A226" i="6"/>
  <c r="Y225" i="6"/>
  <c r="B225" i="6"/>
  <c r="A225" i="6"/>
  <c r="A224" i="6"/>
  <c r="A223" i="6"/>
  <c r="A222" i="6"/>
  <c r="B222" i="6" s="1"/>
  <c r="A221" i="6"/>
  <c r="Y220" i="6"/>
  <c r="B220" i="6"/>
  <c r="A220" i="6"/>
  <c r="A219" i="6"/>
  <c r="Y218" i="6"/>
  <c r="B218" i="6"/>
  <c r="A218" i="6"/>
  <c r="A217" i="6"/>
  <c r="Y216" i="6"/>
  <c r="A216" i="6"/>
  <c r="Y215" i="6"/>
  <c r="B215" i="6"/>
  <c r="A215" i="6"/>
  <c r="A214" i="6"/>
  <c r="A213" i="6"/>
  <c r="Y213" i="6" s="1"/>
  <c r="A212" i="6"/>
  <c r="Y211" i="6"/>
  <c r="B211" i="6"/>
  <c r="A211" i="6"/>
  <c r="A210" i="6"/>
  <c r="Y209" i="6"/>
  <c r="B209" i="6"/>
  <c r="A209" i="6"/>
  <c r="A208" i="6"/>
  <c r="Y207" i="6"/>
  <c r="B207" i="6"/>
  <c r="A207" i="6"/>
  <c r="A206" i="6"/>
  <c r="Y206" i="6" s="1"/>
  <c r="Y205" i="6"/>
  <c r="B205" i="6"/>
  <c r="A205" i="6"/>
  <c r="Y204" i="6"/>
  <c r="A204" i="6"/>
  <c r="B204" i="6" s="1"/>
  <c r="A203" i="6"/>
  <c r="B203" i="6" s="1"/>
  <c r="Y202" i="6"/>
  <c r="A202" i="6"/>
  <c r="B202" i="6" s="1"/>
  <c r="A201" i="6"/>
  <c r="B201" i="6" s="1"/>
  <c r="A200" i="6"/>
  <c r="A199" i="6"/>
  <c r="Y198" i="6"/>
  <c r="A198" i="6"/>
  <c r="Y197" i="6"/>
  <c r="A197" i="6"/>
  <c r="B196" i="6"/>
  <c r="A196" i="6"/>
  <c r="Y195" i="6"/>
  <c r="B195" i="6"/>
  <c r="A195" i="6"/>
  <c r="Y194" i="6"/>
  <c r="A194" i="6"/>
  <c r="B194" i="6" s="1"/>
  <c r="A193" i="6"/>
  <c r="A192" i="6"/>
  <c r="Y191" i="6"/>
  <c r="B191" i="6"/>
  <c r="A191" i="6"/>
  <c r="A190" i="6"/>
  <c r="A189" i="6"/>
  <c r="A188" i="6"/>
  <c r="Y187" i="6"/>
  <c r="B187" i="6"/>
  <c r="A187" i="6"/>
  <c r="A186" i="6"/>
  <c r="Y186" i="6" s="1"/>
  <c r="B185" i="6"/>
  <c r="A185" i="6"/>
  <c r="Y185" i="6" s="1"/>
  <c r="Y184" i="6"/>
  <c r="A184" i="6"/>
  <c r="B184" i="6" s="1"/>
  <c r="Y183" i="6"/>
  <c r="B183" i="6"/>
  <c r="A183" i="6"/>
  <c r="B182" i="6"/>
  <c r="A182" i="6"/>
  <c r="Y181" i="6"/>
  <c r="A181" i="6"/>
  <c r="B181" i="6" s="1"/>
  <c r="B180" i="6"/>
  <c r="A180" i="6"/>
  <c r="Y180" i="6" s="1"/>
  <c r="B179" i="6"/>
  <c r="A179" i="6"/>
  <c r="A178" i="6"/>
  <c r="Y177" i="6"/>
  <c r="B177" i="6"/>
  <c r="A177" i="6"/>
  <c r="A176" i="6"/>
  <c r="A175" i="6"/>
  <c r="A174" i="6"/>
  <c r="B174" i="6" s="1"/>
  <c r="A173" i="6"/>
  <c r="Y172" i="6"/>
  <c r="B172" i="6"/>
  <c r="A172" i="6"/>
  <c r="A171" i="6"/>
  <c r="Y170" i="6"/>
  <c r="B170" i="6"/>
  <c r="A170" i="6"/>
  <c r="A169" i="6"/>
  <c r="Y168" i="6"/>
  <c r="B168" i="6"/>
  <c r="A168" i="6"/>
  <c r="Y167" i="6"/>
  <c r="B167" i="6"/>
  <c r="A167" i="6"/>
  <c r="A166" i="6"/>
  <c r="Y166" i="6" s="1"/>
  <c r="A165" i="6"/>
  <c r="Y165" i="6" s="1"/>
  <c r="Y164" i="6"/>
  <c r="A164" i="6"/>
  <c r="Y163" i="6"/>
  <c r="B163" i="6"/>
  <c r="A163" i="6"/>
  <c r="A162" i="6"/>
  <c r="Y161" i="6"/>
  <c r="B161" i="6"/>
  <c r="A161" i="6"/>
  <c r="A160" i="6"/>
  <c r="Y159" i="6"/>
  <c r="A159" i="6"/>
  <c r="A158" i="6"/>
  <c r="Y158" i="6" s="1"/>
  <c r="Y157" i="6"/>
  <c r="B157" i="6"/>
  <c r="A157" i="6"/>
  <c r="Y156" i="6"/>
  <c r="A156" i="6"/>
  <c r="B156" i="6" s="1"/>
  <c r="B155" i="6"/>
  <c r="A155" i="6"/>
  <c r="Y154" i="6"/>
  <c r="A154" i="6"/>
  <c r="B154" i="6" s="1"/>
  <c r="B153" i="6"/>
  <c r="A153" i="6"/>
  <c r="A152" i="6"/>
  <c r="Y151" i="6"/>
  <c r="B151" i="6"/>
  <c r="A151" i="6"/>
  <c r="B150" i="6"/>
  <c r="A150" i="6"/>
  <c r="Y149" i="6"/>
  <c r="A149" i="6"/>
  <c r="A148" i="6"/>
  <c r="Y148" i="6" s="1"/>
  <c r="Y147" i="6"/>
  <c r="B147" i="6"/>
  <c r="A147" i="6"/>
  <c r="Y146" i="6"/>
  <c r="B146" i="6"/>
  <c r="A146" i="6"/>
  <c r="B145" i="6"/>
  <c r="A145" i="6"/>
  <c r="Y145" i="6" s="1"/>
  <c r="A144" i="6"/>
  <c r="B143" i="6"/>
  <c r="A143" i="6"/>
  <c r="Y142" i="6"/>
  <c r="B142" i="6"/>
  <c r="A142" i="6"/>
  <c r="A141" i="6"/>
  <c r="Y140" i="6"/>
  <c r="A140" i="6"/>
  <c r="B140" i="6" s="1"/>
  <c r="A139" i="6"/>
  <c r="Y138" i="6"/>
  <c r="B138" i="6"/>
  <c r="A138" i="6"/>
  <c r="Y137" i="6"/>
  <c r="B137" i="6"/>
  <c r="A137" i="6"/>
  <c r="Y136" i="6"/>
  <c r="B136" i="6"/>
  <c r="A136" i="6"/>
  <c r="A135" i="6"/>
  <c r="A134" i="6"/>
  <c r="Y133" i="6"/>
  <c r="B133" i="6"/>
  <c r="A133" i="6"/>
  <c r="A132" i="6"/>
  <c r="Y131" i="6"/>
  <c r="B131" i="6"/>
  <c r="A131" i="6"/>
  <c r="B130" i="6"/>
  <c r="A130" i="6"/>
  <c r="Y129" i="6"/>
  <c r="B129" i="6"/>
  <c r="A129" i="6"/>
  <c r="A128" i="6"/>
  <c r="Y127" i="6"/>
  <c r="B127" i="6"/>
  <c r="A127" i="6"/>
  <c r="A126" i="6"/>
  <c r="A125" i="6"/>
  <c r="A124" i="6"/>
  <c r="B124" i="6" s="1"/>
  <c r="A123" i="6"/>
  <c r="B122" i="6"/>
  <c r="A122" i="6"/>
  <c r="A121" i="6"/>
  <c r="B120" i="6"/>
  <c r="A120" i="6"/>
  <c r="A119" i="6"/>
  <c r="B118" i="6"/>
  <c r="A118" i="6"/>
  <c r="B117" i="6"/>
  <c r="A117" i="6"/>
  <c r="A116" i="6"/>
  <c r="A115" i="6"/>
  <c r="A114" i="6"/>
  <c r="B113" i="6"/>
  <c r="A113" i="6"/>
  <c r="A112" i="6"/>
  <c r="A111" i="6"/>
  <c r="A110" i="6"/>
  <c r="B109" i="6"/>
  <c r="A109" i="6"/>
  <c r="A108" i="6"/>
  <c r="B107" i="6"/>
  <c r="A107" i="6"/>
  <c r="B106" i="6"/>
  <c r="A106" i="6"/>
  <c r="B105" i="6"/>
  <c r="A105" i="6"/>
  <c r="A104" i="6"/>
  <c r="A103" i="6"/>
  <c r="B102" i="6"/>
  <c r="A102" i="6"/>
  <c r="B101" i="6"/>
  <c r="A101" i="6"/>
  <c r="A100" i="6"/>
  <c r="A99" i="6"/>
  <c r="B99" i="6" s="1"/>
  <c r="A98" i="6"/>
  <c r="A97" i="6"/>
  <c r="B96" i="6"/>
  <c r="A96" i="6"/>
  <c r="B95" i="6"/>
  <c r="A95" i="6"/>
  <c r="B94" i="6"/>
  <c r="A94" i="6"/>
  <c r="A93" i="6"/>
  <c r="B92" i="6"/>
  <c r="A92" i="6"/>
  <c r="A91" i="6"/>
  <c r="B90" i="6"/>
  <c r="A90" i="6"/>
  <c r="A89" i="6"/>
  <c r="B89" i="6" s="1"/>
  <c r="B88" i="6"/>
  <c r="A88" i="6"/>
  <c r="A87" i="6"/>
  <c r="B86" i="6"/>
  <c r="A86" i="6"/>
  <c r="B85" i="6"/>
  <c r="A85" i="6"/>
  <c r="B84" i="6"/>
  <c r="A84" i="6"/>
  <c r="A83" i="6"/>
  <c r="B83" i="6" s="1"/>
  <c r="B82" i="6"/>
  <c r="A82" i="6"/>
  <c r="A81" i="6"/>
  <c r="A80" i="6"/>
  <c r="A79" i="6"/>
  <c r="B79" i="6" s="1"/>
  <c r="A78" i="6"/>
  <c r="A77" i="6"/>
  <c r="B76" i="6"/>
  <c r="A76" i="6"/>
  <c r="B75" i="6"/>
  <c r="A75" i="6"/>
  <c r="A74" i="6"/>
  <c r="A73" i="6"/>
  <c r="B73" i="6" s="1"/>
  <c r="B72" i="6"/>
  <c r="A72" i="6"/>
  <c r="B71" i="6"/>
  <c r="A71" i="6"/>
  <c r="B70" i="6"/>
  <c r="A70" i="6"/>
  <c r="A69" i="6"/>
  <c r="B68" i="6"/>
  <c r="A68" i="6"/>
  <c r="A67" i="6"/>
  <c r="B66" i="6"/>
  <c r="A66" i="6"/>
  <c r="A65" i="6"/>
  <c r="A64" i="6"/>
  <c r="A63" i="6"/>
  <c r="B62" i="6"/>
  <c r="A62" i="6"/>
  <c r="A61" i="6"/>
  <c r="A60" i="6"/>
  <c r="B59" i="6"/>
  <c r="A59" i="6"/>
  <c r="A58" i="6"/>
  <c r="B57" i="6"/>
  <c r="A57" i="6"/>
  <c r="A56" i="6"/>
  <c r="B56" i="6" s="1"/>
  <c r="A55" i="6"/>
  <c r="A54" i="6"/>
  <c r="A53" i="6"/>
  <c r="B53" i="6" s="1"/>
  <c r="B52" i="6"/>
  <c r="A52" i="6"/>
  <c r="B51" i="6"/>
  <c r="A51" i="6"/>
  <c r="A50" i="6"/>
  <c r="B49" i="6"/>
  <c r="A49" i="6"/>
  <c r="B48" i="6"/>
  <c r="A48" i="6"/>
  <c r="A47" i="6"/>
  <c r="A46" i="6"/>
  <c r="B46" i="6" s="1"/>
  <c r="B45" i="6"/>
  <c r="A45" i="6"/>
  <c r="A44" i="6"/>
  <c r="A43" i="6"/>
  <c r="B43" i="6" s="1"/>
  <c r="B42" i="6"/>
  <c r="A42" i="6"/>
  <c r="B41" i="6"/>
  <c r="A41" i="6"/>
  <c r="A40" i="6"/>
  <c r="B39" i="6"/>
  <c r="A39" i="6"/>
  <c r="A38" i="6"/>
  <c r="A37" i="6"/>
  <c r="A36" i="6"/>
  <c r="B36" i="6" s="1"/>
  <c r="A35" i="6"/>
  <c r="A34" i="6"/>
  <c r="A33" i="6"/>
  <c r="B33" i="6" s="1"/>
  <c r="B32" i="6"/>
  <c r="A32" i="6"/>
  <c r="A31" i="6"/>
  <c r="A30" i="6"/>
  <c r="B29" i="6"/>
  <c r="A29" i="6"/>
  <c r="A28" i="6"/>
  <c r="B27" i="6"/>
  <c r="A27" i="6"/>
  <c r="A26" i="6"/>
  <c r="B26" i="6" s="1"/>
  <c r="A25" i="6"/>
  <c r="B24" i="6"/>
  <c r="A24" i="6"/>
  <c r="A23" i="6"/>
  <c r="B23" i="6" s="1"/>
  <c r="B22" i="6"/>
  <c r="A22" i="6"/>
  <c r="B21" i="6"/>
  <c r="A21" i="6"/>
  <c r="A20" i="6"/>
  <c r="B19" i="6"/>
  <c r="A19" i="6"/>
  <c r="B18" i="6"/>
  <c r="A18" i="6"/>
  <c r="A17" i="6"/>
  <c r="A16" i="6"/>
  <c r="B16" i="6" s="1"/>
  <c r="B15" i="6"/>
  <c r="A15" i="6"/>
  <c r="A14" i="6"/>
  <c r="A13" i="6"/>
  <c r="B13" i="6" s="1"/>
  <c r="B12" i="6"/>
  <c r="A12" i="6"/>
  <c r="B11" i="6"/>
  <c r="A11" i="6"/>
  <c r="A10" i="6"/>
  <c r="B9" i="6"/>
  <c r="A9" i="6"/>
  <c r="B8" i="6"/>
  <c r="A8" i="6"/>
  <c r="A7" i="6"/>
  <c r="R6" i="6"/>
  <c r="Q6" i="6"/>
  <c r="P6" i="6"/>
  <c r="M6" i="6"/>
  <c r="E6" i="6"/>
  <c r="D6" i="6"/>
  <c r="C6" i="6"/>
  <c r="F6" i="6" s="1"/>
  <c r="A6" i="6"/>
  <c r="B6" i="6" s="1"/>
  <c r="Y605" i="5"/>
  <c r="B605" i="5"/>
  <c r="A605" i="5"/>
  <c r="Y604" i="5"/>
  <c r="B604" i="5"/>
  <c r="A604" i="5"/>
  <c r="Y603" i="5"/>
  <c r="A603" i="5"/>
  <c r="B603" i="5" s="1"/>
  <c r="Y602" i="5"/>
  <c r="B602" i="5"/>
  <c r="A602" i="5"/>
  <c r="Y601" i="5"/>
  <c r="A601" i="5"/>
  <c r="Y600" i="5"/>
  <c r="A600" i="5"/>
  <c r="Y599" i="5"/>
  <c r="B599" i="5"/>
  <c r="A599" i="5"/>
  <c r="Y598" i="5"/>
  <c r="B598" i="5"/>
  <c r="A598" i="5"/>
  <c r="Y597" i="5"/>
  <c r="A597" i="5"/>
  <c r="Y596" i="5"/>
  <c r="A596" i="5"/>
  <c r="B596" i="5" s="1"/>
  <c r="Y595" i="5"/>
  <c r="B595" i="5"/>
  <c r="A595" i="5"/>
  <c r="Y594" i="5"/>
  <c r="B594" i="5"/>
  <c r="A594" i="5"/>
  <c r="Y593" i="5"/>
  <c r="A593" i="5"/>
  <c r="B593" i="5" s="1"/>
  <c r="Y592" i="5"/>
  <c r="B592" i="5"/>
  <c r="A592" i="5"/>
  <c r="Y591" i="5"/>
  <c r="A591" i="5"/>
  <c r="Y590" i="5"/>
  <c r="A590" i="5"/>
  <c r="Y589" i="5"/>
  <c r="B589" i="5"/>
  <c r="A589" i="5"/>
  <c r="Y588" i="5"/>
  <c r="B588" i="5"/>
  <c r="A588" i="5"/>
  <c r="Y587" i="5"/>
  <c r="B587" i="5"/>
  <c r="A587" i="5"/>
  <c r="Y586" i="5"/>
  <c r="A586" i="5"/>
  <c r="B586" i="5" s="1"/>
  <c r="Y585" i="5"/>
  <c r="A585" i="5"/>
  <c r="Y584" i="5"/>
  <c r="A584" i="5"/>
  <c r="Y583" i="5"/>
  <c r="A583" i="5"/>
  <c r="B583" i="5" s="1"/>
  <c r="Y582" i="5"/>
  <c r="B582" i="5"/>
  <c r="A582" i="5"/>
  <c r="Y581" i="5"/>
  <c r="B581" i="5"/>
  <c r="A581" i="5"/>
  <c r="Y580" i="5"/>
  <c r="A580" i="5"/>
  <c r="Y579" i="5"/>
  <c r="B579" i="5"/>
  <c r="A579" i="5"/>
  <c r="Y578" i="5"/>
  <c r="A578" i="5"/>
  <c r="Y577" i="5"/>
  <c r="A577" i="5"/>
  <c r="Y576" i="5"/>
  <c r="A576" i="5"/>
  <c r="B576" i="5" s="1"/>
  <c r="Y575" i="5"/>
  <c r="A575" i="5"/>
  <c r="Y574" i="5"/>
  <c r="B574" i="5"/>
  <c r="A574" i="5"/>
  <c r="Y573" i="5"/>
  <c r="A573" i="5"/>
  <c r="B573" i="5" s="1"/>
  <c r="Y572" i="5"/>
  <c r="A572" i="5"/>
  <c r="Y571" i="5"/>
  <c r="B571" i="5"/>
  <c r="A571" i="5"/>
  <c r="Y570" i="5"/>
  <c r="B570" i="5"/>
  <c r="A570" i="5"/>
  <c r="Y569" i="5"/>
  <c r="B569" i="5"/>
  <c r="A569" i="5"/>
  <c r="Y568" i="5"/>
  <c r="B568" i="5"/>
  <c r="A568" i="5"/>
  <c r="Y567" i="5"/>
  <c r="A567" i="5"/>
  <c r="Y566" i="5"/>
  <c r="A566" i="5"/>
  <c r="B566" i="5" s="1"/>
  <c r="Y565" i="5"/>
  <c r="A565" i="5"/>
  <c r="Y564" i="5"/>
  <c r="A564" i="5"/>
  <c r="Y563" i="5"/>
  <c r="A563" i="5"/>
  <c r="B563" i="5" s="1"/>
  <c r="Y562" i="5"/>
  <c r="B562" i="5"/>
  <c r="A562" i="5"/>
  <c r="Y561" i="5"/>
  <c r="B561" i="5"/>
  <c r="A561" i="5"/>
  <c r="Y560" i="5"/>
  <c r="B560" i="5"/>
  <c r="A560" i="5"/>
  <c r="Y559" i="5"/>
  <c r="B559" i="5"/>
  <c r="A559" i="5"/>
  <c r="Y558" i="5"/>
  <c r="B558" i="5"/>
  <c r="A558" i="5"/>
  <c r="Y557" i="5"/>
  <c r="A557" i="5"/>
  <c r="Y556" i="5"/>
  <c r="A556" i="5"/>
  <c r="B556" i="5" s="1"/>
  <c r="Y555" i="5"/>
  <c r="A555" i="5"/>
  <c r="Y554" i="5"/>
  <c r="B554" i="5"/>
  <c r="A554" i="5"/>
  <c r="Y553" i="5"/>
  <c r="A553" i="5"/>
  <c r="B553" i="5" s="1"/>
  <c r="Y552" i="5"/>
  <c r="A552" i="5"/>
  <c r="Y551" i="5"/>
  <c r="B551" i="5"/>
  <c r="A551" i="5"/>
  <c r="Y550" i="5"/>
  <c r="B550" i="5"/>
  <c r="A550" i="5"/>
  <c r="Y549" i="5"/>
  <c r="B549" i="5"/>
  <c r="A549" i="5"/>
  <c r="Y548" i="5"/>
  <c r="A548" i="5"/>
  <c r="Y547" i="5"/>
  <c r="A547" i="5"/>
  <c r="B547" i="5" s="1"/>
  <c r="Y546" i="5"/>
  <c r="A546" i="5"/>
  <c r="B546" i="5" s="1"/>
  <c r="Y545" i="5"/>
  <c r="A545" i="5"/>
  <c r="Y544" i="5"/>
  <c r="A544" i="5"/>
  <c r="Y543" i="5"/>
  <c r="A543" i="5"/>
  <c r="Y542" i="5"/>
  <c r="B542" i="5"/>
  <c r="A542" i="5"/>
  <c r="Y541" i="5"/>
  <c r="B541" i="5"/>
  <c r="A541" i="5"/>
  <c r="Y540" i="5"/>
  <c r="B540" i="5"/>
  <c r="A540" i="5"/>
  <c r="Y539" i="5"/>
  <c r="B539" i="5"/>
  <c r="A539" i="5"/>
  <c r="Y538" i="5"/>
  <c r="A538" i="5"/>
  <c r="Y537" i="5"/>
  <c r="B537" i="5"/>
  <c r="A537" i="5"/>
  <c r="Y536" i="5"/>
  <c r="A536" i="5"/>
  <c r="B536" i="5" s="1"/>
  <c r="Y535" i="5"/>
  <c r="A535" i="5"/>
  <c r="Y534" i="5"/>
  <c r="A534" i="5"/>
  <c r="Y533" i="5"/>
  <c r="A533" i="5"/>
  <c r="B533" i="5" s="1"/>
  <c r="Y532" i="5"/>
  <c r="A532" i="5"/>
  <c r="B532" i="5" s="1"/>
  <c r="Y531" i="5"/>
  <c r="B531" i="5"/>
  <c r="A531" i="5"/>
  <c r="Y530" i="5"/>
  <c r="B530" i="5"/>
  <c r="A530" i="5"/>
  <c r="Y529" i="5"/>
  <c r="B529" i="5"/>
  <c r="A529" i="5"/>
  <c r="Y528" i="5"/>
  <c r="B528" i="5"/>
  <c r="A528" i="5"/>
  <c r="Y527" i="5"/>
  <c r="A527" i="5"/>
  <c r="Y526" i="5"/>
  <c r="A526" i="5"/>
  <c r="B526" i="5" s="1"/>
  <c r="Y525" i="5"/>
  <c r="A525" i="5"/>
  <c r="Y524" i="5"/>
  <c r="A524" i="5"/>
  <c r="Y523" i="5"/>
  <c r="A523" i="5"/>
  <c r="B523" i="5" s="1"/>
  <c r="Y522" i="5"/>
  <c r="A522" i="5"/>
  <c r="Y521" i="5"/>
  <c r="B521" i="5"/>
  <c r="A521" i="5"/>
  <c r="Y520" i="5"/>
  <c r="B520" i="5"/>
  <c r="A520" i="5"/>
  <c r="Y519" i="5"/>
  <c r="B519" i="5"/>
  <c r="A519" i="5"/>
  <c r="Y518" i="5"/>
  <c r="B518" i="5"/>
  <c r="A518" i="5"/>
  <c r="Y517" i="5"/>
  <c r="B517" i="5"/>
  <c r="A517" i="5"/>
  <c r="Y516" i="5"/>
  <c r="A516" i="5"/>
  <c r="B516" i="5" s="1"/>
  <c r="Y515" i="5"/>
  <c r="A515" i="5"/>
  <c r="Y514" i="5"/>
  <c r="B514" i="5"/>
  <c r="A514" i="5"/>
  <c r="Y513" i="5"/>
  <c r="B513" i="5"/>
  <c r="A513" i="5"/>
  <c r="Y512" i="5"/>
  <c r="A512" i="5"/>
  <c r="Y511" i="5"/>
  <c r="B511" i="5"/>
  <c r="A511" i="5"/>
  <c r="Y510" i="5"/>
  <c r="A510" i="5"/>
  <c r="Y509" i="5"/>
  <c r="B509" i="5"/>
  <c r="A509" i="5"/>
  <c r="Y508" i="5"/>
  <c r="A508" i="5"/>
  <c r="Y507" i="5"/>
  <c r="B507" i="5"/>
  <c r="A507" i="5"/>
  <c r="Y506" i="5"/>
  <c r="A506" i="5"/>
  <c r="B506" i="5" s="1"/>
  <c r="Y505" i="5"/>
  <c r="B505" i="5"/>
  <c r="A505" i="5"/>
  <c r="Y504" i="5"/>
  <c r="A504" i="5"/>
  <c r="Y503" i="5"/>
  <c r="B503" i="5"/>
  <c r="A503" i="5"/>
  <c r="Y502" i="5"/>
  <c r="B502" i="5"/>
  <c r="A502" i="5"/>
  <c r="Y501" i="5"/>
  <c r="B501" i="5"/>
  <c r="A501" i="5"/>
  <c r="Y500" i="5"/>
  <c r="A500" i="5"/>
  <c r="B500" i="5" s="1"/>
  <c r="Y499" i="5"/>
  <c r="B499" i="5"/>
  <c r="A499" i="5"/>
  <c r="Y498" i="5"/>
  <c r="B498" i="5"/>
  <c r="A498" i="5"/>
  <c r="Y497" i="5"/>
  <c r="B497" i="5"/>
  <c r="A497" i="5"/>
  <c r="Y496" i="5"/>
  <c r="A496" i="5"/>
  <c r="B496" i="5" s="1"/>
  <c r="Y495" i="5"/>
  <c r="B495" i="5"/>
  <c r="A495" i="5"/>
  <c r="Y494" i="5"/>
  <c r="A494" i="5"/>
  <c r="Y493" i="5"/>
  <c r="A493" i="5"/>
  <c r="Y492" i="5"/>
  <c r="B492" i="5"/>
  <c r="A492" i="5"/>
  <c r="Y491" i="5"/>
  <c r="B491" i="5"/>
  <c r="A491" i="5"/>
  <c r="Y490" i="5"/>
  <c r="A490" i="5"/>
  <c r="Y489" i="5"/>
  <c r="A489" i="5"/>
  <c r="B489" i="5" s="1"/>
  <c r="Y488" i="5"/>
  <c r="A488" i="5"/>
  <c r="Y487" i="5"/>
  <c r="B487" i="5"/>
  <c r="A487" i="5"/>
  <c r="Y486" i="5"/>
  <c r="A486" i="5"/>
  <c r="B486" i="5" s="1"/>
  <c r="Y485" i="5"/>
  <c r="B485" i="5"/>
  <c r="A485" i="5"/>
  <c r="Y484" i="5"/>
  <c r="B484" i="5"/>
  <c r="A484" i="5"/>
  <c r="Y483" i="5"/>
  <c r="A483" i="5"/>
  <c r="Y482" i="5"/>
  <c r="B482" i="5"/>
  <c r="A482" i="5"/>
  <c r="Y481" i="5"/>
  <c r="A481" i="5"/>
  <c r="Y480" i="5"/>
  <c r="A480" i="5"/>
  <c r="Y479" i="5"/>
  <c r="A479" i="5"/>
  <c r="B479" i="5" s="1"/>
  <c r="Y478" i="5"/>
  <c r="B478" i="5"/>
  <c r="A478" i="5"/>
  <c r="Y477" i="5"/>
  <c r="A477" i="5"/>
  <c r="Y476" i="5"/>
  <c r="A476" i="5"/>
  <c r="B476" i="5" s="1"/>
  <c r="Y475" i="5"/>
  <c r="B475" i="5"/>
  <c r="A475" i="5"/>
  <c r="Y474" i="5"/>
  <c r="B474" i="5"/>
  <c r="A474" i="5"/>
  <c r="Y473" i="5"/>
  <c r="A473" i="5"/>
  <c r="Y472" i="5"/>
  <c r="B472" i="5"/>
  <c r="A472" i="5"/>
  <c r="Y471" i="5"/>
  <c r="B471" i="5"/>
  <c r="A471" i="5"/>
  <c r="Y470" i="5"/>
  <c r="A470" i="5"/>
  <c r="Y469" i="5"/>
  <c r="A469" i="5"/>
  <c r="B469" i="5" s="1"/>
  <c r="Y468" i="5"/>
  <c r="B468" i="5"/>
  <c r="A468" i="5"/>
  <c r="Y467" i="5"/>
  <c r="A467" i="5"/>
  <c r="Y466" i="5"/>
  <c r="A466" i="5"/>
  <c r="B466" i="5" s="1"/>
  <c r="Y465" i="5"/>
  <c r="B465" i="5"/>
  <c r="A465" i="5"/>
  <c r="Y464" i="5"/>
  <c r="A464" i="5"/>
  <c r="Y463" i="5"/>
  <c r="B463" i="5"/>
  <c r="A463" i="5"/>
  <c r="Y462" i="5"/>
  <c r="B462" i="5"/>
  <c r="A462" i="5"/>
  <c r="Y461" i="5"/>
  <c r="A461" i="5"/>
  <c r="Y460" i="5"/>
  <c r="B460" i="5"/>
  <c r="A460" i="5"/>
  <c r="Y459" i="5"/>
  <c r="A459" i="5"/>
  <c r="B459" i="5" s="1"/>
  <c r="Y458" i="5"/>
  <c r="B458" i="5"/>
  <c r="A458" i="5"/>
  <c r="Y457" i="5"/>
  <c r="B457" i="5"/>
  <c r="A457" i="5"/>
  <c r="Y456" i="5"/>
  <c r="A456" i="5"/>
  <c r="Y455" i="5"/>
  <c r="B455" i="5"/>
  <c r="A455" i="5"/>
  <c r="Y454" i="5"/>
  <c r="B454" i="5"/>
  <c r="A454" i="5"/>
  <c r="Y453" i="5"/>
  <c r="A453" i="5"/>
  <c r="Y452" i="5"/>
  <c r="B452" i="5"/>
  <c r="A452" i="5"/>
  <c r="Y451" i="5"/>
  <c r="A451" i="5"/>
  <c r="Y450" i="5"/>
  <c r="B450" i="5"/>
  <c r="A450" i="5"/>
  <c r="Y449" i="5"/>
  <c r="A449" i="5"/>
  <c r="B449" i="5" s="1"/>
  <c r="Y448" i="5"/>
  <c r="A448" i="5"/>
  <c r="Y447" i="5"/>
  <c r="A447" i="5"/>
  <c r="Y446" i="5"/>
  <c r="A446" i="5"/>
  <c r="B446" i="5" s="1"/>
  <c r="Y445" i="5"/>
  <c r="B445" i="5"/>
  <c r="A445" i="5"/>
  <c r="Y444" i="5"/>
  <c r="A444" i="5"/>
  <c r="Y443" i="5"/>
  <c r="B443" i="5"/>
  <c r="A443" i="5"/>
  <c r="Y442" i="5"/>
  <c r="B442" i="5"/>
  <c r="A442" i="5"/>
  <c r="Y441" i="5"/>
  <c r="A441" i="5"/>
  <c r="Y440" i="5"/>
  <c r="B440" i="5"/>
  <c r="A440" i="5"/>
  <c r="Y439" i="5"/>
  <c r="A439" i="5"/>
  <c r="B439" i="5" s="1"/>
  <c r="Y438" i="5"/>
  <c r="A438" i="5"/>
  <c r="Y437" i="5"/>
  <c r="B437" i="5"/>
  <c r="A437" i="5"/>
  <c r="Y436" i="5"/>
  <c r="A436" i="5"/>
  <c r="B436" i="5" s="1"/>
  <c r="Y435" i="5"/>
  <c r="B435" i="5"/>
  <c r="A435" i="5"/>
  <c r="Y434" i="5"/>
  <c r="A434" i="5"/>
  <c r="Y433" i="5"/>
  <c r="A433" i="5"/>
  <c r="B433" i="5" s="1"/>
  <c r="Y432" i="5"/>
  <c r="B432" i="5"/>
  <c r="A432" i="5"/>
  <c r="Y431" i="5"/>
  <c r="A431" i="5"/>
  <c r="Y430" i="5"/>
  <c r="B430" i="5"/>
  <c r="A430" i="5"/>
  <c r="Y429" i="5"/>
  <c r="A429" i="5"/>
  <c r="B429" i="5" s="1"/>
  <c r="Y428" i="5"/>
  <c r="A428" i="5"/>
  <c r="Y427" i="5"/>
  <c r="A427" i="5"/>
  <c r="Y426" i="5"/>
  <c r="A426" i="5"/>
  <c r="Y425" i="5"/>
  <c r="B425" i="5"/>
  <c r="A425" i="5"/>
  <c r="Y424" i="5"/>
  <c r="A424" i="5"/>
  <c r="Y423" i="5"/>
  <c r="A423" i="5"/>
  <c r="B423" i="5" s="1"/>
  <c r="Y422" i="5"/>
  <c r="B422" i="5"/>
  <c r="A422" i="5"/>
  <c r="Y421" i="5"/>
  <c r="A421" i="5"/>
  <c r="Y420" i="5"/>
  <c r="B420" i="5"/>
  <c r="A420" i="5"/>
  <c r="Y419" i="5"/>
  <c r="A419" i="5"/>
  <c r="B419" i="5" s="1"/>
  <c r="Y418" i="5"/>
  <c r="A418" i="5"/>
  <c r="Y417" i="5"/>
  <c r="B417" i="5"/>
  <c r="A417" i="5"/>
  <c r="Y416" i="5"/>
  <c r="A416" i="5"/>
  <c r="B416" i="5" s="1"/>
  <c r="Y415" i="5"/>
  <c r="B415" i="5"/>
  <c r="A415" i="5"/>
  <c r="Y414" i="5"/>
  <c r="A414" i="5"/>
  <c r="Y413" i="5"/>
  <c r="B413" i="5"/>
  <c r="A413" i="5"/>
  <c r="Y412" i="5"/>
  <c r="B412" i="5"/>
  <c r="A412" i="5"/>
  <c r="Y411" i="5"/>
  <c r="A411" i="5"/>
  <c r="Y410" i="5"/>
  <c r="B410" i="5"/>
  <c r="A410" i="5"/>
  <c r="Y409" i="5"/>
  <c r="A409" i="5"/>
  <c r="B409" i="5" s="1"/>
  <c r="Y408" i="5"/>
  <c r="A408" i="5"/>
  <c r="Y407" i="5"/>
  <c r="B407" i="5"/>
  <c r="A407" i="5"/>
  <c r="Y406" i="5"/>
  <c r="A406" i="5"/>
  <c r="Y405" i="5"/>
  <c r="B405" i="5"/>
  <c r="A405" i="5"/>
  <c r="Y404" i="5"/>
  <c r="B404" i="5"/>
  <c r="A404" i="5"/>
  <c r="Y403" i="5"/>
  <c r="B403" i="5"/>
  <c r="A403" i="5"/>
  <c r="Y402" i="5"/>
  <c r="B402" i="5"/>
  <c r="A402" i="5"/>
  <c r="Y401" i="5"/>
  <c r="A401" i="5"/>
  <c r="Y400" i="5"/>
  <c r="A400" i="5"/>
  <c r="B400" i="5" s="1"/>
  <c r="Y399" i="5"/>
  <c r="A399" i="5"/>
  <c r="Y398" i="5"/>
  <c r="B398" i="5"/>
  <c r="A398" i="5"/>
  <c r="Y397" i="5"/>
  <c r="B397" i="5"/>
  <c r="A397" i="5"/>
  <c r="Y396" i="5"/>
  <c r="A396" i="5"/>
  <c r="B396" i="5" s="1"/>
  <c r="Y395" i="5"/>
  <c r="A395" i="5"/>
  <c r="Y394" i="5"/>
  <c r="A394" i="5"/>
  <c r="Y393" i="5"/>
  <c r="A393" i="5"/>
  <c r="B393" i="5" s="1"/>
  <c r="Y392" i="5"/>
  <c r="B392" i="5"/>
  <c r="A392" i="5"/>
  <c r="Y391" i="5"/>
  <c r="A391" i="5"/>
  <c r="B391" i="5" s="1"/>
  <c r="Y390" i="5"/>
  <c r="A390" i="5"/>
  <c r="Y389" i="5"/>
  <c r="A389" i="5"/>
  <c r="B389" i="5" s="1"/>
  <c r="Y388" i="5"/>
  <c r="A388" i="5"/>
  <c r="Y387" i="5"/>
  <c r="B387" i="5"/>
  <c r="A387" i="5"/>
  <c r="Y386" i="5"/>
  <c r="A386" i="5"/>
  <c r="Y385" i="5"/>
  <c r="A385" i="5"/>
  <c r="B385" i="5" s="1"/>
  <c r="Y384" i="5"/>
  <c r="A384" i="5"/>
  <c r="Y383" i="5"/>
  <c r="A383" i="5"/>
  <c r="Y382" i="5"/>
  <c r="B382" i="5"/>
  <c r="A382" i="5"/>
  <c r="Y381" i="5"/>
  <c r="A381" i="5"/>
  <c r="Y380" i="5"/>
  <c r="A380" i="5"/>
  <c r="B380" i="5" s="1"/>
  <c r="Y379" i="5"/>
  <c r="A379" i="5"/>
  <c r="Y378" i="5"/>
  <c r="B378" i="5"/>
  <c r="A378" i="5"/>
  <c r="Y377" i="5"/>
  <c r="B377" i="5"/>
  <c r="A377" i="5"/>
  <c r="Y376" i="5"/>
  <c r="A376" i="5"/>
  <c r="Y375" i="5"/>
  <c r="A375" i="5"/>
  <c r="Y374" i="5"/>
  <c r="B374" i="5"/>
  <c r="A374" i="5"/>
  <c r="Y373" i="5"/>
  <c r="A373" i="5"/>
  <c r="B373" i="5" s="1"/>
  <c r="Y372" i="5"/>
  <c r="B372" i="5"/>
  <c r="A372" i="5"/>
  <c r="Y371" i="5"/>
  <c r="A371" i="5"/>
  <c r="B371" i="5" s="1"/>
  <c r="Y370" i="5"/>
  <c r="A370" i="5"/>
  <c r="Y369" i="5"/>
  <c r="A369" i="5"/>
  <c r="B369" i="5" s="1"/>
  <c r="Y368" i="5"/>
  <c r="A368" i="5"/>
  <c r="Y367" i="5"/>
  <c r="B367" i="5"/>
  <c r="A367" i="5"/>
  <c r="Y366" i="5"/>
  <c r="B366" i="5"/>
  <c r="A366" i="5"/>
  <c r="Y365" i="5"/>
  <c r="A365" i="5"/>
  <c r="Y364" i="5"/>
  <c r="B364" i="5"/>
  <c r="A364" i="5"/>
  <c r="Y363" i="5"/>
  <c r="B363" i="5"/>
  <c r="A363" i="5"/>
  <c r="Y362" i="5"/>
  <c r="B362" i="5"/>
  <c r="A362" i="5"/>
  <c r="Y361" i="5"/>
  <c r="A361" i="5"/>
  <c r="Y360" i="5"/>
  <c r="A360" i="5"/>
  <c r="B360" i="5" s="1"/>
  <c r="Y359" i="5"/>
  <c r="A359" i="5"/>
  <c r="Y358" i="5"/>
  <c r="B358" i="5"/>
  <c r="A358" i="5"/>
  <c r="Y357" i="5"/>
  <c r="A357" i="5"/>
  <c r="Y356" i="5"/>
  <c r="A356" i="5"/>
  <c r="Y355" i="5"/>
  <c r="A355" i="5"/>
  <c r="Y354" i="5"/>
  <c r="A354" i="5"/>
  <c r="Y353" i="5"/>
  <c r="A353" i="5"/>
  <c r="B353" i="5" s="1"/>
  <c r="Y352" i="5"/>
  <c r="B352" i="5"/>
  <c r="A352" i="5"/>
  <c r="Y351" i="5"/>
  <c r="A351" i="5"/>
  <c r="B351" i="5" s="1"/>
  <c r="Y350" i="5"/>
  <c r="A350" i="5"/>
  <c r="Y349" i="5"/>
  <c r="A349" i="5"/>
  <c r="B349" i="5" s="1"/>
  <c r="Y348" i="5"/>
  <c r="A348" i="5"/>
  <c r="Y347" i="5"/>
  <c r="B347" i="5"/>
  <c r="A347" i="5"/>
  <c r="Y346" i="5"/>
  <c r="A346" i="5"/>
  <c r="Y345" i="5"/>
  <c r="A345" i="5"/>
  <c r="Y344" i="5"/>
  <c r="B344" i="5"/>
  <c r="A344" i="5"/>
  <c r="Y343" i="5"/>
  <c r="A343" i="5"/>
  <c r="Y342" i="5"/>
  <c r="B342" i="5"/>
  <c r="A342" i="5"/>
  <c r="Y341" i="5"/>
  <c r="A341" i="5"/>
  <c r="Y340" i="5"/>
  <c r="A340" i="5"/>
  <c r="B340" i="5" s="1"/>
  <c r="Y339" i="5"/>
  <c r="A339" i="5"/>
  <c r="B339" i="5" s="1"/>
  <c r="Y338" i="5"/>
  <c r="B338" i="5"/>
  <c r="A338" i="5"/>
  <c r="Y337" i="5"/>
  <c r="B337" i="5"/>
  <c r="A337" i="5"/>
  <c r="Y336" i="5"/>
  <c r="B336" i="5"/>
  <c r="A336" i="5"/>
  <c r="Y335" i="5"/>
  <c r="A335" i="5"/>
  <c r="Y334" i="5"/>
  <c r="A334" i="5"/>
  <c r="Y333" i="5"/>
  <c r="A333" i="5"/>
  <c r="Y332" i="5"/>
  <c r="B332" i="5"/>
  <c r="A332" i="5"/>
  <c r="Y331" i="5"/>
  <c r="A331" i="5"/>
  <c r="B331" i="5" s="1"/>
  <c r="Y330" i="5"/>
  <c r="A330" i="5"/>
  <c r="Y329" i="5"/>
  <c r="A329" i="5"/>
  <c r="Y328" i="5"/>
  <c r="A328" i="5"/>
  <c r="B328" i="5" s="1"/>
  <c r="Y327" i="5"/>
  <c r="A327" i="5"/>
  <c r="Y326" i="5"/>
  <c r="B326" i="5"/>
  <c r="A326" i="5"/>
  <c r="Y325" i="5"/>
  <c r="B325" i="5"/>
  <c r="A325" i="5"/>
  <c r="Y324" i="5"/>
  <c r="B324" i="5"/>
  <c r="A324" i="5"/>
  <c r="Y323" i="5"/>
  <c r="A323" i="5"/>
  <c r="Y322" i="5"/>
  <c r="A322" i="5"/>
  <c r="B322" i="5" s="1"/>
  <c r="Y321" i="5"/>
  <c r="A321" i="5"/>
  <c r="Y320" i="5"/>
  <c r="A320" i="5"/>
  <c r="Y319" i="5"/>
  <c r="A319" i="5"/>
  <c r="B319" i="5" s="1"/>
  <c r="Y318" i="5"/>
  <c r="A318" i="5"/>
  <c r="Y317" i="5"/>
  <c r="B317" i="5"/>
  <c r="A317" i="5"/>
  <c r="Y316" i="5"/>
  <c r="A316" i="5"/>
  <c r="Y315" i="5"/>
  <c r="B315" i="5"/>
  <c r="A315" i="5"/>
  <c r="Y314" i="5"/>
  <c r="A314" i="5"/>
  <c r="Y313" i="5"/>
  <c r="B313" i="5"/>
  <c r="A313" i="5"/>
  <c r="Y312" i="5"/>
  <c r="A312" i="5"/>
  <c r="Y311" i="5"/>
  <c r="A311" i="5"/>
  <c r="Y310" i="5"/>
  <c r="A310" i="5"/>
  <c r="Y309" i="5"/>
  <c r="A309" i="5"/>
  <c r="Y308" i="5"/>
  <c r="A308" i="5"/>
  <c r="B308" i="5" s="1"/>
  <c r="Y307" i="5"/>
  <c r="A307" i="5"/>
  <c r="Y306" i="5"/>
  <c r="B306" i="5"/>
  <c r="A306" i="5"/>
  <c r="Y305" i="5"/>
  <c r="B305" i="5"/>
  <c r="A305" i="5"/>
  <c r="Y304" i="5"/>
  <c r="B304" i="5"/>
  <c r="A304" i="5"/>
  <c r="Y303" i="5"/>
  <c r="A303" i="5"/>
  <c r="Y302" i="5"/>
  <c r="A302" i="5"/>
  <c r="Y301" i="5"/>
  <c r="A301" i="5"/>
  <c r="Y300" i="5"/>
  <c r="A300" i="5"/>
  <c r="Y299" i="5"/>
  <c r="A299" i="5"/>
  <c r="B299" i="5" s="1"/>
  <c r="Y298" i="5"/>
  <c r="A298" i="5"/>
  <c r="Y297" i="5"/>
  <c r="B297" i="5"/>
  <c r="A297" i="5"/>
  <c r="Y296" i="5"/>
  <c r="A296" i="5"/>
  <c r="Y295" i="5"/>
  <c r="B295" i="5"/>
  <c r="A295" i="5"/>
  <c r="Y294" i="5"/>
  <c r="A294" i="5"/>
  <c r="Y293" i="5"/>
  <c r="B293" i="5"/>
  <c r="A293" i="5"/>
  <c r="Y292" i="5"/>
  <c r="A292" i="5"/>
  <c r="Y291" i="5"/>
  <c r="B291" i="5"/>
  <c r="A291" i="5"/>
  <c r="Y290" i="5"/>
  <c r="A290" i="5"/>
  <c r="Y289" i="5"/>
  <c r="B289" i="5"/>
  <c r="A289" i="5"/>
  <c r="Y288" i="5"/>
  <c r="A288" i="5"/>
  <c r="B288" i="5" s="1"/>
  <c r="Y287" i="5"/>
  <c r="A287" i="5"/>
  <c r="Y286" i="5"/>
  <c r="B286" i="5"/>
  <c r="A286" i="5"/>
  <c r="Y285" i="5"/>
  <c r="B285" i="5"/>
  <c r="A285" i="5"/>
  <c r="Y284" i="5"/>
  <c r="B284" i="5"/>
  <c r="A284" i="5"/>
  <c r="Y283" i="5"/>
  <c r="B283" i="5"/>
  <c r="A283" i="5"/>
  <c r="Y282" i="5"/>
  <c r="A282" i="5"/>
  <c r="Y281" i="5"/>
  <c r="A281" i="5"/>
  <c r="Y280" i="5"/>
  <c r="B280" i="5"/>
  <c r="A280" i="5"/>
  <c r="Y279" i="5"/>
  <c r="A279" i="5"/>
  <c r="B279" i="5" s="1"/>
  <c r="Y278" i="5"/>
  <c r="B278" i="5"/>
  <c r="A278" i="5"/>
  <c r="Y277" i="5"/>
  <c r="B277" i="5"/>
  <c r="A277" i="5"/>
  <c r="Y276" i="5"/>
  <c r="B276" i="5"/>
  <c r="A276" i="5"/>
  <c r="Y275" i="5"/>
  <c r="B275" i="5"/>
  <c r="A275" i="5"/>
  <c r="Y274" i="5"/>
  <c r="A274" i="5"/>
  <c r="Y273" i="5"/>
  <c r="B273" i="5"/>
  <c r="A273" i="5"/>
  <c r="Y272" i="5"/>
  <c r="A272" i="5"/>
  <c r="Y271" i="5"/>
  <c r="A271" i="5"/>
  <c r="Y270" i="5"/>
  <c r="A270" i="5"/>
  <c r="Y269" i="5"/>
  <c r="A269" i="5"/>
  <c r="Y268" i="5"/>
  <c r="A268" i="5"/>
  <c r="B268" i="5" s="1"/>
  <c r="Y267" i="5"/>
  <c r="A267" i="5"/>
  <c r="Y266" i="5"/>
  <c r="A266" i="5"/>
  <c r="Y265" i="5"/>
  <c r="B265" i="5"/>
  <c r="A265" i="5"/>
  <c r="Y264" i="5"/>
  <c r="B264" i="5"/>
  <c r="A264" i="5"/>
  <c r="Y263" i="5"/>
  <c r="B263" i="5"/>
  <c r="A263" i="5"/>
  <c r="Y262" i="5"/>
  <c r="A262" i="5"/>
  <c r="B262" i="5" s="1"/>
  <c r="Y261" i="5"/>
  <c r="A261" i="5"/>
  <c r="Y260" i="5"/>
  <c r="A260" i="5"/>
  <c r="Y259" i="5"/>
  <c r="A259" i="5"/>
  <c r="B259" i="5" s="1"/>
  <c r="Y258" i="5"/>
  <c r="B258" i="5"/>
  <c r="A258" i="5"/>
  <c r="Y257" i="5"/>
  <c r="B257" i="5"/>
  <c r="A257" i="5"/>
  <c r="Y256" i="5"/>
  <c r="A256" i="5"/>
  <c r="Y255" i="5"/>
  <c r="B255" i="5"/>
  <c r="A255" i="5"/>
  <c r="Y254" i="5"/>
  <c r="A254" i="5"/>
  <c r="Y253" i="5"/>
  <c r="A253" i="5"/>
  <c r="Y252" i="5"/>
  <c r="A252" i="5"/>
  <c r="B252" i="5" s="1"/>
  <c r="Y251" i="5"/>
  <c r="A251" i="5"/>
  <c r="Y250" i="5"/>
  <c r="A250" i="5"/>
  <c r="Y249" i="5"/>
  <c r="A249" i="5"/>
  <c r="B249" i="5" s="1"/>
  <c r="Y248" i="5"/>
  <c r="B248" i="5"/>
  <c r="A248" i="5"/>
  <c r="Y247" i="5"/>
  <c r="B247" i="5"/>
  <c r="A247" i="5"/>
  <c r="Y246" i="5"/>
  <c r="A246" i="5"/>
  <c r="Y245" i="5"/>
  <c r="B245" i="5"/>
  <c r="A245" i="5"/>
  <c r="Y244" i="5"/>
  <c r="A244" i="5"/>
  <c r="Y243" i="5"/>
  <c r="A243" i="5"/>
  <c r="Y242" i="5"/>
  <c r="A242" i="5"/>
  <c r="B242" i="5" s="1"/>
  <c r="Y241" i="5"/>
  <c r="A241" i="5"/>
  <c r="Y240" i="5"/>
  <c r="B240" i="5"/>
  <c r="A240" i="5"/>
  <c r="Y239" i="5"/>
  <c r="A239" i="5"/>
  <c r="B239" i="5" s="1"/>
  <c r="Y238" i="5"/>
  <c r="B238" i="5"/>
  <c r="A238" i="5"/>
  <c r="Y237" i="5"/>
  <c r="A237" i="5"/>
  <c r="Y236" i="5"/>
  <c r="A236" i="5"/>
  <c r="Y235" i="5"/>
  <c r="B235" i="5"/>
  <c r="A235" i="5"/>
  <c r="Y234" i="5"/>
  <c r="A234" i="5"/>
  <c r="Y233" i="5"/>
  <c r="B233" i="5"/>
  <c r="A233" i="5"/>
  <c r="Y232" i="5"/>
  <c r="A232" i="5"/>
  <c r="B232" i="5" s="1"/>
  <c r="Y231" i="5"/>
  <c r="A231" i="5"/>
  <c r="Y230" i="5"/>
  <c r="A230" i="5"/>
  <c r="Y229" i="5"/>
  <c r="A229" i="5"/>
  <c r="B229" i="5" s="1"/>
  <c r="Y228" i="5"/>
  <c r="B228" i="5"/>
  <c r="A228" i="5"/>
  <c r="Y227" i="5"/>
  <c r="B227" i="5"/>
  <c r="A227" i="5"/>
  <c r="Y226" i="5"/>
  <c r="A226" i="5"/>
  <c r="Y225" i="5"/>
  <c r="B225" i="5"/>
  <c r="A225" i="5"/>
  <c r="Y224" i="5"/>
  <c r="B224" i="5"/>
  <c r="A224" i="5"/>
  <c r="Y223" i="5"/>
  <c r="B223" i="5"/>
  <c r="A223" i="5"/>
  <c r="Y222" i="5"/>
  <c r="A222" i="5"/>
  <c r="B222" i="5" s="1"/>
  <c r="Y221" i="5"/>
  <c r="A221" i="5"/>
  <c r="Y220" i="5"/>
  <c r="B220" i="5"/>
  <c r="A220" i="5"/>
  <c r="Y219" i="5"/>
  <c r="A219" i="5"/>
  <c r="Y218" i="5"/>
  <c r="B218" i="5"/>
  <c r="A218" i="5"/>
  <c r="Y217" i="5"/>
  <c r="A217" i="5"/>
  <c r="Y216" i="5"/>
  <c r="A216" i="5"/>
  <c r="B216" i="5" s="1"/>
  <c r="Y215" i="5"/>
  <c r="B215" i="5"/>
  <c r="A215" i="5"/>
  <c r="Y214" i="5"/>
  <c r="A214" i="5"/>
  <c r="Y213" i="5"/>
  <c r="B213" i="5"/>
  <c r="A213" i="5"/>
  <c r="Y212" i="5"/>
  <c r="A212" i="5"/>
  <c r="B212" i="5" s="1"/>
  <c r="Y211" i="5"/>
  <c r="A211" i="5"/>
  <c r="Y210" i="5"/>
  <c r="A210" i="5"/>
  <c r="Y209" i="5"/>
  <c r="A209" i="5"/>
  <c r="B209" i="5" s="1"/>
  <c r="Y208" i="5"/>
  <c r="A208" i="5"/>
  <c r="B208" i="5" s="1"/>
  <c r="Y207" i="5"/>
  <c r="B207" i="5"/>
  <c r="A207" i="5"/>
  <c r="Y206" i="5"/>
  <c r="B206" i="5"/>
  <c r="A206" i="5"/>
  <c r="Y205" i="5"/>
  <c r="B205" i="5"/>
  <c r="A205" i="5"/>
  <c r="Y204" i="5"/>
  <c r="B204" i="5"/>
  <c r="A204" i="5"/>
  <c r="Y203" i="5"/>
  <c r="A203" i="5"/>
  <c r="B203" i="5" s="1"/>
  <c r="Y202" i="5"/>
  <c r="A202" i="5"/>
  <c r="B202" i="5" s="1"/>
  <c r="Y201" i="5"/>
  <c r="A201" i="5"/>
  <c r="Y200" i="5"/>
  <c r="A200" i="5"/>
  <c r="Y199" i="5"/>
  <c r="A199" i="5"/>
  <c r="B199" i="5" s="1"/>
  <c r="Y198" i="5"/>
  <c r="A198" i="5"/>
  <c r="B198" i="5" s="1"/>
  <c r="Y197" i="5"/>
  <c r="B197" i="5"/>
  <c r="A197" i="5"/>
  <c r="Y196" i="5"/>
  <c r="B196" i="5"/>
  <c r="A196" i="5"/>
  <c r="Y195" i="5"/>
  <c r="B195" i="5"/>
  <c r="A195" i="5"/>
  <c r="Y194" i="5"/>
  <c r="B194" i="5"/>
  <c r="A194" i="5"/>
  <c r="Y193" i="5"/>
  <c r="A193" i="5"/>
  <c r="Y192" i="5"/>
  <c r="A192" i="5"/>
  <c r="B192" i="5" s="1"/>
  <c r="Y191" i="5"/>
  <c r="A191" i="5"/>
  <c r="Y190" i="5"/>
  <c r="A190" i="5"/>
  <c r="Y189" i="5"/>
  <c r="A189" i="5"/>
  <c r="B189" i="5" s="1"/>
  <c r="Y188" i="5"/>
  <c r="A188" i="5"/>
  <c r="B188" i="5" s="1"/>
  <c r="Y187" i="5"/>
  <c r="A187" i="5"/>
  <c r="Y186" i="5"/>
  <c r="B186" i="5"/>
  <c r="A186" i="5"/>
  <c r="Y185" i="5"/>
  <c r="B185" i="5"/>
  <c r="A185" i="5"/>
  <c r="Y184" i="5"/>
  <c r="B184" i="5"/>
  <c r="A184" i="5"/>
  <c r="Y183" i="5"/>
  <c r="A183" i="5"/>
  <c r="Y182" i="5"/>
  <c r="A182" i="5"/>
  <c r="B182" i="5" s="1"/>
  <c r="Y181" i="5"/>
  <c r="A181" i="5"/>
  <c r="Y180" i="5"/>
  <c r="A180" i="5"/>
  <c r="Y179" i="5"/>
  <c r="A179" i="5"/>
  <c r="B179" i="5" s="1"/>
  <c r="Y178" i="5"/>
  <c r="A178" i="5"/>
  <c r="B178" i="5" s="1"/>
  <c r="Y177" i="5"/>
  <c r="A177" i="5"/>
  <c r="Y176" i="5"/>
  <c r="B176" i="5"/>
  <c r="A176" i="5"/>
  <c r="Y175" i="5"/>
  <c r="B175" i="5"/>
  <c r="A175" i="5"/>
  <c r="Y174" i="5"/>
  <c r="A174" i="5"/>
  <c r="Y173" i="5"/>
  <c r="A173" i="5"/>
  <c r="Y172" i="5"/>
  <c r="A172" i="5"/>
  <c r="B172" i="5" s="1"/>
  <c r="Y171" i="5"/>
  <c r="B171" i="5"/>
  <c r="A171" i="5"/>
  <c r="Y170" i="5"/>
  <c r="B170" i="5"/>
  <c r="A170" i="5"/>
  <c r="Y169" i="5"/>
  <c r="A169" i="5"/>
  <c r="Y168" i="5"/>
  <c r="B168" i="5"/>
  <c r="A168" i="5"/>
  <c r="Y167" i="5"/>
  <c r="A167" i="5"/>
  <c r="Y166" i="5"/>
  <c r="B166" i="5"/>
  <c r="A166" i="5"/>
  <c r="Y165" i="5"/>
  <c r="B165" i="5"/>
  <c r="A165" i="5"/>
  <c r="Y164" i="5"/>
  <c r="B164" i="5"/>
  <c r="A164" i="5"/>
  <c r="Y163" i="5"/>
  <c r="A163" i="5"/>
  <c r="B163" i="5" s="1"/>
  <c r="Y162" i="5"/>
  <c r="A162" i="5"/>
  <c r="Y161" i="5"/>
  <c r="A161" i="5"/>
  <c r="B161" i="5" s="1"/>
  <c r="Y160" i="5"/>
  <c r="B160" i="5"/>
  <c r="A160" i="5"/>
  <c r="Y159" i="5"/>
  <c r="B159" i="5"/>
  <c r="A159" i="5"/>
  <c r="Y158" i="5"/>
  <c r="A158" i="5"/>
  <c r="Y157" i="5"/>
  <c r="A157" i="5"/>
  <c r="Y156" i="5"/>
  <c r="A156" i="5"/>
  <c r="Y155" i="5"/>
  <c r="B155" i="5"/>
  <c r="A155" i="5"/>
  <c r="Y154" i="5"/>
  <c r="A154" i="5"/>
  <c r="B154" i="5" s="1"/>
  <c r="Y153" i="5"/>
  <c r="B153" i="5"/>
  <c r="A153" i="5"/>
  <c r="Y152" i="5"/>
  <c r="A152" i="5"/>
  <c r="B152" i="5" s="1"/>
  <c r="Y151" i="5"/>
  <c r="B151" i="5"/>
  <c r="A151" i="5"/>
  <c r="Y150" i="5"/>
  <c r="B150" i="5"/>
  <c r="A150" i="5"/>
  <c r="Y149" i="5"/>
  <c r="B149" i="5"/>
  <c r="A149" i="5"/>
  <c r="Y148" i="5"/>
  <c r="B148" i="5"/>
  <c r="A148" i="5"/>
  <c r="Y147" i="5"/>
  <c r="A147" i="5"/>
  <c r="Y146" i="5"/>
  <c r="A146" i="5"/>
  <c r="Y145" i="5"/>
  <c r="B145" i="5"/>
  <c r="A145" i="5"/>
  <c r="Y144" i="5"/>
  <c r="A144" i="5"/>
  <c r="Y143" i="5"/>
  <c r="A143" i="5"/>
  <c r="B143" i="5" s="1"/>
  <c r="Y142" i="5"/>
  <c r="A142" i="5"/>
  <c r="B142" i="5" s="1"/>
  <c r="Y141" i="5"/>
  <c r="A141" i="5"/>
  <c r="B141" i="5" s="1"/>
  <c r="Y140" i="5"/>
  <c r="B140" i="5"/>
  <c r="A140" i="5"/>
  <c r="Y139" i="5"/>
  <c r="B139" i="5"/>
  <c r="A139" i="5"/>
  <c r="Y138" i="5"/>
  <c r="B138" i="5"/>
  <c r="A138" i="5"/>
  <c r="Y137" i="5"/>
  <c r="A137" i="5"/>
  <c r="B137" i="5" s="1"/>
  <c r="Y136" i="5"/>
  <c r="B136" i="5"/>
  <c r="A136" i="5"/>
  <c r="Y135" i="5"/>
  <c r="A135" i="5"/>
  <c r="Y134" i="5"/>
  <c r="A134" i="5"/>
  <c r="B134" i="5" s="1"/>
  <c r="Y133" i="5"/>
  <c r="B133" i="5"/>
  <c r="A133" i="5"/>
  <c r="Y132" i="5"/>
  <c r="A132" i="5"/>
  <c r="Y131" i="5"/>
  <c r="B131" i="5"/>
  <c r="A131" i="5"/>
  <c r="Y130" i="5"/>
  <c r="A130" i="5"/>
  <c r="B130" i="5" s="1"/>
  <c r="Y129" i="5"/>
  <c r="A129" i="5"/>
  <c r="Y128" i="5"/>
  <c r="A128" i="5"/>
  <c r="Y127" i="5"/>
  <c r="A127" i="5"/>
  <c r="B127" i="5" s="1"/>
  <c r="Y126" i="5"/>
  <c r="B126" i="5"/>
  <c r="A126" i="5"/>
  <c r="C6" i="8" s="1"/>
  <c r="Y125" i="5"/>
  <c r="B125" i="5"/>
  <c r="A125" i="5"/>
  <c r="Y124" i="5"/>
  <c r="A124" i="5"/>
  <c r="B124" i="5" s="1"/>
  <c r="Y123" i="5"/>
  <c r="B123" i="5"/>
  <c r="A123" i="5"/>
  <c r="Y122" i="5"/>
  <c r="A122" i="5"/>
  <c r="Y121" i="5"/>
  <c r="A121" i="5"/>
  <c r="Y120" i="5"/>
  <c r="A120" i="5"/>
  <c r="B120" i="5" s="1"/>
  <c r="Y119" i="5"/>
  <c r="B119" i="5"/>
  <c r="A119" i="5"/>
  <c r="Y118" i="5"/>
  <c r="A118" i="5"/>
  <c r="Y117" i="5"/>
  <c r="A117" i="5"/>
  <c r="B117" i="5" s="1"/>
  <c r="Y116" i="5"/>
  <c r="B116" i="5"/>
  <c r="A116" i="5"/>
  <c r="Y115" i="5"/>
  <c r="A115" i="5"/>
  <c r="Y114" i="5"/>
  <c r="A114" i="5"/>
  <c r="B114" i="5" s="1"/>
  <c r="Y113" i="5"/>
  <c r="B113" i="5"/>
  <c r="A113" i="5"/>
  <c r="Y112" i="5"/>
  <c r="B112" i="5"/>
  <c r="A112" i="5"/>
  <c r="Y111" i="5"/>
  <c r="A111" i="5"/>
  <c r="Y110" i="5"/>
  <c r="A110" i="5"/>
  <c r="B110" i="5" s="1"/>
  <c r="Y109" i="5"/>
  <c r="A109" i="5"/>
  <c r="Y108" i="5"/>
  <c r="B108" i="5"/>
  <c r="A108" i="5"/>
  <c r="Y107" i="5"/>
  <c r="A107" i="5"/>
  <c r="B107" i="5" s="1"/>
  <c r="Y106" i="5"/>
  <c r="B106" i="5"/>
  <c r="A106" i="5"/>
  <c r="Y105" i="5"/>
  <c r="B105" i="5"/>
  <c r="A105" i="5"/>
  <c r="Y104" i="5"/>
  <c r="A104" i="5"/>
  <c r="B104" i="5" s="1"/>
  <c r="Y103" i="5"/>
  <c r="B103" i="5"/>
  <c r="A103" i="5"/>
  <c r="Y102" i="5"/>
  <c r="B102" i="5"/>
  <c r="A102" i="5"/>
  <c r="Y101" i="5"/>
  <c r="A101" i="5"/>
  <c r="Y100" i="5"/>
  <c r="A100" i="5"/>
  <c r="B100" i="5" s="1"/>
  <c r="Y99" i="5"/>
  <c r="B99" i="5"/>
  <c r="A99" i="5"/>
  <c r="Y98" i="5"/>
  <c r="B98" i="5"/>
  <c r="A98" i="5"/>
  <c r="Y97" i="5"/>
  <c r="A97" i="5"/>
  <c r="B97" i="5" s="1"/>
  <c r="Y96" i="5"/>
  <c r="B96" i="5"/>
  <c r="A96" i="5"/>
  <c r="Y95" i="5"/>
  <c r="A95" i="5"/>
  <c r="Y94" i="5"/>
  <c r="A94" i="5"/>
  <c r="Y93" i="5"/>
  <c r="B93" i="5"/>
  <c r="A93" i="5"/>
  <c r="Y92" i="5"/>
  <c r="A92" i="5"/>
  <c r="Y91" i="5"/>
  <c r="A91" i="5"/>
  <c r="B91" i="5" s="1"/>
  <c r="Y90" i="5"/>
  <c r="A90" i="5"/>
  <c r="B90" i="5" s="1"/>
  <c r="Y89" i="5"/>
  <c r="B89" i="5"/>
  <c r="A89" i="5"/>
  <c r="Y88" i="5"/>
  <c r="A88" i="5"/>
  <c r="Y87" i="5"/>
  <c r="A87" i="5"/>
  <c r="B87" i="5" s="1"/>
  <c r="Y86" i="5"/>
  <c r="A86" i="5"/>
  <c r="Y85" i="5"/>
  <c r="A85" i="5"/>
  <c r="Y84" i="5"/>
  <c r="B84" i="5"/>
  <c r="A84" i="5"/>
  <c r="Y83" i="5"/>
  <c r="B83" i="5"/>
  <c r="A83" i="5"/>
  <c r="Y82" i="5"/>
  <c r="B82" i="5"/>
  <c r="A82" i="5"/>
  <c r="Y81" i="5"/>
  <c r="B81" i="5"/>
  <c r="A81" i="5"/>
  <c r="Y80" i="5"/>
  <c r="A80" i="5"/>
  <c r="B80" i="5" s="1"/>
  <c r="Y79" i="5"/>
  <c r="A79" i="5"/>
  <c r="Y78" i="5"/>
  <c r="B78" i="5"/>
  <c r="A78" i="5"/>
  <c r="Y77" i="5"/>
  <c r="A77" i="5"/>
  <c r="B77" i="5" s="1"/>
  <c r="Y76" i="5"/>
  <c r="A76" i="5"/>
  <c r="Y75" i="5"/>
  <c r="A75" i="5"/>
  <c r="Y74" i="5"/>
  <c r="A74" i="5"/>
  <c r="Y73" i="5"/>
  <c r="B73" i="5"/>
  <c r="A73" i="5"/>
  <c r="Y72" i="5"/>
  <c r="B72" i="5"/>
  <c r="A72" i="5"/>
  <c r="Y71" i="5"/>
  <c r="B71" i="5"/>
  <c r="A71" i="5"/>
  <c r="Y70" i="5"/>
  <c r="A70" i="5"/>
  <c r="B70" i="5" s="1"/>
  <c r="Y69" i="5"/>
  <c r="A69" i="5"/>
  <c r="Y68" i="5"/>
  <c r="A68" i="5"/>
  <c r="Y67" i="5"/>
  <c r="A67" i="5"/>
  <c r="B67" i="5" s="1"/>
  <c r="Y66" i="5"/>
  <c r="A66" i="5"/>
  <c r="Y65" i="5"/>
  <c r="A65" i="5"/>
  <c r="Y64" i="5"/>
  <c r="B64" i="5"/>
  <c r="A64" i="5"/>
  <c r="Y63" i="5"/>
  <c r="B63" i="5"/>
  <c r="A63" i="5"/>
  <c r="Y62" i="5"/>
  <c r="A62" i="5"/>
  <c r="B62" i="5" s="1"/>
  <c r="Y61" i="5"/>
  <c r="B61" i="5"/>
  <c r="A61" i="5"/>
  <c r="Y60" i="5"/>
  <c r="A60" i="5"/>
  <c r="B60" i="5" s="1"/>
  <c r="Y59" i="5"/>
  <c r="B59" i="5"/>
  <c r="A59" i="5"/>
  <c r="Y58" i="5"/>
  <c r="A58" i="5"/>
  <c r="B58" i="5" s="1"/>
  <c r="Y57" i="5"/>
  <c r="B57" i="5"/>
  <c r="A57" i="5"/>
  <c r="Y56" i="5"/>
  <c r="B56" i="5"/>
  <c r="A56" i="5"/>
  <c r="Y55" i="5"/>
  <c r="A55" i="5"/>
  <c r="Y54" i="5"/>
  <c r="A54" i="5"/>
  <c r="Y53" i="5"/>
  <c r="B53" i="5"/>
  <c r="A53" i="5"/>
  <c r="Y52" i="5"/>
  <c r="B52" i="5"/>
  <c r="A52" i="5"/>
  <c r="Y51" i="5"/>
  <c r="A51" i="5"/>
  <c r="B51" i="5" s="1"/>
  <c r="Y50" i="5"/>
  <c r="A50" i="5"/>
  <c r="B50" i="5" s="1"/>
  <c r="Y49" i="5"/>
  <c r="B49" i="5"/>
  <c r="A49" i="5"/>
  <c r="Y48" i="5"/>
  <c r="B48" i="5"/>
  <c r="A48" i="5"/>
  <c r="Y47" i="5"/>
  <c r="B47" i="5"/>
  <c r="A47" i="5"/>
  <c r="Y46" i="5"/>
  <c r="A46" i="5"/>
  <c r="Y45" i="5"/>
  <c r="B45" i="5"/>
  <c r="A45" i="5"/>
  <c r="Y44" i="5"/>
  <c r="A44" i="5"/>
  <c r="Y43" i="5"/>
  <c r="B43" i="5"/>
  <c r="A43" i="5"/>
  <c r="Y42" i="5"/>
  <c r="A42" i="5"/>
  <c r="B42" i="5" s="1"/>
  <c r="Y41" i="5"/>
  <c r="B41" i="5"/>
  <c r="A41" i="5"/>
  <c r="Y40" i="5"/>
  <c r="A40" i="5"/>
  <c r="B40" i="5" s="1"/>
  <c r="Y39" i="5"/>
  <c r="A39" i="5"/>
  <c r="Y38" i="5"/>
  <c r="A38" i="5"/>
  <c r="B38" i="5" s="1"/>
  <c r="Y37" i="5"/>
  <c r="B37" i="5"/>
  <c r="A37" i="5"/>
  <c r="Y36" i="5"/>
  <c r="B36" i="5"/>
  <c r="A36" i="5"/>
  <c r="Y35" i="5"/>
  <c r="A35" i="5"/>
  <c r="Y34" i="5"/>
  <c r="B34" i="5"/>
  <c r="A34" i="5"/>
  <c r="Y33" i="5"/>
  <c r="B33" i="5"/>
  <c r="A33" i="5"/>
  <c r="Y32" i="5"/>
  <c r="B32" i="5"/>
  <c r="A32" i="5"/>
  <c r="Y31" i="5"/>
  <c r="A31" i="5"/>
  <c r="B31" i="5" s="1"/>
  <c r="Y30" i="5"/>
  <c r="A30" i="5"/>
  <c r="Y29" i="5"/>
  <c r="B29" i="5"/>
  <c r="A29" i="5"/>
  <c r="Y28" i="5"/>
  <c r="A28" i="5"/>
  <c r="Y27" i="5"/>
  <c r="B27" i="5"/>
  <c r="A27" i="5"/>
  <c r="Y26" i="5"/>
  <c r="B26" i="5"/>
  <c r="A26" i="5"/>
  <c r="Y25" i="5"/>
  <c r="B25" i="5"/>
  <c r="A25" i="5"/>
  <c r="Y24" i="5"/>
  <c r="A24" i="5"/>
  <c r="Y23" i="5"/>
  <c r="B23" i="5"/>
  <c r="A23" i="5"/>
  <c r="Y22" i="5"/>
  <c r="A22" i="5"/>
  <c r="B22" i="5" s="1"/>
  <c r="Y21" i="5"/>
  <c r="A21" i="5"/>
  <c r="Y20" i="5"/>
  <c r="A20" i="5"/>
  <c r="B20" i="5" s="1"/>
  <c r="Y19" i="5"/>
  <c r="B19" i="5"/>
  <c r="A19" i="5"/>
  <c r="Y18" i="5"/>
  <c r="A18" i="5"/>
  <c r="B18" i="5" s="1"/>
  <c r="Y17" i="5"/>
  <c r="A17" i="5"/>
  <c r="Y16" i="5"/>
  <c r="B16" i="5"/>
  <c r="A16" i="5"/>
  <c r="Y15" i="5"/>
  <c r="A15" i="5"/>
  <c r="Y14" i="5"/>
  <c r="B14" i="5"/>
  <c r="A14" i="5"/>
  <c r="Y13" i="5"/>
  <c r="B13" i="5"/>
  <c r="A13" i="5"/>
  <c r="Y12" i="5"/>
  <c r="B12" i="5"/>
  <c r="A12" i="5"/>
  <c r="Y11" i="5"/>
  <c r="A11" i="5"/>
  <c r="B11" i="5" s="1"/>
  <c r="Y10" i="5"/>
  <c r="A10" i="5"/>
  <c r="Y9" i="5"/>
  <c r="B9" i="5"/>
  <c r="A9" i="5"/>
  <c r="Y8" i="5"/>
  <c r="B8" i="5"/>
  <c r="A8" i="5"/>
  <c r="Y7" i="5"/>
  <c r="B7" i="5"/>
  <c r="A7" i="5"/>
  <c r="Y6" i="5"/>
  <c r="R6" i="5"/>
  <c r="Q6" i="5"/>
  <c r="P6" i="5"/>
  <c r="M6" i="5"/>
  <c r="F6" i="5"/>
  <c r="O6" i="5" s="1"/>
  <c r="E6" i="5"/>
  <c r="D6" i="5"/>
  <c r="C6" i="5"/>
  <c r="B6" i="5"/>
  <c r="A6" i="5"/>
  <c r="Y605" i="4"/>
  <c r="A605" i="4"/>
  <c r="Y604" i="4"/>
  <c r="B604" i="4"/>
  <c r="A604" i="4"/>
  <c r="Y603" i="4"/>
  <c r="A603" i="4"/>
  <c r="B603" i="4" s="1"/>
  <c r="Y602" i="4"/>
  <c r="B602" i="4"/>
  <c r="A602" i="4"/>
  <c r="Y601" i="4"/>
  <c r="B601" i="4"/>
  <c r="A601" i="4"/>
  <c r="Y600" i="4"/>
  <c r="A600" i="4"/>
  <c r="B600" i="4" s="1"/>
  <c r="Y599" i="4"/>
  <c r="A599" i="4"/>
  <c r="B599" i="4" s="1"/>
  <c r="Y598" i="4"/>
  <c r="A598" i="4"/>
  <c r="Y597" i="4"/>
  <c r="B597" i="4"/>
  <c r="A597" i="4"/>
  <c r="Y596" i="4"/>
  <c r="B596" i="4"/>
  <c r="A596" i="4"/>
  <c r="Y595" i="4"/>
  <c r="A595" i="4"/>
  <c r="Y594" i="4"/>
  <c r="B594" i="4"/>
  <c r="A594" i="4"/>
  <c r="Y593" i="4"/>
  <c r="A593" i="4"/>
  <c r="Y592" i="4"/>
  <c r="B592" i="4"/>
  <c r="A592" i="4"/>
  <c r="Y591" i="4"/>
  <c r="B591" i="4"/>
  <c r="A591" i="4"/>
  <c r="Y590" i="4"/>
  <c r="B590" i="4"/>
  <c r="A590" i="4"/>
  <c r="Y589" i="4"/>
  <c r="A589" i="4"/>
  <c r="B589" i="4" s="1"/>
  <c r="Y588" i="4"/>
  <c r="B588" i="4"/>
  <c r="A588" i="4"/>
  <c r="Y587" i="4"/>
  <c r="B587" i="4"/>
  <c r="A587" i="4"/>
  <c r="Y586" i="4"/>
  <c r="B586" i="4"/>
  <c r="A586" i="4"/>
  <c r="Y585" i="4"/>
  <c r="A585" i="4"/>
  <c r="Y584" i="4"/>
  <c r="B584" i="4"/>
  <c r="A584" i="4"/>
  <c r="Y583" i="4"/>
  <c r="A583" i="4"/>
  <c r="Y582" i="4"/>
  <c r="B582" i="4"/>
  <c r="A582" i="4"/>
  <c r="Y581" i="4"/>
  <c r="B581" i="4"/>
  <c r="A581" i="4"/>
  <c r="Y580" i="4"/>
  <c r="A580" i="4"/>
  <c r="Y579" i="4"/>
  <c r="A579" i="4"/>
  <c r="B579" i="4" s="1"/>
  <c r="Y578" i="4"/>
  <c r="A578" i="4"/>
  <c r="Y577" i="4"/>
  <c r="B577" i="4"/>
  <c r="A577" i="4"/>
  <c r="Y576" i="4"/>
  <c r="B576" i="4"/>
  <c r="A576" i="4"/>
  <c r="Y575" i="4"/>
  <c r="A575" i="4"/>
  <c r="Y574" i="4"/>
  <c r="B574" i="4"/>
  <c r="A574" i="4"/>
  <c r="Y573" i="4"/>
  <c r="A573" i="4"/>
  <c r="B573" i="4" s="1"/>
  <c r="Y572" i="4"/>
  <c r="B572" i="4"/>
  <c r="A572" i="4"/>
  <c r="Y571" i="4"/>
  <c r="B571" i="4"/>
  <c r="A571" i="4"/>
  <c r="Y570" i="4"/>
  <c r="B570" i="4"/>
  <c r="A570" i="4"/>
  <c r="Y569" i="4"/>
  <c r="A569" i="4"/>
  <c r="B569" i="4" s="1"/>
  <c r="Y568" i="4"/>
  <c r="B568" i="4"/>
  <c r="A568" i="4"/>
  <c r="Y567" i="4"/>
  <c r="A567" i="4"/>
  <c r="Y566" i="4"/>
  <c r="B566" i="4"/>
  <c r="A566" i="4"/>
  <c r="Y565" i="4"/>
  <c r="B565" i="4"/>
  <c r="A565" i="4"/>
  <c r="Y564" i="4"/>
  <c r="A564" i="4"/>
  <c r="Y563" i="4"/>
  <c r="A563" i="4"/>
  <c r="Y562" i="4"/>
  <c r="B562" i="4"/>
  <c r="A562" i="4"/>
  <c r="Y561" i="4"/>
  <c r="B561" i="4"/>
  <c r="A561" i="4"/>
  <c r="Y560" i="4"/>
  <c r="B560" i="4"/>
  <c r="A560" i="4"/>
  <c r="Y559" i="4"/>
  <c r="A559" i="4"/>
  <c r="B559" i="4" s="1"/>
  <c r="Y558" i="4"/>
  <c r="A558" i="4"/>
  <c r="Y557" i="4"/>
  <c r="B557" i="4"/>
  <c r="A557" i="4"/>
  <c r="Y556" i="4"/>
  <c r="B556" i="4"/>
  <c r="A556" i="4"/>
  <c r="Y555" i="4"/>
  <c r="B555" i="4"/>
  <c r="A555" i="4"/>
  <c r="Y554" i="4"/>
  <c r="B554" i="4"/>
  <c r="A554" i="4"/>
  <c r="Y553" i="4"/>
  <c r="A553" i="4"/>
  <c r="Y552" i="4"/>
  <c r="B552" i="4"/>
  <c r="A552" i="4"/>
  <c r="Y551" i="4"/>
  <c r="A551" i="4"/>
  <c r="Y550" i="4"/>
  <c r="B550" i="4"/>
  <c r="A550" i="4"/>
  <c r="Y549" i="4"/>
  <c r="A549" i="4"/>
  <c r="B549" i="4" s="1"/>
  <c r="Y548" i="4"/>
  <c r="B548" i="4"/>
  <c r="A548" i="4"/>
  <c r="Y547" i="4"/>
  <c r="B547" i="4"/>
  <c r="A547" i="4"/>
  <c r="Y546" i="4"/>
  <c r="B546" i="4"/>
  <c r="A546" i="4"/>
  <c r="Y545" i="4"/>
  <c r="B545" i="4"/>
  <c r="A545" i="4"/>
  <c r="Y544" i="4"/>
  <c r="B544" i="4"/>
  <c r="A544" i="4"/>
  <c r="Y543" i="4"/>
  <c r="A543" i="4"/>
  <c r="Y542" i="4"/>
  <c r="B542" i="4"/>
  <c r="A542" i="4"/>
  <c r="Y541" i="4"/>
  <c r="A541" i="4"/>
  <c r="Y540" i="4"/>
  <c r="B540" i="4"/>
  <c r="A540" i="4"/>
  <c r="Y539" i="4"/>
  <c r="A539" i="4"/>
  <c r="B539" i="4" s="1"/>
  <c r="Y538" i="4"/>
  <c r="B538" i="4"/>
  <c r="A538" i="4"/>
  <c r="Y537" i="4"/>
  <c r="B537" i="4"/>
  <c r="A537" i="4"/>
  <c r="Y536" i="4"/>
  <c r="B536" i="4"/>
  <c r="A536" i="4"/>
  <c r="Y535" i="4"/>
  <c r="B535" i="4"/>
  <c r="A535" i="4"/>
  <c r="Y534" i="4"/>
  <c r="B534" i="4"/>
  <c r="A534" i="4"/>
  <c r="Y533" i="4"/>
  <c r="A533" i="4"/>
  <c r="Y532" i="4"/>
  <c r="B532" i="4"/>
  <c r="A532" i="4"/>
  <c r="Y531" i="4"/>
  <c r="B531" i="4"/>
  <c r="A531" i="4"/>
  <c r="Y530" i="4"/>
  <c r="A530" i="4"/>
  <c r="Y529" i="4"/>
  <c r="A529" i="4"/>
  <c r="Y528" i="4"/>
  <c r="B528" i="4"/>
  <c r="A528" i="4"/>
  <c r="Y527" i="4"/>
  <c r="B527" i="4"/>
  <c r="A527" i="4"/>
  <c r="Y526" i="4"/>
  <c r="B526" i="4"/>
  <c r="A526" i="4"/>
  <c r="Y525" i="4"/>
  <c r="B525" i="4"/>
  <c r="A525" i="4"/>
  <c r="Y524" i="4"/>
  <c r="A524" i="4"/>
  <c r="B524" i="4" s="1"/>
  <c r="Y523" i="4"/>
  <c r="A523" i="4"/>
  <c r="Y522" i="4"/>
  <c r="B522" i="4"/>
  <c r="A522" i="4"/>
  <c r="Y521" i="4"/>
  <c r="B521" i="4"/>
  <c r="A521" i="4"/>
  <c r="Y520" i="4"/>
  <c r="A520" i="4"/>
  <c r="Y519" i="4"/>
  <c r="A519" i="4"/>
  <c r="Y518" i="4"/>
  <c r="A518" i="4"/>
  <c r="Y517" i="4"/>
  <c r="A517" i="4"/>
  <c r="B517" i="4" s="1"/>
  <c r="Y516" i="4"/>
  <c r="B516" i="4"/>
  <c r="A516" i="4"/>
  <c r="Y515" i="4"/>
  <c r="A515" i="4"/>
  <c r="B515" i="4" s="1"/>
  <c r="Y514" i="4"/>
  <c r="B514" i="4"/>
  <c r="A514" i="4"/>
  <c r="Y513" i="4"/>
  <c r="A513" i="4"/>
  <c r="B513" i="4" s="1"/>
  <c r="Y512" i="4"/>
  <c r="B512" i="4"/>
  <c r="A512" i="4"/>
  <c r="Y511" i="4"/>
  <c r="B511" i="4"/>
  <c r="A511" i="4"/>
  <c r="Y510" i="4"/>
  <c r="A510" i="4"/>
  <c r="Y509" i="4"/>
  <c r="B509" i="4"/>
  <c r="A509" i="4"/>
  <c r="Y508" i="4"/>
  <c r="B508" i="4"/>
  <c r="A508" i="4"/>
  <c r="Y507" i="4"/>
  <c r="B507" i="4"/>
  <c r="A507" i="4"/>
  <c r="Y506" i="4"/>
  <c r="B506" i="4"/>
  <c r="A506" i="4"/>
  <c r="Y505" i="4"/>
  <c r="B505" i="4"/>
  <c r="A505" i="4"/>
  <c r="Y504" i="4"/>
  <c r="A504" i="4"/>
  <c r="B504" i="4" s="1"/>
  <c r="Y503" i="4"/>
  <c r="A503" i="4"/>
  <c r="Y502" i="4"/>
  <c r="B502" i="4"/>
  <c r="A502" i="4"/>
  <c r="Y501" i="4"/>
  <c r="B501" i="4"/>
  <c r="A501" i="4"/>
  <c r="Y500" i="4"/>
  <c r="B500" i="4"/>
  <c r="A500" i="4"/>
  <c r="Y499" i="4"/>
  <c r="B499" i="4"/>
  <c r="A499" i="4"/>
  <c r="Y498" i="4"/>
  <c r="A498" i="4"/>
  <c r="Y497" i="4"/>
  <c r="A497" i="4"/>
  <c r="B497" i="4" s="1"/>
  <c r="Y496" i="4"/>
  <c r="A496" i="4"/>
  <c r="Y495" i="4"/>
  <c r="A495" i="4"/>
  <c r="Y494" i="4"/>
  <c r="A494" i="4"/>
  <c r="B494" i="4" s="1"/>
  <c r="Y493" i="4"/>
  <c r="B493" i="4"/>
  <c r="A493" i="4"/>
  <c r="Y492" i="4"/>
  <c r="A492" i="4"/>
  <c r="Y491" i="4"/>
  <c r="A491" i="4"/>
  <c r="B491" i="4" s="1"/>
  <c r="Y490" i="4"/>
  <c r="B490" i="4"/>
  <c r="A490" i="4"/>
  <c r="Y489" i="4"/>
  <c r="B489" i="4"/>
  <c r="A489" i="4"/>
  <c r="Y488" i="4"/>
  <c r="A488" i="4"/>
  <c r="Y487" i="4"/>
  <c r="A487" i="4"/>
  <c r="B487" i="4" s="1"/>
  <c r="Y486" i="4"/>
  <c r="B486" i="4"/>
  <c r="A486" i="4"/>
  <c r="Y485" i="4"/>
  <c r="A485" i="4"/>
  <c r="Y484" i="4"/>
  <c r="A484" i="4"/>
  <c r="B484" i="4" s="1"/>
  <c r="Y483" i="4"/>
  <c r="B483" i="4"/>
  <c r="A483" i="4"/>
  <c r="Y482" i="4"/>
  <c r="A482" i="4"/>
  <c r="Y481" i="4"/>
  <c r="A481" i="4"/>
  <c r="Y480" i="4"/>
  <c r="B480" i="4"/>
  <c r="A480" i="4"/>
  <c r="Y479" i="4"/>
  <c r="B479" i="4"/>
  <c r="A479" i="4"/>
  <c r="Y478" i="4"/>
  <c r="B478" i="4"/>
  <c r="A478" i="4"/>
  <c r="Y477" i="4"/>
  <c r="A477" i="4"/>
  <c r="B477" i="4" s="1"/>
  <c r="Y476" i="4"/>
  <c r="B476" i="4"/>
  <c r="A476" i="4"/>
  <c r="Y475" i="4"/>
  <c r="A475" i="4"/>
  <c r="Y474" i="4"/>
  <c r="A474" i="4"/>
  <c r="B474" i="4" s="1"/>
  <c r="Y473" i="4"/>
  <c r="B473" i="4"/>
  <c r="A473" i="4"/>
  <c r="Y472" i="4"/>
  <c r="A472" i="4"/>
  <c r="Y471" i="4"/>
  <c r="A471" i="4"/>
  <c r="Y470" i="4"/>
  <c r="B470" i="4"/>
  <c r="A470" i="4"/>
  <c r="Y469" i="4"/>
  <c r="B469" i="4"/>
  <c r="A469" i="4"/>
  <c r="Y468" i="4"/>
  <c r="B468" i="4"/>
  <c r="A468" i="4"/>
  <c r="Y467" i="4"/>
  <c r="A467" i="4"/>
  <c r="B467" i="4" s="1"/>
  <c r="Y466" i="4"/>
  <c r="A466" i="4"/>
  <c r="Y465" i="4"/>
  <c r="B465" i="4"/>
  <c r="A465" i="4"/>
  <c r="Y464" i="4"/>
  <c r="A464" i="4"/>
  <c r="B464" i="4" s="1"/>
  <c r="Y463" i="4"/>
  <c r="B463" i="4"/>
  <c r="A463" i="4"/>
  <c r="Y462" i="4"/>
  <c r="B462" i="4"/>
  <c r="A462" i="4"/>
  <c r="Y461" i="4"/>
  <c r="A461" i="4"/>
  <c r="Y460" i="4"/>
  <c r="B460" i="4"/>
  <c r="A460" i="4"/>
  <c r="Y459" i="4"/>
  <c r="A459" i="4"/>
  <c r="Y458" i="4"/>
  <c r="B458" i="4"/>
  <c r="A458" i="4"/>
  <c r="Y457" i="4"/>
  <c r="A457" i="4"/>
  <c r="Y456" i="4"/>
  <c r="B456" i="4"/>
  <c r="A456" i="4"/>
  <c r="Y455" i="4"/>
  <c r="A455" i="4"/>
  <c r="Y454" i="4"/>
  <c r="B454" i="4"/>
  <c r="A454" i="4"/>
  <c r="Y453" i="4"/>
  <c r="B453" i="4"/>
  <c r="A453" i="4"/>
  <c r="Y452" i="4"/>
  <c r="A452" i="4"/>
  <c r="Y451" i="4"/>
  <c r="B451" i="4"/>
  <c r="A451" i="4"/>
  <c r="Y450" i="4"/>
  <c r="B450" i="4"/>
  <c r="A450" i="4"/>
  <c r="Y449" i="4"/>
  <c r="B449" i="4"/>
  <c r="A449" i="4"/>
  <c r="Y448" i="4"/>
  <c r="B448" i="4"/>
  <c r="A448" i="4"/>
  <c r="Y447" i="4"/>
  <c r="A447" i="4"/>
  <c r="Y446" i="4"/>
  <c r="B446" i="4"/>
  <c r="A446" i="4"/>
  <c r="Y445" i="4"/>
  <c r="A445" i="4"/>
  <c r="Y444" i="4"/>
  <c r="B444" i="4"/>
  <c r="A444" i="4"/>
  <c r="Y443" i="4"/>
  <c r="B443" i="4"/>
  <c r="A443" i="4"/>
  <c r="Y442" i="4"/>
  <c r="B442" i="4"/>
  <c r="A442" i="4"/>
  <c r="Y441" i="4"/>
  <c r="B441" i="4"/>
  <c r="A441" i="4"/>
  <c r="Y440" i="4"/>
  <c r="B440" i="4"/>
  <c r="A440" i="4"/>
  <c r="Y439" i="4"/>
  <c r="B439" i="4"/>
  <c r="A439" i="4"/>
  <c r="Y438" i="4"/>
  <c r="A438" i="4"/>
  <c r="Y437" i="4"/>
  <c r="A437" i="4"/>
  <c r="B437" i="4" s="1"/>
  <c r="Y436" i="4"/>
  <c r="A436" i="4"/>
  <c r="Y435" i="4"/>
  <c r="B435" i="4"/>
  <c r="A435" i="4"/>
  <c r="Y434" i="4"/>
  <c r="B434" i="4"/>
  <c r="A434" i="4"/>
  <c r="Y433" i="4"/>
  <c r="A433" i="4"/>
  <c r="Y432" i="4"/>
  <c r="A432" i="4"/>
  <c r="Y431" i="4"/>
  <c r="A431" i="4"/>
  <c r="Y430" i="4"/>
  <c r="B430" i="4"/>
  <c r="A430" i="4"/>
  <c r="Y429" i="4"/>
  <c r="A429" i="4"/>
  <c r="Y428" i="4"/>
  <c r="B428" i="4"/>
  <c r="A428" i="4"/>
  <c r="Y427" i="4"/>
  <c r="A427" i="4"/>
  <c r="Y426" i="4"/>
  <c r="B426" i="4"/>
  <c r="A426" i="4"/>
  <c r="Y425" i="4"/>
  <c r="A425" i="4"/>
  <c r="Y424" i="4"/>
  <c r="A424" i="4"/>
  <c r="Y423" i="4"/>
  <c r="B423" i="4"/>
  <c r="A423" i="4"/>
  <c r="Y422" i="4"/>
  <c r="A422" i="4"/>
  <c r="Y421" i="4"/>
  <c r="B421" i="4"/>
  <c r="A421" i="4"/>
  <c r="Y420" i="4"/>
  <c r="B420" i="4"/>
  <c r="A420" i="4"/>
  <c r="Y419" i="4"/>
  <c r="B419" i="4"/>
  <c r="A419" i="4"/>
  <c r="Y418" i="4"/>
  <c r="B418" i="4"/>
  <c r="A418" i="4"/>
  <c r="Y417" i="4"/>
  <c r="A417" i="4"/>
  <c r="B417" i="4" s="1"/>
  <c r="Y416" i="4"/>
  <c r="B416" i="4"/>
  <c r="A416" i="4"/>
  <c r="Y415" i="4"/>
  <c r="B415" i="4"/>
  <c r="A415" i="4"/>
  <c r="Y414" i="4"/>
  <c r="B414" i="4"/>
  <c r="A414" i="4"/>
  <c r="Y413" i="4"/>
  <c r="A413" i="4"/>
  <c r="Y412" i="4"/>
  <c r="A412" i="4"/>
  <c r="Y411" i="4"/>
  <c r="A411" i="4"/>
  <c r="Y410" i="4"/>
  <c r="B410" i="4"/>
  <c r="A410" i="4"/>
  <c r="Y409" i="4"/>
  <c r="B409" i="4"/>
  <c r="A409" i="4"/>
  <c r="Y408" i="4"/>
  <c r="B408" i="4"/>
  <c r="A408" i="4"/>
  <c r="Y407" i="4"/>
  <c r="A407" i="4"/>
  <c r="Y406" i="4"/>
  <c r="B406" i="4"/>
  <c r="A406" i="4"/>
  <c r="Y405" i="4"/>
  <c r="A405" i="4"/>
  <c r="Y404" i="4"/>
  <c r="B404" i="4"/>
  <c r="A404" i="4"/>
  <c r="Y403" i="4"/>
  <c r="B403" i="4"/>
  <c r="A403" i="4"/>
  <c r="Y402" i="4"/>
  <c r="B402" i="4"/>
  <c r="A402" i="4"/>
  <c r="Y401" i="4"/>
  <c r="B401" i="4"/>
  <c r="A401" i="4"/>
  <c r="Y400" i="4"/>
  <c r="B400" i="4"/>
  <c r="A400" i="4"/>
  <c r="Y399" i="4"/>
  <c r="B399" i="4"/>
  <c r="A399" i="4"/>
  <c r="Y398" i="4"/>
  <c r="B398" i="4"/>
  <c r="A398" i="4"/>
  <c r="Y397" i="4"/>
  <c r="A397" i="4"/>
  <c r="B397" i="4" s="1"/>
  <c r="Y396" i="4"/>
  <c r="A396" i="4"/>
  <c r="Y395" i="4"/>
  <c r="B395" i="4"/>
  <c r="A395" i="4"/>
  <c r="Y394" i="4"/>
  <c r="B394" i="4"/>
  <c r="A394" i="4"/>
  <c r="Y393" i="4"/>
  <c r="A393" i="4"/>
  <c r="Y392" i="4"/>
  <c r="A392" i="4"/>
  <c r="Y391" i="4"/>
  <c r="A391" i="4"/>
  <c r="Y390" i="4"/>
  <c r="B390" i="4"/>
  <c r="A390" i="4"/>
  <c r="Y389" i="4"/>
  <c r="A389" i="4"/>
  <c r="Y388" i="4"/>
  <c r="B388" i="4"/>
  <c r="A388" i="4"/>
  <c r="Y387" i="4"/>
  <c r="A387" i="4"/>
  <c r="Y386" i="4"/>
  <c r="B386" i="4"/>
  <c r="A386" i="4"/>
  <c r="Y385" i="4"/>
  <c r="A385" i="4"/>
  <c r="Y384" i="4"/>
  <c r="A384" i="4"/>
  <c r="Y383" i="4"/>
  <c r="B383" i="4"/>
  <c r="A383" i="4"/>
  <c r="Y382" i="4"/>
  <c r="A382" i="4"/>
  <c r="Y381" i="4"/>
  <c r="A381" i="4"/>
  <c r="Y380" i="4"/>
  <c r="A380" i="4"/>
  <c r="B380" i="4" s="1"/>
  <c r="Y379" i="4"/>
  <c r="B379" i="4"/>
  <c r="A379" i="4"/>
  <c r="Y378" i="4"/>
  <c r="A378" i="4"/>
  <c r="Y377" i="4"/>
  <c r="B377" i="4"/>
  <c r="A377" i="4"/>
  <c r="Y376" i="4"/>
  <c r="B376" i="4"/>
  <c r="A376" i="4"/>
  <c r="Y375" i="4"/>
  <c r="A375" i="4"/>
  <c r="Y374" i="4"/>
  <c r="A374" i="4"/>
  <c r="B374" i="4" s="1"/>
  <c r="Y373" i="4"/>
  <c r="B373" i="4"/>
  <c r="A373" i="4"/>
  <c r="Y372" i="4"/>
  <c r="A372" i="4"/>
  <c r="Y371" i="4"/>
  <c r="B371" i="4"/>
  <c r="A371" i="4"/>
  <c r="Y370" i="4"/>
  <c r="A370" i="4"/>
  <c r="B370" i="4" s="1"/>
  <c r="Y369" i="4"/>
  <c r="A369" i="4"/>
  <c r="Y368" i="4"/>
  <c r="A368" i="4"/>
  <c r="Y367" i="4"/>
  <c r="B367" i="4"/>
  <c r="A367" i="4"/>
  <c r="Y366" i="4"/>
  <c r="B366" i="4"/>
  <c r="A366" i="4"/>
  <c r="Y365" i="4"/>
  <c r="A365" i="4"/>
  <c r="Y364" i="4"/>
  <c r="A364" i="4"/>
  <c r="B364" i="4" s="1"/>
  <c r="Y363" i="4"/>
  <c r="B363" i="4"/>
  <c r="A363" i="4"/>
  <c r="Y362" i="4"/>
  <c r="B362" i="4"/>
  <c r="A362" i="4"/>
  <c r="Y361" i="4"/>
  <c r="A361" i="4"/>
  <c r="Y360" i="4"/>
  <c r="A360" i="4"/>
  <c r="B360" i="4" s="1"/>
  <c r="Y359" i="4"/>
  <c r="B359" i="4"/>
  <c r="A359" i="4"/>
  <c r="Y358" i="4"/>
  <c r="A358" i="4"/>
  <c r="Y357" i="4"/>
  <c r="B357" i="4"/>
  <c r="A357" i="4"/>
  <c r="Y356" i="4"/>
  <c r="B356" i="4"/>
  <c r="A356" i="4"/>
  <c r="Y355" i="4"/>
  <c r="B355" i="4"/>
  <c r="A355" i="4"/>
  <c r="Y354" i="4"/>
  <c r="A354" i="4"/>
  <c r="Y353" i="4"/>
  <c r="B353" i="4"/>
  <c r="A353" i="4"/>
  <c r="Y352" i="4"/>
  <c r="A352" i="4"/>
  <c r="Y351" i="4"/>
  <c r="B351" i="4"/>
  <c r="A351" i="4"/>
  <c r="Y350" i="4"/>
  <c r="A350" i="4"/>
  <c r="B350" i="4" s="1"/>
  <c r="Y349" i="4"/>
  <c r="A349" i="4"/>
  <c r="Y348" i="4"/>
  <c r="A348" i="4"/>
  <c r="Y347" i="4"/>
  <c r="B347" i="4"/>
  <c r="A347" i="4"/>
  <c r="Y346" i="4"/>
  <c r="B346" i="4"/>
  <c r="A346" i="4"/>
  <c r="Y345" i="4"/>
  <c r="A345" i="4"/>
  <c r="Y344" i="4"/>
  <c r="A344" i="4"/>
  <c r="Y343" i="4"/>
  <c r="B343" i="4"/>
  <c r="A343" i="4"/>
  <c r="Y342" i="4"/>
  <c r="B342" i="4"/>
  <c r="A342" i="4"/>
  <c r="Y341" i="4"/>
  <c r="B341" i="4"/>
  <c r="A341" i="4"/>
  <c r="Y340" i="4"/>
  <c r="A340" i="4"/>
  <c r="B340" i="4" s="1"/>
  <c r="Y339" i="4"/>
  <c r="A339" i="4"/>
  <c r="Y338" i="4"/>
  <c r="B338" i="4"/>
  <c r="A338" i="4"/>
  <c r="Y337" i="4"/>
  <c r="B337" i="4"/>
  <c r="A337" i="4"/>
  <c r="Y336" i="4"/>
  <c r="B336" i="4"/>
  <c r="A336" i="4"/>
  <c r="Y335" i="4"/>
  <c r="B335" i="4"/>
  <c r="A335" i="4"/>
  <c r="Y334" i="4"/>
  <c r="A334" i="4"/>
  <c r="B334" i="4" s="1"/>
  <c r="Y333" i="4"/>
  <c r="B333" i="4"/>
  <c r="A333" i="4"/>
  <c r="Y332" i="4"/>
  <c r="A332" i="4"/>
  <c r="Y331" i="4"/>
  <c r="A331" i="4"/>
  <c r="Y330" i="4"/>
  <c r="A330" i="4"/>
  <c r="B330" i="4" s="1"/>
  <c r="Y329" i="4"/>
  <c r="A329" i="4"/>
  <c r="Y328" i="4"/>
  <c r="A328" i="4"/>
  <c r="Y327" i="4"/>
  <c r="B327" i="4"/>
  <c r="A327" i="4"/>
  <c r="Y326" i="4"/>
  <c r="B326" i="4"/>
  <c r="A326" i="4"/>
  <c r="Y325" i="4"/>
  <c r="B325" i="4"/>
  <c r="A325" i="4"/>
  <c r="Y324" i="4"/>
  <c r="A324" i="4"/>
  <c r="B324" i="4" s="1"/>
  <c r="Y323" i="4"/>
  <c r="B323" i="4"/>
  <c r="A323" i="4"/>
  <c r="Y322" i="4"/>
  <c r="A322" i="4"/>
  <c r="Y321" i="4"/>
  <c r="B321" i="4"/>
  <c r="A321" i="4"/>
  <c r="Y320" i="4"/>
  <c r="A320" i="4"/>
  <c r="B320" i="4" s="1"/>
  <c r="Y319" i="4"/>
  <c r="A319" i="4"/>
  <c r="Y318" i="4"/>
  <c r="A318" i="4"/>
  <c r="Y317" i="4"/>
  <c r="B317" i="4"/>
  <c r="A317" i="4"/>
  <c r="Y316" i="4"/>
  <c r="B316" i="4"/>
  <c r="A316" i="4"/>
  <c r="Y315" i="4"/>
  <c r="B315" i="4"/>
  <c r="A315" i="4"/>
  <c r="Y314" i="4"/>
  <c r="A314" i="4"/>
  <c r="Y313" i="4"/>
  <c r="B313" i="4"/>
  <c r="A313" i="4"/>
  <c r="Y312" i="4"/>
  <c r="A312" i="4"/>
  <c r="Y311" i="4"/>
  <c r="B311" i="4"/>
  <c r="A311" i="4"/>
  <c r="Y310" i="4"/>
  <c r="A310" i="4"/>
  <c r="Y309" i="4"/>
  <c r="B309" i="4"/>
  <c r="A309" i="4"/>
  <c r="Y308" i="4"/>
  <c r="A308" i="4"/>
  <c r="Y307" i="4"/>
  <c r="B307" i="4"/>
  <c r="A307" i="4"/>
  <c r="Y306" i="4"/>
  <c r="B306" i="4"/>
  <c r="A306" i="4"/>
  <c r="Y305" i="4"/>
  <c r="B305" i="4"/>
  <c r="A305" i="4"/>
  <c r="Y304" i="4"/>
  <c r="A304" i="4"/>
  <c r="B304" i="4" s="1"/>
  <c r="Y303" i="4"/>
  <c r="B303" i="4"/>
  <c r="A303" i="4"/>
  <c r="Y302" i="4"/>
  <c r="A302" i="4"/>
  <c r="Y301" i="4"/>
  <c r="A301" i="4"/>
  <c r="Y300" i="4"/>
  <c r="A300" i="4"/>
  <c r="Y299" i="4"/>
  <c r="B299" i="4"/>
  <c r="A299" i="4"/>
  <c r="Y298" i="4"/>
  <c r="A298" i="4"/>
  <c r="Y297" i="4"/>
  <c r="B297" i="4"/>
  <c r="A297" i="4"/>
  <c r="Y296" i="4"/>
  <c r="A296" i="4"/>
  <c r="Y295" i="4"/>
  <c r="A295" i="4"/>
  <c r="Y294" i="4"/>
  <c r="A294" i="4"/>
  <c r="B294" i="4" s="1"/>
  <c r="Y293" i="4"/>
  <c r="B293" i="4"/>
  <c r="A293" i="4"/>
  <c r="Y292" i="4"/>
  <c r="A292" i="4"/>
  <c r="Y291" i="4"/>
  <c r="B291" i="4"/>
  <c r="A291" i="4"/>
  <c r="Y290" i="4"/>
  <c r="A290" i="4"/>
  <c r="Y289" i="4"/>
  <c r="B289" i="4"/>
  <c r="A289" i="4"/>
  <c r="Y288" i="4"/>
  <c r="A288" i="4"/>
  <c r="Y287" i="4"/>
  <c r="A287" i="4"/>
  <c r="Y286" i="4"/>
  <c r="A286" i="4"/>
  <c r="B286" i="4" s="1"/>
  <c r="Y285" i="4"/>
  <c r="B285" i="4"/>
  <c r="A285" i="4"/>
  <c r="Y284" i="4"/>
  <c r="B284" i="4"/>
  <c r="A284" i="4"/>
  <c r="Y283" i="4"/>
  <c r="B283" i="4"/>
  <c r="A283" i="4"/>
  <c r="Y282" i="4"/>
  <c r="B282" i="4"/>
  <c r="A282" i="4"/>
  <c r="Y281" i="4"/>
  <c r="A281" i="4"/>
  <c r="Y280" i="4"/>
  <c r="A280" i="4"/>
  <c r="Y279" i="4"/>
  <c r="B279" i="4"/>
  <c r="A279" i="4"/>
  <c r="Y278" i="4"/>
  <c r="A278" i="4"/>
  <c r="Y277" i="4"/>
  <c r="A277" i="4"/>
  <c r="B277" i="4" s="1"/>
  <c r="Y276" i="4"/>
  <c r="A276" i="4"/>
  <c r="Y275" i="4"/>
  <c r="B275" i="4"/>
  <c r="A275" i="4"/>
  <c r="Y274" i="4"/>
  <c r="B274" i="4"/>
  <c r="A274" i="4"/>
  <c r="Y273" i="4"/>
  <c r="B273" i="4"/>
  <c r="A273" i="4"/>
  <c r="Y272" i="4"/>
  <c r="B272" i="4"/>
  <c r="A272" i="4"/>
  <c r="Y271" i="4"/>
  <c r="B271" i="4"/>
  <c r="A271" i="4"/>
  <c r="Y270" i="4"/>
  <c r="A270" i="4"/>
  <c r="Y269" i="4"/>
  <c r="A269" i="4"/>
  <c r="Y268" i="4"/>
  <c r="A268" i="4"/>
  <c r="Y267" i="4"/>
  <c r="A267" i="4"/>
  <c r="Y266" i="4"/>
  <c r="A266" i="4"/>
  <c r="B266" i="4" s="1"/>
  <c r="Y265" i="4"/>
  <c r="A265" i="4"/>
  <c r="Y264" i="4"/>
  <c r="B264" i="4"/>
  <c r="A264" i="4"/>
  <c r="Y263" i="4"/>
  <c r="B263" i="4"/>
  <c r="A263" i="4"/>
  <c r="Y262" i="4"/>
  <c r="B262" i="4"/>
  <c r="A262" i="4"/>
  <c r="Y261" i="4"/>
  <c r="B261" i="4"/>
  <c r="A261" i="4"/>
  <c r="Y260" i="4"/>
  <c r="A260" i="4"/>
  <c r="B260" i="4" s="1"/>
  <c r="Y259" i="4"/>
  <c r="A259" i="4"/>
  <c r="Y258" i="4"/>
  <c r="B258" i="4"/>
  <c r="A258" i="4"/>
  <c r="Y257" i="4"/>
  <c r="A257" i="4"/>
  <c r="B257" i="4" s="1"/>
  <c r="Y256" i="4"/>
  <c r="A256" i="4"/>
  <c r="Y255" i="4"/>
  <c r="B255" i="4"/>
  <c r="A255" i="4"/>
  <c r="Y254" i="4"/>
  <c r="B254" i="4"/>
  <c r="A254" i="4"/>
  <c r="Y253" i="4"/>
  <c r="B253" i="4"/>
  <c r="A253" i="4"/>
  <c r="Y252" i="4"/>
  <c r="B252" i="4"/>
  <c r="A252" i="4"/>
  <c r="Y251" i="4"/>
  <c r="B251" i="4"/>
  <c r="A251" i="4"/>
  <c r="Y250" i="4"/>
  <c r="A250" i="4"/>
  <c r="Y249" i="4"/>
  <c r="B249" i="4"/>
  <c r="A249" i="4"/>
  <c r="Y248" i="4"/>
  <c r="A248" i="4"/>
  <c r="Y247" i="4"/>
  <c r="B247" i="4"/>
  <c r="A247" i="4"/>
  <c r="Y246" i="4"/>
  <c r="A246" i="4"/>
  <c r="B246" i="4" s="1"/>
  <c r="Y245" i="4"/>
  <c r="B245" i="4"/>
  <c r="A245" i="4"/>
  <c r="Y244" i="4"/>
  <c r="B244" i="4"/>
  <c r="A244" i="4"/>
  <c r="Y243" i="4"/>
  <c r="B243" i="4"/>
  <c r="A243" i="4"/>
  <c r="Y242" i="4"/>
  <c r="B242" i="4"/>
  <c r="A242" i="4"/>
  <c r="Y241" i="4"/>
  <c r="A241" i="4"/>
  <c r="Y240" i="4"/>
  <c r="A240" i="4"/>
  <c r="Y239" i="4"/>
  <c r="A239" i="4"/>
  <c r="Y238" i="4"/>
  <c r="B238" i="4"/>
  <c r="A238" i="4"/>
  <c r="Y237" i="4"/>
  <c r="A237" i="4"/>
  <c r="B237" i="4" s="1"/>
  <c r="Y236" i="4"/>
  <c r="B236" i="4"/>
  <c r="A236" i="4"/>
  <c r="Y235" i="4"/>
  <c r="B235" i="4"/>
  <c r="A235" i="4"/>
  <c r="Y234" i="4"/>
  <c r="A234" i="4"/>
  <c r="Y233" i="4"/>
  <c r="B233" i="4"/>
  <c r="A233" i="4"/>
  <c r="Y232" i="4"/>
  <c r="A232" i="4"/>
  <c r="Y231" i="4"/>
  <c r="B231" i="4"/>
  <c r="A231" i="4"/>
  <c r="Y230" i="4"/>
  <c r="A230" i="4"/>
  <c r="Y229" i="4"/>
  <c r="A229" i="4"/>
  <c r="Y228" i="4"/>
  <c r="A228" i="4"/>
  <c r="Y227" i="4"/>
  <c r="A227" i="4"/>
  <c r="Y226" i="4"/>
  <c r="A226" i="4"/>
  <c r="B226" i="4" s="1"/>
  <c r="Y225" i="4"/>
  <c r="A225" i="4"/>
  <c r="Y224" i="4"/>
  <c r="B224" i="4"/>
  <c r="A224" i="4"/>
  <c r="Y223" i="4"/>
  <c r="B223" i="4"/>
  <c r="A223" i="4"/>
  <c r="Y222" i="4"/>
  <c r="B222" i="4"/>
  <c r="A222" i="4"/>
  <c r="Y221" i="4"/>
  <c r="B221" i="4"/>
  <c r="A221" i="4"/>
  <c r="Y220" i="4"/>
  <c r="A220" i="4"/>
  <c r="B220" i="4" s="1"/>
  <c r="Y219" i="4"/>
  <c r="A219" i="4"/>
  <c r="Y218" i="4"/>
  <c r="B218" i="4"/>
  <c r="A218" i="4"/>
  <c r="Y217" i="4"/>
  <c r="A217" i="4"/>
  <c r="B217" i="4" s="1"/>
  <c r="Y216" i="4"/>
  <c r="A216" i="4"/>
  <c r="Y215" i="4"/>
  <c r="B215" i="4"/>
  <c r="A215" i="4"/>
  <c r="Y214" i="4"/>
  <c r="B214" i="4"/>
  <c r="A214" i="4"/>
  <c r="Y213" i="4"/>
  <c r="B213" i="4"/>
  <c r="A213" i="4"/>
  <c r="Y212" i="4"/>
  <c r="A212" i="4"/>
  <c r="Y211" i="4"/>
  <c r="B211" i="4"/>
  <c r="A211" i="4"/>
  <c r="Y210" i="4"/>
  <c r="A210" i="4"/>
  <c r="Y209" i="4"/>
  <c r="B209" i="4"/>
  <c r="A209" i="4"/>
  <c r="Y208" i="4"/>
  <c r="A208" i="4"/>
  <c r="Y207" i="4"/>
  <c r="A207" i="4"/>
  <c r="Y206" i="4"/>
  <c r="A206" i="4"/>
  <c r="Y205" i="4"/>
  <c r="A205" i="4"/>
  <c r="B205" i="4" s="1"/>
  <c r="Y204" i="4"/>
  <c r="B204" i="4"/>
  <c r="A204" i="4"/>
  <c r="Y203" i="4"/>
  <c r="B203" i="4"/>
  <c r="A203" i="4"/>
  <c r="Y202" i="4"/>
  <c r="A202" i="4"/>
  <c r="Y201" i="4"/>
  <c r="B201" i="4"/>
  <c r="A201" i="4"/>
  <c r="Y200" i="4"/>
  <c r="B200" i="4"/>
  <c r="A200" i="4"/>
  <c r="Y199" i="4"/>
  <c r="A199" i="4"/>
  <c r="Y198" i="4"/>
  <c r="A198" i="4"/>
  <c r="B198" i="4" s="1"/>
  <c r="Y197" i="4"/>
  <c r="A197" i="4"/>
  <c r="Y196" i="4"/>
  <c r="A196" i="4"/>
  <c r="Y195" i="4"/>
  <c r="A195" i="4"/>
  <c r="Y194" i="4"/>
  <c r="B194" i="4"/>
  <c r="A194" i="4"/>
  <c r="Y193" i="4"/>
  <c r="A193" i="4"/>
  <c r="Y192" i="4"/>
  <c r="A192" i="4"/>
  <c r="Y191" i="4"/>
  <c r="B191" i="4"/>
  <c r="A191" i="4"/>
  <c r="Y190" i="4"/>
  <c r="B190" i="4"/>
  <c r="A190" i="4"/>
  <c r="Y189" i="4"/>
  <c r="A189" i="4"/>
  <c r="Y188" i="4"/>
  <c r="A188" i="4"/>
  <c r="B188" i="4" s="1"/>
  <c r="Y187" i="4"/>
  <c r="A187" i="4"/>
  <c r="Y186" i="4"/>
  <c r="A186" i="4"/>
  <c r="Y185" i="4"/>
  <c r="A185" i="4"/>
  <c r="Y184" i="4"/>
  <c r="B184" i="4"/>
  <c r="A184" i="4"/>
  <c r="Y183" i="4"/>
  <c r="B183" i="4"/>
  <c r="A183" i="4"/>
  <c r="Y182" i="4"/>
  <c r="A182" i="4"/>
  <c r="Y181" i="4"/>
  <c r="B181" i="4"/>
  <c r="A181" i="4"/>
  <c r="Y180" i="4"/>
  <c r="B180" i="4"/>
  <c r="A180" i="4"/>
  <c r="Y179" i="4"/>
  <c r="A179" i="4"/>
  <c r="Y178" i="4"/>
  <c r="A178" i="4"/>
  <c r="B178" i="4" s="1"/>
  <c r="Y177" i="4"/>
  <c r="A177" i="4"/>
  <c r="Y176" i="4"/>
  <c r="B176" i="4"/>
  <c r="A176" i="4"/>
  <c r="Y175" i="4"/>
  <c r="A175" i="4"/>
  <c r="B175" i="4" s="1"/>
  <c r="Y174" i="4"/>
  <c r="B174" i="4"/>
  <c r="A174" i="4"/>
  <c r="Y173" i="4"/>
  <c r="A173" i="4"/>
  <c r="Y172" i="4"/>
  <c r="B172" i="4"/>
  <c r="A172" i="4"/>
  <c r="Y171" i="4"/>
  <c r="B171" i="4"/>
  <c r="A171" i="4"/>
  <c r="Y170" i="4"/>
  <c r="A170" i="4"/>
  <c r="Y169" i="4"/>
  <c r="B169" i="4"/>
  <c r="A169" i="4"/>
  <c r="Y168" i="4"/>
  <c r="A168" i="4"/>
  <c r="B168" i="4" s="1"/>
  <c r="Y167" i="4"/>
  <c r="B167" i="4"/>
  <c r="A167" i="4"/>
  <c r="Y166" i="4"/>
  <c r="B166" i="4"/>
  <c r="A166" i="4"/>
  <c r="Y165" i="4"/>
  <c r="A165" i="4"/>
  <c r="Y164" i="4"/>
  <c r="B164" i="4"/>
  <c r="A164" i="4"/>
  <c r="Y163" i="4"/>
  <c r="B163" i="4"/>
  <c r="A163" i="4"/>
  <c r="Y162" i="4"/>
  <c r="B162" i="4"/>
  <c r="A162" i="4"/>
  <c r="Y161" i="4"/>
  <c r="B161" i="4"/>
  <c r="A161" i="4"/>
  <c r="Y160" i="4"/>
  <c r="A160" i="4"/>
  <c r="Y159" i="4"/>
  <c r="A159" i="4"/>
  <c r="Y158" i="4"/>
  <c r="A158" i="4"/>
  <c r="B158" i="4" s="1"/>
  <c r="Y157" i="4"/>
  <c r="A157" i="4"/>
  <c r="Y156" i="4"/>
  <c r="B156" i="4"/>
  <c r="A156" i="4"/>
  <c r="Y155" i="4"/>
  <c r="B155" i="4"/>
  <c r="A155" i="4"/>
  <c r="Y154" i="4"/>
  <c r="B154" i="4"/>
  <c r="A154" i="4"/>
  <c r="Y153" i="4"/>
  <c r="B153" i="4"/>
  <c r="A153" i="4"/>
  <c r="Y152" i="4"/>
  <c r="B152" i="4"/>
  <c r="A152" i="4"/>
  <c r="Y151" i="4"/>
  <c r="B151" i="4"/>
  <c r="A151" i="4"/>
  <c r="Y150" i="4"/>
  <c r="B150" i="4"/>
  <c r="A150" i="4"/>
  <c r="Y149" i="4"/>
  <c r="B149" i="4"/>
  <c r="A149" i="4"/>
  <c r="Y148" i="4"/>
  <c r="A148" i="4"/>
  <c r="Y147" i="4"/>
  <c r="A147" i="4"/>
  <c r="Y146" i="4"/>
  <c r="B146" i="4"/>
  <c r="A146" i="4"/>
  <c r="Y145" i="4"/>
  <c r="B145" i="4"/>
  <c r="A145" i="4"/>
  <c r="Y144" i="4"/>
  <c r="B144" i="4"/>
  <c r="A144" i="4"/>
  <c r="Y143" i="4"/>
  <c r="B143" i="4"/>
  <c r="A143" i="4"/>
  <c r="Y142" i="4"/>
  <c r="A142" i="4"/>
  <c r="Y141" i="4"/>
  <c r="B141" i="4"/>
  <c r="A141" i="4"/>
  <c r="Y140" i="4"/>
  <c r="B140" i="4"/>
  <c r="A140" i="4"/>
  <c r="Y139" i="4"/>
  <c r="B139" i="4"/>
  <c r="A139" i="4"/>
  <c r="Y138" i="4"/>
  <c r="A138" i="4"/>
  <c r="Y137" i="4"/>
  <c r="A137" i="4"/>
  <c r="Y136" i="4"/>
  <c r="B136" i="4"/>
  <c r="A136" i="4"/>
  <c r="Y135" i="4"/>
  <c r="A135" i="4"/>
  <c r="Y134" i="4"/>
  <c r="B134" i="4"/>
  <c r="A134" i="4"/>
  <c r="Y133" i="4"/>
  <c r="A133" i="4"/>
  <c r="Y132" i="4"/>
  <c r="A132" i="4"/>
  <c r="Y131" i="4"/>
  <c r="B131" i="4"/>
  <c r="A131" i="4"/>
  <c r="Y130" i="4"/>
  <c r="A130" i="4"/>
  <c r="Y129" i="4"/>
  <c r="A129" i="4"/>
  <c r="Y128" i="4"/>
  <c r="A128" i="4"/>
  <c r="Y127" i="4"/>
  <c r="A127" i="4"/>
  <c r="Y126" i="4"/>
  <c r="B126" i="4"/>
  <c r="A126" i="4"/>
  <c r="Y125" i="4"/>
  <c r="B125" i="4"/>
  <c r="A125" i="4"/>
  <c r="Y124" i="4"/>
  <c r="B124" i="4"/>
  <c r="A124" i="4"/>
  <c r="Y123" i="4"/>
  <c r="A123" i="4"/>
  <c r="Y122" i="4"/>
  <c r="A122" i="4"/>
  <c r="Y121" i="4"/>
  <c r="B121" i="4"/>
  <c r="A121" i="4"/>
  <c r="Y120" i="4"/>
  <c r="B120" i="4"/>
  <c r="A120" i="4"/>
  <c r="Y119" i="4"/>
  <c r="A119" i="4"/>
  <c r="Y118" i="4"/>
  <c r="A118" i="4"/>
  <c r="Y117" i="4"/>
  <c r="B117" i="4"/>
  <c r="A117" i="4"/>
  <c r="Y116" i="4"/>
  <c r="B116" i="4"/>
  <c r="A116" i="4"/>
  <c r="Y115" i="4"/>
  <c r="B115" i="4"/>
  <c r="A115" i="4"/>
  <c r="Y114" i="4"/>
  <c r="B114" i="4"/>
  <c r="A114" i="4"/>
  <c r="Y113" i="4"/>
  <c r="A113" i="4"/>
  <c r="Y112" i="4"/>
  <c r="B112" i="4"/>
  <c r="A112" i="4"/>
  <c r="Y111" i="4"/>
  <c r="B111" i="4"/>
  <c r="A111" i="4"/>
  <c r="Y110" i="4"/>
  <c r="A110" i="4"/>
  <c r="Y109" i="4"/>
  <c r="A109" i="4"/>
  <c r="Y108" i="4"/>
  <c r="A108" i="4"/>
  <c r="B108" i="4" s="1"/>
  <c r="Y107" i="4"/>
  <c r="A107" i="4"/>
  <c r="Y106" i="4"/>
  <c r="B106" i="4"/>
  <c r="A106" i="4"/>
  <c r="Y105" i="4"/>
  <c r="A105" i="4"/>
  <c r="Y104" i="4"/>
  <c r="B104" i="4"/>
  <c r="A104" i="4"/>
  <c r="Y103" i="4"/>
  <c r="B103" i="4"/>
  <c r="A103" i="4"/>
  <c r="Y102" i="4"/>
  <c r="A102" i="4"/>
  <c r="Y101" i="4"/>
  <c r="B101" i="4"/>
  <c r="A101" i="4"/>
  <c r="Y100" i="4"/>
  <c r="A100" i="4"/>
  <c r="Y99" i="4"/>
  <c r="A99" i="4"/>
  <c r="B99" i="4" s="1"/>
  <c r="Y98" i="4"/>
  <c r="A98" i="4"/>
  <c r="Y97" i="4"/>
  <c r="B97" i="4"/>
  <c r="A97" i="4"/>
  <c r="Y96" i="4"/>
  <c r="B96" i="4"/>
  <c r="A96" i="4"/>
  <c r="Y95" i="4"/>
  <c r="A95" i="4"/>
  <c r="Y94" i="4"/>
  <c r="A94" i="4"/>
  <c r="Y93" i="4"/>
  <c r="A93" i="4"/>
  <c r="Y92" i="4"/>
  <c r="A92" i="4"/>
  <c r="B92" i="4" s="1"/>
  <c r="Y91" i="4"/>
  <c r="B91" i="4"/>
  <c r="A91" i="4"/>
  <c r="Y90" i="4"/>
  <c r="A90" i="4"/>
  <c r="B90" i="4" s="1"/>
  <c r="Y89" i="4"/>
  <c r="A89" i="4"/>
  <c r="Y88" i="4"/>
  <c r="A88" i="4"/>
  <c r="B88" i="4" s="1"/>
  <c r="Y87" i="4"/>
  <c r="B87" i="4"/>
  <c r="A87" i="4"/>
  <c r="Y86" i="4"/>
  <c r="B86" i="4"/>
  <c r="A86" i="4"/>
  <c r="Y85" i="4"/>
  <c r="A85" i="4"/>
  <c r="Y84" i="4"/>
  <c r="A84" i="4"/>
  <c r="Y83" i="4"/>
  <c r="B83" i="4"/>
  <c r="A83" i="4"/>
  <c r="Y82" i="4"/>
  <c r="A82" i="4"/>
  <c r="Y81" i="4"/>
  <c r="B81" i="4"/>
  <c r="A81" i="4"/>
  <c r="Y80" i="4"/>
  <c r="B80" i="4"/>
  <c r="A80" i="4"/>
  <c r="Y79" i="4"/>
  <c r="A79" i="4"/>
  <c r="B79" i="4" s="1"/>
  <c r="Y78" i="4"/>
  <c r="A78" i="4"/>
  <c r="Y77" i="4"/>
  <c r="B77" i="4"/>
  <c r="A77" i="4"/>
  <c r="Y76" i="4"/>
  <c r="A76" i="4"/>
  <c r="Y75" i="4"/>
  <c r="B75" i="4"/>
  <c r="A75" i="4"/>
  <c r="Y74" i="4"/>
  <c r="A74" i="4"/>
  <c r="Y73" i="4"/>
  <c r="B73" i="4"/>
  <c r="A73" i="4"/>
  <c r="Y72" i="4"/>
  <c r="A72" i="4"/>
  <c r="B72" i="4" s="1"/>
  <c r="Y71" i="4"/>
  <c r="B71" i="4"/>
  <c r="A71" i="4"/>
  <c r="Y70" i="4"/>
  <c r="A70" i="4"/>
  <c r="B70" i="4" s="1"/>
  <c r="Y69" i="4"/>
  <c r="A69" i="4"/>
  <c r="Y68" i="4"/>
  <c r="A68" i="4"/>
  <c r="B68" i="4" s="1"/>
  <c r="Y67" i="4"/>
  <c r="A67" i="4"/>
  <c r="Y66" i="4"/>
  <c r="B66" i="4"/>
  <c r="A66" i="4"/>
  <c r="Y65" i="4"/>
  <c r="A65" i="4"/>
  <c r="Y64" i="4"/>
  <c r="B64" i="4"/>
  <c r="A64" i="4"/>
  <c r="Y63" i="4"/>
  <c r="A63" i="4"/>
  <c r="Y62" i="4"/>
  <c r="B62" i="4"/>
  <c r="A62" i="4"/>
  <c r="Y61" i="4"/>
  <c r="B61" i="4"/>
  <c r="A61" i="4"/>
  <c r="Y60" i="4"/>
  <c r="A60" i="4"/>
  <c r="Y59" i="4"/>
  <c r="A59" i="4"/>
  <c r="B59" i="4" s="1"/>
  <c r="Y58" i="4"/>
  <c r="A58" i="4"/>
  <c r="Y57" i="4"/>
  <c r="B57" i="4"/>
  <c r="A57" i="4"/>
  <c r="Y56" i="4"/>
  <c r="B56" i="4"/>
  <c r="A56" i="4"/>
  <c r="Y55" i="4"/>
  <c r="A55" i="4"/>
  <c r="Y54" i="4"/>
  <c r="A54" i="4"/>
  <c r="Y53" i="4"/>
  <c r="B53" i="4"/>
  <c r="A53" i="4"/>
  <c r="Y52" i="4"/>
  <c r="A52" i="4"/>
  <c r="Y51" i="4"/>
  <c r="A51" i="4"/>
  <c r="Y50" i="4"/>
  <c r="A50" i="4"/>
  <c r="B50" i="4" s="1"/>
  <c r="Y49" i="4"/>
  <c r="A49" i="4"/>
  <c r="Y48" i="4"/>
  <c r="B48" i="4"/>
  <c r="A48" i="4"/>
  <c r="Y47" i="4"/>
  <c r="A47" i="4"/>
  <c r="B47" i="4" s="1"/>
  <c r="Y46" i="4"/>
  <c r="B46" i="4"/>
  <c r="A46" i="4"/>
  <c r="Y45" i="4"/>
  <c r="A45" i="4"/>
  <c r="Y44" i="4"/>
  <c r="A44" i="4"/>
  <c r="Y43" i="4"/>
  <c r="B43" i="4"/>
  <c r="A43" i="4"/>
  <c r="Y42" i="4"/>
  <c r="A42" i="4"/>
  <c r="Y41" i="4"/>
  <c r="B41" i="4"/>
  <c r="A41" i="4"/>
  <c r="Y40" i="4"/>
  <c r="A40" i="4"/>
  <c r="B40" i="4" s="1"/>
  <c r="Y39" i="4"/>
  <c r="A39" i="4"/>
  <c r="Y38" i="4"/>
  <c r="B38" i="4"/>
  <c r="A38" i="4"/>
  <c r="Y37" i="4"/>
  <c r="A37" i="4"/>
  <c r="B37" i="4" s="1"/>
  <c r="Y36" i="4"/>
  <c r="B36" i="4"/>
  <c r="A36" i="4"/>
  <c r="Y35" i="4"/>
  <c r="B35" i="4"/>
  <c r="A35" i="4"/>
  <c r="Y34" i="4"/>
  <c r="A34" i="4"/>
  <c r="Y33" i="4"/>
  <c r="B33" i="4"/>
  <c r="A33" i="4"/>
  <c r="Y32" i="4"/>
  <c r="A32" i="4"/>
  <c r="Y31" i="4"/>
  <c r="B31" i="4"/>
  <c r="A31" i="4"/>
  <c r="Y30" i="4"/>
  <c r="A30" i="4"/>
  <c r="B30" i="4" s="1"/>
  <c r="Y29" i="4"/>
  <c r="A29" i="4"/>
  <c r="Y28" i="4"/>
  <c r="A28" i="4"/>
  <c r="Y27" i="4"/>
  <c r="A27" i="4"/>
  <c r="B27" i="4" s="1"/>
  <c r="Y26" i="4"/>
  <c r="B26" i="4"/>
  <c r="A26" i="4"/>
  <c r="Y25" i="4"/>
  <c r="A25" i="4"/>
  <c r="Y24" i="4"/>
  <c r="A24" i="4"/>
  <c r="B24" i="4" s="1"/>
  <c r="Y23" i="4"/>
  <c r="B23" i="4"/>
  <c r="A23" i="4"/>
  <c r="Y22" i="4"/>
  <c r="B22" i="4"/>
  <c r="A22" i="4"/>
  <c r="Y21" i="4"/>
  <c r="A21" i="4"/>
  <c r="Y20" i="4"/>
  <c r="A20" i="4"/>
  <c r="B20" i="4" s="1"/>
  <c r="Y19" i="4"/>
  <c r="A19" i="4"/>
  <c r="Y18" i="4"/>
  <c r="A18" i="4"/>
  <c r="Y17" i="4"/>
  <c r="A17" i="4"/>
  <c r="B17" i="4" s="1"/>
  <c r="Y16" i="4"/>
  <c r="B16" i="4"/>
  <c r="A16" i="4"/>
  <c r="Y15" i="4"/>
  <c r="A15" i="4"/>
  <c r="Y14" i="4"/>
  <c r="A14" i="4"/>
  <c r="B14" i="4" s="1"/>
  <c r="Y13" i="4"/>
  <c r="B13" i="4"/>
  <c r="A13" i="4"/>
  <c r="Y12" i="4"/>
  <c r="A12" i="4"/>
  <c r="Y11" i="4"/>
  <c r="A11" i="4"/>
  <c r="Y10" i="4"/>
  <c r="A10" i="4"/>
  <c r="B10" i="4" s="1"/>
  <c r="Y9" i="4"/>
  <c r="A9" i="4"/>
  <c r="Y8" i="4"/>
  <c r="A8" i="4"/>
  <c r="Y7" i="4"/>
  <c r="A7" i="4"/>
  <c r="B7" i="4" s="1"/>
  <c r="Y6" i="4"/>
  <c r="R6" i="4"/>
  <c r="Q6" i="4"/>
  <c r="P6" i="4"/>
  <c r="M6" i="4"/>
  <c r="E6" i="4"/>
  <c r="F6" i="4" s="1"/>
  <c r="D6" i="4"/>
  <c r="C6" i="4"/>
  <c r="B6" i="4"/>
  <c r="A6" i="4"/>
  <c r="Y605" i="3"/>
  <c r="M605" i="3"/>
  <c r="B605" i="3"/>
  <c r="A605" i="3"/>
  <c r="Y604" i="3"/>
  <c r="M604" i="3"/>
  <c r="A604" i="3"/>
  <c r="B604" i="3" s="1"/>
  <c r="Y603" i="3"/>
  <c r="M603" i="3"/>
  <c r="B603" i="3"/>
  <c r="A603" i="3"/>
  <c r="Y602" i="3"/>
  <c r="M602" i="3"/>
  <c r="B602" i="3"/>
  <c r="A602" i="3"/>
  <c r="Y601" i="3"/>
  <c r="M601" i="3"/>
  <c r="B601" i="3"/>
  <c r="A601" i="3"/>
  <c r="Y600" i="3"/>
  <c r="M600" i="3"/>
  <c r="A600" i="3"/>
  <c r="B600" i="3" s="1"/>
  <c r="Y599" i="3"/>
  <c r="M599" i="3"/>
  <c r="A599" i="3"/>
  <c r="Y598" i="3"/>
  <c r="M598" i="3"/>
  <c r="A598" i="3"/>
  <c r="Y597" i="3"/>
  <c r="M597" i="3"/>
  <c r="A597" i="3"/>
  <c r="B597" i="3" s="1"/>
  <c r="Y596" i="3"/>
  <c r="M596" i="3"/>
  <c r="B596" i="3"/>
  <c r="A596" i="3"/>
  <c r="Y595" i="3"/>
  <c r="M595" i="3"/>
  <c r="A595" i="3"/>
  <c r="Y594" i="3"/>
  <c r="M594" i="3"/>
  <c r="A594" i="3"/>
  <c r="Y593" i="3"/>
  <c r="M593" i="3"/>
  <c r="B593" i="3"/>
  <c r="A593" i="3"/>
  <c r="Y592" i="3"/>
  <c r="M592" i="3"/>
  <c r="A592" i="3"/>
  <c r="Y591" i="3"/>
  <c r="M591" i="3"/>
  <c r="A591" i="3"/>
  <c r="Y590" i="3"/>
  <c r="M590" i="3"/>
  <c r="A590" i="3"/>
  <c r="B590" i="3" s="1"/>
  <c r="Y589" i="3"/>
  <c r="M589" i="3"/>
  <c r="B589" i="3"/>
  <c r="A589" i="3"/>
  <c r="Y588" i="3"/>
  <c r="M588" i="3"/>
  <c r="A588" i="3"/>
  <c r="Y587" i="3"/>
  <c r="M587" i="3"/>
  <c r="A587" i="3"/>
  <c r="B587" i="3" s="1"/>
  <c r="Y586" i="3"/>
  <c r="M586" i="3"/>
  <c r="B586" i="3"/>
  <c r="A586" i="3"/>
  <c r="Y585" i="3"/>
  <c r="M585" i="3"/>
  <c r="A585" i="3"/>
  <c r="Y584" i="3"/>
  <c r="M584" i="3"/>
  <c r="A584" i="3"/>
  <c r="B584" i="3" s="1"/>
  <c r="Y583" i="3"/>
  <c r="M583" i="3"/>
  <c r="B583" i="3"/>
  <c r="A583" i="3"/>
  <c r="Y582" i="3"/>
  <c r="M582" i="3"/>
  <c r="B582" i="3"/>
  <c r="A582" i="3"/>
  <c r="Y581" i="3"/>
  <c r="M581" i="3"/>
  <c r="A581" i="3"/>
  <c r="Y580" i="3"/>
  <c r="M580" i="3"/>
  <c r="A580" i="3"/>
  <c r="B580" i="3" s="1"/>
  <c r="Y579" i="3"/>
  <c r="M579" i="3"/>
  <c r="A579" i="3"/>
  <c r="Y578" i="3"/>
  <c r="M578" i="3"/>
  <c r="A578" i="3"/>
  <c r="Y577" i="3"/>
  <c r="M577" i="3"/>
  <c r="A577" i="3"/>
  <c r="B577" i="3" s="1"/>
  <c r="Y576" i="3"/>
  <c r="M576" i="3"/>
  <c r="B576" i="3"/>
  <c r="A576" i="3"/>
  <c r="Y575" i="3"/>
  <c r="M575" i="3"/>
  <c r="A575" i="3"/>
  <c r="Y574" i="3"/>
  <c r="M574" i="3"/>
  <c r="A574" i="3"/>
  <c r="Y573" i="3"/>
  <c r="M573" i="3"/>
  <c r="B573" i="3"/>
  <c r="A573" i="3"/>
  <c r="Y572" i="3"/>
  <c r="M572" i="3"/>
  <c r="A572" i="3"/>
  <c r="Y571" i="3"/>
  <c r="M571" i="3"/>
  <c r="A571" i="3"/>
  <c r="Y570" i="3"/>
  <c r="M570" i="3"/>
  <c r="A570" i="3"/>
  <c r="B570" i="3" s="1"/>
  <c r="Y569" i="3"/>
  <c r="M569" i="3"/>
  <c r="A569" i="3"/>
  <c r="Y568" i="3"/>
  <c r="M568" i="3"/>
  <c r="A568" i="3"/>
  <c r="Y567" i="3"/>
  <c r="M567" i="3"/>
  <c r="A567" i="3"/>
  <c r="B567" i="3" s="1"/>
  <c r="Y566" i="3"/>
  <c r="M566" i="3"/>
  <c r="B566" i="3"/>
  <c r="A566" i="3"/>
  <c r="Y565" i="3"/>
  <c r="M565" i="3"/>
  <c r="A565" i="3"/>
  <c r="Y564" i="3"/>
  <c r="M564" i="3"/>
  <c r="A564" i="3"/>
  <c r="B564" i="3" s="1"/>
  <c r="Y563" i="3"/>
  <c r="M563" i="3"/>
  <c r="B563" i="3"/>
  <c r="A563" i="3"/>
  <c r="Y562" i="3"/>
  <c r="M562" i="3"/>
  <c r="B562" i="3"/>
  <c r="A562" i="3"/>
  <c r="Y561" i="3"/>
  <c r="M561" i="3"/>
  <c r="A561" i="3"/>
  <c r="Y560" i="3"/>
  <c r="M560" i="3"/>
  <c r="A560" i="3"/>
  <c r="B560" i="3" s="1"/>
  <c r="Y559" i="3"/>
  <c r="M559" i="3"/>
  <c r="A559" i="3"/>
  <c r="Y558" i="3"/>
  <c r="M558" i="3"/>
  <c r="B558" i="3"/>
  <c r="A558" i="3"/>
  <c r="Y557" i="3"/>
  <c r="M557" i="3"/>
  <c r="A557" i="3"/>
  <c r="B557" i="3" s="1"/>
  <c r="Y556" i="3"/>
  <c r="M556" i="3"/>
  <c r="B556" i="3"/>
  <c r="A556" i="3"/>
  <c r="Y555" i="3"/>
  <c r="M555" i="3"/>
  <c r="A555" i="3"/>
  <c r="Y554" i="3"/>
  <c r="M554" i="3"/>
  <c r="A554" i="3"/>
  <c r="Y553" i="3"/>
  <c r="M553" i="3"/>
  <c r="B553" i="3"/>
  <c r="A553" i="3"/>
  <c r="Y552" i="3"/>
  <c r="M552" i="3"/>
  <c r="B552" i="3"/>
  <c r="A552" i="3"/>
  <c r="Y551" i="3"/>
  <c r="M551" i="3"/>
  <c r="A551" i="3"/>
  <c r="Y550" i="3"/>
  <c r="M550" i="3"/>
  <c r="A550" i="3"/>
  <c r="B550" i="3" s="1"/>
  <c r="Y549" i="3"/>
  <c r="M549" i="3"/>
  <c r="A549" i="3"/>
  <c r="Y548" i="3"/>
  <c r="M548" i="3"/>
  <c r="B548" i="3"/>
  <c r="A548" i="3"/>
  <c r="Y547" i="3"/>
  <c r="M547" i="3"/>
  <c r="A547" i="3"/>
  <c r="B547" i="3" s="1"/>
  <c r="Y546" i="3"/>
  <c r="M546" i="3"/>
  <c r="B546" i="3"/>
  <c r="A546" i="3"/>
  <c r="Y545" i="3"/>
  <c r="M545" i="3"/>
  <c r="A545" i="3"/>
  <c r="Y544" i="3"/>
  <c r="M544" i="3"/>
  <c r="B544" i="3"/>
  <c r="A544" i="3"/>
  <c r="Y543" i="3"/>
  <c r="M543" i="3"/>
  <c r="B543" i="3"/>
  <c r="A543" i="3"/>
  <c r="Y542" i="3"/>
  <c r="M542" i="3"/>
  <c r="B542" i="3"/>
  <c r="A542" i="3"/>
  <c r="Y541" i="3"/>
  <c r="M541" i="3"/>
  <c r="B541" i="3"/>
  <c r="A541" i="3"/>
  <c r="Y540" i="3"/>
  <c r="M540" i="3"/>
  <c r="A540" i="3"/>
  <c r="B540" i="3" s="1"/>
  <c r="Y539" i="3"/>
  <c r="M539" i="3"/>
  <c r="A539" i="3"/>
  <c r="Y538" i="3"/>
  <c r="M538" i="3"/>
  <c r="B538" i="3"/>
  <c r="A538" i="3"/>
  <c r="Y537" i="3"/>
  <c r="M537" i="3"/>
  <c r="A537" i="3"/>
  <c r="B537" i="3" s="1"/>
  <c r="Y536" i="3"/>
  <c r="M536" i="3"/>
  <c r="B536" i="3"/>
  <c r="A536" i="3"/>
  <c r="Y535" i="3"/>
  <c r="M535" i="3"/>
  <c r="A535" i="3"/>
  <c r="Y534" i="3"/>
  <c r="M534" i="3"/>
  <c r="B534" i="3"/>
  <c r="A534" i="3"/>
  <c r="Y533" i="3"/>
  <c r="M533" i="3"/>
  <c r="B533" i="3"/>
  <c r="A533" i="3"/>
  <c r="Y532" i="3"/>
  <c r="M532" i="3"/>
  <c r="A532" i="3"/>
  <c r="Y531" i="3"/>
  <c r="M531" i="3"/>
  <c r="B531" i="3"/>
  <c r="A531" i="3"/>
  <c r="Y530" i="3"/>
  <c r="M530" i="3"/>
  <c r="A530" i="3"/>
  <c r="B530" i="3" s="1"/>
  <c r="Y529" i="3"/>
  <c r="M529" i="3"/>
  <c r="B529" i="3"/>
  <c r="A529" i="3"/>
  <c r="Y528" i="3"/>
  <c r="M528" i="3"/>
  <c r="A528" i="3"/>
  <c r="Y527" i="3"/>
  <c r="M527" i="3"/>
  <c r="A527" i="3"/>
  <c r="B527" i="3" s="1"/>
  <c r="Y526" i="3"/>
  <c r="M526" i="3"/>
  <c r="B526" i="3"/>
  <c r="A526" i="3"/>
  <c r="Y525" i="3"/>
  <c r="M525" i="3"/>
  <c r="A525" i="3"/>
  <c r="Y524" i="3"/>
  <c r="M524" i="3"/>
  <c r="A524" i="3"/>
  <c r="Y523" i="3"/>
  <c r="M523" i="3"/>
  <c r="B523" i="3"/>
  <c r="A523" i="3"/>
  <c r="Y522" i="3"/>
  <c r="M522" i="3"/>
  <c r="A522" i="3"/>
  <c r="Y521" i="3"/>
  <c r="M521" i="3"/>
  <c r="A521" i="3"/>
  <c r="Y520" i="3"/>
  <c r="M520" i="3"/>
  <c r="A520" i="3"/>
  <c r="B520" i="3" s="1"/>
  <c r="Y519" i="3"/>
  <c r="M519" i="3"/>
  <c r="B519" i="3"/>
  <c r="A519" i="3"/>
  <c r="Y518" i="3"/>
  <c r="M518" i="3"/>
  <c r="B518" i="3"/>
  <c r="A518" i="3"/>
  <c r="Y517" i="3"/>
  <c r="M517" i="3"/>
  <c r="A517" i="3"/>
  <c r="B517" i="3" s="1"/>
  <c r="Y516" i="3"/>
  <c r="M516" i="3"/>
  <c r="B516" i="3"/>
  <c r="A516" i="3"/>
  <c r="Y515" i="3"/>
  <c r="M515" i="3"/>
  <c r="A515" i="3"/>
  <c r="Y514" i="3"/>
  <c r="M514" i="3"/>
  <c r="A514" i="3"/>
  <c r="B514" i="3" s="1"/>
  <c r="Y513" i="3"/>
  <c r="M513" i="3"/>
  <c r="B513" i="3"/>
  <c r="A513" i="3"/>
  <c r="Y512" i="3"/>
  <c r="M512" i="3"/>
  <c r="A512" i="3"/>
  <c r="Y511" i="3"/>
  <c r="M511" i="3"/>
  <c r="B511" i="3"/>
  <c r="A511" i="3"/>
  <c r="Y510" i="3"/>
  <c r="M510" i="3"/>
  <c r="A510" i="3"/>
  <c r="B510" i="3" s="1"/>
  <c r="Y509" i="3"/>
  <c r="M509" i="3"/>
  <c r="B509" i="3"/>
  <c r="A509" i="3"/>
  <c r="Y508" i="3"/>
  <c r="M508" i="3"/>
  <c r="A508" i="3"/>
  <c r="Y507" i="3"/>
  <c r="M507" i="3"/>
  <c r="A507" i="3"/>
  <c r="Y506" i="3"/>
  <c r="M506" i="3"/>
  <c r="B506" i="3"/>
  <c r="A506" i="3"/>
  <c r="Y505" i="3"/>
  <c r="M505" i="3"/>
  <c r="A505" i="3"/>
  <c r="Y504" i="3"/>
  <c r="M504" i="3"/>
  <c r="B504" i="3"/>
  <c r="A504" i="3"/>
  <c r="Y503" i="3"/>
  <c r="M503" i="3"/>
  <c r="B503" i="3"/>
  <c r="A503" i="3"/>
  <c r="Y502" i="3"/>
  <c r="M502" i="3"/>
  <c r="A502" i="3"/>
  <c r="Y501" i="3"/>
  <c r="M501" i="3"/>
  <c r="A501" i="3"/>
  <c r="Y500" i="3"/>
  <c r="M500" i="3"/>
  <c r="A500" i="3"/>
  <c r="Y499" i="3"/>
  <c r="M499" i="3"/>
  <c r="A499" i="3"/>
  <c r="B499" i="3" s="1"/>
  <c r="Y498" i="3"/>
  <c r="M498" i="3"/>
  <c r="B498" i="3"/>
  <c r="A498" i="3"/>
  <c r="Y497" i="3"/>
  <c r="M497" i="3"/>
  <c r="A497" i="3"/>
  <c r="B497" i="3" s="1"/>
  <c r="Y496" i="3"/>
  <c r="M496" i="3"/>
  <c r="B496" i="3"/>
  <c r="A496" i="3"/>
  <c r="Y495" i="3"/>
  <c r="M495" i="3"/>
  <c r="B495" i="3"/>
  <c r="A495" i="3"/>
  <c r="Y494" i="3"/>
  <c r="M494" i="3"/>
  <c r="B494" i="3"/>
  <c r="A494" i="3"/>
  <c r="Y493" i="3"/>
  <c r="M493" i="3"/>
  <c r="B493" i="3"/>
  <c r="A493" i="3"/>
  <c r="Y492" i="3"/>
  <c r="M492" i="3"/>
  <c r="B492" i="3"/>
  <c r="A492" i="3"/>
  <c r="Y491" i="3"/>
  <c r="M491" i="3"/>
  <c r="B491" i="3"/>
  <c r="A491" i="3"/>
  <c r="Y490" i="3"/>
  <c r="M490" i="3"/>
  <c r="A490" i="3"/>
  <c r="Y489" i="3"/>
  <c r="M489" i="3"/>
  <c r="B489" i="3"/>
  <c r="A489" i="3"/>
  <c r="Y488" i="3"/>
  <c r="M488" i="3"/>
  <c r="A488" i="3"/>
  <c r="Y487" i="3"/>
  <c r="M487" i="3"/>
  <c r="A487" i="3"/>
  <c r="Y486" i="3"/>
  <c r="M486" i="3"/>
  <c r="A486" i="3"/>
  <c r="B486" i="3" s="1"/>
  <c r="Y485" i="3"/>
  <c r="M485" i="3"/>
  <c r="A485" i="3"/>
  <c r="Y484" i="3"/>
  <c r="M484" i="3"/>
  <c r="B484" i="3"/>
  <c r="A484" i="3"/>
  <c r="Y483" i="3"/>
  <c r="M483" i="3"/>
  <c r="B483" i="3"/>
  <c r="A483" i="3"/>
  <c r="Y482" i="3"/>
  <c r="M482" i="3"/>
  <c r="B482" i="3"/>
  <c r="A482" i="3"/>
  <c r="Y481" i="3"/>
  <c r="M481" i="3"/>
  <c r="B481" i="3"/>
  <c r="A481" i="3"/>
  <c r="Y480" i="3"/>
  <c r="M480" i="3"/>
  <c r="A480" i="3"/>
  <c r="B480" i="3" s="1"/>
  <c r="Y479" i="3"/>
  <c r="M479" i="3"/>
  <c r="A479" i="3"/>
  <c r="Y478" i="3"/>
  <c r="M478" i="3"/>
  <c r="A478" i="3"/>
  <c r="Y477" i="3"/>
  <c r="M477" i="3"/>
  <c r="A477" i="3"/>
  <c r="Y476" i="3"/>
  <c r="M476" i="3"/>
  <c r="B476" i="3"/>
  <c r="A476" i="3"/>
  <c r="Y475" i="3"/>
  <c r="M475" i="3"/>
  <c r="A475" i="3"/>
  <c r="Y474" i="3"/>
  <c r="M474" i="3"/>
  <c r="A474" i="3"/>
  <c r="Y473" i="3"/>
  <c r="M473" i="3"/>
  <c r="B473" i="3"/>
  <c r="A473" i="3"/>
  <c r="Y472" i="3"/>
  <c r="M472" i="3"/>
  <c r="B472" i="3"/>
  <c r="A472" i="3"/>
  <c r="Y471" i="3"/>
  <c r="M471" i="3"/>
  <c r="A471" i="3"/>
  <c r="B471" i="3" s="1"/>
  <c r="Y470" i="3"/>
  <c r="M470" i="3"/>
  <c r="A470" i="3"/>
  <c r="Y469" i="3"/>
  <c r="M469" i="3"/>
  <c r="B469" i="3"/>
  <c r="A469" i="3"/>
  <c r="Y468" i="3"/>
  <c r="M468" i="3"/>
  <c r="B468" i="3"/>
  <c r="A468" i="3"/>
  <c r="Y467" i="3"/>
  <c r="M467" i="3"/>
  <c r="B467" i="3"/>
  <c r="A467" i="3"/>
  <c r="Y466" i="3"/>
  <c r="M466" i="3"/>
  <c r="A466" i="3"/>
  <c r="Y465" i="3"/>
  <c r="M465" i="3"/>
  <c r="B465" i="3"/>
  <c r="A465" i="3"/>
  <c r="Y464" i="3"/>
  <c r="M464" i="3"/>
  <c r="A464" i="3"/>
  <c r="Y463" i="3"/>
  <c r="M463" i="3"/>
  <c r="A463" i="3"/>
  <c r="Y462" i="3"/>
  <c r="M462" i="3"/>
  <c r="A462" i="3"/>
  <c r="B462" i="3" s="1"/>
  <c r="Y461" i="3"/>
  <c r="M461" i="3"/>
  <c r="B461" i="3"/>
  <c r="A461" i="3"/>
  <c r="Y460" i="3"/>
  <c r="M460" i="3"/>
  <c r="B460" i="3"/>
  <c r="A460" i="3"/>
  <c r="Y459" i="3"/>
  <c r="M459" i="3"/>
  <c r="A459" i="3"/>
  <c r="B459" i="3" s="1"/>
  <c r="Y458" i="3"/>
  <c r="M458" i="3"/>
  <c r="B458" i="3"/>
  <c r="A458" i="3"/>
  <c r="Y457" i="3"/>
  <c r="M457" i="3"/>
  <c r="A457" i="3"/>
  <c r="Y456" i="3"/>
  <c r="M456" i="3"/>
  <c r="A456" i="3"/>
  <c r="B456" i="3" s="1"/>
  <c r="Y455" i="3"/>
  <c r="M455" i="3"/>
  <c r="B455" i="3"/>
  <c r="A455" i="3"/>
  <c r="Y454" i="3"/>
  <c r="M454" i="3"/>
  <c r="A454" i="3"/>
  <c r="Y453" i="3"/>
  <c r="M453" i="3"/>
  <c r="A453" i="3"/>
  <c r="Y452" i="3"/>
  <c r="M452" i="3"/>
  <c r="A452" i="3"/>
  <c r="B452" i="3" s="1"/>
  <c r="Y451" i="3"/>
  <c r="M451" i="3"/>
  <c r="B451" i="3"/>
  <c r="A451" i="3"/>
  <c r="Y450" i="3"/>
  <c r="M450" i="3"/>
  <c r="A450" i="3"/>
  <c r="Y449" i="3"/>
  <c r="M449" i="3"/>
  <c r="A449" i="3"/>
  <c r="B449" i="3" s="1"/>
  <c r="Y448" i="3"/>
  <c r="M448" i="3"/>
  <c r="B448" i="3"/>
  <c r="A448" i="3"/>
  <c r="Y447" i="3"/>
  <c r="M447" i="3"/>
  <c r="B447" i="3"/>
  <c r="A447" i="3"/>
  <c r="Y446" i="3"/>
  <c r="M446" i="3"/>
  <c r="A446" i="3"/>
  <c r="Y445" i="3"/>
  <c r="M445" i="3"/>
  <c r="B445" i="3"/>
  <c r="A445" i="3"/>
  <c r="Y444" i="3"/>
  <c r="M444" i="3"/>
  <c r="A444" i="3"/>
  <c r="Y443" i="3"/>
  <c r="M443" i="3"/>
  <c r="A443" i="3"/>
  <c r="Y442" i="3"/>
  <c r="M442" i="3"/>
  <c r="A442" i="3"/>
  <c r="B442" i="3" s="1"/>
  <c r="Y441" i="3"/>
  <c r="M441" i="3"/>
  <c r="B441" i="3"/>
  <c r="A441" i="3"/>
  <c r="Y440" i="3"/>
  <c r="M440" i="3"/>
  <c r="B440" i="3"/>
  <c r="A440" i="3"/>
  <c r="Y439" i="3"/>
  <c r="M439" i="3"/>
  <c r="A439" i="3"/>
  <c r="B439" i="3" s="1"/>
  <c r="Y438" i="3"/>
  <c r="M438" i="3"/>
  <c r="B438" i="3"/>
  <c r="A438" i="3"/>
  <c r="Y437" i="3"/>
  <c r="M437" i="3"/>
  <c r="A437" i="3"/>
  <c r="Y436" i="3"/>
  <c r="M436" i="3"/>
  <c r="A436" i="3"/>
  <c r="B436" i="3" s="1"/>
  <c r="Y435" i="3"/>
  <c r="M435" i="3"/>
  <c r="B435" i="3"/>
  <c r="A435" i="3"/>
  <c r="Y434" i="3"/>
  <c r="M434" i="3"/>
  <c r="B434" i="3"/>
  <c r="A434" i="3"/>
  <c r="Y433" i="3"/>
  <c r="M433" i="3"/>
  <c r="B433" i="3"/>
  <c r="A433" i="3"/>
  <c r="Y432" i="3"/>
  <c r="M432" i="3"/>
  <c r="A432" i="3"/>
  <c r="B432" i="3" s="1"/>
  <c r="Y431" i="3"/>
  <c r="M431" i="3"/>
  <c r="B431" i="3"/>
  <c r="A431" i="3"/>
  <c r="Y430" i="3"/>
  <c r="M430" i="3"/>
  <c r="A430" i="3"/>
  <c r="Y429" i="3"/>
  <c r="M429" i="3"/>
  <c r="A429" i="3"/>
  <c r="B429" i="3" s="1"/>
  <c r="Y428" i="3"/>
  <c r="M428" i="3"/>
  <c r="B428" i="3"/>
  <c r="A428" i="3"/>
  <c r="Y427" i="3"/>
  <c r="M427" i="3"/>
  <c r="A427" i="3"/>
  <c r="Y426" i="3"/>
  <c r="M426" i="3"/>
  <c r="A426" i="3"/>
  <c r="Y425" i="3"/>
  <c r="M425" i="3"/>
  <c r="B425" i="3"/>
  <c r="A425" i="3"/>
  <c r="Y424" i="3"/>
  <c r="M424" i="3"/>
  <c r="A424" i="3"/>
  <c r="Y423" i="3"/>
  <c r="M423" i="3"/>
  <c r="A423" i="3"/>
  <c r="Y422" i="3"/>
  <c r="M422" i="3"/>
  <c r="A422" i="3"/>
  <c r="B422" i="3" s="1"/>
  <c r="Y421" i="3"/>
  <c r="M421" i="3"/>
  <c r="B421" i="3"/>
  <c r="A421" i="3"/>
  <c r="Y420" i="3"/>
  <c r="M420" i="3"/>
  <c r="B420" i="3"/>
  <c r="A420" i="3"/>
  <c r="Y419" i="3"/>
  <c r="M419" i="3"/>
  <c r="A419" i="3"/>
  <c r="B419" i="3" s="1"/>
  <c r="Y418" i="3"/>
  <c r="M418" i="3"/>
  <c r="B418" i="3"/>
  <c r="A418" i="3"/>
  <c r="Y417" i="3"/>
  <c r="M417" i="3"/>
  <c r="A417" i="3"/>
  <c r="Y416" i="3"/>
  <c r="M416" i="3"/>
  <c r="A416" i="3"/>
  <c r="B416" i="3" s="1"/>
  <c r="Y415" i="3"/>
  <c r="M415" i="3"/>
  <c r="B415" i="3"/>
  <c r="A415" i="3"/>
  <c r="Y414" i="3"/>
  <c r="M414" i="3"/>
  <c r="A414" i="3"/>
  <c r="Y413" i="3"/>
  <c r="M413" i="3"/>
  <c r="A413" i="3"/>
  <c r="Y412" i="3"/>
  <c r="M412" i="3"/>
  <c r="A412" i="3"/>
  <c r="B412" i="3" s="1"/>
  <c r="Y411" i="3"/>
  <c r="M411" i="3"/>
  <c r="B411" i="3"/>
  <c r="A411" i="3"/>
  <c r="Y410" i="3"/>
  <c r="M410" i="3"/>
  <c r="A410" i="3"/>
  <c r="Y409" i="3"/>
  <c r="M409" i="3"/>
  <c r="A409" i="3"/>
  <c r="B409" i="3" s="1"/>
  <c r="Y408" i="3"/>
  <c r="M408" i="3"/>
  <c r="B408" i="3"/>
  <c r="A408" i="3"/>
  <c r="Y407" i="3"/>
  <c r="M407" i="3"/>
  <c r="B407" i="3"/>
  <c r="A407" i="3"/>
  <c r="Y406" i="3"/>
  <c r="M406" i="3"/>
  <c r="A406" i="3"/>
  <c r="Y405" i="3"/>
  <c r="M405" i="3"/>
  <c r="B405" i="3"/>
  <c r="A405" i="3"/>
  <c r="Y404" i="3"/>
  <c r="M404" i="3"/>
  <c r="A404" i="3"/>
  <c r="Y403" i="3"/>
  <c r="M403" i="3"/>
  <c r="A403" i="3"/>
  <c r="Y402" i="3"/>
  <c r="M402" i="3"/>
  <c r="A402" i="3"/>
  <c r="B402" i="3" s="1"/>
  <c r="Y401" i="3"/>
  <c r="M401" i="3"/>
  <c r="B401" i="3"/>
  <c r="A401" i="3"/>
  <c r="Y400" i="3"/>
  <c r="M400" i="3"/>
  <c r="B400" i="3"/>
  <c r="A400" i="3"/>
  <c r="Y399" i="3"/>
  <c r="M399" i="3"/>
  <c r="A399" i="3"/>
  <c r="B399" i="3" s="1"/>
  <c r="Y398" i="3"/>
  <c r="M398" i="3"/>
  <c r="B398" i="3"/>
  <c r="A398" i="3"/>
  <c r="Y397" i="3"/>
  <c r="M397" i="3"/>
  <c r="B397" i="3"/>
  <c r="A397" i="3"/>
  <c r="Y396" i="3"/>
  <c r="M396" i="3"/>
  <c r="A396" i="3"/>
  <c r="B396" i="3" s="1"/>
  <c r="Y395" i="3"/>
  <c r="M395" i="3"/>
  <c r="B395" i="3"/>
  <c r="A395" i="3"/>
  <c r="Y394" i="3"/>
  <c r="M394" i="3"/>
  <c r="B394" i="3"/>
  <c r="A394" i="3"/>
  <c r="Y393" i="3"/>
  <c r="M393" i="3"/>
  <c r="B393" i="3"/>
  <c r="A393" i="3"/>
  <c r="Y392" i="3"/>
  <c r="M392" i="3"/>
  <c r="A392" i="3"/>
  <c r="B392" i="3" s="1"/>
  <c r="Y391" i="3"/>
  <c r="M391" i="3"/>
  <c r="B391" i="3"/>
  <c r="A391" i="3"/>
  <c r="Y390" i="3"/>
  <c r="M390" i="3"/>
  <c r="A390" i="3"/>
  <c r="Y389" i="3"/>
  <c r="M389" i="3"/>
  <c r="A389" i="3"/>
  <c r="B389" i="3" s="1"/>
  <c r="Y388" i="3"/>
  <c r="M388" i="3"/>
  <c r="B388" i="3"/>
  <c r="A388" i="3"/>
  <c r="Y387" i="3"/>
  <c r="M387" i="3"/>
  <c r="B387" i="3"/>
  <c r="A387" i="3"/>
  <c r="Y386" i="3"/>
  <c r="M386" i="3"/>
  <c r="A386" i="3"/>
  <c r="Y385" i="3"/>
  <c r="M385" i="3"/>
  <c r="B385" i="3"/>
  <c r="A385" i="3"/>
  <c r="Y384" i="3"/>
  <c r="M384" i="3"/>
  <c r="A384" i="3"/>
  <c r="Y383" i="3"/>
  <c r="M383" i="3"/>
  <c r="B383" i="3"/>
  <c r="A383" i="3"/>
  <c r="Y382" i="3"/>
  <c r="M382" i="3"/>
  <c r="A382" i="3"/>
  <c r="B382" i="3" s="1"/>
  <c r="Y381" i="3"/>
  <c r="M381" i="3"/>
  <c r="B381" i="3"/>
  <c r="A381" i="3"/>
  <c r="Y380" i="3"/>
  <c r="M380" i="3"/>
  <c r="B380" i="3"/>
  <c r="A380" i="3"/>
  <c r="Y379" i="3"/>
  <c r="M379" i="3"/>
  <c r="A379" i="3"/>
  <c r="Y378" i="3"/>
  <c r="M378" i="3"/>
  <c r="B378" i="3"/>
  <c r="A378" i="3"/>
  <c r="Y377" i="3"/>
  <c r="M377" i="3"/>
  <c r="A377" i="3"/>
  <c r="Y376" i="3"/>
  <c r="M376" i="3"/>
  <c r="A376" i="3"/>
  <c r="Y375" i="3"/>
  <c r="M375" i="3"/>
  <c r="B375" i="3"/>
  <c r="A375" i="3"/>
  <c r="Y374" i="3"/>
  <c r="M374" i="3"/>
  <c r="A374" i="3"/>
  <c r="Y373" i="3"/>
  <c r="M373" i="3"/>
  <c r="A373" i="3"/>
  <c r="Y372" i="3"/>
  <c r="M372" i="3"/>
  <c r="A372" i="3"/>
  <c r="B372" i="3" s="1"/>
  <c r="Y371" i="3"/>
  <c r="M371" i="3"/>
  <c r="B371" i="3"/>
  <c r="A371" i="3"/>
  <c r="Y370" i="3"/>
  <c r="M370" i="3"/>
  <c r="A370" i="3"/>
  <c r="Y369" i="3"/>
  <c r="M369" i="3"/>
  <c r="A369" i="3"/>
  <c r="B369" i="3" s="1"/>
  <c r="Y368" i="3"/>
  <c r="M368" i="3"/>
  <c r="B368" i="3"/>
  <c r="A368" i="3"/>
  <c r="Y367" i="3"/>
  <c r="M367" i="3"/>
  <c r="A367" i="3"/>
  <c r="Y366" i="3"/>
  <c r="M366" i="3"/>
  <c r="A366" i="3"/>
  <c r="B366" i="3" s="1"/>
  <c r="Y365" i="3"/>
  <c r="M365" i="3"/>
  <c r="B365" i="3"/>
  <c r="A365" i="3"/>
  <c r="Y364" i="3"/>
  <c r="M364" i="3"/>
  <c r="A364" i="3"/>
  <c r="Y363" i="3"/>
  <c r="M363" i="3"/>
  <c r="A363" i="3"/>
  <c r="Y362" i="3"/>
  <c r="M362" i="3"/>
  <c r="A362" i="3"/>
  <c r="B362" i="3" s="1"/>
  <c r="Y361" i="3"/>
  <c r="M361" i="3"/>
  <c r="B361" i="3"/>
  <c r="A361" i="3"/>
  <c r="Y360" i="3"/>
  <c r="M360" i="3"/>
  <c r="B360" i="3"/>
  <c r="A360" i="3"/>
  <c r="Y359" i="3"/>
  <c r="M359" i="3"/>
  <c r="A359" i="3"/>
  <c r="Y358" i="3"/>
  <c r="M358" i="3"/>
  <c r="B358" i="3"/>
  <c r="A358" i="3"/>
  <c r="Y357" i="3"/>
  <c r="M357" i="3"/>
  <c r="A357" i="3"/>
  <c r="Y356" i="3"/>
  <c r="M356" i="3"/>
  <c r="A356" i="3"/>
  <c r="Y355" i="3"/>
  <c r="M355" i="3"/>
  <c r="B355" i="3"/>
  <c r="A355" i="3"/>
  <c r="Y354" i="3"/>
  <c r="M354" i="3"/>
  <c r="A354" i="3"/>
  <c r="Y353" i="3"/>
  <c r="M353" i="3"/>
  <c r="A353" i="3"/>
  <c r="Y352" i="3"/>
  <c r="M352" i="3"/>
  <c r="A352" i="3"/>
  <c r="B352" i="3" s="1"/>
  <c r="Y351" i="3"/>
  <c r="M351" i="3"/>
  <c r="B351" i="3"/>
  <c r="A351" i="3"/>
  <c r="Y350" i="3"/>
  <c r="M350" i="3"/>
  <c r="A350" i="3"/>
  <c r="Y349" i="3"/>
  <c r="M349" i="3"/>
  <c r="A349" i="3"/>
  <c r="B349" i="3" s="1"/>
  <c r="Y348" i="3"/>
  <c r="M348" i="3"/>
  <c r="A348" i="3"/>
  <c r="B348" i="3" s="1"/>
  <c r="Y347" i="3"/>
  <c r="M347" i="3"/>
  <c r="B347" i="3"/>
  <c r="A347" i="3"/>
  <c r="Y346" i="3"/>
  <c r="M346" i="3"/>
  <c r="B346" i="3"/>
  <c r="A346" i="3"/>
  <c r="Y345" i="3"/>
  <c r="M345" i="3"/>
  <c r="B345" i="3"/>
  <c r="A345" i="3"/>
  <c r="Y344" i="3"/>
  <c r="M344" i="3"/>
  <c r="B344" i="3"/>
  <c r="A344" i="3"/>
  <c r="Y343" i="3"/>
  <c r="M343" i="3"/>
  <c r="A343" i="3"/>
  <c r="B343" i="3" s="1"/>
  <c r="Y342" i="3"/>
  <c r="M342" i="3"/>
  <c r="A342" i="3"/>
  <c r="B342" i="3" s="1"/>
  <c r="Y341" i="3"/>
  <c r="M341" i="3"/>
  <c r="A341" i="3"/>
  <c r="Y340" i="3"/>
  <c r="M340" i="3"/>
  <c r="A340" i="3"/>
  <c r="Y339" i="3"/>
  <c r="M339" i="3"/>
  <c r="A339" i="3"/>
  <c r="Y338" i="3"/>
  <c r="M338" i="3"/>
  <c r="B338" i="3"/>
  <c r="A338" i="3"/>
  <c r="Y337" i="3"/>
  <c r="M337" i="3"/>
  <c r="B337" i="3"/>
  <c r="A337" i="3"/>
  <c r="Y336" i="3"/>
  <c r="M336" i="3"/>
  <c r="A336" i="3"/>
  <c r="Y335" i="3"/>
  <c r="M335" i="3"/>
  <c r="B335" i="3"/>
  <c r="A335" i="3"/>
  <c r="Y334" i="3"/>
  <c r="M334" i="3"/>
  <c r="A334" i="3"/>
  <c r="Y333" i="3"/>
  <c r="M333" i="3"/>
  <c r="B333" i="3"/>
  <c r="A333" i="3"/>
  <c r="Y332" i="3"/>
  <c r="M332" i="3"/>
  <c r="A332" i="3"/>
  <c r="B332" i="3" s="1"/>
  <c r="Y331" i="3"/>
  <c r="M331" i="3"/>
  <c r="A331" i="3"/>
  <c r="B331" i="3" s="1"/>
  <c r="Y330" i="3"/>
  <c r="M330" i="3"/>
  <c r="A330" i="3"/>
  <c r="Y329" i="3"/>
  <c r="M329" i="3"/>
  <c r="A329" i="3"/>
  <c r="B329" i="3" s="1"/>
  <c r="Y328" i="3"/>
  <c r="M328" i="3"/>
  <c r="A328" i="3"/>
  <c r="Y327" i="3"/>
  <c r="M327" i="3"/>
  <c r="A327" i="3"/>
  <c r="Y326" i="3"/>
  <c r="M326" i="3"/>
  <c r="A326" i="3"/>
  <c r="Y325" i="3"/>
  <c r="M325" i="3"/>
  <c r="B325" i="3"/>
  <c r="A325" i="3"/>
  <c r="Y324" i="3"/>
  <c r="M324" i="3"/>
  <c r="B324" i="3"/>
  <c r="A324" i="3"/>
  <c r="Y323" i="3"/>
  <c r="M323" i="3"/>
  <c r="A323" i="3"/>
  <c r="Y322" i="3"/>
  <c r="M322" i="3"/>
  <c r="A322" i="3"/>
  <c r="B322" i="3" s="1"/>
  <c r="Y321" i="3"/>
  <c r="M321" i="3"/>
  <c r="A321" i="3"/>
  <c r="Y320" i="3"/>
  <c r="M320" i="3"/>
  <c r="A320" i="3"/>
  <c r="Y319" i="3"/>
  <c r="M319" i="3"/>
  <c r="A319" i="3"/>
  <c r="Y318" i="3"/>
  <c r="M318" i="3"/>
  <c r="B318" i="3"/>
  <c r="A318" i="3"/>
  <c r="Y317" i="3"/>
  <c r="M317" i="3"/>
  <c r="B317" i="3"/>
  <c r="A317" i="3"/>
  <c r="Y316" i="3"/>
  <c r="M316" i="3"/>
  <c r="B316" i="3"/>
  <c r="A316" i="3"/>
  <c r="Y315" i="3"/>
  <c r="M315" i="3"/>
  <c r="B315" i="3"/>
  <c r="A315" i="3"/>
  <c r="Y314" i="3"/>
  <c r="M314" i="3"/>
  <c r="A314" i="3"/>
  <c r="Y313" i="3"/>
  <c r="M313" i="3"/>
  <c r="B313" i="3"/>
  <c r="A313" i="3"/>
  <c r="Y312" i="3"/>
  <c r="M312" i="3"/>
  <c r="A312" i="3"/>
  <c r="Y311" i="3"/>
  <c r="M311" i="3"/>
  <c r="B311" i="3"/>
  <c r="A311" i="3"/>
  <c r="Y310" i="3"/>
  <c r="M310" i="3"/>
  <c r="A310" i="3"/>
  <c r="Y309" i="3"/>
  <c r="M309" i="3"/>
  <c r="A309" i="3"/>
  <c r="B309" i="3" s="1"/>
  <c r="Y308" i="3"/>
  <c r="M308" i="3"/>
  <c r="A308" i="3"/>
  <c r="Y307" i="3"/>
  <c r="M307" i="3"/>
  <c r="B307" i="3"/>
  <c r="A307" i="3"/>
  <c r="Y306" i="3"/>
  <c r="M306" i="3"/>
  <c r="B306" i="3"/>
  <c r="A306" i="3"/>
  <c r="Y305" i="3"/>
  <c r="M305" i="3"/>
  <c r="B305" i="3"/>
  <c r="A305" i="3"/>
  <c r="Y304" i="3"/>
  <c r="M304" i="3"/>
  <c r="B304" i="3"/>
  <c r="A304" i="3"/>
  <c r="Y303" i="3"/>
  <c r="M303" i="3"/>
  <c r="A303" i="3"/>
  <c r="Y302" i="3"/>
  <c r="M302" i="3"/>
  <c r="A302" i="3"/>
  <c r="B302" i="3" s="1"/>
  <c r="Y301" i="3"/>
  <c r="M301" i="3"/>
  <c r="B301" i="3"/>
  <c r="A301" i="3"/>
  <c r="Y300" i="3"/>
  <c r="M300" i="3"/>
  <c r="B300" i="3"/>
  <c r="A300" i="3"/>
  <c r="Y299" i="3"/>
  <c r="M299" i="3"/>
  <c r="A299" i="3"/>
  <c r="B299" i="3" s="1"/>
  <c r="Y298" i="3"/>
  <c r="M298" i="3"/>
  <c r="A298" i="3"/>
  <c r="Y297" i="3"/>
  <c r="M297" i="3"/>
  <c r="A297" i="3"/>
  <c r="Y296" i="3"/>
  <c r="M296" i="3"/>
  <c r="B296" i="3"/>
  <c r="A296" i="3"/>
  <c r="Y295" i="3"/>
  <c r="M295" i="3"/>
  <c r="B295" i="3"/>
  <c r="A295" i="3"/>
  <c r="Y294" i="3"/>
  <c r="M294" i="3"/>
  <c r="A294" i="3"/>
  <c r="Y293" i="3"/>
  <c r="M293" i="3"/>
  <c r="A293" i="3"/>
  <c r="B293" i="3" s="1"/>
  <c r="Y292" i="3"/>
  <c r="M292" i="3"/>
  <c r="A292" i="3"/>
  <c r="Y291" i="3"/>
  <c r="M291" i="3"/>
  <c r="B291" i="3"/>
  <c r="A291" i="3"/>
  <c r="Y290" i="3"/>
  <c r="M290" i="3"/>
  <c r="A290" i="3"/>
  <c r="Y289" i="3"/>
  <c r="M289" i="3"/>
  <c r="B289" i="3"/>
  <c r="A289" i="3"/>
  <c r="Y288" i="3"/>
  <c r="M288" i="3"/>
  <c r="A288" i="3"/>
  <c r="Y287" i="3"/>
  <c r="M287" i="3"/>
  <c r="B287" i="3"/>
  <c r="A287" i="3"/>
  <c r="Y286" i="3"/>
  <c r="M286" i="3"/>
  <c r="A286" i="3"/>
  <c r="Y285" i="3"/>
  <c r="M285" i="3"/>
  <c r="B285" i="3"/>
  <c r="A285" i="3"/>
  <c r="Y284" i="3"/>
  <c r="M284" i="3"/>
  <c r="A284" i="3"/>
  <c r="Y283" i="3"/>
  <c r="M283" i="3"/>
  <c r="B283" i="3"/>
  <c r="A283" i="3"/>
  <c r="Y282" i="3"/>
  <c r="M282" i="3"/>
  <c r="B282" i="3"/>
  <c r="A282" i="3"/>
  <c r="Y281" i="3"/>
  <c r="M281" i="3"/>
  <c r="A281" i="3"/>
  <c r="Y280" i="3"/>
  <c r="M280" i="3"/>
  <c r="B280" i="3"/>
  <c r="A280" i="3"/>
  <c r="Y279" i="3"/>
  <c r="M279" i="3"/>
  <c r="A279" i="3"/>
  <c r="Y278" i="3"/>
  <c r="M278" i="3"/>
  <c r="A278" i="3"/>
  <c r="B278" i="3" s="1"/>
  <c r="Y277" i="3"/>
  <c r="M277" i="3"/>
  <c r="B277" i="3"/>
  <c r="A277" i="3"/>
  <c r="Y276" i="3"/>
  <c r="M276" i="3"/>
  <c r="B276" i="3"/>
  <c r="A276" i="3"/>
  <c r="Y275" i="3"/>
  <c r="M275" i="3"/>
  <c r="A275" i="3"/>
  <c r="Y274" i="3"/>
  <c r="M274" i="3"/>
  <c r="A274" i="3"/>
  <c r="B274" i="3" s="1"/>
  <c r="Y273" i="3"/>
  <c r="M273" i="3"/>
  <c r="B273" i="3"/>
  <c r="A273" i="3"/>
  <c r="Y272" i="3"/>
  <c r="M272" i="3"/>
  <c r="A272" i="3"/>
  <c r="Y271" i="3"/>
  <c r="M271" i="3"/>
  <c r="A271" i="3"/>
  <c r="Y270" i="3"/>
  <c r="M270" i="3"/>
  <c r="B270" i="3"/>
  <c r="A270" i="3"/>
  <c r="Y269" i="3"/>
  <c r="M269" i="3"/>
  <c r="A269" i="3"/>
  <c r="Y268" i="3"/>
  <c r="M268" i="3"/>
  <c r="A268" i="3"/>
  <c r="Y267" i="3"/>
  <c r="M267" i="3"/>
  <c r="B267" i="3"/>
  <c r="A267" i="3"/>
  <c r="Y266" i="3"/>
  <c r="M266" i="3"/>
  <c r="B266" i="3"/>
  <c r="A266" i="3"/>
  <c r="Y265" i="3"/>
  <c r="M265" i="3"/>
  <c r="A265" i="3"/>
  <c r="Y264" i="3"/>
  <c r="M264" i="3"/>
  <c r="A264" i="3"/>
  <c r="B264" i="3" s="1"/>
  <c r="Y263" i="3"/>
  <c r="M263" i="3"/>
  <c r="A263" i="3"/>
  <c r="B263" i="3" s="1"/>
  <c r="Y262" i="3"/>
  <c r="M262" i="3"/>
  <c r="A262" i="3"/>
  <c r="Y261" i="3"/>
  <c r="M261" i="3"/>
  <c r="A261" i="3"/>
  <c r="B261" i="3" s="1"/>
  <c r="Y260" i="3"/>
  <c r="M260" i="3"/>
  <c r="B260" i="3"/>
  <c r="A260" i="3"/>
  <c r="Y259" i="3"/>
  <c r="M259" i="3"/>
  <c r="B259" i="3"/>
  <c r="A259" i="3"/>
  <c r="Y258" i="3"/>
  <c r="M258" i="3"/>
  <c r="A258" i="3"/>
  <c r="B258" i="3" s="1"/>
  <c r="Y257" i="3"/>
  <c r="M257" i="3"/>
  <c r="B257" i="3"/>
  <c r="A257" i="3"/>
  <c r="Y256" i="3"/>
  <c r="M256" i="3"/>
  <c r="A256" i="3"/>
  <c r="Y255" i="3"/>
  <c r="M255" i="3"/>
  <c r="A255" i="3"/>
  <c r="B255" i="3" s="1"/>
  <c r="Y254" i="3"/>
  <c r="M254" i="3"/>
  <c r="A254" i="3"/>
  <c r="B254" i="3" s="1"/>
  <c r="Y253" i="3"/>
  <c r="M253" i="3"/>
  <c r="B253" i="3"/>
  <c r="A253" i="3"/>
  <c r="Y252" i="3"/>
  <c r="M252" i="3"/>
  <c r="A252" i="3"/>
  <c r="Y251" i="3"/>
  <c r="M251" i="3"/>
  <c r="A251" i="3"/>
  <c r="B251" i="3" s="1"/>
  <c r="Y250" i="3"/>
  <c r="M250" i="3"/>
  <c r="B250" i="3"/>
  <c r="A250" i="3"/>
  <c r="Y249" i="3"/>
  <c r="M249" i="3"/>
  <c r="A249" i="3"/>
  <c r="Y248" i="3"/>
  <c r="M248" i="3"/>
  <c r="B248" i="3"/>
  <c r="A248" i="3"/>
  <c r="Y247" i="3"/>
  <c r="M247" i="3"/>
  <c r="B247" i="3"/>
  <c r="A247" i="3"/>
  <c r="Y246" i="3"/>
  <c r="M246" i="3"/>
  <c r="A246" i="3"/>
  <c r="Y245" i="3"/>
  <c r="M245" i="3"/>
  <c r="B245" i="3"/>
  <c r="A245" i="3"/>
  <c r="Y244" i="3"/>
  <c r="M244" i="3"/>
  <c r="A244" i="3"/>
  <c r="B244" i="3" s="1"/>
  <c r="Y243" i="3"/>
  <c r="M243" i="3"/>
  <c r="A243" i="3"/>
  <c r="Y242" i="3"/>
  <c r="M242" i="3"/>
  <c r="A242" i="3"/>
  <c r="Y241" i="3"/>
  <c r="M241" i="3"/>
  <c r="A241" i="3"/>
  <c r="B241" i="3" s="1"/>
  <c r="Y240" i="3"/>
  <c r="M240" i="3"/>
  <c r="A240" i="3"/>
  <c r="Y239" i="3"/>
  <c r="M239" i="3"/>
  <c r="B239" i="3"/>
  <c r="A239" i="3"/>
  <c r="Y238" i="3"/>
  <c r="M238" i="3"/>
  <c r="A238" i="3"/>
  <c r="Y237" i="3"/>
  <c r="M237" i="3"/>
  <c r="B237" i="3"/>
  <c r="A237" i="3"/>
  <c r="Y236" i="3"/>
  <c r="M236" i="3"/>
  <c r="B236" i="3"/>
  <c r="A236" i="3"/>
  <c r="Y235" i="3"/>
  <c r="M235" i="3"/>
  <c r="B235" i="3"/>
  <c r="A235" i="3"/>
  <c r="Y234" i="3"/>
  <c r="M234" i="3"/>
  <c r="A234" i="3"/>
  <c r="B234" i="3" s="1"/>
  <c r="Y233" i="3"/>
  <c r="M233" i="3"/>
  <c r="B233" i="3"/>
  <c r="A233" i="3"/>
  <c r="Y232" i="3"/>
  <c r="M232" i="3"/>
  <c r="A232" i="3"/>
  <c r="Y231" i="3"/>
  <c r="M231" i="3"/>
  <c r="A231" i="3"/>
  <c r="Y230" i="3"/>
  <c r="M230" i="3"/>
  <c r="B230" i="3"/>
  <c r="A230" i="3"/>
  <c r="Y229" i="3"/>
  <c r="M229" i="3"/>
  <c r="A229" i="3"/>
  <c r="Y228" i="3"/>
  <c r="M228" i="3"/>
  <c r="B228" i="3"/>
  <c r="A228" i="3"/>
  <c r="Y227" i="3"/>
  <c r="M227" i="3"/>
  <c r="B227" i="3"/>
  <c r="A227" i="3"/>
  <c r="Y226" i="3"/>
  <c r="M226" i="3"/>
  <c r="A226" i="3"/>
  <c r="Y225" i="3"/>
  <c r="M225" i="3"/>
  <c r="B225" i="3"/>
  <c r="A225" i="3"/>
  <c r="Y224" i="3"/>
  <c r="M224" i="3"/>
  <c r="A224" i="3"/>
  <c r="B224" i="3" s="1"/>
  <c r="Y223" i="3"/>
  <c r="M223" i="3"/>
  <c r="A223" i="3"/>
  <c r="Y222" i="3"/>
  <c r="M222" i="3"/>
  <c r="A222" i="3"/>
  <c r="Y221" i="3"/>
  <c r="M221" i="3"/>
  <c r="A221" i="3"/>
  <c r="B221" i="3" s="1"/>
  <c r="Y220" i="3"/>
  <c r="M220" i="3"/>
  <c r="A220" i="3"/>
  <c r="Y219" i="3"/>
  <c r="M219" i="3"/>
  <c r="B219" i="3"/>
  <c r="A219" i="3"/>
  <c r="Y218" i="3"/>
  <c r="M218" i="3"/>
  <c r="A218" i="3"/>
  <c r="Y217" i="3"/>
  <c r="M217" i="3"/>
  <c r="B217" i="3"/>
  <c r="A217" i="3"/>
  <c r="Y216" i="3"/>
  <c r="M216" i="3"/>
  <c r="B216" i="3"/>
  <c r="A216" i="3"/>
  <c r="Y215" i="3"/>
  <c r="M215" i="3"/>
  <c r="A215" i="3"/>
  <c r="Y214" i="3"/>
  <c r="M214" i="3"/>
  <c r="A214" i="3"/>
  <c r="B214" i="3" s="1"/>
  <c r="Y213" i="3"/>
  <c r="M213" i="3"/>
  <c r="A213" i="3"/>
  <c r="B213" i="3" s="1"/>
  <c r="Y212" i="3"/>
  <c r="M212" i="3"/>
  <c r="B212" i="3"/>
  <c r="A212" i="3"/>
  <c r="Y211" i="3"/>
  <c r="M211" i="3"/>
  <c r="B211" i="3"/>
  <c r="A211" i="3"/>
  <c r="Y210" i="3"/>
  <c r="M210" i="3"/>
  <c r="A210" i="3"/>
  <c r="Y209" i="3"/>
  <c r="M209" i="3"/>
  <c r="B209" i="3"/>
  <c r="A209" i="3"/>
  <c r="Y208" i="3"/>
  <c r="M208" i="3"/>
  <c r="B208" i="3"/>
  <c r="A208" i="3"/>
  <c r="Y207" i="3"/>
  <c r="M207" i="3"/>
  <c r="B207" i="3"/>
  <c r="A207" i="3"/>
  <c r="Y206" i="3"/>
  <c r="M206" i="3"/>
  <c r="A206" i="3"/>
  <c r="Y205" i="3"/>
  <c r="M205" i="3"/>
  <c r="A205" i="3"/>
  <c r="B205" i="3" s="1"/>
  <c r="Y204" i="3"/>
  <c r="M204" i="3"/>
  <c r="A204" i="3"/>
  <c r="Y203" i="3"/>
  <c r="M203" i="3"/>
  <c r="A203" i="3"/>
  <c r="B203" i="3" s="1"/>
  <c r="Y202" i="3"/>
  <c r="M202" i="3"/>
  <c r="A202" i="3"/>
  <c r="Y201" i="3"/>
  <c r="M201" i="3"/>
  <c r="B201" i="3"/>
  <c r="A201" i="3"/>
  <c r="Y200" i="3"/>
  <c r="M200" i="3"/>
  <c r="A200" i="3"/>
  <c r="B200" i="3" s="1"/>
  <c r="Y199" i="3"/>
  <c r="M199" i="3"/>
  <c r="A199" i="3"/>
  <c r="Y198" i="3"/>
  <c r="M198" i="3"/>
  <c r="B198" i="3"/>
  <c r="A198" i="3"/>
  <c r="Y197" i="3"/>
  <c r="M197" i="3"/>
  <c r="B197" i="3"/>
  <c r="A197" i="3"/>
  <c r="Y196" i="3"/>
  <c r="M196" i="3"/>
  <c r="B196" i="3"/>
  <c r="A196" i="3"/>
  <c r="Y195" i="3"/>
  <c r="M195" i="3"/>
  <c r="A195" i="3"/>
  <c r="Y194" i="3"/>
  <c r="M194" i="3"/>
  <c r="A194" i="3"/>
  <c r="Y193" i="3"/>
  <c r="M193" i="3"/>
  <c r="A193" i="3"/>
  <c r="Y192" i="3"/>
  <c r="M192" i="3"/>
  <c r="A192" i="3"/>
  <c r="Y191" i="3"/>
  <c r="M191" i="3"/>
  <c r="A191" i="3"/>
  <c r="Y190" i="3"/>
  <c r="M190" i="3"/>
  <c r="A190" i="3"/>
  <c r="Y189" i="3"/>
  <c r="M189" i="3"/>
  <c r="A189" i="3"/>
  <c r="Y188" i="3"/>
  <c r="M188" i="3"/>
  <c r="B188" i="3"/>
  <c r="A188" i="3"/>
  <c r="Y187" i="3"/>
  <c r="M187" i="3"/>
  <c r="B187" i="3"/>
  <c r="A187" i="3"/>
  <c r="Y186" i="3"/>
  <c r="M186" i="3"/>
  <c r="A186" i="3"/>
  <c r="Y185" i="3"/>
  <c r="M185" i="3"/>
  <c r="B185" i="3"/>
  <c r="A185" i="3"/>
  <c r="Y184" i="3"/>
  <c r="M184" i="3"/>
  <c r="A184" i="3"/>
  <c r="Y183" i="3"/>
  <c r="M183" i="3"/>
  <c r="B183" i="3"/>
  <c r="A183" i="3"/>
  <c r="Y182" i="3"/>
  <c r="M182" i="3"/>
  <c r="A182" i="3"/>
  <c r="B182" i="3" s="1"/>
  <c r="Y181" i="3"/>
  <c r="M181" i="3"/>
  <c r="A181" i="3"/>
  <c r="B181" i="3" s="1"/>
  <c r="Y180" i="3"/>
  <c r="M180" i="3"/>
  <c r="A180" i="3"/>
  <c r="B180" i="3" s="1"/>
  <c r="Y179" i="3"/>
  <c r="M179" i="3"/>
  <c r="A179" i="3"/>
  <c r="Y178" i="3"/>
  <c r="M178" i="3"/>
  <c r="A178" i="3"/>
  <c r="B178" i="3" s="1"/>
  <c r="Y177" i="3"/>
  <c r="M177" i="3"/>
  <c r="B177" i="3"/>
  <c r="A177" i="3"/>
  <c r="Y176" i="3"/>
  <c r="M176" i="3"/>
  <c r="A176" i="3"/>
  <c r="B176" i="3" s="1"/>
  <c r="Y175" i="3"/>
  <c r="M175" i="3"/>
  <c r="B175" i="3"/>
  <c r="A175" i="3"/>
  <c r="Y174" i="3"/>
  <c r="M174" i="3"/>
  <c r="A174" i="3"/>
  <c r="B174" i="3" s="1"/>
  <c r="Y173" i="3"/>
  <c r="M173" i="3"/>
  <c r="A173" i="3"/>
  <c r="Y172" i="3"/>
  <c r="M172" i="3"/>
  <c r="B172" i="3"/>
  <c r="A172" i="3"/>
  <c r="Y171" i="3"/>
  <c r="M171" i="3"/>
  <c r="A171" i="3"/>
  <c r="Y170" i="3"/>
  <c r="M170" i="3"/>
  <c r="A170" i="3"/>
  <c r="B170" i="3" s="1"/>
  <c r="Y169" i="3"/>
  <c r="M169" i="3"/>
  <c r="B169" i="3"/>
  <c r="A169" i="3"/>
  <c r="Y168" i="3"/>
  <c r="M168" i="3"/>
  <c r="A168" i="3"/>
  <c r="Y167" i="3"/>
  <c r="M167" i="3"/>
  <c r="A167" i="3"/>
  <c r="Y166" i="3"/>
  <c r="M166" i="3"/>
  <c r="B166" i="3"/>
  <c r="A166" i="3"/>
  <c r="Y165" i="3"/>
  <c r="M165" i="3"/>
  <c r="B165" i="3"/>
  <c r="A165" i="3"/>
  <c r="Y164" i="3"/>
  <c r="M164" i="3"/>
  <c r="A164" i="3"/>
  <c r="Y163" i="3"/>
  <c r="M163" i="3"/>
  <c r="B163" i="3"/>
  <c r="A163" i="3"/>
  <c r="Y162" i="3"/>
  <c r="M162" i="3"/>
  <c r="A162" i="3"/>
  <c r="Y161" i="3"/>
  <c r="M161" i="3"/>
  <c r="A161" i="3"/>
  <c r="Y160" i="3"/>
  <c r="M160" i="3"/>
  <c r="A160" i="3"/>
  <c r="B160" i="3" s="1"/>
  <c r="Y159" i="3"/>
  <c r="M159" i="3"/>
  <c r="A159" i="3"/>
  <c r="B159" i="3" s="1"/>
  <c r="Y158" i="3"/>
  <c r="M158" i="3"/>
  <c r="B158" i="3"/>
  <c r="A158" i="3"/>
  <c r="Y157" i="3"/>
  <c r="M157" i="3"/>
  <c r="A157" i="3"/>
  <c r="Y156" i="3"/>
  <c r="M156" i="3"/>
  <c r="B156" i="3"/>
  <c r="A156" i="3"/>
  <c r="Y155" i="3"/>
  <c r="M155" i="3"/>
  <c r="B155" i="3"/>
  <c r="A155" i="3"/>
  <c r="Y154" i="3"/>
  <c r="M154" i="3"/>
  <c r="A154" i="3"/>
  <c r="B154" i="3" s="1"/>
  <c r="Y153" i="3"/>
  <c r="M153" i="3"/>
  <c r="B153" i="3"/>
  <c r="A153" i="3"/>
  <c r="Y152" i="3"/>
  <c r="M152" i="3"/>
  <c r="A152" i="3"/>
  <c r="Y151" i="3"/>
  <c r="M151" i="3"/>
  <c r="A151" i="3"/>
  <c r="Y150" i="3"/>
  <c r="M150" i="3"/>
  <c r="A150" i="3"/>
  <c r="B150" i="3" s="1"/>
  <c r="Y149" i="3"/>
  <c r="M149" i="3"/>
  <c r="B149" i="3"/>
  <c r="A149" i="3"/>
  <c r="Y148" i="3"/>
  <c r="M148" i="3"/>
  <c r="B148" i="3"/>
  <c r="A148" i="3"/>
  <c r="Y147" i="3"/>
  <c r="M147" i="3"/>
  <c r="A147" i="3"/>
  <c r="Y146" i="3"/>
  <c r="M146" i="3"/>
  <c r="B146" i="3"/>
  <c r="A146" i="3"/>
  <c r="Y145" i="3"/>
  <c r="M145" i="3"/>
  <c r="B145" i="3"/>
  <c r="A145" i="3"/>
  <c r="Y144" i="3"/>
  <c r="M144" i="3"/>
  <c r="A144" i="3"/>
  <c r="Y143" i="3"/>
  <c r="M143" i="3"/>
  <c r="B143" i="3"/>
  <c r="A143" i="3"/>
  <c r="Y142" i="3"/>
  <c r="M142" i="3"/>
  <c r="A142" i="3"/>
  <c r="Y141" i="3"/>
  <c r="M141" i="3"/>
  <c r="A141" i="3"/>
  <c r="Y140" i="3"/>
  <c r="M140" i="3"/>
  <c r="A140" i="3"/>
  <c r="B140" i="3" s="1"/>
  <c r="Y139" i="3"/>
  <c r="M139" i="3"/>
  <c r="A139" i="3"/>
  <c r="B139" i="3" s="1"/>
  <c r="Y138" i="3"/>
  <c r="M138" i="3"/>
  <c r="B138" i="3"/>
  <c r="A138" i="3"/>
  <c r="Y137" i="3"/>
  <c r="M137" i="3"/>
  <c r="A137" i="3"/>
  <c r="Y136" i="3"/>
  <c r="M136" i="3"/>
  <c r="B136" i="3"/>
  <c r="A136" i="3"/>
  <c r="Y135" i="3"/>
  <c r="M135" i="3"/>
  <c r="B135" i="3"/>
  <c r="A135" i="3"/>
  <c r="Y134" i="3"/>
  <c r="M134" i="3"/>
  <c r="A134" i="3"/>
  <c r="B134" i="3" s="1"/>
  <c r="Y133" i="3"/>
  <c r="M133" i="3"/>
  <c r="B133" i="3"/>
  <c r="A133" i="3"/>
  <c r="Y132" i="3"/>
  <c r="M132" i="3"/>
  <c r="A132" i="3"/>
  <c r="Y131" i="3"/>
  <c r="M131" i="3"/>
  <c r="A131" i="3"/>
  <c r="B131" i="3" s="1"/>
  <c r="Y130" i="3"/>
  <c r="M130" i="3"/>
  <c r="A130" i="3"/>
  <c r="B130" i="3" s="1"/>
  <c r="Y129" i="3"/>
  <c r="M129" i="3"/>
  <c r="B129" i="3"/>
  <c r="A129" i="3"/>
  <c r="Y128" i="3"/>
  <c r="M128" i="3"/>
  <c r="A128" i="3"/>
  <c r="Y127" i="3"/>
  <c r="M127" i="3"/>
  <c r="A127" i="3"/>
  <c r="Y126" i="3"/>
  <c r="M126" i="3"/>
  <c r="B126" i="3"/>
  <c r="A126" i="3"/>
  <c r="Y125" i="3"/>
  <c r="M125" i="3"/>
  <c r="B125" i="3"/>
  <c r="A125" i="3"/>
  <c r="Y124" i="3"/>
  <c r="M124" i="3"/>
  <c r="B124" i="3"/>
  <c r="A124" i="3"/>
  <c r="Y123" i="3"/>
  <c r="M123" i="3"/>
  <c r="B123" i="3"/>
  <c r="A123" i="3"/>
  <c r="Y122" i="3"/>
  <c r="M122" i="3"/>
  <c r="A122" i="3"/>
  <c r="Y121" i="3"/>
  <c r="M121" i="3"/>
  <c r="A121" i="3"/>
  <c r="Y120" i="3"/>
  <c r="M120" i="3"/>
  <c r="A120" i="3"/>
  <c r="B120" i="3" s="1"/>
  <c r="Y119" i="3"/>
  <c r="M119" i="3"/>
  <c r="A119" i="3"/>
  <c r="B119" i="3" s="1"/>
  <c r="Y118" i="3"/>
  <c r="M118" i="3"/>
  <c r="B118" i="3"/>
  <c r="A118" i="3"/>
  <c r="Y117" i="3"/>
  <c r="M117" i="3"/>
  <c r="A117" i="3"/>
  <c r="Y116" i="3"/>
  <c r="M116" i="3"/>
  <c r="B116" i="3"/>
  <c r="A116" i="3"/>
  <c r="Y115" i="3"/>
  <c r="M115" i="3"/>
  <c r="B115" i="3"/>
  <c r="A115" i="3"/>
  <c r="Y114" i="3"/>
  <c r="M114" i="3"/>
  <c r="A114" i="3"/>
  <c r="B114" i="3" s="1"/>
  <c r="Y113" i="3"/>
  <c r="M113" i="3"/>
  <c r="B113" i="3"/>
  <c r="A113" i="3"/>
  <c r="Y112" i="3"/>
  <c r="M112" i="3"/>
  <c r="A112" i="3"/>
  <c r="Y111" i="3"/>
  <c r="M111" i="3"/>
  <c r="A111" i="3"/>
  <c r="B111" i="3" s="1"/>
  <c r="Y110" i="3"/>
  <c r="M110" i="3"/>
  <c r="A110" i="3"/>
  <c r="B110" i="3" s="1"/>
  <c r="Y109" i="3"/>
  <c r="M109" i="3"/>
  <c r="B109" i="3"/>
  <c r="A109" i="3"/>
  <c r="Y108" i="3"/>
  <c r="M108" i="3"/>
  <c r="B108" i="3"/>
  <c r="A108" i="3"/>
  <c r="Y107" i="3"/>
  <c r="M107" i="3"/>
  <c r="A107" i="3"/>
  <c r="Y106" i="3"/>
  <c r="M106" i="3"/>
  <c r="B106" i="3"/>
  <c r="A106" i="3"/>
  <c r="Y105" i="3"/>
  <c r="M105" i="3"/>
  <c r="B105" i="3"/>
  <c r="A105" i="3"/>
  <c r="Y104" i="3"/>
  <c r="M104" i="3"/>
  <c r="A104" i="3"/>
  <c r="Y103" i="3"/>
  <c r="M103" i="3"/>
  <c r="B103" i="3"/>
  <c r="A103" i="3"/>
  <c r="Y102" i="3"/>
  <c r="M102" i="3"/>
  <c r="A102" i="3"/>
  <c r="Y101" i="3"/>
  <c r="M101" i="3"/>
  <c r="A101" i="3"/>
  <c r="Y100" i="3"/>
  <c r="M100" i="3"/>
  <c r="A100" i="3"/>
  <c r="B100" i="3" s="1"/>
  <c r="Y99" i="3"/>
  <c r="M99" i="3"/>
  <c r="A99" i="3"/>
  <c r="B99" i="3" s="1"/>
  <c r="Y98" i="3"/>
  <c r="M98" i="3"/>
  <c r="B98" i="3"/>
  <c r="A98" i="3"/>
  <c r="Y97" i="3"/>
  <c r="M97" i="3"/>
  <c r="A97" i="3"/>
  <c r="Y96" i="3"/>
  <c r="M96" i="3"/>
  <c r="B96" i="3"/>
  <c r="A96" i="3"/>
  <c r="Y95" i="3"/>
  <c r="M95" i="3"/>
  <c r="B95" i="3"/>
  <c r="A95" i="3"/>
  <c r="Y94" i="3"/>
  <c r="M94" i="3"/>
  <c r="A94" i="3"/>
  <c r="B94" i="3" s="1"/>
  <c r="Y93" i="3"/>
  <c r="M93" i="3"/>
  <c r="B93" i="3"/>
  <c r="A93" i="3"/>
  <c r="Y92" i="3"/>
  <c r="M92" i="3"/>
  <c r="A92" i="3"/>
  <c r="Y91" i="3"/>
  <c r="M91" i="3"/>
  <c r="A91" i="3"/>
  <c r="B91" i="3" s="1"/>
  <c r="Y90" i="3"/>
  <c r="M90" i="3"/>
  <c r="A90" i="3"/>
  <c r="B90" i="3" s="1"/>
  <c r="Y89" i="3"/>
  <c r="M89" i="3"/>
  <c r="B89" i="3"/>
  <c r="A89" i="3"/>
  <c r="Y88" i="3"/>
  <c r="M88" i="3"/>
  <c r="B88" i="3"/>
  <c r="A88" i="3"/>
  <c r="Y87" i="3"/>
  <c r="M87" i="3"/>
  <c r="B87" i="3"/>
  <c r="A87" i="3"/>
  <c r="Y86" i="3"/>
  <c r="M86" i="3"/>
  <c r="A86" i="3"/>
  <c r="Y85" i="3"/>
  <c r="M85" i="3"/>
  <c r="B85" i="3"/>
  <c r="A85" i="3"/>
  <c r="Y84" i="3"/>
  <c r="M84" i="3"/>
  <c r="B84" i="3"/>
  <c r="A84" i="3"/>
  <c r="Y83" i="3"/>
  <c r="M83" i="3"/>
  <c r="B83" i="3"/>
  <c r="A83" i="3"/>
  <c r="Y82" i="3"/>
  <c r="M82" i="3"/>
  <c r="B82" i="3"/>
  <c r="A82" i="3"/>
  <c r="Y81" i="3"/>
  <c r="M81" i="3"/>
  <c r="B81" i="3"/>
  <c r="A81" i="3"/>
  <c r="Y80" i="3"/>
  <c r="M80" i="3"/>
  <c r="A80" i="3"/>
  <c r="B80" i="3" s="1"/>
  <c r="Y79" i="3"/>
  <c r="M79" i="3"/>
  <c r="A79" i="3"/>
  <c r="Y78" i="3"/>
  <c r="M78" i="3"/>
  <c r="B78" i="3"/>
  <c r="A78" i="3"/>
  <c r="Y77" i="3"/>
  <c r="M77" i="3"/>
  <c r="A77" i="3"/>
  <c r="Y76" i="3"/>
  <c r="M76" i="3"/>
  <c r="B76" i="3"/>
  <c r="A76" i="3"/>
  <c r="Y75" i="3"/>
  <c r="M75" i="3"/>
  <c r="A75" i="3"/>
  <c r="B75" i="3" s="1"/>
  <c r="Y74" i="3"/>
  <c r="M74" i="3"/>
  <c r="A74" i="3"/>
  <c r="Y73" i="3"/>
  <c r="M73" i="3"/>
  <c r="B73" i="3"/>
  <c r="A73" i="3"/>
  <c r="Y72" i="3"/>
  <c r="M72" i="3"/>
  <c r="A72" i="3"/>
  <c r="Y71" i="3"/>
  <c r="M71" i="3"/>
  <c r="A71" i="3"/>
  <c r="B71" i="3" s="1"/>
  <c r="Y70" i="3"/>
  <c r="M70" i="3"/>
  <c r="A70" i="3"/>
  <c r="Y69" i="3"/>
  <c r="M69" i="3"/>
  <c r="B69" i="3"/>
  <c r="A69" i="3"/>
  <c r="Y68" i="3"/>
  <c r="M68" i="3"/>
  <c r="A68" i="3"/>
  <c r="Y67" i="3"/>
  <c r="M67" i="3"/>
  <c r="A67" i="3"/>
  <c r="B67" i="3" s="1"/>
  <c r="Y66" i="3"/>
  <c r="M66" i="3"/>
  <c r="B66" i="3"/>
  <c r="A66" i="3"/>
  <c r="Y65" i="3"/>
  <c r="M65" i="3"/>
  <c r="B65" i="3"/>
  <c r="A65" i="3"/>
  <c r="Y64" i="3"/>
  <c r="M64" i="3"/>
  <c r="A64" i="3"/>
  <c r="Y63" i="3"/>
  <c r="M63" i="3"/>
  <c r="B63" i="3"/>
  <c r="A63" i="3"/>
  <c r="Y62" i="3"/>
  <c r="M62" i="3"/>
  <c r="A62" i="3"/>
  <c r="Y61" i="3"/>
  <c r="M61" i="3"/>
  <c r="B61" i="3"/>
  <c r="A61" i="3"/>
  <c r="Y60" i="3"/>
  <c r="M60" i="3"/>
  <c r="A60" i="3"/>
  <c r="B60" i="3" s="1"/>
  <c r="Y59" i="3"/>
  <c r="M59" i="3"/>
  <c r="A59" i="3"/>
  <c r="Y58" i="3"/>
  <c r="M58" i="3"/>
  <c r="B58" i="3"/>
  <c r="A58" i="3"/>
  <c r="Y57" i="3"/>
  <c r="M57" i="3"/>
  <c r="A57" i="3"/>
  <c r="B57" i="3" s="1"/>
  <c r="Y56" i="3"/>
  <c r="M56" i="3"/>
  <c r="B56" i="3"/>
  <c r="A56" i="3"/>
  <c r="Y55" i="3"/>
  <c r="M55" i="3"/>
  <c r="A55" i="3"/>
  <c r="B55" i="3" s="1"/>
  <c r="Y54" i="3"/>
  <c r="M54" i="3"/>
  <c r="B54" i="3"/>
  <c r="A54" i="3"/>
  <c r="Y53" i="3"/>
  <c r="M53" i="3"/>
  <c r="B53" i="3"/>
  <c r="A53" i="3"/>
  <c r="Y52" i="3"/>
  <c r="M52" i="3"/>
  <c r="B52" i="3"/>
  <c r="A52" i="3"/>
  <c r="Y51" i="3"/>
  <c r="M51" i="3"/>
  <c r="A51" i="3"/>
  <c r="Y50" i="3"/>
  <c r="M50" i="3"/>
  <c r="A50" i="3"/>
  <c r="B50" i="3" s="1"/>
  <c r="Y49" i="3"/>
  <c r="M49" i="3"/>
  <c r="A49" i="3"/>
  <c r="Y48" i="3"/>
  <c r="M48" i="3"/>
  <c r="A48" i="3"/>
  <c r="B48" i="3" s="1"/>
  <c r="Y47" i="3"/>
  <c r="M47" i="3"/>
  <c r="A47" i="3"/>
  <c r="B47" i="3" s="1"/>
  <c r="Y46" i="3"/>
  <c r="M46" i="3"/>
  <c r="A46" i="3"/>
  <c r="Y45" i="3"/>
  <c r="M45" i="3"/>
  <c r="B45" i="3"/>
  <c r="A45" i="3"/>
  <c r="Y44" i="3"/>
  <c r="M44" i="3"/>
  <c r="A44" i="3"/>
  <c r="Y43" i="3"/>
  <c r="M43" i="3"/>
  <c r="B43" i="3"/>
  <c r="A43" i="3"/>
  <c r="Y42" i="3"/>
  <c r="M42" i="3"/>
  <c r="A42" i="3"/>
  <c r="Y41" i="3"/>
  <c r="M41" i="3"/>
  <c r="A41" i="3"/>
  <c r="B41" i="3" s="1"/>
  <c r="Y40" i="3"/>
  <c r="M40" i="3"/>
  <c r="A40" i="3"/>
  <c r="Y39" i="3"/>
  <c r="M39" i="3"/>
  <c r="B39" i="3"/>
  <c r="A39" i="3"/>
  <c r="Y38" i="3"/>
  <c r="M38" i="3"/>
  <c r="A38" i="3"/>
  <c r="B38" i="3" s="1"/>
  <c r="Y37" i="3"/>
  <c r="M37" i="3"/>
  <c r="A37" i="3"/>
  <c r="Y36" i="3"/>
  <c r="M36" i="3"/>
  <c r="A36" i="3"/>
  <c r="Y35" i="3"/>
  <c r="M35" i="3"/>
  <c r="A35" i="3"/>
  <c r="Y34" i="3"/>
  <c r="M34" i="3"/>
  <c r="B34" i="3"/>
  <c r="A34" i="3"/>
  <c r="Y33" i="3"/>
  <c r="M33" i="3"/>
  <c r="B33" i="3"/>
  <c r="A33" i="3"/>
  <c r="Y32" i="3"/>
  <c r="M32" i="3"/>
  <c r="B32" i="3"/>
  <c r="A32" i="3"/>
  <c r="Y31" i="3"/>
  <c r="M31" i="3"/>
  <c r="A31" i="3"/>
  <c r="Y30" i="3"/>
  <c r="M30" i="3"/>
  <c r="A30" i="3"/>
  <c r="B30" i="3" s="1"/>
  <c r="Y29" i="3"/>
  <c r="M29" i="3"/>
  <c r="A29" i="3"/>
  <c r="B29" i="3" s="1"/>
  <c r="Y28" i="3"/>
  <c r="M28" i="3"/>
  <c r="B28" i="3"/>
  <c r="A28" i="3"/>
  <c r="Y27" i="3"/>
  <c r="M27" i="3"/>
  <c r="A27" i="3"/>
  <c r="Y26" i="3"/>
  <c r="M26" i="3"/>
  <c r="B26" i="3"/>
  <c r="A26" i="3"/>
  <c r="Y25" i="3"/>
  <c r="M25" i="3"/>
  <c r="A25" i="3"/>
  <c r="B25" i="3" s="1"/>
  <c r="Y24" i="3"/>
  <c r="M24" i="3"/>
  <c r="A24" i="3"/>
  <c r="Y23" i="3"/>
  <c r="M23" i="3"/>
  <c r="B23" i="3"/>
  <c r="A23" i="3"/>
  <c r="Y22" i="3"/>
  <c r="M22" i="3"/>
  <c r="A22" i="3"/>
  <c r="B22" i="3" s="1"/>
  <c r="Y21" i="3"/>
  <c r="M21" i="3"/>
  <c r="A21" i="3"/>
  <c r="B21" i="3" s="1"/>
  <c r="Y20" i="3"/>
  <c r="M20" i="3"/>
  <c r="B20" i="3"/>
  <c r="A20" i="3"/>
  <c r="Y19" i="3"/>
  <c r="M19" i="3"/>
  <c r="A19" i="3"/>
  <c r="Y18" i="3"/>
  <c r="M18" i="3"/>
  <c r="A18" i="3"/>
  <c r="B18" i="3" s="1"/>
  <c r="Y17" i="3"/>
  <c r="M17" i="3"/>
  <c r="A17" i="3"/>
  <c r="B17" i="3" s="1"/>
  <c r="Y16" i="3"/>
  <c r="M16" i="3"/>
  <c r="A16" i="3"/>
  <c r="Y15" i="3"/>
  <c r="M15" i="3"/>
  <c r="A15" i="3"/>
  <c r="Y14" i="3"/>
  <c r="M14" i="3"/>
  <c r="B14" i="3"/>
  <c r="A14" i="3"/>
  <c r="Y13" i="3"/>
  <c r="M13" i="3"/>
  <c r="B13" i="3"/>
  <c r="A13" i="3"/>
  <c r="Y12" i="3"/>
  <c r="M12" i="3"/>
  <c r="A12" i="3"/>
  <c r="B12" i="3" s="1"/>
  <c r="Y11" i="3"/>
  <c r="M11" i="3"/>
  <c r="A11" i="3"/>
  <c r="B11" i="3" s="1"/>
  <c r="Y10" i="3"/>
  <c r="M10" i="3"/>
  <c r="B10" i="3"/>
  <c r="A10" i="3"/>
  <c r="Y9" i="3"/>
  <c r="M9" i="3"/>
  <c r="B9" i="3"/>
  <c r="A9" i="3"/>
  <c r="Y8" i="3"/>
  <c r="M8" i="3"/>
  <c r="A8" i="3"/>
  <c r="B8" i="3" s="1"/>
  <c r="Y7" i="3"/>
  <c r="M7" i="3"/>
  <c r="A7" i="3"/>
  <c r="B7" i="3" s="1"/>
  <c r="Y6" i="3"/>
  <c r="R6" i="3"/>
  <c r="Q6" i="3"/>
  <c r="P6" i="3"/>
  <c r="M6" i="3"/>
  <c r="D6" i="3"/>
  <c r="C6" i="3"/>
  <c r="A6" i="3"/>
  <c r="B6" i="2"/>
  <c r="B19" i="1"/>
  <c r="C26" i="7" s="1"/>
  <c r="B9" i="1"/>
  <c r="S6" i="3" s="1"/>
  <c r="S7" i="3" s="1"/>
  <c r="S8" i="3" s="1"/>
  <c r="S9" i="3" s="1"/>
  <c r="S10" i="3" s="1"/>
  <c r="S11" i="3" s="1"/>
  <c r="S12" i="3" s="1"/>
  <c r="S13" i="3" s="1"/>
  <c r="S14" i="3" s="1"/>
  <c r="S15" i="3" s="1"/>
  <c r="S16" i="3" s="1"/>
  <c r="S17" i="3" s="1"/>
  <c r="S18" i="3" s="1"/>
  <c r="S19" i="3" s="1"/>
  <c r="S20" i="3" s="1"/>
  <c r="S21" i="3" s="1"/>
  <c r="S22" i="3" s="1"/>
  <c r="S23" i="3" s="1"/>
  <c r="S24" i="3" s="1"/>
  <c r="S25" i="3" s="1"/>
  <c r="S26" i="3" s="1"/>
  <c r="S27" i="3" s="1"/>
  <c r="S28" i="3" s="1"/>
  <c r="S29" i="3" s="1"/>
  <c r="S30" i="3" s="1"/>
  <c r="S31" i="3" s="1"/>
  <c r="S32" i="3" s="1"/>
  <c r="S33" i="3" s="1"/>
  <c r="S34" i="3" s="1"/>
  <c r="S35" i="3" s="1"/>
  <c r="S36" i="3" s="1"/>
  <c r="S37" i="3" s="1"/>
  <c r="S38" i="3" s="1"/>
  <c r="S39" i="3" s="1"/>
  <c r="S40" i="3" s="1"/>
  <c r="S41" i="3" s="1"/>
  <c r="S42" i="3" s="1"/>
  <c r="S43" i="3" s="1"/>
  <c r="S44" i="3" s="1"/>
  <c r="S45" i="3" s="1"/>
  <c r="S46" i="3" s="1"/>
  <c r="S47" i="3" s="1"/>
  <c r="S48" i="3" s="1"/>
  <c r="S49" i="3" s="1"/>
  <c r="S50" i="3" s="1"/>
  <c r="S51" i="3" s="1"/>
  <c r="S52" i="3" s="1"/>
  <c r="S53" i="3" s="1"/>
  <c r="S54" i="3" s="1"/>
  <c r="S55" i="3" s="1"/>
  <c r="S56" i="3" s="1"/>
  <c r="S57" i="3" s="1"/>
  <c r="S58" i="3" s="1"/>
  <c r="S59" i="3" s="1"/>
  <c r="S60" i="3" s="1"/>
  <c r="S61" i="3" s="1"/>
  <c r="S62" i="3" s="1"/>
  <c r="S63" i="3" s="1"/>
  <c r="S64" i="3" s="1"/>
  <c r="S65" i="3" s="1"/>
  <c r="S66" i="3" s="1"/>
  <c r="S67" i="3" s="1"/>
  <c r="S68" i="3" s="1"/>
  <c r="S69" i="3" s="1"/>
  <c r="S70" i="3" s="1"/>
  <c r="S71" i="3" s="1"/>
  <c r="S72" i="3" s="1"/>
  <c r="S73" i="3" s="1"/>
  <c r="S74" i="3" s="1"/>
  <c r="S75" i="3" s="1"/>
  <c r="S76" i="3" s="1"/>
  <c r="S77" i="3" s="1"/>
  <c r="S78" i="3" s="1"/>
  <c r="S79" i="3" s="1"/>
  <c r="S80" i="3" s="1"/>
  <c r="S81" i="3" s="1"/>
  <c r="S82" i="3" s="1"/>
  <c r="S83" i="3" s="1"/>
  <c r="S84" i="3" s="1"/>
  <c r="S85" i="3" s="1"/>
  <c r="S86" i="3" s="1"/>
  <c r="S87" i="3" s="1"/>
  <c r="S88" i="3" s="1"/>
  <c r="S89" i="3" s="1"/>
  <c r="S90" i="3" s="1"/>
  <c r="S91" i="3" s="1"/>
  <c r="S92" i="3" s="1"/>
  <c r="S93" i="3" s="1"/>
  <c r="S94" i="3" s="1"/>
  <c r="S95" i="3" s="1"/>
  <c r="S96" i="3" s="1"/>
  <c r="S97" i="3" s="1"/>
  <c r="S98" i="3" s="1"/>
  <c r="S99" i="3" s="1"/>
  <c r="S100" i="3" s="1"/>
  <c r="S101" i="3" s="1"/>
  <c r="S102" i="3" s="1"/>
  <c r="S103" i="3" s="1"/>
  <c r="S104" i="3" s="1"/>
  <c r="S105" i="3" s="1"/>
  <c r="S106" i="3" s="1"/>
  <c r="S107" i="3" s="1"/>
  <c r="S108" i="3" s="1"/>
  <c r="S109" i="3" s="1"/>
  <c r="S110" i="3" s="1"/>
  <c r="S111" i="3" s="1"/>
  <c r="S112" i="3" s="1"/>
  <c r="S113" i="3" s="1"/>
  <c r="S114" i="3" s="1"/>
  <c r="S115" i="3" s="1"/>
  <c r="S116" i="3" s="1"/>
  <c r="S117" i="3" s="1"/>
  <c r="S118" i="3" s="1"/>
  <c r="S119" i="3" s="1"/>
  <c r="S120" i="3" s="1"/>
  <c r="S121" i="3" s="1"/>
  <c r="S122" i="3" s="1"/>
  <c r="S123" i="3" s="1"/>
  <c r="S124" i="3" s="1"/>
  <c r="S125" i="3" s="1"/>
  <c r="S126" i="3" s="1"/>
  <c r="S127" i="3" s="1"/>
  <c r="S128" i="3" s="1"/>
  <c r="S129" i="3" s="1"/>
  <c r="S130" i="3" s="1"/>
  <c r="S131" i="3" s="1"/>
  <c r="S132" i="3" s="1"/>
  <c r="S133" i="3" s="1"/>
  <c r="S134" i="3" s="1"/>
  <c r="S135" i="3" s="1"/>
  <c r="S136" i="3" s="1"/>
  <c r="S137" i="3" s="1"/>
  <c r="S138" i="3" s="1"/>
  <c r="S139" i="3" s="1"/>
  <c r="S140" i="3" s="1"/>
  <c r="S141" i="3" s="1"/>
  <c r="S142" i="3" s="1"/>
  <c r="S143" i="3" s="1"/>
  <c r="S144" i="3" s="1"/>
  <c r="S145" i="3" s="1"/>
  <c r="S146" i="3" s="1"/>
  <c r="S147" i="3" s="1"/>
  <c r="S148" i="3" s="1"/>
  <c r="S149" i="3" s="1"/>
  <c r="S150" i="3" s="1"/>
  <c r="S151" i="3" s="1"/>
  <c r="S152" i="3" s="1"/>
  <c r="S153" i="3" s="1"/>
  <c r="S154" i="3" s="1"/>
  <c r="S155" i="3" s="1"/>
  <c r="S156" i="3" s="1"/>
  <c r="S157" i="3" s="1"/>
  <c r="S158" i="3" s="1"/>
  <c r="S159" i="3" s="1"/>
  <c r="S160" i="3" s="1"/>
  <c r="S161" i="3" s="1"/>
  <c r="S162" i="3" s="1"/>
  <c r="S163" i="3" s="1"/>
  <c r="S164" i="3" s="1"/>
  <c r="S165" i="3" s="1"/>
  <c r="S166" i="3" s="1"/>
  <c r="S167" i="3" s="1"/>
  <c r="S168" i="3" s="1"/>
  <c r="S169" i="3" s="1"/>
  <c r="S170" i="3" s="1"/>
  <c r="S171" i="3" s="1"/>
  <c r="S172" i="3" s="1"/>
  <c r="S173" i="3" s="1"/>
  <c r="S174" i="3" s="1"/>
  <c r="S175" i="3" s="1"/>
  <c r="S176" i="3" s="1"/>
  <c r="S177" i="3" s="1"/>
  <c r="S178" i="3" s="1"/>
  <c r="S179" i="3" s="1"/>
  <c r="S180" i="3" s="1"/>
  <c r="S181" i="3" s="1"/>
  <c r="S182" i="3" s="1"/>
  <c r="S183" i="3" s="1"/>
  <c r="S184" i="3" s="1"/>
  <c r="S185" i="3" s="1"/>
  <c r="S186" i="3" s="1"/>
  <c r="S187" i="3" s="1"/>
  <c r="S188" i="3" s="1"/>
  <c r="S189" i="3" s="1"/>
  <c r="S190" i="3" s="1"/>
  <c r="S191" i="3" s="1"/>
  <c r="S192" i="3" s="1"/>
  <c r="S193" i="3" s="1"/>
  <c r="S194" i="3" s="1"/>
  <c r="S195" i="3" s="1"/>
  <c r="S196" i="3" s="1"/>
  <c r="S197" i="3" s="1"/>
  <c r="S198" i="3" s="1"/>
  <c r="S199" i="3" s="1"/>
  <c r="S200" i="3" s="1"/>
  <c r="S201" i="3" s="1"/>
  <c r="S202" i="3" s="1"/>
  <c r="S203" i="3" s="1"/>
  <c r="S204" i="3" s="1"/>
  <c r="S205" i="3" s="1"/>
  <c r="S206" i="3" s="1"/>
  <c r="S207" i="3" s="1"/>
  <c r="S208" i="3" s="1"/>
  <c r="S209" i="3" s="1"/>
  <c r="S210" i="3" s="1"/>
  <c r="S211" i="3" s="1"/>
  <c r="S212" i="3" s="1"/>
  <c r="S213" i="3" s="1"/>
  <c r="S214" i="3" s="1"/>
  <c r="S215" i="3" s="1"/>
  <c r="S216" i="3" s="1"/>
  <c r="S217" i="3" s="1"/>
  <c r="S218" i="3" s="1"/>
  <c r="S219" i="3" s="1"/>
  <c r="S220" i="3" s="1"/>
  <c r="S221" i="3" s="1"/>
  <c r="S222" i="3" s="1"/>
  <c r="S223" i="3" s="1"/>
  <c r="S224" i="3" s="1"/>
  <c r="S225" i="3" s="1"/>
  <c r="S226" i="3" s="1"/>
  <c r="S227" i="3" s="1"/>
  <c r="S228" i="3" s="1"/>
  <c r="S229" i="3" s="1"/>
  <c r="S230" i="3" s="1"/>
  <c r="S231" i="3" s="1"/>
  <c r="S232" i="3" s="1"/>
  <c r="S233" i="3" s="1"/>
  <c r="S234" i="3" s="1"/>
  <c r="S235" i="3" s="1"/>
  <c r="S236" i="3" s="1"/>
  <c r="S237" i="3" s="1"/>
  <c r="S238" i="3" s="1"/>
  <c r="S239" i="3" s="1"/>
  <c r="S240" i="3" s="1"/>
  <c r="S241" i="3" s="1"/>
  <c r="S242" i="3" s="1"/>
  <c r="S243" i="3" s="1"/>
  <c r="S244" i="3" s="1"/>
  <c r="S245" i="3" s="1"/>
  <c r="S246" i="3" s="1"/>
  <c r="S247" i="3" s="1"/>
  <c r="S248" i="3" s="1"/>
  <c r="S249" i="3" s="1"/>
  <c r="S250" i="3" s="1"/>
  <c r="S251" i="3" s="1"/>
  <c r="S252" i="3" s="1"/>
  <c r="S253" i="3" s="1"/>
  <c r="S254" i="3" s="1"/>
  <c r="S255" i="3" s="1"/>
  <c r="S256" i="3" s="1"/>
  <c r="S257" i="3" s="1"/>
  <c r="S258" i="3" s="1"/>
  <c r="S259" i="3" s="1"/>
  <c r="S260" i="3" s="1"/>
  <c r="S261" i="3" s="1"/>
  <c r="S262" i="3" s="1"/>
  <c r="S263" i="3" s="1"/>
  <c r="S264" i="3" s="1"/>
  <c r="S265" i="3" s="1"/>
  <c r="S266" i="3" s="1"/>
  <c r="S267" i="3" s="1"/>
  <c r="S268" i="3" s="1"/>
  <c r="S269" i="3" s="1"/>
  <c r="S270" i="3" s="1"/>
  <c r="S271" i="3" s="1"/>
  <c r="S272" i="3" s="1"/>
  <c r="S273" i="3" s="1"/>
  <c r="S274" i="3" s="1"/>
  <c r="S275" i="3" s="1"/>
  <c r="S276" i="3" s="1"/>
  <c r="S277" i="3" s="1"/>
  <c r="S278" i="3" s="1"/>
  <c r="S279" i="3" s="1"/>
  <c r="S280" i="3" s="1"/>
  <c r="S281" i="3" s="1"/>
  <c r="S282" i="3" s="1"/>
  <c r="S283" i="3" s="1"/>
  <c r="S284" i="3" s="1"/>
  <c r="S285" i="3" s="1"/>
  <c r="S286" i="3" s="1"/>
  <c r="S287" i="3" s="1"/>
  <c r="S288" i="3" s="1"/>
  <c r="S289" i="3" s="1"/>
  <c r="S290" i="3" s="1"/>
  <c r="S291" i="3" s="1"/>
  <c r="S292" i="3" s="1"/>
  <c r="S293" i="3" s="1"/>
  <c r="S294" i="3" s="1"/>
  <c r="S295" i="3" s="1"/>
  <c r="S296" i="3" s="1"/>
  <c r="S297" i="3" s="1"/>
  <c r="S298" i="3" s="1"/>
  <c r="S299" i="3" s="1"/>
  <c r="S300" i="3" s="1"/>
  <c r="S301" i="3" s="1"/>
  <c r="S302" i="3" s="1"/>
  <c r="S303" i="3" s="1"/>
  <c r="S304" i="3" s="1"/>
  <c r="S305" i="3" s="1"/>
  <c r="S306" i="3" s="1"/>
  <c r="S307" i="3" s="1"/>
  <c r="S308" i="3" s="1"/>
  <c r="S309" i="3" s="1"/>
  <c r="S310" i="3" s="1"/>
  <c r="S311" i="3" s="1"/>
  <c r="S312" i="3" s="1"/>
  <c r="S313" i="3" s="1"/>
  <c r="S314" i="3" s="1"/>
  <c r="S315" i="3" s="1"/>
  <c r="S316" i="3" s="1"/>
  <c r="S317" i="3" s="1"/>
  <c r="S318" i="3" s="1"/>
  <c r="S319" i="3" s="1"/>
  <c r="S320" i="3" s="1"/>
  <c r="S321" i="3" s="1"/>
  <c r="S322" i="3" s="1"/>
  <c r="S323" i="3" s="1"/>
  <c r="S324" i="3" s="1"/>
  <c r="S325" i="3" s="1"/>
  <c r="S326" i="3" s="1"/>
  <c r="S327" i="3" s="1"/>
  <c r="S328" i="3" s="1"/>
  <c r="S329" i="3" s="1"/>
  <c r="S330" i="3" s="1"/>
  <c r="S331" i="3" s="1"/>
  <c r="S332" i="3" s="1"/>
  <c r="S333" i="3" s="1"/>
  <c r="S334" i="3" s="1"/>
  <c r="S335" i="3" s="1"/>
  <c r="S336" i="3" s="1"/>
  <c r="S337" i="3" s="1"/>
  <c r="S338" i="3" s="1"/>
  <c r="S339" i="3" s="1"/>
  <c r="S340" i="3" s="1"/>
  <c r="S341" i="3" s="1"/>
  <c r="S342" i="3" s="1"/>
  <c r="S343" i="3" s="1"/>
  <c r="S344" i="3" s="1"/>
  <c r="S345" i="3" s="1"/>
  <c r="S346" i="3" s="1"/>
  <c r="S347" i="3" s="1"/>
  <c r="S348" i="3" s="1"/>
  <c r="S349" i="3" s="1"/>
  <c r="S350" i="3" s="1"/>
  <c r="S351" i="3" s="1"/>
  <c r="S352" i="3" s="1"/>
  <c r="S353" i="3" s="1"/>
  <c r="S354" i="3" s="1"/>
  <c r="S355" i="3" s="1"/>
  <c r="S356" i="3" s="1"/>
  <c r="S357" i="3" s="1"/>
  <c r="S358" i="3" s="1"/>
  <c r="S359" i="3" s="1"/>
  <c r="S360" i="3" s="1"/>
  <c r="S361" i="3" s="1"/>
  <c r="S362" i="3" s="1"/>
  <c r="S363" i="3" s="1"/>
  <c r="S364" i="3" s="1"/>
  <c r="S365" i="3" s="1"/>
  <c r="S366" i="3" s="1"/>
  <c r="S367" i="3" s="1"/>
  <c r="S368" i="3" s="1"/>
  <c r="S369" i="3" s="1"/>
  <c r="S370" i="3" s="1"/>
  <c r="S371" i="3" s="1"/>
  <c r="S372" i="3" s="1"/>
  <c r="S373" i="3" s="1"/>
  <c r="S374" i="3" s="1"/>
  <c r="S375" i="3" s="1"/>
  <c r="S376" i="3" s="1"/>
  <c r="S377" i="3" s="1"/>
  <c r="S378" i="3" s="1"/>
  <c r="S379" i="3" s="1"/>
  <c r="S380" i="3" s="1"/>
  <c r="S381" i="3" s="1"/>
  <c r="S382" i="3" s="1"/>
  <c r="S383" i="3" s="1"/>
  <c r="S384" i="3" s="1"/>
  <c r="S385" i="3" s="1"/>
  <c r="S386" i="3" s="1"/>
  <c r="S387" i="3" s="1"/>
  <c r="S388" i="3" s="1"/>
  <c r="S389" i="3" s="1"/>
  <c r="S390" i="3" s="1"/>
  <c r="S391" i="3" s="1"/>
  <c r="S392" i="3" s="1"/>
  <c r="S393" i="3" s="1"/>
  <c r="S394" i="3" s="1"/>
  <c r="S395" i="3" s="1"/>
  <c r="S396" i="3" s="1"/>
  <c r="S397" i="3" s="1"/>
  <c r="S398" i="3" s="1"/>
  <c r="S399" i="3" s="1"/>
  <c r="S400" i="3" s="1"/>
  <c r="S401" i="3" s="1"/>
  <c r="S402" i="3" s="1"/>
  <c r="S403" i="3" s="1"/>
  <c r="S404" i="3" s="1"/>
  <c r="S405" i="3" s="1"/>
  <c r="S406" i="3" s="1"/>
  <c r="S407" i="3" s="1"/>
  <c r="S408" i="3" s="1"/>
  <c r="S409" i="3" s="1"/>
  <c r="S410" i="3" s="1"/>
  <c r="S411" i="3" s="1"/>
  <c r="S412" i="3" s="1"/>
  <c r="S413" i="3" s="1"/>
  <c r="S414" i="3" s="1"/>
  <c r="S415" i="3" s="1"/>
  <c r="S416" i="3" s="1"/>
  <c r="S417" i="3" s="1"/>
  <c r="S418" i="3" s="1"/>
  <c r="S419" i="3" s="1"/>
  <c r="S420" i="3" s="1"/>
  <c r="S421" i="3" s="1"/>
  <c r="S422" i="3" s="1"/>
  <c r="S423" i="3" s="1"/>
  <c r="S424" i="3" s="1"/>
  <c r="S425" i="3" s="1"/>
  <c r="S426" i="3" s="1"/>
  <c r="S427" i="3" s="1"/>
  <c r="S428" i="3" s="1"/>
  <c r="S429" i="3" s="1"/>
  <c r="S430" i="3" s="1"/>
  <c r="S431" i="3" s="1"/>
  <c r="S432" i="3" s="1"/>
  <c r="S433" i="3" s="1"/>
  <c r="S434" i="3" s="1"/>
  <c r="S435" i="3" s="1"/>
  <c r="S436" i="3" s="1"/>
  <c r="S437" i="3" s="1"/>
  <c r="S438" i="3" s="1"/>
  <c r="S439" i="3" s="1"/>
  <c r="S440" i="3" s="1"/>
  <c r="S441" i="3" s="1"/>
  <c r="S442" i="3" s="1"/>
  <c r="S443" i="3" s="1"/>
  <c r="S444" i="3" s="1"/>
  <c r="S445" i="3" s="1"/>
  <c r="S446" i="3" s="1"/>
  <c r="S447" i="3" s="1"/>
  <c r="S448" i="3" s="1"/>
  <c r="S449" i="3" s="1"/>
  <c r="S450" i="3" s="1"/>
  <c r="S451" i="3" s="1"/>
  <c r="S452" i="3" s="1"/>
  <c r="S453" i="3" s="1"/>
  <c r="S454" i="3" s="1"/>
  <c r="S455" i="3" s="1"/>
  <c r="S456" i="3" s="1"/>
  <c r="S457" i="3" s="1"/>
  <c r="S458" i="3" s="1"/>
  <c r="S459" i="3" s="1"/>
  <c r="S460" i="3" s="1"/>
  <c r="S461" i="3" s="1"/>
  <c r="S462" i="3" s="1"/>
  <c r="S463" i="3" s="1"/>
  <c r="S464" i="3" s="1"/>
  <c r="S465" i="3" s="1"/>
  <c r="S466" i="3" s="1"/>
  <c r="S467" i="3" s="1"/>
  <c r="S468" i="3" s="1"/>
  <c r="S469" i="3" s="1"/>
  <c r="S470" i="3" s="1"/>
  <c r="S471" i="3" s="1"/>
  <c r="S472" i="3" s="1"/>
  <c r="S473" i="3" s="1"/>
  <c r="S474" i="3" s="1"/>
  <c r="S475" i="3" s="1"/>
  <c r="S476" i="3" s="1"/>
  <c r="S477" i="3" s="1"/>
  <c r="S478" i="3" s="1"/>
  <c r="S479" i="3" s="1"/>
  <c r="S480" i="3" s="1"/>
  <c r="S481" i="3" s="1"/>
  <c r="S482" i="3" s="1"/>
  <c r="S483" i="3" s="1"/>
  <c r="S484" i="3" s="1"/>
  <c r="S485" i="3" s="1"/>
  <c r="S486" i="3" s="1"/>
  <c r="S487" i="3" s="1"/>
  <c r="S488" i="3" s="1"/>
  <c r="S489" i="3" s="1"/>
  <c r="S490" i="3" s="1"/>
  <c r="S491" i="3" s="1"/>
  <c r="S492" i="3" s="1"/>
  <c r="S493" i="3" s="1"/>
  <c r="S494" i="3" s="1"/>
  <c r="S495" i="3" s="1"/>
  <c r="S496" i="3" s="1"/>
  <c r="S497" i="3" s="1"/>
  <c r="S498" i="3" s="1"/>
  <c r="S499" i="3" s="1"/>
  <c r="S500" i="3" s="1"/>
  <c r="S501" i="3" s="1"/>
  <c r="S502" i="3" s="1"/>
  <c r="S503" i="3" s="1"/>
  <c r="S504" i="3" s="1"/>
  <c r="S505" i="3" s="1"/>
  <c r="S506" i="3" s="1"/>
  <c r="S507" i="3" s="1"/>
  <c r="S508" i="3" s="1"/>
  <c r="S509" i="3" s="1"/>
  <c r="S510" i="3" s="1"/>
  <c r="S511" i="3" s="1"/>
  <c r="S512" i="3" s="1"/>
  <c r="S513" i="3" s="1"/>
  <c r="S514" i="3" s="1"/>
  <c r="S515" i="3" s="1"/>
  <c r="S516" i="3" s="1"/>
  <c r="S517" i="3" s="1"/>
  <c r="S518" i="3" s="1"/>
  <c r="S519" i="3" s="1"/>
  <c r="S520" i="3" s="1"/>
  <c r="S521" i="3" s="1"/>
  <c r="S522" i="3" s="1"/>
  <c r="S523" i="3" s="1"/>
  <c r="S524" i="3" s="1"/>
  <c r="S525" i="3" s="1"/>
  <c r="S526" i="3" s="1"/>
  <c r="S527" i="3" s="1"/>
  <c r="S528" i="3" s="1"/>
  <c r="S529" i="3" s="1"/>
  <c r="S530" i="3" s="1"/>
  <c r="S531" i="3" s="1"/>
  <c r="S532" i="3" s="1"/>
  <c r="S533" i="3" s="1"/>
  <c r="S534" i="3" s="1"/>
  <c r="S535" i="3" s="1"/>
  <c r="S536" i="3" s="1"/>
  <c r="S537" i="3" s="1"/>
  <c r="S538" i="3" s="1"/>
  <c r="S539" i="3" s="1"/>
  <c r="S540" i="3" s="1"/>
  <c r="S541" i="3" s="1"/>
  <c r="S542" i="3" s="1"/>
  <c r="S543" i="3" s="1"/>
  <c r="S544" i="3" s="1"/>
  <c r="S545" i="3" s="1"/>
  <c r="S546" i="3" s="1"/>
  <c r="S547" i="3" s="1"/>
  <c r="S548" i="3" s="1"/>
  <c r="S549" i="3" s="1"/>
  <c r="S550" i="3" s="1"/>
  <c r="S551" i="3" s="1"/>
  <c r="S552" i="3" s="1"/>
  <c r="S553" i="3" s="1"/>
  <c r="S554" i="3" s="1"/>
  <c r="S555" i="3" s="1"/>
  <c r="S556" i="3" s="1"/>
  <c r="S557" i="3" s="1"/>
  <c r="S558" i="3" s="1"/>
  <c r="S559" i="3" s="1"/>
  <c r="S560" i="3" s="1"/>
  <c r="S561" i="3" s="1"/>
  <c r="S562" i="3" s="1"/>
  <c r="S563" i="3" s="1"/>
  <c r="S564" i="3" s="1"/>
  <c r="S565" i="3" s="1"/>
  <c r="S566" i="3" s="1"/>
  <c r="S567" i="3" s="1"/>
  <c r="S568" i="3" s="1"/>
  <c r="S569" i="3" s="1"/>
  <c r="S570" i="3" s="1"/>
  <c r="S571" i="3" s="1"/>
  <c r="S572" i="3" s="1"/>
  <c r="S573" i="3" s="1"/>
  <c r="S574" i="3" s="1"/>
  <c r="S575" i="3" s="1"/>
  <c r="S576" i="3" s="1"/>
  <c r="S577" i="3" s="1"/>
  <c r="S578" i="3" s="1"/>
  <c r="S579" i="3" s="1"/>
  <c r="S580" i="3" s="1"/>
  <c r="S581" i="3" s="1"/>
  <c r="S582" i="3" s="1"/>
  <c r="S583" i="3" s="1"/>
  <c r="S584" i="3" s="1"/>
  <c r="S585" i="3" s="1"/>
  <c r="S586" i="3" s="1"/>
  <c r="S587" i="3" s="1"/>
  <c r="S588" i="3" s="1"/>
  <c r="S589" i="3" s="1"/>
  <c r="S590" i="3" s="1"/>
  <c r="S591" i="3" s="1"/>
  <c r="S592" i="3" s="1"/>
  <c r="S593" i="3" s="1"/>
  <c r="S594" i="3" s="1"/>
  <c r="S595" i="3" s="1"/>
  <c r="S596" i="3" s="1"/>
  <c r="S597" i="3" s="1"/>
  <c r="S598" i="3" s="1"/>
  <c r="S599" i="3" s="1"/>
  <c r="S600" i="3" s="1"/>
  <c r="S601" i="3" s="1"/>
  <c r="S602" i="3" s="1"/>
  <c r="S603" i="3" s="1"/>
  <c r="S604" i="3" s="1"/>
  <c r="S605" i="3" s="1"/>
  <c r="B20" i="1" l="1"/>
  <c r="D26" i="7" s="1"/>
  <c r="E26" i="7" s="1"/>
  <c r="B74" i="3"/>
  <c r="B24" i="3"/>
  <c r="B27" i="3"/>
  <c r="B51" i="3"/>
  <c r="B132" i="3"/>
  <c r="B112" i="3"/>
  <c r="B46" i="3"/>
  <c r="B92" i="3"/>
  <c r="B79" i="3"/>
  <c r="B157" i="3"/>
  <c r="B195" i="3"/>
  <c r="B137" i="3"/>
  <c r="B161" i="3"/>
  <c r="B193" i="3"/>
  <c r="B164" i="3"/>
  <c r="B77" i="3"/>
  <c r="B117" i="3"/>
  <c r="B6" i="3"/>
  <c r="B16" i="3"/>
  <c r="B37" i="3"/>
  <c r="B42" i="3"/>
  <c r="B97" i="3"/>
  <c r="B121" i="3"/>
  <c r="B70" i="3"/>
  <c r="B101" i="3"/>
  <c r="B144" i="3"/>
  <c r="B168" i="3"/>
  <c r="B19" i="3"/>
  <c r="B31" i="3"/>
  <c r="B44" i="3"/>
  <c r="B141" i="3"/>
  <c r="B40" i="3"/>
  <c r="B15" i="3"/>
  <c r="B59" i="3"/>
  <c r="B72" i="3"/>
  <c r="E6" i="3"/>
  <c r="F6" i="3" s="1"/>
  <c r="B35" i="3"/>
  <c r="B68" i="3"/>
  <c r="B104" i="3"/>
  <c r="B128" i="3"/>
  <c r="B152" i="3"/>
  <c r="B184" i="3"/>
  <c r="B190" i="3"/>
  <c r="B215" i="3"/>
  <c r="B222" i="3"/>
  <c r="B286" i="3"/>
  <c r="B220" i="3"/>
  <c r="B292" i="3"/>
  <c r="B269" i="3"/>
  <c r="B281" i="3"/>
  <c r="B370" i="3"/>
  <c r="B374" i="3"/>
  <c r="B490" i="3"/>
  <c r="B199" i="3"/>
  <c r="B256" i="3"/>
  <c r="B272" i="3"/>
  <c r="B288" i="3"/>
  <c r="B314" i="3"/>
  <c r="B356" i="3"/>
  <c r="B218" i="3"/>
  <c r="B223" i="3"/>
  <c r="B231" i="3"/>
  <c r="B279" i="3"/>
  <c r="B327" i="3"/>
  <c r="B330" i="3"/>
  <c r="B386" i="3"/>
  <c r="B192" i="3"/>
  <c r="B204" i="3"/>
  <c r="B310" i="3"/>
  <c r="B240" i="3"/>
  <c r="B242" i="3"/>
  <c r="B246" i="3"/>
  <c r="B275" i="3"/>
  <c r="B339" i="3"/>
  <c r="B353" i="3"/>
  <c r="B417" i="3"/>
  <c r="B194" i="3"/>
  <c r="B49" i="3"/>
  <c r="B62" i="3"/>
  <c r="B64" i="3"/>
  <c r="B86" i="3"/>
  <c r="B107" i="3"/>
  <c r="B127" i="3"/>
  <c r="B147" i="3"/>
  <c r="B151" i="3"/>
  <c r="B167" i="3"/>
  <c r="B171" i="3"/>
  <c r="B173" i="3"/>
  <c r="B206" i="3"/>
  <c r="B262" i="3"/>
  <c r="B294" i="3"/>
  <c r="B303" i="3"/>
  <c r="B320" i="3"/>
  <c r="B321" i="3"/>
  <c r="B326" i="3"/>
  <c r="B350" i="3"/>
  <c r="B377" i="3"/>
  <c r="B423" i="3"/>
  <c r="S6" i="6"/>
  <c r="S6" i="5"/>
  <c r="S7" i="5" s="1"/>
  <c r="S8" i="5" s="1"/>
  <c r="S9" i="5" s="1"/>
  <c r="S10" i="5" s="1"/>
  <c r="S11" i="5" s="1"/>
  <c r="S12" i="5" s="1"/>
  <c r="S13" i="5" s="1"/>
  <c r="S14" i="5" s="1"/>
  <c r="S15" i="5" s="1"/>
  <c r="S16" i="5" s="1"/>
  <c r="S17" i="5" s="1"/>
  <c r="S18" i="5" s="1"/>
  <c r="S19" i="5" s="1"/>
  <c r="S20" i="5" s="1"/>
  <c r="S21" i="5" s="1"/>
  <c r="S22" i="5" s="1"/>
  <c r="S23" i="5" s="1"/>
  <c r="S24" i="5" s="1"/>
  <c r="S25" i="5" s="1"/>
  <c r="S26" i="5" s="1"/>
  <c r="S27" i="5" s="1"/>
  <c r="S28" i="5" s="1"/>
  <c r="S29" i="5" s="1"/>
  <c r="S30" i="5" s="1"/>
  <c r="S31" i="5" s="1"/>
  <c r="S32" i="5" s="1"/>
  <c r="S33" i="5" s="1"/>
  <c r="S34" i="5" s="1"/>
  <c r="S35" i="5" s="1"/>
  <c r="S36" i="5" s="1"/>
  <c r="S37" i="5" s="1"/>
  <c r="S38" i="5" s="1"/>
  <c r="S39" i="5" s="1"/>
  <c r="S40" i="5" s="1"/>
  <c r="S41" i="5" s="1"/>
  <c r="S42" i="5" s="1"/>
  <c r="S43" i="5" s="1"/>
  <c r="S44" i="5" s="1"/>
  <c r="S45" i="5" s="1"/>
  <c r="S46" i="5" s="1"/>
  <c r="S47" i="5" s="1"/>
  <c r="S48" i="5" s="1"/>
  <c r="S49" i="5" s="1"/>
  <c r="S50" i="5" s="1"/>
  <c r="S51" i="5" s="1"/>
  <c r="S52" i="5" s="1"/>
  <c r="S53" i="5" s="1"/>
  <c r="S54" i="5" s="1"/>
  <c r="S55" i="5" s="1"/>
  <c r="S56" i="5" s="1"/>
  <c r="S57" i="5" s="1"/>
  <c r="S58" i="5" s="1"/>
  <c r="S59" i="5" s="1"/>
  <c r="S60" i="5" s="1"/>
  <c r="S61" i="5" s="1"/>
  <c r="S62" i="5" s="1"/>
  <c r="S63" i="5" s="1"/>
  <c r="S64" i="5" s="1"/>
  <c r="S65" i="5" s="1"/>
  <c r="S66" i="5" s="1"/>
  <c r="S67" i="5" s="1"/>
  <c r="S68" i="5" s="1"/>
  <c r="S69" i="5" s="1"/>
  <c r="S70" i="5" s="1"/>
  <c r="S71" i="5" s="1"/>
  <c r="S72" i="5" s="1"/>
  <c r="S73" i="5" s="1"/>
  <c r="S74" i="5" s="1"/>
  <c r="S75" i="5" s="1"/>
  <c r="S76" i="5" s="1"/>
  <c r="S77" i="5" s="1"/>
  <c r="S78" i="5" s="1"/>
  <c r="S79" i="5" s="1"/>
  <c r="S80" i="5" s="1"/>
  <c r="S81" i="5" s="1"/>
  <c r="S82" i="5" s="1"/>
  <c r="S83" i="5" s="1"/>
  <c r="S84" i="5" s="1"/>
  <c r="S85" i="5" s="1"/>
  <c r="S86" i="5" s="1"/>
  <c r="S87" i="5" s="1"/>
  <c r="S88" i="5" s="1"/>
  <c r="S89" i="5" s="1"/>
  <c r="S90" i="5" s="1"/>
  <c r="S91" i="5" s="1"/>
  <c r="S92" i="5" s="1"/>
  <c r="S93" i="5" s="1"/>
  <c r="S94" i="5" s="1"/>
  <c r="S95" i="5" s="1"/>
  <c r="S96" i="5" s="1"/>
  <c r="S97" i="5" s="1"/>
  <c r="S98" i="5" s="1"/>
  <c r="S99" i="5" s="1"/>
  <c r="S100" i="5" s="1"/>
  <c r="S101" i="5" s="1"/>
  <c r="S102" i="5" s="1"/>
  <c r="S103" i="5" s="1"/>
  <c r="S104" i="5" s="1"/>
  <c r="S105" i="5" s="1"/>
  <c r="S106" i="5" s="1"/>
  <c r="S107" i="5" s="1"/>
  <c r="S108" i="5" s="1"/>
  <c r="S109" i="5" s="1"/>
  <c r="S110" i="5" s="1"/>
  <c r="S111" i="5" s="1"/>
  <c r="S112" i="5" s="1"/>
  <c r="S113" i="5" s="1"/>
  <c r="S114" i="5" s="1"/>
  <c r="S115" i="5" s="1"/>
  <c r="S116" i="5" s="1"/>
  <c r="S117" i="5" s="1"/>
  <c r="S118" i="5" s="1"/>
  <c r="S119" i="5" s="1"/>
  <c r="S120" i="5" s="1"/>
  <c r="S121" i="5" s="1"/>
  <c r="S122" i="5" s="1"/>
  <c r="S123" i="5" s="1"/>
  <c r="S124" i="5" s="1"/>
  <c r="S125" i="5" s="1"/>
  <c r="S126" i="5" s="1"/>
  <c r="S127" i="5" s="1"/>
  <c r="S128" i="5" s="1"/>
  <c r="S129" i="5" s="1"/>
  <c r="S130" i="5" s="1"/>
  <c r="S131" i="5" s="1"/>
  <c r="S132" i="5" s="1"/>
  <c r="S133" i="5" s="1"/>
  <c r="S134" i="5" s="1"/>
  <c r="S135" i="5" s="1"/>
  <c r="S136" i="5" s="1"/>
  <c r="S137" i="5" s="1"/>
  <c r="S138" i="5" s="1"/>
  <c r="S139" i="5" s="1"/>
  <c r="S140" i="5" s="1"/>
  <c r="S141" i="5" s="1"/>
  <c r="S142" i="5" s="1"/>
  <c r="S143" i="5" s="1"/>
  <c r="S144" i="5" s="1"/>
  <c r="S145" i="5" s="1"/>
  <c r="S146" i="5" s="1"/>
  <c r="S147" i="5" s="1"/>
  <c r="S148" i="5" s="1"/>
  <c r="S149" i="5" s="1"/>
  <c r="S150" i="5" s="1"/>
  <c r="S151" i="5" s="1"/>
  <c r="S152" i="5" s="1"/>
  <c r="S153" i="5" s="1"/>
  <c r="S154" i="5" s="1"/>
  <c r="S155" i="5" s="1"/>
  <c r="S156" i="5" s="1"/>
  <c r="S157" i="5" s="1"/>
  <c r="S158" i="5" s="1"/>
  <c r="S159" i="5" s="1"/>
  <c r="S160" i="5" s="1"/>
  <c r="S161" i="5" s="1"/>
  <c r="S162" i="5" s="1"/>
  <c r="S163" i="5" s="1"/>
  <c r="S164" i="5" s="1"/>
  <c r="S165" i="5" s="1"/>
  <c r="S166" i="5" s="1"/>
  <c r="S167" i="5" s="1"/>
  <c r="S168" i="5" s="1"/>
  <c r="S169" i="5" s="1"/>
  <c r="S170" i="5" s="1"/>
  <c r="S171" i="5" s="1"/>
  <c r="S172" i="5" s="1"/>
  <c r="S173" i="5" s="1"/>
  <c r="S174" i="5" s="1"/>
  <c r="S175" i="5" s="1"/>
  <c r="S176" i="5" s="1"/>
  <c r="S177" i="5" s="1"/>
  <c r="S178" i="5" s="1"/>
  <c r="S179" i="5" s="1"/>
  <c r="S180" i="5" s="1"/>
  <c r="S181" i="5" s="1"/>
  <c r="S182" i="5" s="1"/>
  <c r="S183" i="5" s="1"/>
  <c r="S184" i="5" s="1"/>
  <c r="S185" i="5" s="1"/>
  <c r="S186" i="5" s="1"/>
  <c r="S187" i="5" s="1"/>
  <c r="S188" i="5" s="1"/>
  <c r="S189" i="5" s="1"/>
  <c r="S190" i="5" s="1"/>
  <c r="S191" i="5" s="1"/>
  <c r="S192" i="5" s="1"/>
  <c r="S193" i="5" s="1"/>
  <c r="S194" i="5" s="1"/>
  <c r="S195" i="5" s="1"/>
  <c r="S196" i="5" s="1"/>
  <c r="S197" i="5" s="1"/>
  <c r="S198" i="5" s="1"/>
  <c r="S199" i="5" s="1"/>
  <c r="S200" i="5" s="1"/>
  <c r="S201" i="5" s="1"/>
  <c r="S202" i="5" s="1"/>
  <c r="S203" i="5" s="1"/>
  <c r="S204" i="5" s="1"/>
  <c r="S205" i="5" s="1"/>
  <c r="S206" i="5" s="1"/>
  <c r="S207" i="5" s="1"/>
  <c r="S208" i="5" s="1"/>
  <c r="S209" i="5" s="1"/>
  <c r="S210" i="5" s="1"/>
  <c r="S211" i="5" s="1"/>
  <c r="S212" i="5" s="1"/>
  <c r="S213" i="5" s="1"/>
  <c r="S214" i="5" s="1"/>
  <c r="S215" i="5" s="1"/>
  <c r="S216" i="5" s="1"/>
  <c r="S217" i="5" s="1"/>
  <c r="S218" i="5" s="1"/>
  <c r="S219" i="5" s="1"/>
  <c r="S220" i="5" s="1"/>
  <c r="S221" i="5" s="1"/>
  <c r="S222" i="5" s="1"/>
  <c r="S223" i="5" s="1"/>
  <c r="S224" i="5" s="1"/>
  <c r="S225" i="5" s="1"/>
  <c r="S226" i="5" s="1"/>
  <c r="S227" i="5" s="1"/>
  <c r="S228" i="5" s="1"/>
  <c r="S229" i="5" s="1"/>
  <c r="S230" i="5" s="1"/>
  <c r="S231" i="5" s="1"/>
  <c r="S232" i="5" s="1"/>
  <c r="S233" i="5" s="1"/>
  <c r="S234" i="5" s="1"/>
  <c r="S235" i="5" s="1"/>
  <c r="S236" i="5" s="1"/>
  <c r="S237" i="5" s="1"/>
  <c r="S238" i="5" s="1"/>
  <c r="S239" i="5" s="1"/>
  <c r="S240" i="5" s="1"/>
  <c r="S241" i="5" s="1"/>
  <c r="S242" i="5" s="1"/>
  <c r="S243" i="5" s="1"/>
  <c r="S244" i="5" s="1"/>
  <c r="S245" i="5" s="1"/>
  <c r="S246" i="5" s="1"/>
  <c r="S247" i="5" s="1"/>
  <c r="S248" i="5" s="1"/>
  <c r="S249" i="5" s="1"/>
  <c r="S250" i="5" s="1"/>
  <c r="S251" i="5" s="1"/>
  <c r="S252" i="5" s="1"/>
  <c r="S253" i="5" s="1"/>
  <c r="S254" i="5" s="1"/>
  <c r="S255" i="5" s="1"/>
  <c r="S256" i="5" s="1"/>
  <c r="S257" i="5" s="1"/>
  <c r="S258" i="5" s="1"/>
  <c r="S259" i="5" s="1"/>
  <c r="S260" i="5" s="1"/>
  <c r="S261" i="5" s="1"/>
  <c r="S262" i="5" s="1"/>
  <c r="S263" i="5" s="1"/>
  <c r="S264" i="5" s="1"/>
  <c r="S265" i="5" s="1"/>
  <c r="S266" i="5" s="1"/>
  <c r="S267" i="5" s="1"/>
  <c r="S268" i="5" s="1"/>
  <c r="S269" i="5" s="1"/>
  <c r="S270" i="5" s="1"/>
  <c r="S271" i="5" s="1"/>
  <c r="S272" i="5" s="1"/>
  <c r="S273" i="5" s="1"/>
  <c r="S274" i="5" s="1"/>
  <c r="S275" i="5" s="1"/>
  <c r="S276" i="5" s="1"/>
  <c r="S277" i="5" s="1"/>
  <c r="S278" i="5" s="1"/>
  <c r="S279" i="5" s="1"/>
  <c r="S280" i="5" s="1"/>
  <c r="S281" i="5" s="1"/>
  <c r="S282" i="5" s="1"/>
  <c r="S283" i="5" s="1"/>
  <c r="S284" i="5" s="1"/>
  <c r="S285" i="5" s="1"/>
  <c r="S286" i="5" s="1"/>
  <c r="S287" i="5" s="1"/>
  <c r="S288" i="5" s="1"/>
  <c r="S289" i="5" s="1"/>
  <c r="S290" i="5" s="1"/>
  <c r="S291" i="5" s="1"/>
  <c r="S292" i="5" s="1"/>
  <c r="S293" i="5" s="1"/>
  <c r="S294" i="5" s="1"/>
  <c r="S295" i="5" s="1"/>
  <c r="S296" i="5" s="1"/>
  <c r="S297" i="5" s="1"/>
  <c r="S298" i="5" s="1"/>
  <c r="S299" i="5" s="1"/>
  <c r="S300" i="5" s="1"/>
  <c r="S301" i="5" s="1"/>
  <c r="S302" i="5" s="1"/>
  <c r="S303" i="5" s="1"/>
  <c r="S304" i="5" s="1"/>
  <c r="S305" i="5" s="1"/>
  <c r="S306" i="5" s="1"/>
  <c r="S307" i="5" s="1"/>
  <c r="S308" i="5" s="1"/>
  <c r="S309" i="5" s="1"/>
  <c r="S310" i="5" s="1"/>
  <c r="S311" i="5" s="1"/>
  <c r="S312" i="5" s="1"/>
  <c r="S313" i="5" s="1"/>
  <c r="S314" i="5" s="1"/>
  <c r="S315" i="5" s="1"/>
  <c r="S316" i="5" s="1"/>
  <c r="S317" i="5" s="1"/>
  <c r="S318" i="5" s="1"/>
  <c r="S319" i="5" s="1"/>
  <c r="S320" i="5" s="1"/>
  <c r="S321" i="5" s="1"/>
  <c r="S322" i="5" s="1"/>
  <c r="S323" i="5" s="1"/>
  <c r="S324" i="5" s="1"/>
  <c r="S325" i="5" s="1"/>
  <c r="S326" i="5" s="1"/>
  <c r="S327" i="5" s="1"/>
  <c r="S328" i="5" s="1"/>
  <c r="S329" i="5" s="1"/>
  <c r="S330" i="5" s="1"/>
  <c r="S331" i="5" s="1"/>
  <c r="S332" i="5" s="1"/>
  <c r="S333" i="5" s="1"/>
  <c r="S334" i="5" s="1"/>
  <c r="S335" i="5" s="1"/>
  <c r="S336" i="5" s="1"/>
  <c r="S337" i="5" s="1"/>
  <c r="S338" i="5" s="1"/>
  <c r="S339" i="5" s="1"/>
  <c r="S340" i="5" s="1"/>
  <c r="S341" i="5" s="1"/>
  <c r="S342" i="5" s="1"/>
  <c r="S343" i="5" s="1"/>
  <c r="S344" i="5" s="1"/>
  <c r="S345" i="5" s="1"/>
  <c r="S346" i="5" s="1"/>
  <c r="S347" i="5" s="1"/>
  <c r="S348" i="5" s="1"/>
  <c r="S349" i="5" s="1"/>
  <c r="S350" i="5" s="1"/>
  <c r="S351" i="5" s="1"/>
  <c r="S352" i="5" s="1"/>
  <c r="S353" i="5" s="1"/>
  <c r="S354" i="5" s="1"/>
  <c r="S355" i="5" s="1"/>
  <c r="S356" i="5" s="1"/>
  <c r="S357" i="5" s="1"/>
  <c r="S358" i="5" s="1"/>
  <c r="S359" i="5" s="1"/>
  <c r="S360" i="5" s="1"/>
  <c r="S361" i="5" s="1"/>
  <c r="S362" i="5" s="1"/>
  <c r="S363" i="5" s="1"/>
  <c r="S364" i="5" s="1"/>
  <c r="S365" i="5" s="1"/>
  <c r="S366" i="5" s="1"/>
  <c r="S367" i="5" s="1"/>
  <c r="S368" i="5" s="1"/>
  <c r="S369" i="5" s="1"/>
  <c r="S370" i="5" s="1"/>
  <c r="S371" i="5" s="1"/>
  <c r="S372" i="5" s="1"/>
  <c r="S373" i="5" s="1"/>
  <c r="S374" i="5" s="1"/>
  <c r="S375" i="5" s="1"/>
  <c r="S376" i="5" s="1"/>
  <c r="S377" i="5" s="1"/>
  <c r="S378" i="5" s="1"/>
  <c r="S379" i="5" s="1"/>
  <c r="S380" i="5" s="1"/>
  <c r="S381" i="5" s="1"/>
  <c r="S382" i="5" s="1"/>
  <c r="S383" i="5" s="1"/>
  <c r="S384" i="5" s="1"/>
  <c r="S385" i="5" s="1"/>
  <c r="S386" i="5" s="1"/>
  <c r="S387" i="5" s="1"/>
  <c r="S388" i="5" s="1"/>
  <c r="S389" i="5" s="1"/>
  <c r="S390" i="5" s="1"/>
  <c r="S391" i="5" s="1"/>
  <c r="S392" i="5" s="1"/>
  <c r="S393" i="5" s="1"/>
  <c r="S394" i="5" s="1"/>
  <c r="S395" i="5" s="1"/>
  <c r="S396" i="5" s="1"/>
  <c r="S397" i="5" s="1"/>
  <c r="S398" i="5" s="1"/>
  <c r="S399" i="5" s="1"/>
  <c r="S400" i="5" s="1"/>
  <c r="S401" i="5" s="1"/>
  <c r="S402" i="5" s="1"/>
  <c r="S403" i="5" s="1"/>
  <c r="S404" i="5" s="1"/>
  <c r="S405" i="5" s="1"/>
  <c r="S406" i="5" s="1"/>
  <c r="S407" i="5" s="1"/>
  <c r="S408" i="5" s="1"/>
  <c r="S409" i="5" s="1"/>
  <c r="S410" i="5" s="1"/>
  <c r="S411" i="5" s="1"/>
  <c r="S412" i="5" s="1"/>
  <c r="S413" i="5" s="1"/>
  <c r="S414" i="5" s="1"/>
  <c r="S415" i="5" s="1"/>
  <c r="S416" i="5" s="1"/>
  <c r="S417" i="5" s="1"/>
  <c r="S418" i="5" s="1"/>
  <c r="S419" i="5" s="1"/>
  <c r="S420" i="5" s="1"/>
  <c r="S421" i="5" s="1"/>
  <c r="S422" i="5" s="1"/>
  <c r="S423" i="5" s="1"/>
  <c r="S424" i="5" s="1"/>
  <c r="S425" i="5" s="1"/>
  <c r="S426" i="5" s="1"/>
  <c r="S427" i="5" s="1"/>
  <c r="S428" i="5" s="1"/>
  <c r="S429" i="5" s="1"/>
  <c r="S430" i="5" s="1"/>
  <c r="S431" i="5" s="1"/>
  <c r="S432" i="5" s="1"/>
  <c r="S433" i="5" s="1"/>
  <c r="S434" i="5" s="1"/>
  <c r="S435" i="5" s="1"/>
  <c r="S436" i="5" s="1"/>
  <c r="S437" i="5" s="1"/>
  <c r="S438" i="5" s="1"/>
  <c r="S439" i="5" s="1"/>
  <c r="S440" i="5" s="1"/>
  <c r="S441" i="5" s="1"/>
  <c r="S442" i="5" s="1"/>
  <c r="S443" i="5" s="1"/>
  <c r="S444" i="5" s="1"/>
  <c r="S445" i="5" s="1"/>
  <c r="S446" i="5" s="1"/>
  <c r="S447" i="5" s="1"/>
  <c r="S448" i="5" s="1"/>
  <c r="S449" i="5" s="1"/>
  <c r="S450" i="5" s="1"/>
  <c r="S451" i="5" s="1"/>
  <c r="S452" i="5" s="1"/>
  <c r="S453" i="5" s="1"/>
  <c r="S454" i="5" s="1"/>
  <c r="S455" i="5" s="1"/>
  <c r="S456" i="5" s="1"/>
  <c r="S457" i="5" s="1"/>
  <c r="S458" i="5" s="1"/>
  <c r="S459" i="5" s="1"/>
  <c r="S460" i="5" s="1"/>
  <c r="S461" i="5" s="1"/>
  <c r="S462" i="5" s="1"/>
  <c r="S463" i="5" s="1"/>
  <c r="S464" i="5" s="1"/>
  <c r="S465" i="5" s="1"/>
  <c r="S466" i="5" s="1"/>
  <c r="S467" i="5" s="1"/>
  <c r="S468" i="5" s="1"/>
  <c r="S469" i="5" s="1"/>
  <c r="S470" i="5" s="1"/>
  <c r="S471" i="5" s="1"/>
  <c r="S472" i="5" s="1"/>
  <c r="S473" i="5" s="1"/>
  <c r="S474" i="5" s="1"/>
  <c r="S475" i="5" s="1"/>
  <c r="S476" i="5" s="1"/>
  <c r="S477" i="5" s="1"/>
  <c r="S478" i="5" s="1"/>
  <c r="S479" i="5" s="1"/>
  <c r="S480" i="5" s="1"/>
  <c r="S481" i="5" s="1"/>
  <c r="S482" i="5" s="1"/>
  <c r="S483" i="5" s="1"/>
  <c r="S484" i="5" s="1"/>
  <c r="S485" i="5" s="1"/>
  <c r="S486" i="5" s="1"/>
  <c r="S487" i="5" s="1"/>
  <c r="S488" i="5" s="1"/>
  <c r="S489" i="5" s="1"/>
  <c r="S490" i="5" s="1"/>
  <c r="S491" i="5" s="1"/>
  <c r="S492" i="5" s="1"/>
  <c r="S493" i="5" s="1"/>
  <c r="S494" i="5" s="1"/>
  <c r="S495" i="5" s="1"/>
  <c r="S496" i="5" s="1"/>
  <c r="S497" i="5" s="1"/>
  <c r="S498" i="5" s="1"/>
  <c r="S499" i="5" s="1"/>
  <c r="S500" i="5" s="1"/>
  <c r="S501" i="5" s="1"/>
  <c r="S502" i="5" s="1"/>
  <c r="S503" i="5" s="1"/>
  <c r="S504" i="5" s="1"/>
  <c r="S505" i="5" s="1"/>
  <c r="S506" i="5" s="1"/>
  <c r="S507" i="5" s="1"/>
  <c r="S508" i="5" s="1"/>
  <c r="S509" i="5" s="1"/>
  <c r="S510" i="5" s="1"/>
  <c r="S511" i="5" s="1"/>
  <c r="S512" i="5" s="1"/>
  <c r="S513" i="5" s="1"/>
  <c r="S514" i="5" s="1"/>
  <c r="S515" i="5" s="1"/>
  <c r="S516" i="5" s="1"/>
  <c r="S517" i="5" s="1"/>
  <c r="S518" i="5" s="1"/>
  <c r="S519" i="5" s="1"/>
  <c r="S520" i="5" s="1"/>
  <c r="S521" i="5" s="1"/>
  <c r="S522" i="5" s="1"/>
  <c r="S523" i="5" s="1"/>
  <c r="S524" i="5" s="1"/>
  <c r="S525" i="5" s="1"/>
  <c r="S526" i="5" s="1"/>
  <c r="S527" i="5" s="1"/>
  <c r="S528" i="5" s="1"/>
  <c r="S529" i="5" s="1"/>
  <c r="S530" i="5" s="1"/>
  <c r="S531" i="5" s="1"/>
  <c r="S532" i="5" s="1"/>
  <c r="S533" i="5" s="1"/>
  <c r="S534" i="5" s="1"/>
  <c r="S535" i="5" s="1"/>
  <c r="S536" i="5" s="1"/>
  <c r="S537" i="5" s="1"/>
  <c r="S538" i="5" s="1"/>
  <c r="S539" i="5" s="1"/>
  <c r="S540" i="5" s="1"/>
  <c r="S541" i="5" s="1"/>
  <c r="S542" i="5" s="1"/>
  <c r="S543" i="5" s="1"/>
  <c r="S544" i="5" s="1"/>
  <c r="S545" i="5" s="1"/>
  <c r="S546" i="5" s="1"/>
  <c r="S547" i="5" s="1"/>
  <c r="S548" i="5" s="1"/>
  <c r="S549" i="5" s="1"/>
  <c r="S550" i="5" s="1"/>
  <c r="S551" i="5" s="1"/>
  <c r="S552" i="5" s="1"/>
  <c r="S553" i="5" s="1"/>
  <c r="S554" i="5" s="1"/>
  <c r="S555" i="5" s="1"/>
  <c r="S556" i="5" s="1"/>
  <c r="S557" i="5" s="1"/>
  <c r="S558" i="5" s="1"/>
  <c r="S559" i="5" s="1"/>
  <c r="S560" i="5" s="1"/>
  <c r="S561" i="5" s="1"/>
  <c r="S562" i="5" s="1"/>
  <c r="S563" i="5" s="1"/>
  <c r="S564" i="5" s="1"/>
  <c r="S565" i="5" s="1"/>
  <c r="S566" i="5" s="1"/>
  <c r="S567" i="5" s="1"/>
  <c r="S568" i="5" s="1"/>
  <c r="S569" i="5" s="1"/>
  <c r="S570" i="5" s="1"/>
  <c r="S571" i="5" s="1"/>
  <c r="S572" i="5" s="1"/>
  <c r="S573" i="5" s="1"/>
  <c r="S574" i="5" s="1"/>
  <c r="S575" i="5" s="1"/>
  <c r="S576" i="5" s="1"/>
  <c r="S577" i="5" s="1"/>
  <c r="S578" i="5" s="1"/>
  <c r="S579" i="5" s="1"/>
  <c r="S580" i="5" s="1"/>
  <c r="S581" i="5" s="1"/>
  <c r="S582" i="5" s="1"/>
  <c r="S583" i="5" s="1"/>
  <c r="S584" i="5" s="1"/>
  <c r="S585" i="5" s="1"/>
  <c r="S586" i="5" s="1"/>
  <c r="S587" i="5" s="1"/>
  <c r="S588" i="5" s="1"/>
  <c r="S589" i="5" s="1"/>
  <c r="S590" i="5" s="1"/>
  <c r="S591" i="5" s="1"/>
  <c r="S592" i="5" s="1"/>
  <c r="S593" i="5" s="1"/>
  <c r="S594" i="5" s="1"/>
  <c r="S595" i="5" s="1"/>
  <c r="S596" i="5" s="1"/>
  <c r="S597" i="5" s="1"/>
  <c r="S598" i="5" s="1"/>
  <c r="S599" i="5" s="1"/>
  <c r="S600" i="5" s="1"/>
  <c r="S601" i="5" s="1"/>
  <c r="S602" i="5" s="1"/>
  <c r="S603" i="5" s="1"/>
  <c r="S604" i="5" s="1"/>
  <c r="S605" i="5" s="1"/>
  <c r="AA6" i="5"/>
  <c r="S6" i="4"/>
  <c r="S7" i="4" s="1"/>
  <c r="S8" i="4" s="1"/>
  <c r="S9" i="4" s="1"/>
  <c r="S10" i="4" s="1"/>
  <c r="S11" i="4" s="1"/>
  <c r="S12" i="4" s="1"/>
  <c r="S13" i="4" s="1"/>
  <c r="S14" i="4" s="1"/>
  <c r="S15" i="4" s="1"/>
  <c r="S16" i="4" s="1"/>
  <c r="S17" i="4" s="1"/>
  <c r="S18" i="4" s="1"/>
  <c r="S19" i="4" s="1"/>
  <c r="S20" i="4" s="1"/>
  <c r="S21" i="4" s="1"/>
  <c r="S22" i="4" s="1"/>
  <c r="S23" i="4" s="1"/>
  <c r="S24" i="4" s="1"/>
  <c r="S25" i="4" s="1"/>
  <c r="S26" i="4" s="1"/>
  <c r="S27" i="4" s="1"/>
  <c r="S28" i="4" s="1"/>
  <c r="S29" i="4" s="1"/>
  <c r="S30" i="4" s="1"/>
  <c r="S31" i="4" s="1"/>
  <c r="S32" i="4" s="1"/>
  <c r="S33" i="4" s="1"/>
  <c r="S34" i="4" s="1"/>
  <c r="S35" i="4" s="1"/>
  <c r="S36" i="4" s="1"/>
  <c r="S37" i="4" s="1"/>
  <c r="S38" i="4" s="1"/>
  <c r="S39" i="4" s="1"/>
  <c r="S40" i="4" s="1"/>
  <c r="S41" i="4" s="1"/>
  <c r="S42" i="4" s="1"/>
  <c r="S43" i="4" s="1"/>
  <c r="S44" i="4" s="1"/>
  <c r="S45" i="4" s="1"/>
  <c r="S46" i="4" s="1"/>
  <c r="S47" i="4" s="1"/>
  <c r="S48" i="4" s="1"/>
  <c r="S49" i="4" s="1"/>
  <c r="S50" i="4" s="1"/>
  <c r="S51" i="4" s="1"/>
  <c r="S52" i="4" s="1"/>
  <c r="S53" i="4" s="1"/>
  <c r="S54" i="4" s="1"/>
  <c r="S55" i="4" s="1"/>
  <c r="S56" i="4" s="1"/>
  <c r="S57" i="4" s="1"/>
  <c r="S58" i="4" s="1"/>
  <c r="S59" i="4" s="1"/>
  <c r="S60" i="4" s="1"/>
  <c r="S61" i="4" s="1"/>
  <c r="S62" i="4" s="1"/>
  <c r="S63" i="4" s="1"/>
  <c r="S64" i="4" s="1"/>
  <c r="S65" i="4" s="1"/>
  <c r="S66" i="4" s="1"/>
  <c r="S67" i="4" s="1"/>
  <c r="S68" i="4" s="1"/>
  <c r="S69" i="4" s="1"/>
  <c r="S70" i="4" s="1"/>
  <c r="S71" i="4" s="1"/>
  <c r="S72" i="4" s="1"/>
  <c r="S73" i="4" s="1"/>
  <c r="S74" i="4" s="1"/>
  <c r="S75" i="4" s="1"/>
  <c r="S76" i="4" s="1"/>
  <c r="S77" i="4" s="1"/>
  <c r="S78" i="4" s="1"/>
  <c r="S79" i="4" s="1"/>
  <c r="S80" i="4" s="1"/>
  <c r="S81" i="4" s="1"/>
  <c r="S82" i="4" s="1"/>
  <c r="S83" i="4" s="1"/>
  <c r="S84" i="4" s="1"/>
  <c r="S85" i="4" s="1"/>
  <c r="S86" i="4" s="1"/>
  <c r="S87" i="4" s="1"/>
  <c r="S88" i="4" s="1"/>
  <c r="S89" i="4" s="1"/>
  <c r="S90" i="4" s="1"/>
  <c r="S91" i="4" s="1"/>
  <c r="S92" i="4" s="1"/>
  <c r="S93" i="4" s="1"/>
  <c r="S94" i="4" s="1"/>
  <c r="S95" i="4" s="1"/>
  <c r="S96" i="4" s="1"/>
  <c r="S97" i="4" s="1"/>
  <c r="S98" i="4" s="1"/>
  <c r="S99" i="4" s="1"/>
  <c r="S100" i="4" s="1"/>
  <c r="S101" i="4" s="1"/>
  <c r="S102" i="4" s="1"/>
  <c r="S103" i="4" s="1"/>
  <c r="S104" i="4" s="1"/>
  <c r="S105" i="4" s="1"/>
  <c r="S106" i="4" s="1"/>
  <c r="S107" i="4" s="1"/>
  <c r="S108" i="4" s="1"/>
  <c r="S109" i="4" s="1"/>
  <c r="S110" i="4" s="1"/>
  <c r="S111" i="4" s="1"/>
  <c r="S112" i="4" s="1"/>
  <c r="S113" i="4" s="1"/>
  <c r="S114" i="4" s="1"/>
  <c r="S115" i="4" s="1"/>
  <c r="S116" i="4" s="1"/>
  <c r="S117" i="4" s="1"/>
  <c r="S118" i="4" s="1"/>
  <c r="S119" i="4" s="1"/>
  <c r="S120" i="4" s="1"/>
  <c r="S121" i="4" s="1"/>
  <c r="S122" i="4" s="1"/>
  <c r="S123" i="4" s="1"/>
  <c r="S124" i="4" s="1"/>
  <c r="B102" i="3"/>
  <c r="B122" i="3"/>
  <c r="B142" i="3"/>
  <c r="B162" i="3"/>
  <c r="B186" i="3"/>
  <c r="B210" i="3"/>
  <c r="B226" i="3"/>
  <c r="B232" i="3"/>
  <c r="B265" i="3"/>
  <c r="B290" i="3"/>
  <c r="B298" i="3"/>
  <c r="B312" i="3"/>
  <c r="B364" i="3"/>
  <c r="B373" i="3"/>
  <c r="B179" i="3"/>
  <c r="B36" i="3"/>
  <c r="B191" i="3"/>
  <c r="B249" i="3"/>
  <c r="B268" i="3"/>
  <c r="B271" i="3"/>
  <c r="B507" i="3"/>
  <c r="B528" i="3"/>
  <c r="B532" i="3"/>
  <c r="B430" i="3"/>
  <c r="B453" i="3"/>
  <c r="B454" i="3"/>
  <c r="B505" i="3"/>
  <c r="B341" i="3"/>
  <c r="B406" i="3"/>
  <c r="B443" i="3"/>
  <c r="B515" i="3"/>
  <c r="B437" i="3"/>
  <c r="B450" i="3"/>
  <c r="B479" i="3"/>
  <c r="B487" i="3"/>
  <c r="B502" i="3"/>
  <c r="B379" i="3"/>
  <c r="B390" i="3"/>
  <c r="B413" i="3"/>
  <c r="B414" i="3"/>
  <c r="B426" i="3"/>
  <c r="B477" i="3"/>
  <c r="B485" i="3"/>
  <c r="B524" i="3"/>
  <c r="B297" i="3"/>
  <c r="B334" i="3"/>
  <c r="B354" i="3"/>
  <c r="B363" i="3"/>
  <c r="B427" i="3"/>
  <c r="B463" i="3"/>
  <c r="B466" i="3"/>
  <c r="B539" i="3"/>
  <c r="B189" i="3"/>
  <c r="B202" i="3"/>
  <c r="B229" i="3"/>
  <c r="B238" i="3"/>
  <c r="B243" i="3"/>
  <c r="B252" i="3"/>
  <c r="B284" i="3"/>
  <c r="B308" i="3"/>
  <c r="B340" i="3"/>
  <c r="B357" i="3"/>
  <c r="B376" i="3"/>
  <c r="B403" i="3"/>
  <c r="B457" i="3"/>
  <c r="B474" i="3"/>
  <c r="B336" i="3"/>
  <c r="B359" i="3"/>
  <c r="B410" i="3"/>
  <c r="B446" i="3"/>
  <c r="B500" i="3"/>
  <c r="B594" i="3"/>
  <c r="O6" i="4"/>
  <c r="B34" i="4"/>
  <c r="B44" i="4"/>
  <c r="B588" i="3"/>
  <c r="B19" i="4"/>
  <c r="B565" i="3"/>
  <c r="B578" i="3"/>
  <c r="B554" i="3"/>
  <c r="B549" i="3"/>
  <c r="B561" i="3"/>
  <c r="B32" i="4"/>
  <c r="B572" i="3"/>
  <c r="B585" i="3"/>
  <c r="B598" i="3"/>
  <c r="B12" i="4"/>
  <c r="B15" i="4"/>
  <c r="B29" i="4"/>
  <c r="B501" i="3"/>
  <c r="B574" i="3"/>
  <c r="B9" i="4"/>
  <c r="B470" i="3"/>
  <c r="B478" i="3"/>
  <c r="B545" i="3"/>
  <c r="B569" i="3"/>
  <c r="B581" i="3"/>
  <c r="B51" i="4"/>
  <c r="B319" i="3"/>
  <c r="B323" i="3"/>
  <c r="B328" i="3"/>
  <c r="B367" i="3"/>
  <c r="B384" i="3"/>
  <c r="B404" i="3"/>
  <c r="B424" i="3"/>
  <c r="B444" i="3"/>
  <c r="B464" i="3"/>
  <c r="B512" i="3"/>
  <c r="B521" i="3"/>
  <c r="B525" i="3"/>
  <c r="B535" i="3"/>
  <c r="B568" i="3"/>
  <c r="B592" i="3"/>
  <c r="AA6" i="4"/>
  <c r="G6" i="4"/>
  <c r="AA7" i="4" s="1"/>
  <c r="B85" i="4"/>
  <c r="B94" i="4"/>
  <c r="B110" i="4"/>
  <c r="B177" i="4"/>
  <c r="B129" i="4"/>
  <c r="B189" i="4"/>
  <c r="B89" i="4"/>
  <c r="B98" i="4"/>
  <c r="B54" i="4"/>
  <c r="B82" i="4"/>
  <c r="B137" i="4"/>
  <c r="B179" i="4"/>
  <c r="B182" i="4"/>
  <c r="B212" i="4"/>
  <c r="B84" i="4"/>
  <c r="B100" i="4"/>
  <c r="B105" i="4"/>
  <c r="B113" i="4"/>
  <c r="B122" i="4"/>
  <c r="B127" i="4"/>
  <c r="B132" i="4"/>
  <c r="B58" i="4"/>
  <c r="B93" i="4"/>
  <c r="B95" i="4"/>
  <c r="B107" i="4"/>
  <c r="B118" i="4"/>
  <c r="B187" i="4"/>
  <c r="B39" i="4"/>
  <c r="B65" i="4"/>
  <c r="B74" i="4"/>
  <c r="B109" i="4"/>
  <c r="B135" i="4"/>
  <c r="B192" i="4"/>
  <c r="B197" i="4"/>
  <c r="B8" i="4"/>
  <c r="B25" i="4"/>
  <c r="B42" i="4"/>
  <c r="B49" i="4"/>
  <c r="B60" i="4"/>
  <c r="B67" i="4"/>
  <c r="B76" i="4"/>
  <c r="B102" i="4"/>
  <c r="B133" i="4"/>
  <c r="B138" i="4"/>
  <c r="B142" i="4"/>
  <c r="B160" i="4"/>
  <c r="B475" i="3"/>
  <c r="B488" i="3"/>
  <c r="B508" i="3"/>
  <c r="B559" i="3"/>
  <c r="B579" i="3"/>
  <c r="B599" i="3"/>
  <c r="B11" i="4"/>
  <c r="B18" i="4"/>
  <c r="B52" i="4"/>
  <c r="B55" i="4"/>
  <c r="B69" i="4"/>
  <c r="B78" i="4"/>
  <c r="B123" i="4"/>
  <c r="B128" i="4"/>
  <c r="B522" i="3"/>
  <c r="B551" i="3"/>
  <c r="B555" i="3"/>
  <c r="B571" i="3"/>
  <c r="B575" i="3"/>
  <c r="B591" i="3"/>
  <c r="B595" i="3"/>
  <c r="B21" i="4"/>
  <c r="B28" i="4"/>
  <c r="B45" i="4"/>
  <c r="B119" i="4"/>
  <c r="B185" i="4"/>
  <c r="B195" i="4"/>
  <c r="B240" i="4"/>
  <c r="B248" i="4"/>
  <c r="B268" i="4"/>
  <c r="B269" i="4"/>
  <c r="B278" i="4"/>
  <c r="B234" i="4"/>
  <c r="B329" i="4"/>
  <c r="B349" i="4"/>
  <c r="B365" i="4"/>
  <c r="B422" i="4"/>
  <c r="B228" i="4"/>
  <c r="B361" i="4"/>
  <c r="B482" i="4"/>
  <c r="B219" i="4"/>
  <c r="B232" i="4"/>
  <c r="B296" i="4"/>
  <c r="B199" i="4"/>
  <c r="B202" i="4"/>
  <c r="B207" i="4"/>
  <c r="B225" i="4"/>
  <c r="B229" i="4"/>
  <c r="B241" i="4"/>
  <c r="B259" i="4"/>
  <c r="B292" i="4"/>
  <c r="B318" i="4"/>
  <c r="B372" i="4"/>
  <c r="B382" i="4"/>
  <c r="B196" i="4"/>
  <c r="B210" i="4"/>
  <c r="B216" i="4"/>
  <c r="B265" i="4"/>
  <c r="B281" i="4"/>
  <c r="B287" i="4"/>
  <c r="B250" i="4"/>
  <c r="B256" i="4"/>
  <c r="B276" i="4"/>
  <c r="B290" i="4"/>
  <c r="B170" i="4"/>
  <c r="B186" i="4"/>
  <c r="B230" i="4"/>
  <c r="B301" i="4"/>
  <c r="B63" i="4"/>
  <c r="B148" i="4"/>
  <c r="B157" i="4"/>
  <c r="B165" i="4"/>
  <c r="B193" i="4"/>
  <c r="B314" i="4"/>
  <c r="B130" i="4"/>
  <c r="B147" i="4"/>
  <c r="B159" i="4"/>
  <c r="B173" i="4"/>
  <c r="B206" i="4"/>
  <c r="B208" i="4"/>
  <c r="B227" i="4"/>
  <c r="B239" i="4"/>
  <c r="B267" i="4"/>
  <c r="B319" i="4"/>
  <c r="B344" i="4"/>
  <c r="B385" i="4"/>
  <c r="B396" i="4"/>
  <c r="B452" i="4"/>
  <c r="B488" i="4"/>
  <c r="B339" i="4"/>
  <c r="B310" i="4"/>
  <c r="B369" i="4"/>
  <c r="B270" i="4"/>
  <c r="B280" i="4"/>
  <c r="B354" i="4"/>
  <c r="B429" i="4"/>
  <c r="B520" i="4"/>
  <c r="B288" i="4"/>
  <c r="B332" i="4"/>
  <c r="B358" i="4"/>
  <c r="B413" i="4"/>
  <c r="B427" i="4"/>
  <c r="B436" i="4"/>
  <c r="B496" i="4"/>
  <c r="B302" i="4"/>
  <c r="B328" i="4"/>
  <c r="B368" i="4"/>
  <c r="B375" i="4"/>
  <c r="B389" i="4"/>
  <c r="B411" i="4"/>
  <c r="B475" i="4"/>
  <c r="B295" i="4"/>
  <c r="B300" i="4"/>
  <c r="B312" i="4"/>
  <c r="B322" i="4"/>
  <c r="B348" i="4"/>
  <c r="B387" i="4"/>
  <c r="B425" i="4"/>
  <c r="B498" i="4"/>
  <c r="B564" i="4"/>
  <c r="B583" i="4"/>
  <c r="B485" i="4"/>
  <c r="B492" i="4"/>
  <c r="B523" i="4"/>
  <c r="B541" i="4"/>
  <c r="B461" i="4"/>
  <c r="B567" i="4"/>
  <c r="B563" i="4"/>
  <c r="B481" i="4"/>
  <c r="B519" i="4"/>
  <c r="B553" i="4"/>
  <c r="B438" i="4"/>
  <c r="B495" i="4"/>
  <c r="B510" i="4"/>
  <c r="B378" i="4"/>
  <c r="B384" i="4"/>
  <c r="B391" i="4"/>
  <c r="B393" i="4"/>
  <c r="B405" i="4"/>
  <c r="B424" i="4"/>
  <c r="B431" i="4"/>
  <c r="B433" i="4"/>
  <c r="B445" i="4"/>
  <c r="B457" i="4"/>
  <c r="B530" i="4"/>
  <c r="B543" i="4"/>
  <c r="B558" i="4"/>
  <c r="B298" i="4"/>
  <c r="B308" i="4"/>
  <c r="B331" i="4"/>
  <c r="B345" i="4"/>
  <c r="B352" i="4"/>
  <c r="B381" i="4"/>
  <c r="B407" i="4"/>
  <c r="B447" i="4"/>
  <c r="B471" i="4"/>
  <c r="B472" i="4"/>
  <c r="B518" i="4"/>
  <c r="B551" i="4"/>
  <c r="B94" i="5"/>
  <c r="B85" i="5"/>
  <c r="B101" i="5"/>
  <c r="B28" i="5"/>
  <c r="B46" i="5"/>
  <c r="B118" i="5"/>
  <c r="B575" i="4"/>
  <c r="B578" i="4"/>
  <c r="B605" i="4"/>
  <c r="B10" i="5"/>
  <c r="B111" i="5"/>
  <c r="B30" i="5"/>
  <c r="B88" i="5"/>
  <c r="B585" i="4"/>
  <c r="B598" i="4"/>
  <c r="B129" i="5"/>
  <c r="B135" i="5"/>
  <c r="G6" i="5"/>
  <c r="H6" i="5" s="1"/>
  <c r="B15" i="5"/>
  <c r="B54" i="5"/>
  <c r="B68" i="5"/>
  <c r="B69" i="5"/>
  <c r="B95" i="5"/>
  <c r="B122" i="5"/>
  <c r="B580" i="4"/>
  <c r="B35" i="5"/>
  <c r="B392" i="4"/>
  <c r="B412" i="4"/>
  <c r="B432" i="4"/>
  <c r="B455" i="4"/>
  <c r="B459" i="4"/>
  <c r="B466" i="4"/>
  <c r="B503" i="4"/>
  <c r="B529" i="4"/>
  <c r="B533" i="4"/>
  <c r="B593" i="4"/>
  <c r="AA7" i="5"/>
  <c r="B17" i="5"/>
  <c r="B21" i="5"/>
  <c r="B39" i="5"/>
  <c r="B75" i="5"/>
  <c r="B144" i="5"/>
  <c r="B162" i="5"/>
  <c r="B65" i="5"/>
  <c r="B219" i="5"/>
  <c r="B236" i="5"/>
  <c r="B260" i="5"/>
  <c r="B180" i="5"/>
  <c r="B250" i="5"/>
  <c r="B190" i="5"/>
  <c r="B167" i="5"/>
  <c r="B177" i="5"/>
  <c r="B214" i="5"/>
  <c r="B221" i="5"/>
  <c r="B226" i="5"/>
  <c r="B174" i="5"/>
  <c r="B267" i="5"/>
  <c r="B79" i="5"/>
  <c r="B92" i="5"/>
  <c r="B132" i="5"/>
  <c r="B147" i="5"/>
  <c r="B169" i="5"/>
  <c r="B173" i="5"/>
  <c r="B187" i="5"/>
  <c r="B200" i="5"/>
  <c r="B210" i="5"/>
  <c r="B595" i="4"/>
  <c r="B55" i="5"/>
  <c r="B74" i="5"/>
  <c r="B109" i="5"/>
  <c r="B115" i="5"/>
  <c r="B146" i="5"/>
  <c r="B157" i="5"/>
  <c r="B158" i="5"/>
  <c r="B234" i="5"/>
  <c r="B246" i="5"/>
  <c r="B256" i="5"/>
  <c r="B341" i="5"/>
  <c r="B309" i="5"/>
  <c r="B356" i="5"/>
  <c r="B370" i="5"/>
  <c r="B287" i="5"/>
  <c r="B292" i="5"/>
  <c r="B318" i="5"/>
  <c r="B376" i="5"/>
  <c r="B294" i="5"/>
  <c r="B327" i="5"/>
  <c r="B345" i="5"/>
  <c r="B350" i="5"/>
  <c r="B266" i="5"/>
  <c r="B307" i="5"/>
  <c r="B316" i="5"/>
  <c r="B333" i="5"/>
  <c r="B241" i="5"/>
  <c r="B271" i="5"/>
  <c r="B296" i="5"/>
  <c r="B301" i="5"/>
  <c r="B302" i="5"/>
  <c r="B303" i="5"/>
  <c r="B312" i="5"/>
  <c r="B314" i="5"/>
  <c r="B323" i="5"/>
  <c r="B211" i="5"/>
  <c r="B243" i="5"/>
  <c r="B269" i="5"/>
  <c r="B274" i="5"/>
  <c r="B298" i="5"/>
  <c r="B368" i="5"/>
  <c r="B379" i="5"/>
  <c r="B24" i="5"/>
  <c r="B44" i="5"/>
  <c r="B66" i="5"/>
  <c r="B76" i="5"/>
  <c r="B86" i="5"/>
  <c r="B121" i="5"/>
  <c r="B128" i="5"/>
  <c r="B183" i="5"/>
  <c r="B193" i="5"/>
  <c r="B217" i="5"/>
  <c r="B231" i="5"/>
  <c r="B253" i="5"/>
  <c r="B300" i="5"/>
  <c r="B311" i="5"/>
  <c r="B321" i="5"/>
  <c r="B354" i="5"/>
  <c r="B359" i="5"/>
  <c r="B282" i="5"/>
  <c r="B330" i="5"/>
  <c r="B272" i="5"/>
  <c r="B281" i="5"/>
  <c r="B426" i="5"/>
  <c r="B399" i="5"/>
  <c r="B477" i="5"/>
  <c r="B493" i="5"/>
  <c r="B401" i="5"/>
  <c r="B431" i="5"/>
  <c r="B438" i="5"/>
  <c r="B381" i="5"/>
  <c r="B453" i="5"/>
  <c r="B408" i="5"/>
  <c r="B441" i="5"/>
  <c r="B470" i="5"/>
  <c r="B386" i="5"/>
  <c r="B406" i="5"/>
  <c r="B320" i="5"/>
  <c r="B329" i="5"/>
  <c r="B334" i="5"/>
  <c r="B365" i="5"/>
  <c r="B383" i="5"/>
  <c r="B388" i="5"/>
  <c r="B428" i="5"/>
  <c r="B451" i="5"/>
  <c r="B494" i="5"/>
  <c r="B156" i="5"/>
  <c r="B244" i="5"/>
  <c r="B251" i="5"/>
  <c r="B355" i="5"/>
  <c r="B390" i="5"/>
  <c r="B421" i="5"/>
  <c r="B181" i="5"/>
  <c r="B191" i="5"/>
  <c r="B201" i="5"/>
  <c r="B230" i="5"/>
  <c r="B237" i="5"/>
  <c r="B254" i="5"/>
  <c r="B261" i="5"/>
  <c r="B346" i="5"/>
  <c r="B395" i="5"/>
  <c r="B444" i="5"/>
  <c r="B375" i="5"/>
  <c r="B456" i="5"/>
  <c r="B25" i="6"/>
  <c r="B28" i="6"/>
  <c r="B567" i="5"/>
  <c r="B591" i="5"/>
  <c r="B584" i="5"/>
  <c r="AA6" i="6"/>
  <c r="G6" i="6"/>
  <c r="B548" i="5"/>
  <c r="B600" i="5"/>
  <c r="O6" i="6"/>
  <c r="B35" i="6"/>
  <c r="B524" i="5"/>
  <c r="B543" i="5"/>
  <c r="B14" i="6"/>
  <c r="B480" i="5"/>
  <c r="B522" i="5"/>
  <c r="B564" i="5"/>
  <c r="B590" i="5"/>
  <c r="B270" i="5"/>
  <c r="B290" i="5"/>
  <c r="B310" i="5"/>
  <c r="B343" i="5"/>
  <c r="B348" i="5"/>
  <c r="B361" i="5"/>
  <c r="B394" i="5"/>
  <c r="B411" i="5"/>
  <c r="B427" i="5"/>
  <c r="B447" i="5"/>
  <c r="B467" i="5"/>
  <c r="B473" i="5"/>
  <c r="B552" i="5"/>
  <c r="B30" i="6"/>
  <c r="B335" i="5"/>
  <c r="B357" i="5"/>
  <c r="B418" i="5"/>
  <c r="B448" i="5"/>
  <c r="B483" i="5"/>
  <c r="B490" i="5"/>
  <c r="B534" i="5"/>
  <c r="B538" i="5"/>
  <c r="B557" i="5"/>
  <c r="B601" i="5"/>
  <c r="B580" i="5"/>
  <c r="B20" i="6"/>
  <c r="B47" i="6"/>
  <c r="Y135" i="6"/>
  <c r="B135" i="6"/>
  <c r="B87" i="6"/>
  <c r="B97" i="6"/>
  <c r="B44" i="6"/>
  <c r="B69" i="6"/>
  <c r="B38" i="6"/>
  <c r="Y128" i="6"/>
  <c r="B128" i="6"/>
  <c r="B54" i="6"/>
  <c r="B98" i="6"/>
  <c r="B67" i="6"/>
  <c r="B81" i="6"/>
  <c r="Y132" i="6"/>
  <c r="B132" i="6"/>
  <c r="B508" i="5"/>
  <c r="B572" i="5"/>
  <c r="B577" i="5"/>
  <c r="B597" i="5"/>
  <c r="B17" i="6"/>
  <c r="B60" i="6"/>
  <c r="B384" i="5"/>
  <c r="B510" i="5"/>
  <c r="B527" i="5"/>
  <c r="B100" i="6"/>
  <c r="Y126" i="6"/>
  <c r="B126" i="6"/>
  <c r="B414" i="5"/>
  <c r="B424" i="5"/>
  <c r="B434" i="5"/>
  <c r="B461" i="5"/>
  <c r="B464" i="5"/>
  <c r="B481" i="5"/>
  <c r="B488" i="5"/>
  <c r="B512" i="5"/>
  <c r="B544" i="5"/>
  <c r="B65" i="6"/>
  <c r="Y130" i="6"/>
  <c r="Y196" i="6"/>
  <c r="Y143" i="6"/>
  <c r="Y171" i="6"/>
  <c r="B171" i="6"/>
  <c r="Y221" i="6"/>
  <c r="B228" i="6"/>
  <c r="Y139" i="6"/>
  <c r="B221" i="6"/>
  <c r="B139" i="6"/>
  <c r="Y141" i="6"/>
  <c r="B148" i="6"/>
  <c r="Y175" i="6"/>
  <c r="B175" i="6"/>
  <c r="Y228" i="6"/>
  <c r="B134" i="6"/>
  <c r="Y134" i="6"/>
  <c r="B141" i="6"/>
  <c r="Y169" i="6"/>
  <c r="B169" i="6"/>
  <c r="Y125" i="6"/>
  <c r="S125" i="6"/>
  <c r="S126" i="6" s="1"/>
  <c r="S127" i="6" s="1"/>
  <c r="S128" i="6" s="1"/>
  <c r="S129" i="6" s="1"/>
  <c r="S130" i="6" s="1"/>
  <c r="S131" i="6" s="1"/>
  <c r="S132" i="6" s="1"/>
  <c r="S133" i="6" s="1"/>
  <c r="S134" i="6" s="1"/>
  <c r="S135" i="6" s="1"/>
  <c r="S136" i="6" s="1"/>
  <c r="S137" i="6" s="1"/>
  <c r="S138" i="6" s="1"/>
  <c r="S139" i="6" s="1"/>
  <c r="S140" i="6" s="1"/>
  <c r="S141" i="6" s="1"/>
  <c r="S142" i="6" s="1"/>
  <c r="S143" i="6" s="1"/>
  <c r="S144" i="6" s="1"/>
  <c r="S145" i="6" s="1"/>
  <c r="S146" i="6" s="1"/>
  <c r="S147" i="6" s="1"/>
  <c r="S148" i="6" s="1"/>
  <c r="S149" i="6" s="1"/>
  <c r="S150" i="6" s="1"/>
  <c r="S151" i="6" s="1"/>
  <c r="S152" i="6" s="1"/>
  <c r="S153" i="6" s="1"/>
  <c r="S154" i="6" s="1"/>
  <c r="S155" i="6" s="1"/>
  <c r="S156" i="6" s="1"/>
  <c r="S157" i="6" s="1"/>
  <c r="S158" i="6" s="1"/>
  <c r="S159" i="6" s="1"/>
  <c r="S160" i="6" s="1"/>
  <c r="S161" i="6" s="1"/>
  <c r="S162" i="6" s="1"/>
  <c r="S163" i="6" s="1"/>
  <c r="S164" i="6" s="1"/>
  <c r="S165" i="6" s="1"/>
  <c r="S166" i="6" s="1"/>
  <c r="S167" i="6" s="1"/>
  <c r="S168" i="6" s="1"/>
  <c r="S169" i="6" s="1"/>
  <c r="S170" i="6" s="1"/>
  <c r="S171" i="6" s="1"/>
  <c r="S172" i="6" s="1"/>
  <c r="S173" i="6" s="1"/>
  <c r="S174" i="6" s="1"/>
  <c r="S175" i="6" s="1"/>
  <c r="S176" i="6" s="1"/>
  <c r="S177" i="6" s="1"/>
  <c r="S178" i="6" s="1"/>
  <c r="S179" i="6" s="1"/>
  <c r="S180" i="6" s="1"/>
  <c r="S181" i="6" s="1"/>
  <c r="S182" i="6" s="1"/>
  <c r="S183" i="6" s="1"/>
  <c r="S184" i="6" s="1"/>
  <c r="S185" i="6" s="1"/>
  <c r="S186" i="6" s="1"/>
  <c r="S187" i="6" s="1"/>
  <c r="S188" i="6" s="1"/>
  <c r="S189" i="6" s="1"/>
  <c r="S190" i="6" s="1"/>
  <c r="S191" i="6" s="1"/>
  <c r="S192" i="6" s="1"/>
  <c r="S193" i="6" s="1"/>
  <c r="S194" i="6" s="1"/>
  <c r="S195" i="6" s="1"/>
  <c r="S196" i="6" s="1"/>
  <c r="S197" i="6" s="1"/>
  <c r="S198" i="6" s="1"/>
  <c r="S199" i="6" s="1"/>
  <c r="S200" i="6" s="1"/>
  <c r="S201" i="6" s="1"/>
  <c r="S202" i="6" s="1"/>
  <c r="S203" i="6" s="1"/>
  <c r="S204" i="6" s="1"/>
  <c r="S205" i="6" s="1"/>
  <c r="S206" i="6" s="1"/>
  <c r="S207" i="6" s="1"/>
  <c r="S208" i="6" s="1"/>
  <c r="S209" i="6" s="1"/>
  <c r="S210" i="6" s="1"/>
  <c r="S211" i="6" s="1"/>
  <c r="S212" i="6" s="1"/>
  <c r="S213" i="6" s="1"/>
  <c r="S214" i="6" s="1"/>
  <c r="S215" i="6" s="1"/>
  <c r="S216" i="6" s="1"/>
  <c r="S217" i="6" s="1"/>
  <c r="S218" i="6" s="1"/>
  <c r="S219" i="6" s="1"/>
  <c r="S220" i="6" s="1"/>
  <c r="S221" i="6" s="1"/>
  <c r="S222" i="6" s="1"/>
  <c r="S223" i="6" s="1"/>
  <c r="S224" i="6" s="1"/>
  <c r="S225" i="6" s="1"/>
  <c r="S226" i="6" s="1"/>
  <c r="S227" i="6" s="1"/>
  <c r="S228" i="6" s="1"/>
  <c r="S229" i="6" s="1"/>
  <c r="S230" i="6" s="1"/>
  <c r="S231" i="6" s="1"/>
  <c r="S232" i="6" s="1"/>
  <c r="S233" i="6" s="1"/>
  <c r="S234" i="6" s="1"/>
  <c r="S235" i="6" s="1"/>
  <c r="S236" i="6" s="1"/>
  <c r="S237" i="6" s="1"/>
  <c r="S238" i="6" s="1"/>
  <c r="S239" i="6" s="1"/>
  <c r="S240" i="6" s="1"/>
  <c r="S241" i="6" s="1"/>
  <c r="S242" i="6" s="1"/>
  <c r="S243" i="6" s="1"/>
  <c r="S244" i="6" s="1"/>
  <c r="S245" i="6" s="1"/>
  <c r="S246" i="6" s="1"/>
  <c r="S247" i="6" s="1"/>
  <c r="S248" i="6" s="1"/>
  <c r="S249" i="6" s="1"/>
  <c r="S250" i="6" s="1"/>
  <c r="S251" i="6" s="1"/>
  <c r="S252" i="6" s="1"/>
  <c r="S253" i="6" s="1"/>
  <c r="S254" i="6" s="1"/>
  <c r="S255" i="6" s="1"/>
  <c r="S256" i="6" s="1"/>
  <c r="S257" i="6" s="1"/>
  <c r="S258" i="6" s="1"/>
  <c r="S259" i="6" s="1"/>
  <c r="S260" i="6" s="1"/>
  <c r="S261" i="6" s="1"/>
  <c r="S262" i="6" s="1"/>
  <c r="S263" i="6" s="1"/>
  <c r="S264" i="6" s="1"/>
  <c r="S265" i="6" s="1"/>
  <c r="S266" i="6" s="1"/>
  <c r="S267" i="6" s="1"/>
  <c r="S268" i="6" s="1"/>
  <c r="S269" i="6" s="1"/>
  <c r="S270" i="6" s="1"/>
  <c r="S271" i="6" s="1"/>
  <c r="S272" i="6" s="1"/>
  <c r="S273" i="6" s="1"/>
  <c r="S274" i="6" s="1"/>
  <c r="S275" i="6" s="1"/>
  <c r="S276" i="6" s="1"/>
  <c r="S277" i="6" s="1"/>
  <c r="S278" i="6" s="1"/>
  <c r="S279" i="6" s="1"/>
  <c r="S280" i="6" s="1"/>
  <c r="S281" i="6" s="1"/>
  <c r="S282" i="6" s="1"/>
  <c r="S283" i="6" s="1"/>
  <c r="S284" i="6" s="1"/>
  <c r="S285" i="6" s="1"/>
  <c r="S286" i="6" s="1"/>
  <c r="S287" i="6" s="1"/>
  <c r="S288" i="6" s="1"/>
  <c r="S289" i="6" s="1"/>
  <c r="S290" i="6" s="1"/>
  <c r="S291" i="6" s="1"/>
  <c r="S292" i="6" s="1"/>
  <c r="S293" i="6" s="1"/>
  <c r="S294" i="6" s="1"/>
  <c r="S295" i="6" s="1"/>
  <c r="S296" i="6" s="1"/>
  <c r="S297" i="6" s="1"/>
  <c r="S298" i="6" s="1"/>
  <c r="S299" i="6" s="1"/>
  <c r="S300" i="6" s="1"/>
  <c r="S301" i="6" s="1"/>
  <c r="S302" i="6" s="1"/>
  <c r="S303" i="6" s="1"/>
  <c r="S304" i="6" s="1"/>
  <c r="S305" i="6" s="1"/>
  <c r="S306" i="6" s="1"/>
  <c r="S307" i="6" s="1"/>
  <c r="S308" i="6" s="1"/>
  <c r="S309" i="6" s="1"/>
  <c r="S310" i="6" s="1"/>
  <c r="S311" i="6" s="1"/>
  <c r="S312" i="6" s="1"/>
  <c r="S313" i="6" s="1"/>
  <c r="S314" i="6" s="1"/>
  <c r="S315" i="6" s="1"/>
  <c r="S316" i="6" s="1"/>
  <c r="S317" i="6" s="1"/>
  <c r="S318" i="6" s="1"/>
  <c r="S319" i="6" s="1"/>
  <c r="S320" i="6" s="1"/>
  <c r="S321" i="6" s="1"/>
  <c r="S322" i="6" s="1"/>
  <c r="S323" i="6" s="1"/>
  <c r="S324" i="6" s="1"/>
  <c r="S325" i="6" s="1"/>
  <c r="S326" i="6" s="1"/>
  <c r="S327" i="6" s="1"/>
  <c r="S328" i="6" s="1"/>
  <c r="S329" i="6" s="1"/>
  <c r="S330" i="6" s="1"/>
  <c r="S331" i="6" s="1"/>
  <c r="S332" i="6" s="1"/>
  <c r="S333" i="6" s="1"/>
  <c r="S334" i="6" s="1"/>
  <c r="S335" i="6" s="1"/>
  <c r="S336" i="6" s="1"/>
  <c r="S337" i="6" s="1"/>
  <c r="S338" i="6" s="1"/>
  <c r="S339" i="6" s="1"/>
  <c r="S340" i="6" s="1"/>
  <c r="S341" i="6" s="1"/>
  <c r="S342" i="6" s="1"/>
  <c r="S343" i="6" s="1"/>
  <c r="S344" i="6" s="1"/>
  <c r="S345" i="6" s="1"/>
  <c r="S346" i="6" s="1"/>
  <c r="S347" i="6" s="1"/>
  <c r="S348" i="6" s="1"/>
  <c r="S349" i="6" s="1"/>
  <c r="S350" i="6" s="1"/>
  <c r="S351" i="6" s="1"/>
  <c r="S352" i="6" s="1"/>
  <c r="S353" i="6" s="1"/>
  <c r="S354" i="6" s="1"/>
  <c r="S355" i="6" s="1"/>
  <c r="S356" i="6" s="1"/>
  <c r="S357" i="6" s="1"/>
  <c r="S358" i="6" s="1"/>
  <c r="S359" i="6" s="1"/>
  <c r="S360" i="6" s="1"/>
  <c r="S361" i="6" s="1"/>
  <c r="S362" i="6" s="1"/>
  <c r="S363" i="6" s="1"/>
  <c r="S364" i="6" s="1"/>
  <c r="S365" i="6" s="1"/>
  <c r="S366" i="6" s="1"/>
  <c r="S367" i="6" s="1"/>
  <c r="S368" i="6" s="1"/>
  <c r="S369" i="6" s="1"/>
  <c r="S370" i="6" s="1"/>
  <c r="S371" i="6" s="1"/>
  <c r="S372" i="6" s="1"/>
  <c r="S373" i="6" s="1"/>
  <c r="S374" i="6" s="1"/>
  <c r="S375" i="6" s="1"/>
  <c r="S376" i="6" s="1"/>
  <c r="S377" i="6" s="1"/>
  <c r="S378" i="6" s="1"/>
  <c r="S379" i="6" s="1"/>
  <c r="S380" i="6" s="1"/>
  <c r="S381" i="6" s="1"/>
  <c r="S382" i="6" s="1"/>
  <c r="S383" i="6" s="1"/>
  <c r="S384" i="6" s="1"/>
  <c r="S385" i="6" s="1"/>
  <c r="S386" i="6" s="1"/>
  <c r="S387" i="6" s="1"/>
  <c r="S388" i="6" s="1"/>
  <c r="S389" i="6" s="1"/>
  <c r="S390" i="6" s="1"/>
  <c r="S391" i="6" s="1"/>
  <c r="S392" i="6" s="1"/>
  <c r="S393" i="6" s="1"/>
  <c r="S394" i="6" s="1"/>
  <c r="S395" i="6" s="1"/>
  <c r="S396" i="6" s="1"/>
  <c r="S397" i="6" s="1"/>
  <c r="S398" i="6" s="1"/>
  <c r="S399" i="6" s="1"/>
  <c r="S400" i="6" s="1"/>
  <c r="S401" i="6" s="1"/>
  <c r="S402" i="6" s="1"/>
  <c r="S403" i="6" s="1"/>
  <c r="S404" i="6" s="1"/>
  <c r="S405" i="6" s="1"/>
  <c r="S406" i="6" s="1"/>
  <c r="S407" i="6" s="1"/>
  <c r="S408" i="6" s="1"/>
  <c r="S409" i="6" s="1"/>
  <c r="S410" i="6" s="1"/>
  <c r="S411" i="6" s="1"/>
  <c r="S412" i="6" s="1"/>
  <c r="S413" i="6" s="1"/>
  <c r="S414" i="6" s="1"/>
  <c r="S415" i="6" s="1"/>
  <c r="S416" i="6" s="1"/>
  <c r="S417" i="6" s="1"/>
  <c r="S418" i="6" s="1"/>
  <c r="S419" i="6" s="1"/>
  <c r="S420" i="6" s="1"/>
  <c r="S421" i="6" s="1"/>
  <c r="S422" i="6" s="1"/>
  <c r="S423" i="6" s="1"/>
  <c r="S424" i="6" s="1"/>
  <c r="S425" i="6" s="1"/>
  <c r="S426" i="6" s="1"/>
  <c r="S427" i="6" s="1"/>
  <c r="S428" i="6" s="1"/>
  <c r="S429" i="6" s="1"/>
  <c r="S430" i="6" s="1"/>
  <c r="S431" i="6" s="1"/>
  <c r="S432" i="6" s="1"/>
  <c r="S433" i="6" s="1"/>
  <c r="S434" i="6" s="1"/>
  <c r="S435" i="6" s="1"/>
  <c r="S436" i="6" s="1"/>
  <c r="S437" i="6" s="1"/>
  <c r="S438" i="6" s="1"/>
  <c r="S439" i="6" s="1"/>
  <c r="S440" i="6" s="1"/>
  <c r="S441" i="6" s="1"/>
  <c r="S442" i="6" s="1"/>
  <c r="S443" i="6" s="1"/>
  <c r="S444" i="6" s="1"/>
  <c r="S445" i="6" s="1"/>
  <c r="S446" i="6" s="1"/>
  <c r="S447" i="6" s="1"/>
  <c r="S448" i="6" s="1"/>
  <c r="S449" i="6" s="1"/>
  <c r="S450" i="6" s="1"/>
  <c r="S451" i="6" s="1"/>
  <c r="S452" i="6" s="1"/>
  <c r="S453" i="6" s="1"/>
  <c r="S454" i="6" s="1"/>
  <c r="S455" i="6" s="1"/>
  <c r="S456" i="6" s="1"/>
  <c r="S457" i="6" s="1"/>
  <c r="S458" i="6" s="1"/>
  <c r="S459" i="6" s="1"/>
  <c r="S460" i="6" s="1"/>
  <c r="S461" i="6" s="1"/>
  <c r="S462" i="6" s="1"/>
  <c r="S463" i="6" s="1"/>
  <c r="S464" i="6" s="1"/>
  <c r="S465" i="6" s="1"/>
  <c r="S466" i="6" s="1"/>
  <c r="S467" i="6" s="1"/>
  <c r="S468" i="6" s="1"/>
  <c r="S469" i="6" s="1"/>
  <c r="S470" i="6" s="1"/>
  <c r="S471" i="6" s="1"/>
  <c r="S472" i="6" s="1"/>
  <c r="S473" i="6" s="1"/>
  <c r="S474" i="6" s="1"/>
  <c r="S475" i="6" s="1"/>
  <c r="S476" i="6" s="1"/>
  <c r="S477" i="6" s="1"/>
  <c r="S478" i="6" s="1"/>
  <c r="S479" i="6" s="1"/>
  <c r="S480" i="6" s="1"/>
  <c r="S481" i="6" s="1"/>
  <c r="S482" i="6" s="1"/>
  <c r="S483" i="6" s="1"/>
  <c r="S484" i="6" s="1"/>
  <c r="S485" i="6" s="1"/>
  <c r="S486" i="6" s="1"/>
  <c r="S487" i="6" s="1"/>
  <c r="S488" i="6" s="1"/>
  <c r="S489" i="6" s="1"/>
  <c r="S490" i="6" s="1"/>
  <c r="S491" i="6" s="1"/>
  <c r="S492" i="6" s="1"/>
  <c r="S493" i="6" s="1"/>
  <c r="S494" i="6" s="1"/>
  <c r="S495" i="6" s="1"/>
  <c r="S496" i="6" s="1"/>
  <c r="S497" i="6" s="1"/>
  <c r="S498" i="6" s="1"/>
  <c r="S499" i="6" s="1"/>
  <c r="S500" i="6" s="1"/>
  <c r="S501" i="6" s="1"/>
  <c r="S502" i="6" s="1"/>
  <c r="S503" i="6" s="1"/>
  <c r="S504" i="6" s="1"/>
  <c r="S505" i="6" s="1"/>
  <c r="S506" i="6" s="1"/>
  <c r="S507" i="6" s="1"/>
  <c r="S508" i="6" s="1"/>
  <c r="S509" i="6" s="1"/>
  <c r="S510" i="6" s="1"/>
  <c r="S511" i="6" s="1"/>
  <c r="S512" i="6" s="1"/>
  <c r="S513" i="6" s="1"/>
  <c r="S514" i="6" s="1"/>
  <c r="S515" i="6" s="1"/>
  <c r="S516" i="6" s="1"/>
  <c r="S517" i="6" s="1"/>
  <c r="S518" i="6" s="1"/>
  <c r="S519" i="6" s="1"/>
  <c r="S520" i="6" s="1"/>
  <c r="S521" i="6" s="1"/>
  <c r="S522" i="6" s="1"/>
  <c r="S523" i="6" s="1"/>
  <c r="S524" i="6" s="1"/>
  <c r="S525" i="6" s="1"/>
  <c r="S526" i="6" s="1"/>
  <c r="S527" i="6" s="1"/>
  <c r="S528" i="6" s="1"/>
  <c r="S529" i="6" s="1"/>
  <c r="S530" i="6" s="1"/>
  <c r="S531" i="6" s="1"/>
  <c r="S532" i="6" s="1"/>
  <c r="S533" i="6" s="1"/>
  <c r="S534" i="6" s="1"/>
  <c r="S535" i="6" s="1"/>
  <c r="S536" i="6" s="1"/>
  <c r="S537" i="6" s="1"/>
  <c r="S538" i="6" s="1"/>
  <c r="S539" i="6" s="1"/>
  <c r="S540" i="6" s="1"/>
  <c r="S541" i="6" s="1"/>
  <c r="S542" i="6" s="1"/>
  <c r="S543" i="6" s="1"/>
  <c r="S544" i="6" s="1"/>
  <c r="S545" i="6" s="1"/>
  <c r="S546" i="6" s="1"/>
  <c r="S547" i="6" s="1"/>
  <c r="S548" i="6" s="1"/>
  <c r="S549" i="6" s="1"/>
  <c r="S550" i="6" s="1"/>
  <c r="S551" i="6" s="1"/>
  <c r="S552" i="6" s="1"/>
  <c r="S553" i="6" s="1"/>
  <c r="S554" i="6" s="1"/>
  <c r="S555" i="6" s="1"/>
  <c r="S556" i="6" s="1"/>
  <c r="S557" i="6" s="1"/>
  <c r="S558" i="6" s="1"/>
  <c r="S559" i="6" s="1"/>
  <c r="S560" i="6" s="1"/>
  <c r="S561" i="6" s="1"/>
  <c r="S562" i="6" s="1"/>
  <c r="S563" i="6" s="1"/>
  <c r="S564" i="6" s="1"/>
  <c r="S565" i="6" s="1"/>
  <c r="S566" i="6" s="1"/>
  <c r="S567" i="6" s="1"/>
  <c r="S568" i="6" s="1"/>
  <c r="S569" i="6" s="1"/>
  <c r="S570" i="6" s="1"/>
  <c r="S571" i="6" s="1"/>
  <c r="S572" i="6" s="1"/>
  <c r="S573" i="6" s="1"/>
  <c r="S574" i="6" s="1"/>
  <c r="S575" i="6" s="1"/>
  <c r="S576" i="6" s="1"/>
  <c r="S577" i="6" s="1"/>
  <c r="S578" i="6" s="1"/>
  <c r="S579" i="6" s="1"/>
  <c r="S580" i="6" s="1"/>
  <c r="S581" i="6" s="1"/>
  <c r="S582" i="6" s="1"/>
  <c r="S583" i="6" s="1"/>
  <c r="S584" i="6" s="1"/>
  <c r="S585" i="6" s="1"/>
  <c r="S586" i="6" s="1"/>
  <c r="S587" i="6" s="1"/>
  <c r="S588" i="6" s="1"/>
  <c r="S589" i="6" s="1"/>
  <c r="S590" i="6" s="1"/>
  <c r="S591" i="6" s="1"/>
  <c r="S592" i="6" s="1"/>
  <c r="S593" i="6" s="1"/>
  <c r="S594" i="6" s="1"/>
  <c r="S595" i="6" s="1"/>
  <c r="S596" i="6" s="1"/>
  <c r="S597" i="6" s="1"/>
  <c r="S598" i="6" s="1"/>
  <c r="S599" i="6" s="1"/>
  <c r="S600" i="6" s="1"/>
  <c r="S601" i="6" s="1"/>
  <c r="S602" i="6" s="1"/>
  <c r="S603" i="6" s="1"/>
  <c r="S604" i="6" s="1"/>
  <c r="S605" i="6" s="1"/>
  <c r="B125" i="6"/>
  <c r="B192" i="6"/>
  <c r="Y192" i="6"/>
  <c r="Y214" i="6"/>
  <c r="B214" i="6"/>
  <c r="Y219" i="6"/>
  <c r="B219" i="6"/>
  <c r="B50" i="6"/>
  <c r="B159" i="6"/>
  <c r="B186" i="6"/>
  <c r="S7" i="6"/>
  <c r="S8" i="6" s="1"/>
  <c r="S9" i="6" s="1"/>
  <c r="S10" i="6" s="1"/>
  <c r="S11" i="6" s="1"/>
  <c r="S12" i="6" s="1"/>
  <c r="S13" i="6" s="1"/>
  <c r="S14" i="6" s="1"/>
  <c r="S15" i="6" s="1"/>
  <c r="S16" i="6" s="1"/>
  <c r="S17" i="6" s="1"/>
  <c r="S18" i="6" s="1"/>
  <c r="S19" i="6" s="1"/>
  <c r="S20" i="6" s="1"/>
  <c r="S21" i="6" s="1"/>
  <c r="S22" i="6" s="1"/>
  <c r="S23" i="6" s="1"/>
  <c r="S24" i="6" s="1"/>
  <c r="S25" i="6" s="1"/>
  <c r="S26" i="6" s="1"/>
  <c r="S27" i="6" s="1"/>
  <c r="S28" i="6" s="1"/>
  <c r="S29" i="6" s="1"/>
  <c r="S30" i="6" s="1"/>
  <c r="S31" i="6" s="1"/>
  <c r="S32" i="6" s="1"/>
  <c r="S33" i="6" s="1"/>
  <c r="S34" i="6" s="1"/>
  <c r="S35" i="6" s="1"/>
  <c r="S36" i="6" s="1"/>
  <c r="S37" i="6" s="1"/>
  <c r="S38" i="6" s="1"/>
  <c r="S39" i="6" s="1"/>
  <c r="S40" i="6" s="1"/>
  <c r="S41" i="6" s="1"/>
  <c r="S42" i="6" s="1"/>
  <c r="S43" i="6" s="1"/>
  <c r="S44" i="6" s="1"/>
  <c r="S45" i="6" s="1"/>
  <c r="S46" i="6" s="1"/>
  <c r="S47" i="6" s="1"/>
  <c r="S48" i="6" s="1"/>
  <c r="S49" i="6" s="1"/>
  <c r="S50" i="6" s="1"/>
  <c r="S51" i="6" s="1"/>
  <c r="S52" i="6" s="1"/>
  <c r="S53" i="6" s="1"/>
  <c r="S54" i="6" s="1"/>
  <c r="S55" i="6" s="1"/>
  <c r="S56" i="6" s="1"/>
  <c r="S57" i="6" s="1"/>
  <c r="S58" i="6" s="1"/>
  <c r="S59" i="6" s="1"/>
  <c r="S60" i="6" s="1"/>
  <c r="S61" i="6" s="1"/>
  <c r="S62" i="6" s="1"/>
  <c r="S63" i="6" s="1"/>
  <c r="S64" i="6" s="1"/>
  <c r="S65" i="6" s="1"/>
  <c r="S66" i="6" s="1"/>
  <c r="S67" i="6" s="1"/>
  <c r="S68" i="6" s="1"/>
  <c r="S69" i="6" s="1"/>
  <c r="S70" i="6" s="1"/>
  <c r="S71" i="6" s="1"/>
  <c r="S72" i="6" s="1"/>
  <c r="S73" i="6" s="1"/>
  <c r="S74" i="6" s="1"/>
  <c r="S75" i="6" s="1"/>
  <c r="S76" i="6" s="1"/>
  <c r="S77" i="6" s="1"/>
  <c r="S78" i="6" s="1"/>
  <c r="S79" i="6" s="1"/>
  <c r="S80" i="6" s="1"/>
  <c r="S81" i="6" s="1"/>
  <c r="S82" i="6" s="1"/>
  <c r="S83" i="6" s="1"/>
  <c r="S84" i="6" s="1"/>
  <c r="S85" i="6" s="1"/>
  <c r="S86" i="6" s="1"/>
  <c r="S87" i="6" s="1"/>
  <c r="S88" i="6" s="1"/>
  <c r="S89" i="6" s="1"/>
  <c r="S90" i="6" s="1"/>
  <c r="S91" i="6" s="1"/>
  <c r="S92" i="6" s="1"/>
  <c r="S93" i="6" s="1"/>
  <c r="S94" i="6" s="1"/>
  <c r="S95" i="6" s="1"/>
  <c r="S96" i="6" s="1"/>
  <c r="S97" i="6" s="1"/>
  <c r="S98" i="6" s="1"/>
  <c r="S99" i="6" s="1"/>
  <c r="S100" i="6" s="1"/>
  <c r="S101" i="6" s="1"/>
  <c r="S102" i="6" s="1"/>
  <c r="S103" i="6" s="1"/>
  <c r="S104" i="6" s="1"/>
  <c r="S105" i="6" s="1"/>
  <c r="S106" i="6" s="1"/>
  <c r="S107" i="6" s="1"/>
  <c r="S108" i="6" s="1"/>
  <c r="S109" i="6" s="1"/>
  <c r="S110" i="6" s="1"/>
  <c r="S111" i="6" s="1"/>
  <c r="S112" i="6" s="1"/>
  <c r="S113" i="6" s="1"/>
  <c r="S114" i="6" s="1"/>
  <c r="S115" i="6" s="1"/>
  <c r="S116" i="6" s="1"/>
  <c r="S117" i="6" s="1"/>
  <c r="S118" i="6" s="1"/>
  <c r="S119" i="6" s="1"/>
  <c r="S120" i="6" s="1"/>
  <c r="S121" i="6" s="1"/>
  <c r="S122" i="6" s="1"/>
  <c r="S123" i="6" s="1"/>
  <c r="S124" i="6" s="1"/>
  <c r="B74" i="6"/>
  <c r="B104" i="6"/>
  <c r="B123" i="6"/>
  <c r="Y217" i="6"/>
  <c r="B217" i="6"/>
  <c r="Y230" i="6"/>
  <c r="B515" i="5"/>
  <c r="B525" i="5"/>
  <c r="B535" i="5"/>
  <c r="B545" i="5"/>
  <c r="B555" i="5"/>
  <c r="B565" i="5"/>
  <c r="B575" i="5"/>
  <c r="B7" i="6"/>
  <c r="B10" i="6"/>
  <c r="B31" i="6"/>
  <c r="B55" i="6"/>
  <c r="B58" i="6"/>
  <c r="B64" i="6"/>
  <c r="B119" i="6"/>
  <c r="B121" i="6"/>
  <c r="B144" i="6"/>
  <c r="Y144" i="6"/>
  <c r="Y152" i="6"/>
  <c r="Y173" i="6"/>
  <c r="B173" i="6"/>
  <c r="B230" i="6"/>
  <c r="B504" i="5"/>
  <c r="B578" i="5"/>
  <c r="B585" i="5"/>
  <c r="B34" i="6"/>
  <c r="B37" i="6"/>
  <c r="B40" i="6"/>
  <c r="B61" i="6"/>
  <c r="B80" i="6"/>
  <c r="B111" i="6"/>
  <c r="Y150" i="6"/>
  <c r="B152" i="6"/>
  <c r="Y176" i="6"/>
  <c r="B176" i="6"/>
  <c r="Y153" i="6"/>
  <c r="Y155" i="6"/>
  <c r="B178" i="6"/>
  <c r="Y178" i="6"/>
  <c r="Y179" i="6"/>
  <c r="Y226" i="6"/>
  <c r="B226" i="6"/>
  <c r="Y294" i="6"/>
  <c r="B294" i="6"/>
  <c r="Y261" i="6"/>
  <c r="B261" i="6"/>
  <c r="Y330" i="6"/>
  <c r="Y264" i="6"/>
  <c r="B264" i="6"/>
  <c r="Y273" i="6"/>
  <c r="Y407" i="6"/>
  <c r="B407" i="6"/>
  <c r="B250" i="6"/>
  <c r="B273" i="6"/>
  <c r="Y276" i="6"/>
  <c r="Y290" i="6"/>
  <c r="Y233" i="6"/>
  <c r="B233" i="6"/>
  <c r="B276" i="6"/>
  <c r="B290" i="6"/>
  <c r="Y379" i="6"/>
  <c r="B379" i="6"/>
  <c r="Y162" i="6"/>
  <c r="B188" i="6"/>
  <c r="Y188" i="6"/>
  <c r="Y189" i="6"/>
  <c r="Y210" i="6"/>
  <c r="B103" i="6"/>
  <c r="Y160" i="6"/>
  <c r="B160" i="6"/>
  <c r="B162" i="6"/>
  <c r="B164" i="6"/>
  <c r="B166" i="6"/>
  <c r="B189" i="6"/>
  <c r="Y200" i="6"/>
  <c r="Y208" i="6"/>
  <c r="B208" i="6"/>
  <c r="B210" i="6"/>
  <c r="B212" i="6"/>
  <c r="Y212" i="6"/>
  <c r="Y223" i="6"/>
  <c r="B223" i="6"/>
  <c r="Y336" i="6"/>
  <c r="B63" i="6"/>
  <c r="B77" i="6"/>
  <c r="B93" i="6"/>
  <c r="Y193" i="6"/>
  <c r="B200" i="6"/>
  <c r="Y250" i="6"/>
  <c r="Y270" i="6"/>
  <c r="Y332" i="6"/>
  <c r="B332" i="6"/>
  <c r="B336" i="6"/>
  <c r="B78" i="6"/>
  <c r="B91" i="6"/>
  <c r="B110" i="6"/>
  <c r="B112" i="6"/>
  <c r="B114" i="6"/>
  <c r="B116" i="6"/>
  <c r="B193" i="6"/>
  <c r="B270" i="6"/>
  <c r="B502" i="6"/>
  <c r="Y502" i="6"/>
  <c r="B198" i="6"/>
  <c r="Y288" i="6"/>
  <c r="Y295" i="6"/>
  <c r="B295" i="6"/>
  <c r="B242" i="6"/>
  <c r="Y242" i="6"/>
  <c r="Y246" i="6"/>
  <c r="B348" i="6"/>
  <c r="Y348" i="6"/>
  <c r="B246" i="6"/>
  <c r="Y224" i="6"/>
  <c r="B224" i="6"/>
  <c r="Y267" i="6"/>
  <c r="B267" i="6"/>
  <c r="Y317" i="6"/>
  <c r="B317" i="6"/>
  <c r="B108" i="6"/>
  <c r="B115" i="6"/>
  <c r="B149" i="6"/>
  <c r="B158" i="6"/>
  <c r="B165" i="6"/>
  <c r="Y174" i="6"/>
  <c r="Y182" i="6"/>
  <c r="Y201" i="6"/>
  <c r="Y203" i="6"/>
  <c r="B216" i="6"/>
  <c r="B232" i="6"/>
  <c r="Y232" i="6"/>
  <c r="B328" i="6"/>
  <c r="Y328" i="6"/>
  <c r="Y334" i="6"/>
  <c r="Y278" i="6"/>
  <c r="Y311" i="6"/>
  <c r="B311" i="6"/>
  <c r="B318" i="6"/>
  <c r="Y318" i="6"/>
  <c r="Y360" i="6"/>
  <c r="Y344" i="6"/>
  <c r="B344" i="6"/>
  <c r="B360" i="6"/>
  <c r="Y251" i="6"/>
  <c r="B256" i="6"/>
  <c r="Y256" i="6"/>
  <c r="B299" i="6"/>
  <c r="Y257" i="6"/>
  <c r="B257" i="6"/>
  <c r="Y296" i="6"/>
  <c r="B316" i="6"/>
  <c r="Y471" i="6"/>
  <c r="B471" i="6"/>
  <c r="Y253" i="6"/>
  <c r="Y297" i="6"/>
  <c r="Y346" i="6"/>
  <c r="B355" i="6"/>
  <c r="Y355" i="6"/>
  <c r="Y462" i="6"/>
  <c r="B462" i="6"/>
  <c r="Y319" i="6"/>
  <c r="B327" i="6"/>
  <c r="Y327" i="6"/>
  <c r="Y260" i="6"/>
  <c r="Y263" i="6"/>
  <c r="B319" i="6"/>
  <c r="B190" i="6"/>
  <c r="B199" i="6"/>
  <c r="Y199" i="6"/>
  <c r="B263" i="6"/>
  <c r="B266" i="6"/>
  <c r="Y266" i="6"/>
  <c r="B279" i="6"/>
  <c r="Y279" i="6"/>
  <c r="B314" i="6"/>
  <c r="Y314" i="6"/>
  <c r="Y350" i="6"/>
  <c r="Y353" i="6"/>
  <c r="B353" i="6"/>
  <c r="Y386" i="6"/>
  <c r="Y421" i="6"/>
  <c r="Y190" i="6"/>
  <c r="B197" i="6"/>
  <c r="B206" i="6"/>
  <c r="B213" i="6"/>
  <c r="Y222" i="6"/>
  <c r="Y231" i="6"/>
  <c r="Y240" i="6"/>
  <c r="B247" i="6"/>
  <c r="Y304" i="6"/>
  <c r="B304" i="6"/>
  <c r="Y310" i="6"/>
  <c r="B323" i="6"/>
  <c r="Y323" i="6"/>
  <c r="B350" i="6"/>
  <c r="Y378" i="6"/>
  <c r="B378" i="6"/>
  <c r="B386" i="6"/>
  <c r="B421" i="6"/>
  <c r="Y275" i="6"/>
  <c r="Y291" i="6"/>
  <c r="Y337" i="6"/>
  <c r="Y339" i="6"/>
  <c r="Y366" i="6"/>
  <c r="Y371" i="6"/>
  <c r="Y373" i="6"/>
  <c r="Y380" i="6"/>
  <c r="Y387" i="6"/>
  <c r="B387" i="6"/>
  <c r="B404" i="6"/>
  <c r="B406" i="6"/>
  <c r="Y363" i="6"/>
  <c r="B400" i="6"/>
  <c r="Y400" i="6"/>
  <c r="Y475" i="6"/>
  <c r="B475" i="6"/>
  <c r="B277" i="6"/>
  <c r="B286" i="6"/>
  <c r="Y286" i="6"/>
  <c r="B325" i="6"/>
  <c r="Y393" i="6"/>
  <c r="Y408" i="6"/>
  <c r="Y510" i="6"/>
  <c r="B510" i="6"/>
  <c r="Y277" i="6"/>
  <c r="B284" i="6"/>
  <c r="B293" i="6"/>
  <c r="B300" i="6"/>
  <c r="Y309" i="6"/>
  <c r="B352" i="6"/>
  <c r="B382" i="6"/>
  <c r="Y384" i="6"/>
  <c r="B393" i="6"/>
  <c r="B398" i="6"/>
  <c r="Y398" i="6"/>
  <c r="Y406" i="6"/>
  <c r="B408" i="6"/>
  <c r="Y440" i="6"/>
  <c r="B460" i="6"/>
  <c r="Y460" i="6"/>
  <c r="Y340" i="6"/>
  <c r="B365" i="6"/>
  <c r="Y365" i="6"/>
  <c r="Y410" i="6"/>
  <c r="B414" i="6"/>
  <c r="Y415" i="6"/>
  <c r="B527" i="6"/>
  <c r="Y527" i="6"/>
  <c r="Y431" i="6"/>
  <c r="B431" i="6"/>
  <c r="Y468" i="6"/>
  <c r="Y356" i="6"/>
  <c r="Y394" i="6"/>
  <c r="B394" i="6"/>
  <c r="Y396" i="6"/>
  <c r="B396" i="6"/>
  <c r="Y438" i="6"/>
  <c r="B448" i="6"/>
  <c r="B468" i="6"/>
  <c r="B326" i="6"/>
  <c r="B335" i="6"/>
  <c r="Y335" i="6"/>
  <c r="B356" i="6"/>
  <c r="Y359" i="6"/>
  <c r="Y414" i="6"/>
  <c r="B438" i="6"/>
  <c r="B443" i="6"/>
  <c r="Y461" i="6"/>
  <c r="B470" i="6"/>
  <c r="Y470" i="6"/>
  <c r="B541" i="6"/>
  <c r="Y541" i="6"/>
  <c r="Y326" i="6"/>
  <c r="B333" i="6"/>
  <c r="B342" i="6"/>
  <c r="B349" i="6"/>
  <c r="B359" i="6"/>
  <c r="Y362" i="6"/>
  <c r="B461" i="6"/>
  <c r="Y474" i="6"/>
  <c r="Y546" i="6"/>
  <c r="B546" i="6"/>
  <c r="B399" i="6"/>
  <c r="Y413" i="6"/>
  <c r="Y476" i="6"/>
  <c r="Y493" i="6"/>
  <c r="B493" i="6"/>
  <c r="Y516" i="6"/>
  <c r="B516" i="6"/>
  <c r="B441" i="6"/>
  <c r="B531" i="6"/>
  <c r="Y531" i="6"/>
  <c r="B369" i="6"/>
  <c r="Y369" i="6"/>
  <c r="B401" i="6"/>
  <c r="Y411" i="6"/>
  <c r="Y422" i="6"/>
  <c r="B433" i="6"/>
  <c r="B435" i="6"/>
  <c r="Y437" i="6"/>
  <c r="Y441" i="6"/>
  <c r="Y483" i="6"/>
  <c r="Y543" i="6"/>
  <c r="Y417" i="6"/>
  <c r="B426" i="6"/>
  <c r="Y447" i="6"/>
  <c r="Y458" i="6"/>
  <c r="B479" i="6"/>
  <c r="Y491" i="6"/>
  <c r="B491" i="6"/>
  <c r="B543" i="6"/>
  <c r="Y451" i="6"/>
  <c r="Y464" i="6"/>
  <c r="Y467" i="6"/>
  <c r="Y477" i="6"/>
  <c r="B498" i="6"/>
  <c r="Y498" i="6"/>
  <c r="Y560" i="6"/>
  <c r="Y539" i="6"/>
  <c r="B539" i="6"/>
  <c r="Y444" i="6"/>
  <c r="B420" i="6"/>
  <c r="Y420" i="6"/>
  <c r="B427" i="6"/>
  <c r="Y445" i="6"/>
  <c r="B425" i="6"/>
  <c r="B434" i="6"/>
  <c r="B445" i="6"/>
  <c r="Y454" i="6"/>
  <c r="Y484" i="6"/>
  <c r="B484" i="6"/>
  <c r="Y490" i="6"/>
  <c r="B530" i="6"/>
  <c r="Y509" i="6"/>
  <c r="B522" i="6"/>
  <c r="Y522" i="6"/>
  <c r="Y553" i="6"/>
  <c r="B553" i="6"/>
  <c r="B512" i="6"/>
  <c r="Y519" i="6"/>
  <c r="B536" i="6"/>
  <c r="Y561" i="6"/>
  <c r="B473" i="6"/>
  <c r="Y512" i="6"/>
  <c r="B519" i="6"/>
  <c r="B561" i="6"/>
  <c r="Y573" i="6"/>
  <c r="B573" i="6"/>
  <c r="B480" i="6"/>
  <c r="Y489" i="6"/>
  <c r="Y496" i="6"/>
  <c r="Y503" i="6"/>
  <c r="B503" i="6"/>
  <c r="Y534" i="6"/>
  <c r="Y568" i="6"/>
  <c r="Y526" i="6"/>
  <c r="B540" i="6"/>
  <c r="Y572" i="6"/>
  <c r="B572" i="6"/>
  <c r="B517" i="6"/>
  <c r="B520" i="6"/>
  <c r="Y523" i="6"/>
  <c r="Y567" i="6"/>
  <c r="B567" i="6"/>
  <c r="Y513" i="6"/>
  <c r="Y533" i="6"/>
  <c r="Y544" i="6"/>
  <c r="B552" i="6"/>
  <c r="B597" i="6"/>
  <c r="Y551" i="6"/>
  <c r="B551" i="6"/>
  <c r="B532" i="6"/>
  <c r="Y537" i="6"/>
  <c r="B528" i="6"/>
  <c r="B537" i="6"/>
  <c r="Y563" i="6"/>
  <c r="B563" i="6"/>
  <c r="Y564" i="6"/>
  <c r="Y579" i="6"/>
  <c r="Y591" i="6"/>
  <c r="B591" i="6"/>
  <c r="B604" i="6"/>
  <c r="Y604" i="6"/>
  <c r="B605" i="6"/>
  <c r="Y599" i="6"/>
  <c r="B599" i="6"/>
  <c r="B558" i="6"/>
  <c r="Y596" i="6"/>
  <c r="B596" i="6"/>
  <c r="B549" i="6"/>
  <c r="B566" i="6"/>
  <c r="Y569" i="6"/>
  <c r="B569" i="6"/>
  <c r="B574" i="6"/>
  <c r="Y570" i="6"/>
  <c r="B587" i="6"/>
  <c r="B600" i="6"/>
  <c r="Y600" i="6"/>
  <c r="B580" i="6"/>
  <c r="Y580" i="6"/>
  <c r="B565" i="6"/>
  <c r="B575" i="6"/>
  <c r="Y577" i="6"/>
  <c r="Y586" i="6"/>
  <c r="B586" i="6"/>
  <c r="B585" i="6"/>
  <c r="B590" i="6"/>
  <c r="B595" i="6"/>
  <c r="G26" i="7" l="1"/>
  <c r="F26" i="7"/>
  <c r="O6" i="3"/>
  <c r="AA7" i="6"/>
  <c r="H6" i="6"/>
  <c r="AA6" i="3"/>
  <c r="G6" i="3"/>
  <c r="AA7" i="3" s="1"/>
  <c r="H6" i="4"/>
  <c r="I6" i="5"/>
  <c r="L6" i="5" s="1"/>
  <c r="Y6" i="6" l="1"/>
  <c r="V6" i="5"/>
  <c r="N6" i="5"/>
  <c r="H6" i="3"/>
  <c r="I6" i="4"/>
  <c r="I6" i="6"/>
  <c r="L6" i="6" s="1"/>
  <c r="U6" i="5"/>
  <c r="J6" i="5"/>
  <c r="V6" i="6" l="1"/>
  <c r="N6" i="6"/>
  <c r="I6" i="3"/>
  <c r="U6" i="4"/>
  <c r="J6" i="4"/>
  <c r="K6" i="4" s="1"/>
  <c r="W6" i="4" s="1"/>
  <c r="L6" i="4"/>
  <c r="K6" i="5"/>
  <c r="T6" i="5"/>
  <c r="U6" i="6"/>
  <c r="J6" i="6"/>
  <c r="V6" i="4" l="1"/>
  <c r="N6" i="4"/>
  <c r="T6" i="4" s="1"/>
  <c r="Z6" i="4"/>
  <c r="K6" i="6"/>
  <c r="W6" i="6" s="1"/>
  <c r="X6" i="6"/>
  <c r="U6" i="3"/>
  <c r="J6" i="3"/>
  <c r="K6" i="3" s="1"/>
  <c r="W6" i="3" s="1"/>
  <c r="E7" i="5"/>
  <c r="D7" i="5"/>
  <c r="M7" i="5"/>
  <c r="C7" i="5"/>
  <c r="R7" i="5"/>
  <c r="Q7" i="5"/>
  <c r="G7" i="5"/>
  <c r="AA8" i="5" s="1"/>
  <c r="L6" i="3"/>
  <c r="Z6" i="5"/>
  <c r="W6" i="5"/>
  <c r="X6" i="5"/>
  <c r="X6" i="4"/>
  <c r="N6" i="3" l="1"/>
  <c r="V6" i="3"/>
  <c r="P7" i="5"/>
  <c r="M7" i="4"/>
  <c r="C7" i="4"/>
  <c r="F7" i="4" s="1"/>
  <c r="O7" i="4" s="1"/>
  <c r="D7" i="4"/>
  <c r="Q7" i="4"/>
  <c r="P7" i="4"/>
  <c r="R7" i="4"/>
  <c r="E7" i="4"/>
  <c r="G7" i="4"/>
  <c r="AA8" i="4" s="1"/>
  <c r="T6" i="6"/>
  <c r="F7" i="5"/>
  <c r="H7" i="4" l="1"/>
  <c r="E7" i="6"/>
  <c r="D7" i="6"/>
  <c r="M7" i="6"/>
  <c r="C7" i="6"/>
  <c r="G7" i="6"/>
  <c r="R7" i="6"/>
  <c r="Q7" i="6"/>
  <c r="Z6" i="6"/>
  <c r="O7" i="5"/>
  <c r="I7" i="4"/>
  <c r="T6" i="3"/>
  <c r="X6" i="3"/>
  <c r="H7" i="5"/>
  <c r="P7" i="6" l="1"/>
  <c r="R7" i="3"/>
  <c r="E7" i="3"/>
  <c r="G7" i="3"/>
  <c r="AA8" i="3" s="1"/>
  <c r="D7" i="3"/>
  <c r="Q7" i="3"/>
  <c r="C7" i="3"/>
  <c r="Z6" i="3"/>
  <c r="AA8" i="6"/>
  <c r="Y7" i="6"/>
  <c r="I7" i="5"/>
  <c r="U7" i="4"/>
  <c r="J7" i="4"/>
  <c r="F7" i="6"/>
  <c r="L7" i="4"/>
  <c r="P7" i="3" l="1"/>
  <c r="U7" i="5"/>
  <c r="J7" i="5"/>
  <c r="K7" i="5" s="1"/>
  <c r="W7" i="5" s="1"/>
  <c r="K7" i="4"/>
  <c r="W7" i="4" s="1"/>
  <c r="V7" i="4"/>
  <c r="N7" i="4"/>
  <c r="H7" i="6"/>
  <c r="L7" i="5"/>
  <c r="O7" i="6"/>
  <c r="F7" i="3"/>
  <c r="H7" i="3" s="1"/>
  <c r="T7" i="4" l="1"/>
  <c r="Z7" i="4"/>
  <c r="X7" i="4"/>
  <c r="V7" i="5"/>
  <c r="N7" i="5"/>
  <c r="T7" i="5" s="1"/>
  <c r="I7" i="3"/>
  <c r="U7" i="3" s="1"/>
  <c r="J7" i="3"/>
  <c r="K7" i="3" s="1"/>
  <c r="W7" i="3" s="1"/>
  <c r="O7" i="3"/>
  <c r="I7" i="6"/>
  <c r="L7" i="6" s="1"/>
  <c r="X7" i="5" l="1"/>
  <c r="V7" i="6"/>
  <c r="N7" i="6"/>
  <c r="E8" i="4"/>
  <c r="D8" i="4"/>
  <c r="Q8" i="4"/>
  <c r="G8" i="4"/>
  <c r="AA9" i="4" s="1"/>
  <c r="C8" i="4"/>
  <c r="R8" i="4"/>
  <c r="M8" i="4"/>
  <c r="U7" i="6"/>
  <c r="J7" i="6"/>
  <c r="K7" i="6" s="1"/>
  <c r="W7" i="6" s="1"/>
  <c r="R8" i="5"/>
  <c r="Q8" i="5"/>
  <c r="G8" i="5"/>
  <c r="AA9" i="5" s="1"/>
  <c r="M8" i="5"/>
  <c r="E8" i="5"/>
  <c r="P8" i="5" s="1"/>
  <c r="D8" i="5"/>
  <c r="C8" i="5"/>
  <c r="Z7" i="5"/>
  <c r="L7" i="3"/>
  <c r="X7" i="6" l="1"/>
  <c r="P8" i="4"/>
  <c r="F8" i="4"/>
  <c r="T7" i="6"/>
  <c r="V7" i="3"/>
  <c r="N7" i="3"/>
  <c r="F8" i="5"/>
  <c r="H8" i="4"/>
  <c r="T7" i="3" l="1"/>
  <c r="X7" i="3"/>
  <c r="O8" i="4"/>
  <c r="O8" i="5"/>
  <c r="H8" i="5"/>
  <c r="I8" i="4"/>
  <c r="U8" i="4" s="1"/>
  <c r="R8" i="6"/>
  <c r="Q8" i="6"/>
  <c r="G8" i="6"/>
  <c r="M8" i="6"/>
  <c r="E8" i="6"/>
  <c r="P8" i="6" s="1"/>
  <c r="D8" i="6"/>
  <c r="C8" i="6"/>
  <c r="Z7" i="6"/>
  <c r="Z7" i="3"/>
  <c r="I8" i="5"/>
  <c r="U8" i="5" s="1"/>
  <c r="F8" i="6" l="1"/>
  <c r="J8" i="5"/>
  <c r="K8" i="5" s="1"/>
  <c r="W8" i="5" s="1"/>
  <c r="J8" i="4"/>
  <c r="K8" i="4" s="1"/>
  <c r="W8" i="4" s="1"/>
  <c r="O8" i="6"/>
  <c r="AA9" i="6"/>
  <c r="H8" i="6"/>
  <c r="L8" i="4"/>
  <c r="L8" i="5"/>
  <c r="C8" i="3"/>
  <c r="E8" i="3"/>
  <c r="P8" i="3" s="1"/>
  <c r="D8" i="3"/>
  <c r="G8" i="3"/>
  <c r="AA9" i="3" s="1"/>
  <c r="Q8" i="3"/>
  <c r="R8" i="3"/>
  <c r="V8" i="4" l="1"/>
  <c r="N8" i="4"/>
  <c r="T8" i="4" s="1"/>
  <c r="Z8" i="4"/>
  <c r="Y8" i="6"/>
  <c r="V8" i="5"/>
  <c r="N8" i="5"/>
  <c r="F8" i="3"/>
  <c r="H8" i="3"/>
  <c r="I8" i="6"/>
  <c r="I8" i="3" l="1"/>
  <c r="U8" i="3" s="1"/>
  <c r="X8" i="4"/>
  <c r="U8" i="6"/>
  <c r="J8" i="6"/>
  <c r="K8" i="6" s="1"/>
  <c r="W8" i="6" s="1"/>
  <c r="T8" i="5"/>
  <c r="L8" i="6"/>
  <c r="L8" i="3"/>
  <c r="R9" i="4"/>
  <c r="Q9" i="4"/>
  <c r="G9" i="4"/>
  <c r="AA10" i="4" s="1"/>
  <c r="E9" i="4"/>
  <c r="M9" i="4"/>
  <c r="D9" i="4"/>
  <c r="C9" i="4"/>
  <c r="O8" i="3"/>
  <c r="J8" i="3"/>
  <c r="X8" i="5"/>
  <c r="P9" i="4" l="1"/>
  <c r="K8" i="3"/>
  <c r="V8" i="6"/>
  <c r="N8" i="6"/>
  <c r="T8" i="6" s="1"/>
  <c r="M9" i="5"/>
  <c r="C9" i="5"/>
  <c r="F9" i="5" s="1"/>
  <c r="O9" i="5" s="1"/>
  <c r="E9" i="5"/>
  <c r="P9" i="5" s="1"/>
  <c r="D9" i="5"/>
  <c r="R9" i="5"/>
  <c r="G9" i="5"/>
  <c r="AA10" i="5" s="1"/>
  <c r="Q9" i="5"/>
  <c r="Z8" i="5"/>
  <c r="F9" i="4"/>
  <c r="X8" i="6"/>
  <c r="V8" i="3"/>
  <c r="N8" i="3"/>
  <c r="T8" i="3" s="1"/>
  <c r="M9" i="6" l="1"/>
  <c r="D9" i="6"/>
  <c r="C9" i="6"/>
  <c r="R9" i="6"/>
  <c r="Q9" i="6"/>
  <c r="E9" i="6"/>
  <c r="P9" i="6" s="1"/>
  <c r="G9" i="6"/>
  <c r="F9" i="6"/>
  <c r="O9" i="4"/>
  <c r="Z8" i="3"/>
  <c r="H9" i="4"/>
  <c r="I9" i="4" s="1"/>
  <c r="Z8" i="6"/>
  <c r="E9" i="3"/>
  <c r="R9" i="3"/>
  <c r="Q9" i="3"/>
  <c r="G9" i="3"/>
  <c r="AA10" i="3" s="1"/>
  <c r="D9" i="3"/>
  <c r="C9" i="3"/>
  <c r="F9" i="3" s="1"/>
  <c r="W8" i="3"/>
  <c r="X8" i="3"/>
  <c r="H9" i="5"/>
  <c r="P9" i="3" l="1"/>
  <c r="O9" i="3"/>
  <c r="U9" i="4"/>
  <c r="J9" i="4"/>
  <c r="K9" i="4" s="1"/>
  <c r="W9" i="4" s="1"/>
  <c r="AA10" i="6"/>
  <c r="Y9" i="6"/>
  <c r="O9" i="6"/>
  <c r="H9" i="6"/>
  <c r="I9" i="6" s="1"/>
  <c r="L9" i="4"/>
  <c r="H9" i="3"/>
  <c r="I9" i="5"/>
  <c r="U9" i="6" l="1"/>
  <c r="J9" i="6"/>
  <c r="K9" i="6" s="1"/>
  <c r="W9" i="6" s="1"/>
  <c r="U9" i="5"/>
  <c r="J9" i="5"/>
  <c r="K9" i="5" s="1"/>
  <c r="W9" i="5" s="1"/>
  <c r="L9" i="6"/>
  <c r="L9" i="5"/>
  <c r="I9" i="3"/>
  <c r="V9" i="4"/>
  <c r="N9" i="4"/>
  <c r="X9" i="4"/>
  <c r="V9" i="6" l="1"/>
  <c r="N9" i="6"/>
  <c r="T9" i="6" s="1"/>
  <c r="X9" i="6"/>
  <c r="U9" i="3"/>
  <c r="J9" i="3"/>
  <c r="K9" i="3" s="1"/>
  <c r="W9" i="3" s="1"/>
  <c r="L9" i="3"/>
  <c r="V9" i="5"/>
  <c r="N9" i="5"/>
  <c r="T9" i="5" s="1"/>
  <c r="T9" i="4"/>
  <c r="Z9" i="4"/>
  <c r="Z9" i="6" l="1"/>
  <c r="R10" i="5"/>
  <c r="G10" i="5"/>
  <c r="AA11" i="5" s="1"/>
  <c r="Q10" i="5"/>
  <c r="M10" i="5"/>
  <c r="E10" i="5"/>
  <c r="D10" i="5"/>
  <c r="C10" i="5"/>
  <c r="V9" i="3"/>
  <c r="N9" i="3"/>
  <c r="T9" i="3" s="1"/>
  <c r="D10" i="6"/>
  <c r="M10" i="6"/>
  <c r="C10" i="6"/>
  <c r="E10" i="6"/>
  <c r="P10" i="6" s="1"/>
  <c r="F10" i="6"/>
  <c r="R10" i="6"/>
  <c r="G10" i="6"/>
  <c r="Q10" i="6"/>
  <c r="M10" i="4"/>
  <c r="C10" i="4"/>
  <c r="Q10" i="4"/>
  <c r="E10" i="4"/>
  <c r="P10" i="4" s="1"/>
  <c r="D10" i="4"/>
  <c r="R10" i="4"/>
  <c r="G10" i="4"/>
  <c r="AA11" i="4" s="1"/>
  <c r="Z9" i="5"/>
  <c r="Z9" i="3"/>
  <c r="X9" i="5"/>
  <c r="P10" i="5" l="1"/>
  <c r="H10" i="6"/>
  <c r="R10" i="3"/>
  <c r="G10" i="3"/>
  <c r="AA11" i="3" s="1"/>
  <c r="D10" i="3"/>
  <c r="E10" i="3"/>
  <c r="C10" i="3"/>
  <c r="Q10" i="3"/>
  <c r="F10" i="5"/>
  <c r="AA11" i="6"/>
  <c r="F10" i="4"/>
  <c r="I10" i="6"/>
  <c r="U10" i="6" s="1"/>
  <c r="O10" i="6"/>
  <c r="X9" i="3"/>
  <c r="Y10" i="6" l="1"/>
  <c r="P10" i="3"/>
  <c r="J10" i="6"/>
  <c r="L10" i="6"/>
  <c r="O10" i="5"/>
  <c r="K10" i="6"/>
  <c r="W10" i="6" s="1"/>
  <c r="F10" i="3"/>
  <c r="H10" i="3" s="1"/>
  <c r="H10" i="5"/>
  <c r="O10" i="4"/>
  <c r="H10" i="4"/>
  <c r="V10" i="6" l="1"/>
  <c r="N10" i="6"/>
  <c r="T10" i="6" s="1"/>
  <c r="O10" i="3"/>
  <c r="X10" i="6"/>
  <c r="I10" i="3"/>
  <c r="U10" i="3" s="1"/>
  <c r="L10" i="3"/>
  <c r="I10" i="4"/>
  <c r="I10" i="5"/>
  <c r="Z10" i="6"/>
  <c r="J10" i="3" l="1"/>
  <c r="K10" i="3" s="1"/>
  <c r="W10" i="3" s="1"/>
  <c r="U10" i="5"/>
  <c r="J10" i="5"/>
  <c r="K10" i="5" s="1"/>
  <c r="W10" i="5" s="1"/>
  <c r="U10" i="4"/>
  <c r="J10" i="4"/>
  <c r="K10" i="4" s="1"/>
  <c r="W10" i="4" s="1"/>
  <c r="L10" i="5"/>
  <c r="Q11" i="6"/>
  <c r="G11" i="6"/>
  <c r="E11" i="6"/>
  <c r="P11" i="6" s="1"/>
  <c r="R11" i="6"/>
  <c r="M11" i="6"/>
  <c r="D11" i="6"/>
  <c r="C11" i="6"/>
  <c r="V10" i="3"/>
  <c r="N10" i="3"/>
  <c r="L10" i="4"/>
  <c r="AA12" i="6" l="1"/>
  <c r="V10" i="4"/>
  <c r="N10" i="4"/>
  <c r="T10" i="4" s="1"/>
  <c r="V10" i="5"/>
  <c r="N10" i="5"/>
  <c r="T10" i="5" s="1"/>
  <c r="X10" i="4"/>
  <c r="Z10" i="4"/>
  <c r="Z10" i="5"/>
  <c r="T10" i="3"/>
  <c r="Z10" i="3" s="1"/>
  <c r="X10" i="3"/>
  <c r="F11" i="6"/>
  <c r="E11" i="5" l="1"/>
  <c r="C11" i="5"/>
  <c r="M11" i="5"/>
  <c r="P11" i="5"/>
  <c r="D11" i="5"/>
  <c r="R11" i="5"/>
  <c r="G11" i="5"/>
  <c r="AA12" i="5" s="1"/>
  <c r="Q11" i="5"/>
  <c r="E11" i="4"/>
  <c r="P11" i="4" s="1"/>
  <c r="D11" i="4"/>
  <c r="M11" i="4"/>
  <c r="C11" i="4"/>
  <c r="G11" i="4"/>
  <c r="AA12" i="4" s="1"/>
  <c r="R11" i="4"/>
  <c r="Q11" i="4"/>
  <c r="H11" i="6"/>
  <c r="O11" i="6"/>
  <c r="I11" i="6"/>
  <c r="U11" i="6" s="1"/>
  <c r="D11" i="3"/>
  <c r="C11" i="3"/>
  <c r="F11" i="3" s="1"/>
  <c r="O11" i="3" s="1"/>
  <c r="Q11" i="3"/>
  <c r="G11" i="3"/>
  <c r="E11" i="3"/>
  <c r="R11" i="3"/>
  <c r="X10" i="5"/>
  <c r="P11" i="3" l="1"/>
  <c r="H11" i="3"/>
  <c r="I11" i="3"/>
  <c r="L11" i="3" s="1"/>
  <c r="J11" i="6"/>
  <c r="K11" i="6" s="1"/>
  <c r="W11" i="6" s="1"/>
  <c r="F11" i="4"/>
  <c r="L11" i="6"/>
  <c r="AA12" i="3"/>
  <c r="Y11" i="6"/>
  <c r="F11" i="5"/>
  <c r="O11" i="4" l="1"/>
  <c r="H11" i="4"/>
  <c r="I11" i="4"/>
  <c r="U11" i="4" s="1"/>
  <c r="X11" i="6"/>
  <c r="U11" i="3"/>
  <c r="J11" i="3"/>
  <c r="O11" i="5"/>
  <c r="H11" i="5"/>
  <c r="V11" i="3"/>
  <c r="N11" i="3"/>
  <c r="V11" i="6"/>
  <c r="N11" i="6"/>
  <c r="T11" i="6" s="1"/>
  <c r="R12" i="6" l="1"/>
  <c r="M12" i="6"/>
  <c r="Q12" i="6"/>
  <c r="G12" i="6"/>
  <c r="D12" i="6"/>
  <c r="C12" i="6"/>
  <c r="E12" i="6"/>
  <c r="P12" i="6" s="1"/>
  <c r="Z11" i="6"/>
  <c r="K11" i="3"/>
  <c r="W11" i="3" s="1"/>
  <c r="I11" i="5"/>
  <c r="L11" i="4"/>
  <c r="J11" i="4"/>
  <c r="K11" i="4" s="1"/>
  <c r="W11" i="4" s="1"/>
  <c r="X11" i="3" l="1"/>
  <c r="U11" i="5"/>
  <c r="J11" i="5"/>
  <c r="F12" i="6"/>
  <c r="V11" i="4"/>
  <c r="N11" i="4"/>
  <c r="H12" i="6"/>
  <c r="AA13" i="6"/>
  <c r="L11" i="5"/>
  <c r="T11" i="3"/>
  <c r="Z11" i="3" s="1"/>
  <c r="K11" i="5" l="1"/>
  <c r="W11" i="5" s="1"/>
  <c r="O12" i="6"/>
  <c r="E12" i="3"/>
  <c r="D12" i="3"/>
  <c r="C12" i="3"/>
  <c r="Q12" i="3"/>
  <c r="G12" i="3"/>
  <c r="R12" i="3"/>
  <c r="T11" i="4"/>
  <c r="Z11" i="4" s="1"/>
  <c r="X11" i="4"/>
  <c r="V11" i="5"/>
  <c r="N11" i="5"/>
  <c r="T11" i="5" s="1"/>
  <c r="I12" i="6"/>
  <c r="U12" i="6" s="1"/>
  <c r="F12" i="3" l="1"/>
  <c r="P12" i="3"/>
  <c r="O12" i="3"/>
  <c r="H12" i="3"/>
  <c r="J12" i="6"/>
  <c r="Z11" i="5"/>
  <c r="R12" i="5"/>
  <c r="G12" i="5"/>
  <c r="AA13" i="5" s="1"/>
  <c r="Q12" i="5"/>
  <c r="E12" i="5"/>
  <c r="P12" i="5" s="1"/>
  <c r="D12" i="5"/>
  <c r="M12" i="5"/>
  <c r="C12" i="5"/>
  <c r="X11" i="5"/>
  <c r="R12" i="4"/>
  <c r="Q12" i="4"/>
  <c r="G12" i="4"/>
  <c r="AA13" i="4" s="1"/>
  <c r="E12" i="4"/>
  <c r="P12" i="4" s="1"/>
  <c r="D12" i="4"/>
  <c r="M12" i="4"/>
  <c r="C12" i="4"/>
  <c r="AA13" i="3"/>
  <c r="Y12" i="6"/>
  <c r="L12" i="6"/>
  <c r="V12" i="6" l="1"/>
  <c r="N12" i="6"/>
  <c r="I12" i="3"/>
  <c r="F12" i="5"/>
  <c r="K12" i="6"/>
  <c r="W12" i="6" s="1"/>
  <c r="F12" i="4"/>
  <c r="T12" i="6" l="1"/>
  <c r="G13" i="6" s="1"/>
  <c r="O12" i="4"/>
  <c r="H12" i="4"/>
  <c r="U12" i="3"/>
  <c r="J12" i="3"/>
  <c r="K12" i="3" s="1"/>
  <c r="W12" i="3" s="1"/>
  <c r="X12" i="6"/>
  <c r="L12" i="3"/>
  <c r="I12" i="4"/>
  <c r="U12" i="4" s="1"/>
  <c r="H12" i="5"/>
  <c r="I12" i="5" s="1"/>
  <c r="U12" i="5" s="1"/>
  <c r="O12" i="5"/>
  <c r="Q13" i="6" l="1"/>
  <c r="R13" i="6"/>
  <c r="E13" i="6"/>
  <c r="M13" i="6"/>
  <c r="D13" i="6"/>
  <c r="C13" i="6"/>
  <c r="F13" i="6" s="1"/>
  <c r="Z12" i="6"/>
  <c r="V12" i="3"/>
  <c r="N12" i="3"/>
  <c r="T12" i="3" s="1"/>
  <c r="AA14" i="6"/>
  <c r="L12" i="4"/>
  <c r="J12" i="4"/>
  <c r="K12" i="4" s="1"/>
  <c r="W12" i="4" s="1"/>
  <c r="L12" i="5"/>
  <c r="J12" i="5"/>
  <c r="K12" i="5" s="1"/>
  <c r="W12" i="5" s="1"/>
  <c r="O13" i="6"/>
  <c r="Z12" i="3" l="1"/>
  <c r="P13" i="6"/>
  <c r="H13" i="6"/>
  <c r="V12" i="4"/>
  <c r="N12" i="4"/>
  <c r="T12" i="4" s="1"/>
  <c r="X12" i="4"/>
  <c r="I13" i="6"/>
  <c r="L13" i="6" s="1"/>
  <c r="R13" i="3"/>
  <c r="G13" i="3"/>
  <c r="Q13" i="3"/>
  <c r="E13" i="3"/>
  <c r="P13" i="3" s="1"/>
  <c r="D13" i="3"/>
  <c r="C13" i="3"/>
  <c r="V12" i="5"/>
  <c r="N12" i="5"/>
  <c r="X12" i="3"/>
  <c r="Z12" i="4"/>
  <c r="V13" i="6" l="1"/>
  <c r="N13" i="6"/>
  <c r="F13" i="3"/>
  <c r="H13" i="3" s="1"/>
  <c r="AA14" i="3"/>
  <c r="Y13" i="6"/>
  <c r="T12" i="5"/>
  <c r="X12" i="5"/>
  <c r="U13" i="6"/>
  <c r="J13" i="6"/>
  <c r="K13" i="6" s="1"/>
  <c r="W13" i="6" s="1"/>
  <c r="X13" i="6"/>
  <c r="M13" i="4"/>
  <c r="G13" i="4"/>
  <c r="AA14" i="4" s="1"/>
  <c r="E13" i="4"/>
  <c r="P13" i="4" s="1"/>
  <c r="D13" i="4"/>
  <c r="C13" i="4"/>
  <c r="R13" i="4"/>
  <c r="Q13" i="4"/>
  <c r="Z12" i="5"/>
  <c r="C13" i="5" l="1"/>
  <c r="M13" i="5"/>
  <c r="D13" i="5"/>
  <c r="P13" i="5"/>
  <c r="Q13" i="5"/>
  <c r="G13" i="5"/>
  <c r="AA14" i="5" s="1"/>
  <c r="E13" i="5"/>
  <c r="F13" i="5" s="1"/>
  <c r="R13" i="5"/>
  <c r="T13" i="6"/>
  <c r="F13" i="4"/>
  <c r="H13" i="4" s="1"/>
  <c r="O13" i="3"/>
  <c r="I13" i="3"/>
  <c r="U13" i="3" s="1"/>
  <c r="O13" i="5" l="1"/>
  <c r="H13" i="5"/>
  <c r="I13" i="5" s="1"/>
  <c r="U13" i="5" s="1"/>
  <c r="J13" i="3"/>
  <c r="K13" i="3" s="1"/>
  <c r="W13" i="3" s="1"/>
  <c r="I13" i="4"/>
  <c r="U13" i="4" s="1"/>
  <c r="O13" i="4"/>
  <c r="P14" i="6"/>
  <c r="E14" i="6"/>
  <c r="F14" i="6" s="1"/>
  <c r="O14" i="6" s="1"/>
  <c r="D14" i="6"/>
  <c r="Q14" i="6"/>
  <c r="G14" i="6"/>
  <c r="R14" i="6"/>
  <c r="M14" i="6"/>
  <c r="C14" i="6"/>
  <c r="Z13" i="6"/>
  <c r="L13" i="3"/>
  <c r="L13" i="5" l="1"/>
  <c r="AA15" i="6"/>
  <c r="J13" i="4"/>
  <c r="K13" i="4" s="1"/>
  <c r="W13" i="4" s="1"/>
  <c r="H14" i="6"/>
  <c r="V13" i="3"/>
  <c r="N13" i="3"/>
  <c r="T13" i="3" s="1"/>
  <c r="J13" i="5"/>
  <c r="L13" i="4"/>
  <c r="C14" i="3" l="1"/>
  <c r="G14" i="3"/>
  <c r="D14" i="3"/>
  <c r="Q14" i="3"/>
  <c r="E14" i="3"/>
  <c r="F14" i="3" s="1"/>
  <c r="R14" i="3"/>
  <c r="L14" i="6"/>
  <c r="X13" i="3"/>
  <c r="Z13" i="3"/>
  <c r="V13" i="4"/>
  <c r="N13" i="4"/>
  <c r="T13" i="4" s="1"/>
  <c r="I14" i="6"/>
  <c r="X13" i="4"/>
  <c r="K13" i="5"/>
  <c r="V13" i="5"/>
  <c r="N13" i="5"/>
  <c r="T13" i="5" l="1"/>
  <c r="D14" i="5"/>
  <c r="R14" i="5"/>
  <c r="G14" i="5"/>
  <c r="AA15" i="5" s="1"/>
  <c r="C14" i="5"/>
  <c r="Q14" i="5"/>
  <c r="E14" i="5"/>
  <c r="P14" i="5" s="1"/>
  <c r="F14" i="5"/>
  <c r="O14" i="5" s="1"/>
  <c r="M14" i="5"/>
  <c r="AA15" i="3"/>
  <c r="Y14" i="6"/>
  <c r="W13" i="5"/>
  <c r="X13" i="5"/>
  <c r="O14" i="3"/>
  <c r="H14" i="3"/>
  <c r="U14" i="6"/>
  <c r="J14" i="6"/>
  <c r="V14" i="6"/>
  <c r="N14" i="6"/>
  <c r="P14" i="3"/>
  <c r="Z13" i="5"/>
  <c r="D14" i="4"/>
  <c r="M14" i="4"/>
  <c r="C14" i="4"/>
  <c r="E14" i="4"/>
  <c r="R14" i="4"/>
  <c r="Q14" i="4"/>
  <c r="P14" i="4"/>
  <c r="G14" i="4"/>
  <c r="AA15" i="4" s="1"/>
  <c r="Z13" i="4"/>
  <c r="F14" i="4" l="1"/>
  <c r="K14" i="6"/>
  <c r="W14" i="6" s="1"/>
  <c r="H14" i="4"/>
  <c r="O14" i="4"/>
  <c r="H14" i="5"/>
  <c r="I14" i="3"/>
  <c r="L14" i="3" s="1"/>
  <c r="X14" i="6"/>
  <c r="T14" i="6"/>
  <c r="R15" i="6" l="1"/>
  <c r="Q15" i="6"/>
  <c r="G15" i="6"/>
  <c r="M15" i="6"/>
  <c r="E15" i="6"/>
  <c r="D15" i="6"/>
  <c r="C15" i="6"/>
  <c r="V14" i="3"/>
  <c r="N14" i="3"/>
  <c r="I14" i="4"/>
  <c r="Z14" i="6"/>
  <c r="U14" i="3"/>
  <c r="J14" i="3"/>
  <c r="K14" i="3" s="1"/>
  <c r="W14" i="3" s="1"/>
  <c r="I14" i="5"/>
  <c r="L14" i="5"/>
  <c r="X14" i="3"/>
  <c r="T14" i="3" l="1"/>
  <c r="P15" i="6"/>
  <c r="E15" i="3"/>
  <c r="C15" i="3"/>
  <c r="F15" i="3" s="1"/>
  <c r="D15" i="3"/>
  <c r="P15" i="3"/>
  <c r="R15" i="3"/>
  <c r="Q15" i="3"/>
  <c r="G15" i="3"/>
  <c r="AA16" i="3" s="1"/>
  <c r="V14" i="5"/>
  <c r="N14" i="5"/>
  <c r="AA16" i="6"/>
  <c r="F15" i="6"/>
  <c r="U14" i="4"/>
  <c r="J14" i="4"/>
  <c r="U14" i="5"/>
  <c r="J14" i="5"/>
  <c r="K14" i="5" s="1"/>
  <c r="W14" i="5" s="1"/>
  <c r="L14" i="4"/>
  <c r="Z14" i="3"/>
  <c r="T14" i="5" l="1"/>
  <c r="O15" i="3"/>
  <c r="H15" i="3"/>
  <c r="Q15" i="5"/>
  <c r="G15" i="5"/>
  <c r="AA16" i="5" s="1"/>
  <c r="D15" i="5"/>
  <c r="C15" i="5"/>
  <c r="M15" i="5"/>
  <c r="E15" i="5"/>
  <c r="P15" i="5" s="1"/>
  <c r="R15" i="5"/>
  <c r="K14" i="4"/>
  <c r="H15" i="6"/>
  <c r="I15" i="6" s="1"/>
  <c r="V14" i="4"/>
  <c r="N14" i="4"/>
  <c r="Y15" i="6"/>
  <c r="O15" i="6"/>
  <c r="X14" i="5"/>
  <c r="Z14" i="5"/>
  <c r="X14" i="4" l="1"/>
  <c r="T14" i="4"/>
  <c r="E15" i="4" s="1"/>
  <c r="U15" i="6"/>
  <c r="J15" i="6"/>
  <c r="K15" i="6" s="1"/>
  <c r="W15" i="6" s="1"/>
  <c r="L15" i="6"/>
  <c r="Q15" i="4"/>
  <c r="G15" i="4"/>
  <c r="AA16" i="4" s="1"/>
  <c r="D15" i="4"/>
  <c r="C15" i="4"/>
  <c r="M15" i="4"/>
  <c r="W14" i="4"/>
  <c r="Z14" i="4"/>
  <c r="I15" i="3"/>
  <c r="F15" i="5"/>
  <c r="F15" i="4" l="1"/>
  <c r="P15" i="4"/>
  <c r="R15" i="4"/>
  <c r="O15" i="5"/>
  <c r="H15" i="5"/>
  <c r="I15" i="5" s="1"/>
  <c r="U15" i="5" s="1"/>
  <c r="U15" i="3"/>
  <c r="J15" i="3"/>
  <c r="K15" i="3" s="1"/>
  <c r="W15" i="3" s="1"/>
  <c r="V15" i="6"/>
  <c r="N15" i="6"/>
  <c r="H15" i="4"/>
  <c r="L15" i="3"/>
  <c r="O15" i="4"/>
  <c r="L15" i="5" l="1"/>
  <c r="T15" i="6"/>
  <c r="X15" i="6"/>
  <c r="Z15" i="6"/>
  <c r="V15" i="3"/>
  <c r="N15" i="3"/>
  <c r="T15" i="3" s="1"/>
  <c r="I15" i="4"/>
  <c r="J15" i="5"/>
  <c r="K15" i="5" s="1"/>
  <c r="W15" i="5" s="1"/>
  <c r="U15" i="4" l="1"/>
  <c r="J15" i="4"/>
  <c r="K15" i="4" s="1"/>
  <c r="W15" i="4" s="1"/>
  <c r="L15" i="4"/>
  <c r="R16" i="3"/>
  <c r="Q16" i="3"/>
  <c r="G16" i="3"/>
  <c r="AA17" i="3" s="1"/>
  <c r="E16" i="3"/>
  <c r="P16" i="3" s="1"/>
  <c r="D16" i="3"/>
  <c r="C16" i="3"/>
  <c r="Z15" i="3"/>
  <c r="X15" i="3"/>
  <c r="M16" i="6"/>
  <c r="C16" i="6"/>
  <c r="E16" i="6"/>
  <c r="P16" i="6" s="1"/>
  <c r="R16" i="6"/>
  <c r="D16" i="6"/>
  <c r="Q16" i="6"/>
  <c r="G16" i="6"/>
  <c r="V15" i="5"/>
  <c r="N15" i="5"/>
  <c r="F16" i="3" l="1"/>
  <c r="H16" i="3" s="1"/>
  <c r="I16" i="3"/>
  <c r="U16" i="3" s="1"/>
  <c r="O16" i="3"/>
  <c r="Y16" i="6"/>
  <c r="AA17" i="6"/>
  <c r="J16" i="3"/>
  <c r="V15" i="4"/>
  <c r="N15" i="4"/>
  <c r="F16" i="6"/>
  <c r="T15" i="5"/>
  <c r="Z15" i="5" s="1"/>
  <c r="X15" i="5"/>
  <c r="L16" i="3" l="1"/>
  <c r="O16" i="6"/>
  <c r="R16" i="5"/>
  <c r="C16" i="5"/>
  <c r="Q16" i="5"/>
  <c r="D16" i="5"/>
  <c r="E16" i="5"/>
  <c r="M16" i="5"/>
  <c r="G16" i="5"/>
  <c r="AA17" i="5" s="1"/>
  <c r="T15" i="4"/>
  <c r="Z15" i="4" s="1"/>
  <c r="X15" i="4"/>
  <c r="K16" i="3"/>
  <c r="H16" i="6"/>
  <c r="P16" i="5" l="1"/>
  <c r="V16" i="3"/>
  <c r="N16" i="3"/>
  <c r="T16" i="3" s="1"/>
  <c r="R16" i="4"/>
  <c r="G16" i="4"/>
  <c r="AA17" i="4" s="1"/>
  <c r="E16" i="4"/>
  <c r="M16" i="4"/>
  <c r="P16" i="4"/>
  <c r="D16" i="4"/>
  <c r="C16" i="4"/>
  <c r="Q16" i="4"/>
  <c r="W16" i="3"/>
  <c r="Z16" i="3"/>
  <c r="R17" i="3"/>
  <c r="G17" i="3"/>
  <c r="AA18" i="3" s="1"/>
  <c r="D17" i="3"/>
  <c r="C17" i="3"/>
  <c r="E17" i="3"/>
  <c r="P17" i="3" s="1"/>
  <c r="Q17" i="3"/>
  <c r="I16" i="6"/>
  <c r="F16" i="5"/>
  <c r="X16" i="3"/>
  <c r="U16" i="6" l="1"/>
  <c r="J16" i="6"/>
  <c r="K16" i="6" s="1"/>
  <c r="W16" i="6" s="1"/>
  <c r="F17" i="3"/>
  <c r="H17" i="3" s="1"/>
  <c r="O16" i="5"/>
  <c r="H16" i="5"/>
  <c r="F16" i="4"/>
  <c r="L16" i="6"/>
  <c r="O16" i="4" l="1"/>
  <c r="I16" i="5"/>
  <c r="V16" i="6"/>
  <c r="N16" i="6"/>
  <c r="H16" i="4"/>
  <c r="O17" i="3"/>
  <c r="I17" i="3"/>
  <c r="U17" i="3" s="1"/>
  <c r="I16" i="4"/>
  <c r="U16" i="4" s="1"/>
  <c r="L17" i="3" l="1"/>
  <c r="U16" i="5"/>
  <c r="J16" i="5"/>
  <c r="L16" i="5"/>
  <c r="J16" i="4"/>
  <c r="K16" i="4" s="1"/>
  <c r="W16" i="4" s="1"/>
  <c r="V17" i="3"/>
  <c r="N17" i="3"/>
  <c r="J17" i="3"/>
  <c r="L16" i="4"/>
  <c r="T16" i="6"/>
  <c r="X16" i="6"/>
  <c r="K17" i="3" l="1"/>
  <c r="W17" i="3" s="1"/>
  <c r="X17" i="3"/>
  <c r="V16" i="5"/>
  <c r="N16" i="5"/>
  <c r="K16" i="5"/>
  <c r="X16" i="5" s="1"/>
  <c r="E17" i="6"/>
  <c r="P17" i="6" s="1"/>
  <c r="D17" i="6"/>
  <c r="M17" i="6"/>
  <c r="C17" i="6"/>
  <c r="G17" i="6"/>
  <c r="Q17" i="6"/>
  <c r="R17" i="6"/>
  <c r="Z16" i="6"/>
  <c r="V16" i="4"/>
  <c r="N16" i="4"/>
  <c r="T16" i="4" s="1"/>
  <c r="T17" i="3" l="1"/>
  <c r="F17" i="6"/>
  <c r="O17" i="6" s="1"/>
  <c r="D18" i="3"/>
  <c r="C18" i="3"/>
  <c r="E18" i="3"/>
  <c r="G18" i="3"/>
  <c r="AA19" i="3" s="1"/>
  <c r="Q18" i="3"/>
  <c r="R18" i="3"/>
  <c r="M17" i="4"/>
  <c r="C17" i="4"/>
  <c r="D17" i="4"/>
  <c r="Q17" i="4"/>
  <c r="R17" i="4"/>
  <c r="G17" i="4"/>
  <c r="AA18" i="4" s="1"/>
  <c r="E17" i="4"/>
  <c r="P17" i="4" s="1"/>
  <c r="W16" i="5"/>
  <c r="T16" i="5"/>
  <c r="Z16" i="5" s="1"/>
  <c r="AA18" i="6"/>
  <c r="Y17" i="6"/>
  <c r="Z17" i="3"/>
  <c r="Z16" i="4"/>
  <c r="X16" i="4"/>
  <c r="P18" i="3" l="1"/>
  <c r="H17" i="6"/>
  <c r="I17" i="6" s="1"/>
  <c r="M17" i="5"/>
  <c r="C17" i="5"/>
  <c r="Q17" i="5"/>
  <c r="P17" i="5"/>
  <c r="E17" i="5"/>
  <c r="D17" i="5"/>
  <c r="R17" i="5"/>
  <c r="G17" i="5"/>
  <c r="AA18" i="5" s="1"/>
  <c r="F17" i="4"/>
  <c r="F18" i="3"/>
  <c r="U17" i="6"/>
  <c r="J17" i="6"/>
  <c r="L17" i="6"/>
  <c r="F17" i="5" l="1"/>
  <c r="O17" i="5"/>
  <c r="V17" i="6"/>
  <c r="N17" i="6"/>
  <c r="H18" i="3"/>
  <c r="O18" i="3"/>
  <c r="H17" i="5"/>
  <c r="I17" i="5" s="1"/>
  <c r="U17" i="5" s="1"/>
  <c r="K17" i="6"/>
  <c r="W17" i="6" s="1"/>
  <c r="X17" i="6"/>
  <c r="O17" i="4"/>
  <c r="H17" i="4"/>
  <c r="T17" i="6" l="1"/>
  <c r="R18" i="6" s="1"/>
  <c r="Q18" i="6"/>
  <c r="G18" i="6"/>
  <c r="M18" i="6"/>
  <c r="E18" i="6"/>
  <c r="P18" i="6" s="1"/>
  <c r="D18" i="6"/>
  <c r="C18" i="6"/>
  <c r="F18" i="6" s="1"/>
  <c r="I17" i="4"/>
  <c r="L17" i="4" s="1"/>
  <c r="Z17" i="6"/>
  <c r="L17" i="5"/>
  <c r="J17" i="5"/>
  <c r="K17" i="5" s="1"/>
  <c r="W17" i="5" s="1"/>
  <c r="I18" i="3"/>
  <c r="H18" i="6" l="1"/>
  <c r="I18" i="6" s="1"/>
  <c r="O18" i="6"/>
  <c r="U18" i="3"/>
  <c r="J18" i="3"/>
  <c r="V17" i="5"/>
  <c r="N17" i="5"/>
  <c r="T17" i="5" s="1"/>
  <c r="V17" i="4"/>
  <c r="N17" i="4"/>
  <c r="AA19" i="6"/>
  <c r="Y18" i="6"/>
  <c r="L18" i="3"/>
  <c r="U17" i="4"/>
  <c r="J17" i="4"/>
  <c r="U18" i="6" l="1"/>
  <c r="J18" i="6"/>
  <c r="K18" i="6" s="1"/>
  <c r="W18" i="6" s="1"/>
  <c r="L18" i="6"/>
  <c r="M18" i="5"/>
  <c r="C18" i="5"/>
  <c r="R18" i="5"/>
  <c r="Q18" i="5"/>
  <c r="D18" i="5"/>
  <c r="E18" i="5"/>
  <c r="P18" i="5" s="1"/>
  <c r="G18" i="5"/>
  <c r="AA19" i="5" s="1"/>
  <c r="V18" i="3"/>
  <c r="N18" i="3"/>
  <c r="K18" i="3"/>
  <c r="W18" i="3" s="1"/>
  <c r="K17" i="4"/>
  <c r="W17" i="4" s="1"/>
  <c r="X17" i="4"/>
  <c r="T17" i="4"/>
  <c r="X17" i="5"/>
  <c r="V18" i="6"/>
  <c r="N18" i="6"/>
  <c r="T18" i="6" s="1"/>
  <c r="Z17" i="5"/>
  <c r="T18" i="3" l="1"/>
  <c r="Z18" i="6"/>
  <c r="F18" i="5"/>
  <c r="O18" i="5"/>
  <c r="X18" i="3"/>
  <c r="R19" i="6"/>
  <c r="D19" i="6"/>
  <c r="Q19" i="6"/>
  <c r="C19" i="6"/>
  <c r="F19" i="6" s="1"/>
  <c r="H19" i="6" s="1"/>
  <c r="P19" i="6"/>
  <c r="E19" i="6"/>
  <c r="G19" i="6"/>
  <c r="M19" i="6"/>
  <c r="X18" i="6"/>
  <c r="E18" i="4"/>
  <c r="P18" i="4" s="1"/>
  <c r="D18" i="4"/>
  <c r="Q18" i="4"/>
  <c r="G18" i="4"/>
  <c r="AA19" i="4" s="1"/>
  <c r="C18" i="4"/>
  <c r="F18" i="4" s="1"/>
  <c r="O18" i="4" s="1"/>
  <c r="R18" i="4"/>
  <c r="M18" i="4"/>
  <c r="Z17" i="4"/>
  <c r="Z18" i="3"/>
  <c r="Q19" i="3"/>
  <c r="E19" i="3"/>
  <c r="R19" i="3"/>
  <c r="G19" i="3"/>
  <c r="AA20" i="3" s="1"/>
  <c r="D19" i="3"/>
  <c r="C19" i="3"/>
  <c r="H18" i="5"/>
  <c r="I18" i="5" s="1"/>
  <c r="P19" i="3" l="1"/>
  <c r="F19" i="3"/>
  <c r="H18" i="4"/>
  <c r="O19" i="3"/>
  <c r="I19" i="3"/>
  <c r="U19" i="3" s="1"/>
  <c r="U18" i="5"/>
  <c r="J18" i="5"/>
  <c r="K18" i="5" s="1"/>
  <c r="W18" i="5" s="1"/>
  <c r="I18" i="4"/>
  <c r="L18" i="4" s="1"/>
  <c r="O19" i="6"/>
  <c r="I19" i="6"/>
  <c r="U19" i="6" s="1"/>
  <c r="L18" i="5"/>
  <c r="H19" i="3"/>
  <c r="Y19" i="6"/>
  <c r="AA20" i="6"/>
  <c r="L19" i="6" l="1"/>
  <c r="V18" i="4"/>
  <c r="N18" i="4"/>
  <c r="V19" i="6"/>
  <c r="N19" i="6"/>
  <c r="V18" i="5"/>
  <c r="N18" i="5"/>
  <c r="U18" i="4"/>
  <c r="J18" i="4"/>
  <c r="K18" i="4" s="1"/>
  <c r="W18" i="4" s="1"/>
  <c r="J19" i="6"/>
  <c r="K19" i="6" s="1"/>
  <c r="W19" i="6" s="1"/>
  <c r="J19" i="3"/>
  <c r="L19" i="3"/>
  <c r="X18" i="4" l="1"/>
  <c r="T18" i="5"/>
  <c r="Z18" i="5"/>
  <c r="X19" i="6"/>
  <c r="X18" i="5"/>
  <c r="V19" i="3"/>
  <c r="N19" i="3"/>
  <c r="T19" i="6"/>
  <c r="Z19" i="6" s="1"/>
  <c r="T18" i="4"/>
  <c r="K19" i="3"/>
  <c r="T19" i="3" l="1"/>
  <c r="R19" i="5"/>
  <c r="G19" i="5"/>
  <c r="AA20" i="5" s="1"/>
  <c r="Q19" i="5"/>
  <c r="E19" i="5"/>
  <c r="M19" i="5"/>
  <c r="C19" i="5"/>
  <c r="D19" i="5"/>
  <c r="D20" i="6"/>
  <c r="M20" i="6"/>
  <c r="C20" i="6"/>
  <c r="E20" i="6"/>
  <c r="P20" i="6" s="1"/>
  <c r="G20" i="6"/>
  <c r="R20" i="6"/>
  <c r="Q20" i="6"/>
  <c r="Z19" i="3"/>
  <c r="W19" i="3"/>
  <c r="X19" i="3"/>
  <c r="R20" i="3"/>
  <c r="G20" i="3"/>
  <c r="AA21" i="3" s="1"/>
  <c r="Q20" i="3"/>
  <c r="E20" i="3"/>
  <c r="D20" i="3"/>
  <c r="C20" i="3"/>
  <c r="R19" i="4"/>
  <c r="Q19" i="4"/>
  <c r="G19" i="4"/>
  <c r="AA20" i="4" s="1"/>
  <c r="E19" i="4"/>
  <c r="D19" i="4"/>
  <c r="M19" i="4"/>
  <c r="C19" i="4"/>
  <c r="Z18" i="4"/>
  <c r="F19" i="5" l="1"/>
  <c r="H19" i="5" s="1"/>
  <c r="P19" i="5"/>
  <c r="I19" i="5"/>
  <c r="U19" i="5" s="1"/>
  <c r="F20" i="6"/>
  <c r="H20" i="6" s="1"/>
  <c r="L19" i="5"/>
  <c r="Y20" i="6"/>
  <c r="AA21" i="6"/>
  <c r="P20" i="3"/>
  <c r="P19" i="4"/>
  <c r="I20" i="6"/>
  <c r="F20" i="3"/>
  <c r="H20" i="3" s="1"/>
  <c r="O19" i="5"/>
  <c r="F19" i="4"/>
  <c r="J19" i="5" l="1"/>
  <c r="K19" i="5" s="1"/>
  <c r="W19" i="5" s="1"/>
  <c r="O20" i="6"/>
  <c r="U20" i="6"/>
  <c r="J20" i="6"/>
  <c r="K20" i="6" s="1"/>
  <c r="W20" i="6" s="1"/>
  <c r="I20" i="3"/>
  <c r="U20" i="3" s="1"/>
  <c r="O19" i="4"/>
  <c r="H19" i="4"/>
  <c r="V19" i="5"/>
  <c r="N19" i="5"/>
  <c r="X19" i="5" s="1"/>
  <c r="O20" i="3"/>
  <c r="L20" i="6"/>
  <c r="J20" i="3" l="1"/>
  <c r="K20" i="3" s="1"/>
  <c r="W20" i="3" s="1"/>
  <c r="V20" i="6"/>
  <c r="N20" i="6"/>
  <c r="T20" i="6" s="1"/>
  <c r="Z20" i="6" s="1"/>
  <c r="I19" i="4"/>
  <c r="L19" i="4" s="1"/>
  <c r="X20" i="6"/>
  <c r="T19" i="5"/>
  <c r="Z19" i="5"/>
  <c r="L20" i="3"/>
  <c r="V19" i="4" l="1"/>
  <c r="N19" i="4"/>
  <c r="Q21" i="6"/>
  <c r="G21" i="6"/>
  <c r="E21" i="6"/>
  <c r="R21" i="6"/>
  <c r="M21" i="6"/>
  <c r="C21" i="6"/>
  <c r="D21" i="6"/>
  <c r="V20" i="3"/>
  <c r="N20" i="3"/>
  <c r="U19" i="4"/>
  <c r="J19" i="4"/>
  <c r="K19" i="4" s="1"/>
  <c r="W19" i="4" s="1"/>
  <c r="C20" i="5"/>
  <c r="M20" i="5"/>
  <c r="D20" i="5"/>
  <c r="R20" i="5"/>
  <c r="Q20" i="5"/>
  <c r="E20" i="5"/>
  <c r="P20" i="5" s="1"/>
  <c r="G20" i="5"/>
  <c r="AA21" i="5" s="1"/>
  <c r="X19" i="4"/>
  <c r="F20" i="5" l="1"/>
  <c r="O20" i="5" s="1"/>
  <c r="P21" i="6"/>
  <c r="H20" i="5"/>
  <c r="AA22" i="6"/>
  <c r="T19" i="4"/>
  <c r="F21" i="6"/>
  <c r="T20" i="3"/>
  <c r="X20" i="3"/>
  <c r="Z20" i="3"/>
  <c r="M20" i="4" l="1"/>
  <c r="C20" i="4"/>
  <c r="R20" i="4"/>
  <c r="Q20" i="4"/>
  <c r="G20" i="4"/>
  <c r="AA21" i="4" s="1"/>
  <c r="E20" i="4"/>
  <c r="P20" i="4" s="1"/>
  <c r="D20" i="4"/>
  <c r="Z19" i="4"/>
  <c r="I20" i="5"/>
  <c r="L20" i="5" s="1"/>
  <c r="E21" i="3"/>
  <c r="C21" i="3"/>
  <c r="P21" i="3"/>
  <c r="D21" i="3"/>
  <c r="R21" i="3"/>
  <c r="Q21" i="3"/>
  <c r="G21" i="3"/>
  <c r="O21" i="6"/>
  <c r="H21" i="6"/>
  <c r="F20" i="4" l="1"/>
  <c r="O20" i="4" s="1"/>
  <c r="U20" i="5"/>
  <c r="J20" i="5"/>
  <c r="K20" i="5" s="1"/>
  <c r="W20" i="5" s="1"/>
  <c r="H20" i="4"/>
  <c r="V20" i="5"/>
  <c r="N20" i="5"/>
  <c r="T20" i="5" s="1"/>
  <c r="I20" i="4"/>
  <c r="U20" i="4" s="1"/>
  <c r="F21" i="3"/>
  <c r="H21" i="3" s="1"/>
  <c r="AA22" i="3"/>
  <c r="Y21" i="6"/>
  <c r="I21" i="6"/>
  <c r="L21" i="6" s="1"/>
  <c r="X20" i="5" l="1"/>
  <c r="V21" i="6"/>
  <c r="N21" i="6"/>
  <c r="Z20" i="5"/>
  <c r="U21" i="6"/>
  <c r="J21" i="6"/>
  <c r="K21" i="6" s="1"/>
  <c r="W21" i="6" s="1"/>
  <c r="E21" i="5"/>
  <c r="P21" i="5" s="1"/>
  <c r="R21" i="5"/>
  <c r="G21" i="5"/>
  <c r="AA22" i="5" s="1"/>
  <c r="D21" i="5"/>
  <c r="Q21" i="5"/>
  <c r="M21" i="5"/>
  <c r="C21" i="5"/>
  <c r="J20" i="4"/>
  <c r="K20" i="4" s="1"/>
  <c r="W20" i="4" s="1"/>
  <c r="L20" i="4"/>
  <c r="O21" i="3"/>
  <c r="I21" i="3"/>
  <c r="L21" i="3" s="1"/>
  <c r="V20" i="4" l="1"/>
  <c r="N20" i="4"/>
  <c r="U21" i="3"/>
  <c r="T21" i="6"/>
  <c r="V21" i="3"/>
  <c r="N21" i="3"/>
  <c r="F21" i="5"/>
  <c r="J21" i="3"/>
  <c r="X21" i="6"/>
  <c r="R22" i="6" l="1"/>
  <c r="D22" i="6"/>
  <c r="Q22" i="6"/>
  <c r="C22" i="6"/>
  <c r="E22" i="6"/>
  <c r="P22" i="6" s="1"/>
  <c r="M22" i="6"/>
  <c r="G22" i="6"/>
  <c r="Z21" i="6"/>
  <c r="O21" i="5"/>
  <c r="H21" i="5"/>
  <c r="I21" i="5" s="1"/>
  <c r="U21" i="5" s="1"/>
  <c r="T20" i="4"/>
  <c r="X20" i="4"/>
  <c r="K21" i="3"/>
  <c r="X21" i="3"/>
  <c r="L21" i="5" l="1"/>
  <c r="F22" i="6"/>
  <c r="W21" i="3"/>
  <c r="AA23" i="6"/>
  <c r="E21" i="4"/>
  <c r="P21" i="4" s="1"/>
  <c r="D21" i="4"/>
  <c r="M21" i="4"/>
  <c r="C21" i="4"/>
  <c r="F21" i="4" s="1"/>
  <c r="R21" i="4"/>
  <c r="Q21" i="4"/>
  <c r="G21" i="4"/>
  <c r="AA22" i="4" s="1"/>
  <c r="Z20" i="4"/>
  <c r="J21" i="5"/>
  <c r="K21" i="5" s="1"/>
  <c r="W21" i="5" s="1"/>
  <c r="T21" i="3"/>
  <c r="Z21" i="3" s="1"/>
  <c r="H21" i="4" l="1"/>
  <c r="I21" i="4"/>
  <c r="U21" i="4" s="1"/>
  <c r="O22" i="6"/>
  <c r="H22" i="6"/>
  <c r="V21" i="5"/>
  <c r="N21" i="5"/>
  <c r="R22" i="3"/>
  <c r="Q22" i="3"/>
  <c r="G22" i="3"/>
  <c r="E22" i="3"/>
  <c r="D22" i="3"/>
  <c r="C22" i="3"/>
  <c r="O21" i="4"/>
  <c r="X21" i="5"/>
  <c r="I22" i="6"/>
  <c r="U22" i="6" s="1"/>
  <c r="F22" i="3" l="1"/>
  <c r="O22" i="3" s="1"/>
  <c r="J22" i="6"/>
  <c r="K22" i="6" s="1"/>
  <c r="W22" i="6" s="1"/>
  <c r="AA23" i="3"/>
  <c r="Y22" i="6"/>
  <c r="H22" i="3"/>
  <c r="L21" i="4"/>
  <c r="T21" i="5"/>
  <c r="J21" i="4"/>
  <c r="K21" i="4" s="1"/>
  <c r="W21" i="4" s="1"/>
  <c r="P22" i="3"/>
  <c r="L22" i="6"/>
  <c r="R22" i="5" l="1"/>
  <c r="C22" i="5"/>
  <c r="M22" i="5"/>
  <c r="D22" i="5"/>
  <c r="Q22" i="5"/>
  <c r="P22" i="5"/>
  <c r="E22" i="5"/>
  <c r="G22" i="5"/>
  <c r="AA23" i="5" s="1"/>
  <c r="F22" i="5"/>
  <c r="Z21" i="5"/>
  <c r="V21" i="4"/>
  <c r="N21" i="4"/>
  <c r="T21" i="4" s="1"/>
  <c r="V22" i="6"/>
  <c r="N22" i="6"/>
  <c r="X22" i="6"/>
  <c r="I22" i="3"/>
  <c r="L22" i="3" s="1"/>
  <c r="X21" i="4"/>
  <c r="Z21" i="4"/>
  <c r="V22" i="3" l="1"/>
  <c r="N22" i="3"/>
  <c r="R22" i="4"/>
  <c r="Q22" i="4"/>
  <c r="G22" i="4"/>
  <c r="AA23" i="4" s="1"/>
  <c r="E22" i="4"/>
  <c r="P22" i="4" s="1"/>
  <c r="D22" i="4"/>
  <c r="C22" i="4"/>
  <c r="F22" i="4" s="1"/>
  <c r="M22" i="4"/>
  <c r="O22" i="5"/>
  <c r="U22" i="3"/>
  <c r="J22" i="3"/>
  <c r="T22" i="6"/>
  <c r="Z22" i="6"/>
  <c r="H22" i="5"/>
  <c r="I22" i="5" s="1"/>
  <c r="U22" i="5" s="1"/>
  <c r="M23" i="6" l="1"/>
  <c r="C23" i="6"/>
  <c r="D23" i="6"/>
  <c r="G23" i="6"/>
  <c r="R23" i="6"/>
  <c r="Q23" i="6"/>
  <c r="P23" i="6"/>
  <c r="E23" i="6"/>
  <c r="K22" i="3"/>
  <c r="H22" i="4"/>
  <c r="O22" i="4"/>
  <c r="L22" i="5"/>
  <c r="J22" i="5"/>
  <c r="W22" i="3" l="1"/>
  <c r="AA24" i="6"/>
  <c r="K22" i="5"/>
  <c r="W22" i="5" s="1"/>
  <c r="V22" i="5"/>
  <c r="N22" i="5"/>
  <c r="F23" i="6"/>
  <c r="T22" i="3"/>
  <c r="Z22" i="3" s="1"/>
  <c r="X22" i="3"/>
  <c r="I22" i="4"/>
  <c r="L22" i="4" s="1"/>
  <c r="V22" i="4" l="1"/>
  <c r="N22" i="4"/>
  <c r="U22" i="4"/>
  <c r="J22" i="4"/>
  <c r="K22" i="4" s="1"/>
  <c r="W22" i="4" s="1"/>
  <c r="C23" i="3"/>
  <c r="D23" i="3"/>
  <c r="R23" i="3"/>
  <c r="G23" i="3"/>
  <c r="Q23" i="3"/>
  <c r="E23" i="3"/>
  <c r="P23" i="3" s="1"/>
  <c r="X22" i="5"/>
  <c r="O23" i="6"/>
  <c r="H23" i="6"/>
  <c r="T22" i="5"/>
  <c r="Z22" i="5" s="1"/>
  <c r="F23" i="3" l="1"/>
  <c r="AA24" i="3"/>
  <c r="Y23" i="6"/>
  <c r="T22" i="4"/>
  <c r="Z22" i="4" s="1"/>
  <c r="R23" i="5"/>
  <c r="G23" i="5"/>
  <c r="AA24" i="5" s="1"/>
  <c r="Q23" i="5"/>
  <c r="D23" i="5"/>
  <c r="C23" i="5"/>
  <c r="F23" i="5" s="1"/>
  <c r="E23" i="5"/>
  <c r="M23" i="5"/>
  <c r="X22" i="4"/>
  <c r="I23" i="6"/>
  <c r="H23" i="3"/>
  <c r="P23" i="5" l="1"/>
  <c r="O23" i="5"/>
  <c r="M23" i="4"/>
  <c r="G23" i="4"/>
  <c r="AA24" i="4" s="1"/>
  <c r="C23" i="4"/>
  <c r="R23" i="4"/>
  <c r="Q23" i="4"/>
  <c r="P23" i="4"/>
  <c r="E23" i="4"/>
  <c r="D23" i="4"/>
  <c r="U23" i="6"/>
  <c r="J23" i="6"/>
  <c r="K23" i="6" s="1"/>
  <c r="W23" i="6" s="1"/>
  <c r="O23" i="3"/>
  <c r="I23" i="3"/>
  <c r="U23" i="3" s="1"/>
  <c r="H23" i="5"/>
  <c r="L23" i="6"/>
  <c r="F23" i="4" l="1"/>
  <c r="L23" i="3"/>
  <c r="V23" i="3" s="1"/>
  <c r="J23" i="3"/>
  <c r="K23" i="3" s="1"/>
  <c r="W23" i="3" s="1"/>
  <c r="O23" i="4"/>
  <c r="V23" i="6"/>
  <c r="N23" i="6"/>
  <c r="N23" i="3"/>
  <c r="T23" i="3" s="1"/>
  <c r="H23" i="4"/>
  <c r="I23" i="5"/>
  <c r="X23" i="3" l="1"/>
  <c r="T23" i="6"/>
  <c r="Z23" i="6"/>
  <c r="D24" i="3"/>
  <c r="R24" i="3"/>
  <c r="G24" i="3"/>
  <c r="AA25" i="3" s="1"/>
  <c r="Q24" i="3"/>
  <c r="C24" i="3"/>
  <c r="E24" i="3"/>
  <c r="P24" i="3"/>
  <c r="U23" i="5"/>
  <c r="J23" i="5"/>
  <c r="K23" i="5" s="1"/>
  <c r="W23" i="5" s="1"/>
  <c r="L23" i="5"/>
  <c r="I23" i="4"/>
  <c r="L23" i="4" s="1"/>
  <c r="X23" i="6"/>
  <c r="Z23" i="3"/>
  <c r="V23" i="4" l="1"/>
  <c r="N23" i="4"/>
  <c r="F24" i="3"/>
  <c r="P24" i="6"/>
  <c r="E24" i="6"/>
  <c r="D24" i="6"/>
  <c r="Q24" i="6"/>
  <c r="G24" i="6"/>
  <c r="M24" i="6"/>
  <c r="R24" i="6"/>
  <c r="C24" i="6"/>
  <c r="U23" i="4"/>
  <c r="J23" i="4"/>
  <c r="V23" i="5"/>
  <c r="N23" i="5"/>
  <c r="F24" i="6" l="1"/>
  <c r="T23" i="5"/>
  <c r="X23" i="5"/>
  <c r="Y24" i="6"/>
  <c r="AA25" i="6"/>
  <c r="K23" i="4"/>
  <c r="W23" i="4" s="1"/>
  <c r="O24" i="3"/>
  <c r="H24" i="3"/>
  <c r="T23" i="4" l="1"/>
  <c r="I24" i="3"/>
  <c r="D24" i="5"/>
  <c r="C24" i="5"/>
  <c r="M24" i="5"/>
  <c r="E24" i="5"/>
  <c r="Q24" i="5"/>
  <c r="R24" i="5"/>
  <c r="G24" i="5"/>
  <c r="AA25" i="5" s="1"/>
  <c r="O24" i="6"/>
  <c r="H24" i="6"/>
  <c r="I24" i="6"/>
  <c r="U24" i="6" s="1"/>
  <c r="X23" i="4"/>
  <c r="Z23" i="5"/>
  <c r="P24" i="5" l="1"/>
  <c r="J24" i="6"/>
  <c r="K24" i="6" s="1"/>
  <c r="W24" i="6" s="1"/>
  <c r="L24" i="6"/>
  <c r="U24" i="3"/>
  <c r="J24" i="3"/>
  <c r="K24" i="3" s="1"/>
  <c r="W24" i="3" s="1"/>
  <c r="L24" i="3"/>
  <c r="F24" i="5"/>
  <c r="D24" i="4"/>
  <c r="M24" i="4"/>
  <c r="C24" i="4"/>
  <c r="E24" i="4"/>
  <c r="R24" i="4"/>
  <c r="Q24" i="4"/>
  <c r="P24" i="4"/>
  <c r="G24" i="4"/>
  <c r="AA25" i="4" s="1"/>
  <c r="Z23" i="4"/>
  <c r="V24" i="6" l="1"/>
  <c r="N24" i="6"/>
  <c r="F24" i="4"/>
  <c r="H24" i="5"/>
  <c r="O24" i="5"/>
  <c r="V24" i="3"/>
  <c r="N24" i="3"/>
  <c r="I24" i="5" l="1"/>
  <c r="L24" i="5" s="1"/>
  <c r="T24" i="6"/>
  <c r="O24" i="4"/>
  <c r="X24" i="6"/>
  <c r="T24" i="3"/>
  <c r="X24" i="3"/>
  <c r="H24" i="4"/>
  <c r="V24" i="5" l="1"/>
  <c r="N24" i="5"/>
  <c r="R25" i="6"/>
  <c r="Q25" i="6"/>
  <c r="G25" i="6"/>
  <c r="D25" i="6"/>
  <c r="C25" i="6"/>
  <c r="E25" i="6"/>
  <c r="P25" i="6" s="1"/>
  <c r="M25" i="6"/>
  <c r="I24" i="4"/>
  <c r="L24" i="4" s="1"/>
  <c r="Z24" i="6"/>
  <c r="U24" i="5"/>
  <c r="J24" i="5"/>
  <c r="K24" i="5" s="1"/>
  <c r="W24" i="5" s="1"/>
  <c r="Q25" i="3"/>
  <c r="G25" i="3"/>
  <c r="AA26" i="3" s="1"/>
  <c r="D25" i="3"/>
  <c r="C25" i="3"/>
  <c r="E25" i="3"/>
  <c r="P25" i="3" s="1"/>
  <c r="R25" i="3"/>
  <c r="Z24" i="3"/>
  <c r="F25" i="3" l="1"/>
  <c r="X24" i="5"/>
  <c r="V24" i="4"/>
  <c r="N24" i="4"/>
  <c r="H25" i="3"/>
  <c r="F25" i="6"/>
  <c r="O25" i="3"/>
  <c r="AA26" i="6"/>
  <c r="Y25" i="6"/>
  <c r="T24" i="5"/>
  <c r="U24" i="4"/>
  <c r="J24" i="4"/>
  <c r="K24" i="4" l="1"/>
  <c r="W24" i="4" s="1"/>
  <c r="I25" i="3"/>
  <c r="L25" i="3"/>
  <c r="X24" i="4"/>
  <c r="O25" i="6"/>
  <c r="H25" i="6"/>
  <c r="I25" i="6" s="1"/>
  <c r="U25" i="6" s="1"/>
  <c r="T24" i="4"/>
  <c r="Z24" i="4" s="1"/>
  <c r="Q25" i="5"/>
  <c r="G25" i="5"/>
  <c r="AA26" i="5" s="1"/>
  <c r="C25" i="5"/>
  <c r="R25" i="5"/>
  <c r="D25" i="5"/>
  <c r="M25" i="5"/>
  <c r="E25" i="5"/>
  <c r="P25" i="5" s="1"/>
  <c r="Z24" i="5"/>
  <c r="L25" i="6" l="1"/>
  <c r="J25" i="6"/>
  <c r="K25" i="6" s="1"/>
  <c r="W25" i="6" s="1"/>
  <c r="U25" i="3"/>
  <c r="J25" i="3"/>
  <c r="F25" i="5"/>
  <c r="V25" i="3"/>
  <c r="N25" i="3"/>
  <c r="Q25" i="4"/>
  <c r="G25" i="4"/>
  <c r="AA26" i="4" s="1"/>
  <c r="E25" i="4"/>
  <c r="P25" i="4" s="1"/>
  <c r="R25" i="4"/>
  <c r="D25" i="4"/>
  <c r="C25" i="4"/>
  <c r="M25" i="4"/>
  <c r="O25" i="5" l="1"/>
  <c r="H25" i="5"/>
  <c r="K25" i="3"/>
  <c r="F25" i="4"/>
  <c r="V25" i="6"/>
  <c r="N25" i="6"/>
  <c r="T25" i="6" l="1"/>
  <c r="X25" i="6"/>
  <c r="W25" i="3"/>
  <c r="X25" i="3"/>
  <c r="O25" i="4"/>
  <c r="H25" i="4"/>
  <c r="I25" i="4" s="1"/>
  <c r="U25" i="4" s="1"/>
  <c r="I25" i="5"/>
  <c r="L25" i="5" s="1"/>
  <c r="T25" i="3"/>
  <c r="L25" i="4" l="1"/>
  <c r="J25" i="4"/>
  <c r="V25" i="5"/>
  <c r="N25" i="5"/>
  <c r="U25" i="5"/>
  <c r="J25" i="5"/>
  <c r="M26" i="6"/>
  <c r="C26" i="6"/>
  <c r="G26" i="6"/>
  <c r="F26" i="6"/>
  <c r="R26" i="6"/>
  <c r="Q26" i="6"/>
  <c r="E26" i="6"/>
  <c r="P26" i="6" s="1"/>
  <c r="D26" i="6"/>
  <c r="Z25" i="6"/>
  <c r="R26" i="3"/>
  <c r="G26" i="3"/>
  <c r="AA27" i="3" s="1"/>
  <c r="D26" i="3"/>
  <c r="C26" i="3"/>
  <c r="E26" i="3"/>
  <c r="Q26" i="3"/>
  <c r="Z25" i="3"/>
  <c r="P26" i="3" l="1"/>
  <c r="K25" i="5"/>
  <c r="W25" i="5" s="1"/>
  <c r="X25" i="5"/>
  <c r="T25" i="5"/>
  <c r="Y26" i="6"/>
  <c r="AA27" i="6"/>
  <c r="K25" i="4"/>
  <c r="H26" i="6"/>
  <c r="F26" i="3"/>
  <c r="O26" i="6"/>
  <c r="V25" i="4"/>
  <c r="N25" i="4"/>
  <c r="T25" i="4" l="1"/>
  <c r="R26" i="4" s="1"/>
  <c r="G26" i="4"/>
  <c r="AA27" i="4" s="1"/>
  <c r="E26" i="4"/>
  <c r="D26" i="4"/>
  <c r="C26" i="4"/>
  <c r="P26" i="4" s="1"/>
  <c r="Q26" i="4"/>
  <c r="M26" i="4"/>
  <c r="X25" i="4"/>
  <c r="H26" i="3"/>
  <c r="I26" i="6"/>
  <c r="L26" i="6" s="1"/>
  <c r="W25" i="4"/>
  <c r="Z25" i="4"/>
  <c r="P26" i="5"/>
  <c r="E26" i="5"/>
  <c r="F26" i="5" s="1"/>
  <c r="O26" i="5" s="1"/>
  <c r="D26" i="5"/>
  <c r="C26" i="5"/>
  <c r="Q26" i="5"/>
  <c r="M26" i="5"/>
  <c r="R26" i="5"/>
  <c r="G26" i="5"/>
  <c r="AA27" i="5" s="1"/>
  <c r="O26" i="3"/>
  <c r="I26" i="3"/>
  <c r="U26" i="3" s="1"/>
  <c r="Z25" i="5"/>
  <c r="F26" i="4" l="1"/>
  <c r="O26" i="4" s="1"/>
  <c r="U26" i="6"/>
  <c r="J26" i="6"/>
  <c r="K26" i="6" s="1"/>
  <c r="W26" i="6" s="1"/>
  <c r="V26" i="6"/>
  <c r="N26" i="6"/>
  <c r="T26" i="6" s="1"/>
  <c r="J26" i="3"/>
  <c r="K26" i="3" s="1"/>
  <c r="W26" i="3" s="1"/>
  <c r="H26" i="5"/>
  <c r="L26" i="3"/>
  <c r="H26" i="4" l="1"/>
  <c r="I26" i="4" s="1"/>
  <c r="X26" i="6"/>
  <c r="E27" i="6"/>
  <c r="D27" i="6"/>
  <c r="M27" i="6"/>
  <c r="C27" i="6"/>
  <c r="F27" i="6" s="1"/>
  <c r="P27" i="6"/>
  <c r="Q27" i="6"/>
  <c r="R27" i="6"/>
  <c r="G27" i="6"/>
  <c r="I26" i="5"/>
  <c r="L26" i="5" s="1"/>
  <c r="Z26" i="6"/>
  <c r="V26" i="3"/>
  <c r="N26" i="3"/>
  <c r="X26" i="3"/>
  <c r="U26" i="4" l="1"/>
  <c r="J26" i="4"/>
  <c r="K26" i="4" s="1"/>
  <c r="W26" i="4" s="1"/>
  <c r="L26" i="4"/>
  <c r="O27" i="6"/>
  <c r="H27" i="6"/>
  <c r="V26" i="5"/>
  <c r="N26" i="5"/>
  <c r="V26" i="4"/>
  <c r="N26" i="4"/>
  <c r="AA28" i="6"/>
  <c r="T26" i="3"/>
  <c r="Z26" i="3"/>
  <c r="U26" i="5"/>
  <c r="J26" i="5"/>
  <c r="K26" i="5" l="1"/>
  <c r="X26" i="5" s="1"/>
  <c r="I27" i="6"/>
  <c r="T26" i="5"/>
  <c r="C27" i="3"/>
  <c r="P27" i="3"/>
  <c r="E27" i="3"/>
  <c r="D27" i="3"/>
  <c r="Q27" i="3"/>
  <c r="G27" i="3"/>
  <c r="R27" i="3"/>
  <c r="T26" i="4"/>
  <c r="X26" i="4"/>
  <c r="F27" i="3" l="1"/>
  <c r="AA28" i="3"/>
  <c r="Y27" i="6"/>
  <c r="M27" i="4"/>
  <c r="C27" i="4"/>
  <c r="P27" i="4" s="1"/>
  <c r="D27" i="4"/>
  <c r="E27" i="4"/>
  <c r="R27" i="4"/>
  <c r="Q27" i="4"/>
  <c r="G27" i="4"/>
  <c r="AA28" i="4" s="1"/>
  <c r="Z26" i="4"/>
  <c r="M27" i="5"/>
  <c r="C27" i="5"/>
  <c r="R27" i="5"/>
  <c r="Q27" i="5"/>
  <c r="D27" i="5"/>
  <c r="G27" i="5"/>
  <c r="AA28" i="5" s="1"/>
  <c r="E27" i="5"/>
  <c r="U27" i="6"/>
  <c r="J27" i="6"/>
  <c r="W26" i="5"/>
  <c r="Z26" i="5"/>
  <c r="L27" i="6"/>
  <c r="F27" i="4" l="1"/>
  <c r="O27" i="4" s="1"/>
  <c r="H27" i="4"/>
  <c r="I27" i="4" s="1"/>
  <c r="U27" i="4" s="1"/>
  <c r="V27" i="6"/>
  <c r="N27" i="6"/>
  <c r="P27" i="5"/>
  <c r="K27" i="6"/>
  <c r="H27" i="3"/>
  <c r="O27" i="3"/>
  <c r="F27" i="5"/>
  <c r="T27" i="6" l="1"/>
  <c r="R28" i="6" s="1"/>
  <c r="J27" i="4"/>
  <c r="K27" i="4" s="1"/>
  <c r="W27" i="4" s="1"/>
  <c r="X27" i="6"/>
  <c r="W27" i="6"/>
  <c r="Z27" i="6"/>
  <c r="L27" i="4"/>
  <c r="O27" i="5"/>
  <c r="H27" i="5"/>
  <c r="Q28" i="6"/>
  <c r="G28" i="6"/>
  <c r="D28" i="6"/>
  <c r="C28" i="6"/>
  <c r="E28" i="6"/>
  <c r="P28" i="6" s="1"/>
  <c r="M28" i="6"/>
  <c r="I27" i="3"/>
  <c r="L27" i="3" s="1"/>
  <c r="F28" i="6" l="1"/>
  <c r="H28" i="6"/>
  <c r="I28" i="6"/>
  <c r="U28" i="6" s="1"/>
  <c r="O28" i="6"/>
  <c r="V27" i="3"/>
  <c r="N27" i="3"/>
  <c r="L27" i="5"/>
  <c r="AA29" i="6"/>
  <c r="V27" i="4"/>
  <c r="N27" i="4"/>
  <c r="I27" i="5"/>
  <c r="U27" i="3"/>
  <c r="J27" i="3"/>
  <c r="T27" i="4" l="1"/>
  <c r="X27" i="4"/>
  <c r="L28" i="6"/>
  <c r="K27" i="3"/>
  <c r="T27" i="3" s="1"/>
  <c r="X27" i="3"/>
  <c r="V27" i="5"/>
  <c r="N27" i="5"/>
  <c r="J28" i="6"/>
  <c r="U27" i="5"/>
  <c r="J27" i="5"/>
  <c r="R28" i="3" l="1"/>
  <c r="E28" i="3"/>
  <c r="Q28" i="3"/>
  <c r="G28" i="3"/>
  <c r="C28" i="3"/>
  <c r="D28" i="3"/>
  <c r="V28" i="6"/>
  <c r="N28" i="6"/>
  <c r="K28" i="6"/>
  <c r="W28" i="6" s="1"/>
  <c r="W27" i="3"/>
  <c r="Z27" i="3"/>
  <c r="K27" i="5"/>
  <c r="X27" i="5"/>
  <c r="P28" i="4"/>
  <c r="E28" i="4"/>
  <c r="D28" i="4"/>
  <c r="Q28" i="4"/>
  <c r="G28" i="4"/>
  <c r="AA29" i="4" s="1"/>
  <c r="R28" i="4"/>
  <c r="M28" i="4"/>
  <c r="C28" i="4"/>
  <c r="Z27" i="4"/>
  <c r="T28" i="6" l="1"/>
  <c r="P28" i="3"/>
  <c r="F28" i="4"/>
  <c r="H28" i="4" s="1"/>
  <c r="I28" i="4" s="1"/>
  <c r="U28" i="4" s="1"/>
  <c r="O28" i="4"/>
  <c r="Z28" i="6"/>
  <c r="W27" i="5"/>
  <c r="X28" i="6"/>
  <c r="AA29" i="3"/>
  <c r="Y28" i="6"/>
  <c r="F28" i="3"/>
  <c r="H28" i="3" s="1"/>
  <c r="G29" i="6"/>
  <c r="E29" i="6"/>
  <c r="R29" i="6"/>
  <c r="Q29" i="6"/>
  <c r="P29" i="6"/>
  <c r="M29" i="6"/>
  <c r="D29" i="6"/>
  <c r="C29" i="6"/>
  <c r="T27" i="5"/>
  <c r="Z27" i="5" s="1"/>
  <c r="R28" i="5" l="1"/>
  <c r="G28" i="5"/>
  <c r="AA29" i="5" s="1"/>
  <c r="Q28" i="5"/>
  <c r="E28" i="5"/>
  <c r="D28" i="5"/>
  <c r="M28" i="5"/>
  <c r="C28" i="5"/>
  <c r="F29" i="6"/>
  <c r="O28" i="3"/>
  <c r="I28" i="3"/>
  <c r="U28" i="3" s="1"/>
  <c r="AA30" i="6"/>
  <c r="L28" i="4"/>
  <c r="J28" i="4"/>
  <c r="K28" i="4" s="1"/>
  <c r="W28" i="4" s="1"/>
  <c r="P28" i="5" l="1"/>
  <c r="J28" i="3"/>
  <c r="K28" i="3" s="1"/>
  <c r="W28" i="3" s="1"/>
  <c r="H29" i="6"/>
  <c r="O29" i="6"/>
  <c r="F28" i="5"/>
  <c r="L28" i="3"/>
  <c r="V28" i="4"/>
  <c r="N28" i="4"/>
  <c r="T28" i="4" s="1"/>
  <c r="H28" i="5" l="1"/>
  <c r="R29" i="4"/>
  <c r="Q29" i="4"/>
  <c r="G29" i="4"/>
  <c r="AA30" i="4" s="1"/>
  <c r="E29" i="4"/>
  <c r="D29" i="4"/>
  <c r="C29" i="4"/>
  <c r="F29" i="4" s="1"/>
  <c r="M29" i="4"/>
  <c r="X28" i="4"/>
  <c r="Z28" i="4"/>
  <c r="I28" i="5"/>
  <c r="U28" i="5" s="1"/>
  <c r="O28" i="5"/>
  <c r="V28" i="3"/>
  <c r="N28" i="3"/>
  <c r="I29" i="6"/>
  <c r="L29" i="6" s="1"/>
  <c r="P29" i="4" l="1"/>
  <c r="T28" i="3"/>
  <c r="X28" i="3"/>
  <c r="Z28" i="3"/>
  <c r="O29" i="4"/>
  <c r="J28" i="5"/>
  <c r="K28" i="5" s="1"/>
  <c r="W28" i="5" s="1"/>
  <c r="L28" i="5"/>
  <c r="V29" i="6"/>
  <c r="N29" i="6"/>
  <c r="H29" i="4"/>
  <c r="U29" i="6"/>
  <c r="J29" i="6"/>
  <c r="V28" i="5" l="1"/>
  <c r="N28" i="5"/>
  <c r="T28" i="5" s="1"/>
  <c r="Z28" i="5" s="1"/>
  <c r="K29" i="6"/>
  <c r="W29" i="6" s="1"/>
  <c r="X29" i="6"/>
  <c r="Z29" i="6"/>
  <c r="X28" i="5"/>
  <c r="Q29" i="3"/>
  <c r="C29" i="3"/>
  <c r="P29" i="3"/>
  <c r="E29" i="3"/>
  <c r="D29" i="3"/>
  <c r="R29" i="3"/>
  <c r="G29" i="3"/>
  <c r="T29" i="6"/>
  <c r="I29" i="4"/>
  <c r="L29" i="4" s="1"/>
  <c r="V29" i="4" l="1"/>
  <c r="N29" i="4"/>
  <c r="AA30" i="3"/>
  <c r="Y29" i="6"/>
  <c r="U29" i="4"/>
  <c r="J29" i="4"/>
  <c r="K29" i="4" s="1"/>
  <c r="W29" i="4" s="1"/>
  <c r="D30" i="6"/>
  <c r="M30" i="6"/>
  <c r="C30" i="6"/>
  <c r="E30" i="6"/>
  <c r="P30" i="6" s="1"/>
  <c r="Q30" i="6"/>
  <c r="R30" i="6"/>
  <c r="G30" i="6"/>
  <c r="M29" i="5"/>
  <c r="C29" i="5"/>
  <c r="Q29" i="5"/>
  <c r="R29" i="5"/>
  <c r="G29" i="5"/>
  <c r="AA30" i="5" s="1"/>
  <c r="E29" i="5"/>
  <c r="P29" i="5" s="1"/>
  <c r="D29" i="5"/>
  <c r="F29" i="3"/>
  <c r="AA31" i="6" l="1"/>
  <c r="O29" i="3"/>
  <c r="F30" i="6"/>
  <c r="X29" i="4"/>
  <c r="H29" i="3"/>
  <c r="I29" i="3" s="1"/>
  <c r="T29" i="4"/>
  <c r="Z29" i="4" s="1"/>
  <c r="F29" i="5"/>
  <c r="U29" i="3" l="1"/>
  <c r="J29" i="3"/>
  <c r="K29" i="3" s="1"/>
  <c r="W29" i="3" s="1"/>
  <c r="H29" i="5"/>
  <c r="O29" i="5"/>
  <c r="H30" i="6"/>
  <c r="O30" i="6"/>
  <c r="M30" i="4"/>
  <c r="C30" i="4"/>
  <c r="F30" i="4" s="1"/>
  <c r="G30" i="4"/>
  <c r="AA31" i="4" s="1"/>
  <c r="Q30" i="4"/>
  <c r="E30" i="4"/>
  <c r="D30" i="4"/>
  <c r="R30" i="4"/>
  <c r="L29" i="3"/>
  <c r="P30" i="4" l="1"/>
  <c r="O30" i="4"/>
  <c r="I29" i="5"/>
  <c r="V29" i="3"/>
  <c r="N29" i="3"/>
  <c r="H30" i="4"/>
  <c r="I30" i="4" s="1"/>
  <c r="U30" i="4" s="1"/>
  <c r="I30" i="6"/>
  <c r="L30" i="6" s="1"/>
  <c r="V30" i="6" l="1"/>
  <c r="N30" i="6"/>
  <c r="U29" i="5"/>
  <c r="J29" i="5"/>
  <c r="K29" i="5" s="1"/>
  <c r="W29" i="5" s="1"/>
  <c r="U30" i="6"/>
  <c r="J30" i="6"/>
  <c r="L30" i="4"/>
  <c r="T29" i="3"/>
  <c r="X29" i="3"/>
  <c r="J30" i="4"/>
  <c r="L29" i="5"/>
  <c r="V29" i="5" l="1"/>
  <c r="N29" i="5"/>
  <c r="V30" i="4"/>
  <c r="N30" i="4"/>
  <c r="K30" i="6"/>
  <c r="K30" i="4"/>
  <c r="T30" i="6"/>
  <c r="C30" i="3"/>
  <c r="F30" i="3" s="1"/>
  <c r="Q30" i="3"/>
  <c r="E30" i="3"/>
  <c r="D30" i="3"/>
  <c r="G30" i="3"/>
  <c r="R30" i="3"/>
  <c r="Z29" i="3"/>
  <c r="P30" i="3" l="1"/>
  <c r="Q31" i="6"/>
  <c r="G31" i="6"/>
  <c r="E31" i="6"/>
  <c r="R31" i="6"/>
  <c r="C31" i="6"/>
  <c r="D31" i="6"/>
  <c r="M31" i="6"/>
  <c r="H30" i="3"/>
  <c r="W30" i="6"/>
  <c r="X30" i="6"/>
  <c r="T30" i="4"/>
  <c r="T29" i="5"/>
  <c r="X29" i="5"/>
  <c r="W30" i="4"/>
  <c r="X30" i="4"/>
  <c r="Z30" i="6"/>
  <c r="AA31" i="3"/>
  <c r="Y30" i="6"/>
  <c r="O30" i="3"/>
  <c r="F31" i="6" l="1"/>
  <c r="O31" i="6"/>
  <c r="H31" i="6"/>
  <c r="P31" i="6"/>
  <c r="AA32" i="6"/>
  <c r="E31" i="4"/>
  <c r="P31" i="4" s="1"/>
  <c r="D31" i="4"/>
  <c r="M31" i="4"/>
  <c r="C31" i="4"/>
  <c r="R31" i="4"/>
  <c r="Q31" i="4"/>
  <c r="G31" i="4"/>
  <c r="AA32" i="4" s="1"/>
  <c r="Z30" i="4"/>
  <c r="R30" i="5"/>
  <c r="G30" i="5"/>
  <c r="AA31" i="5" s="1"/>
  <c r="Q30" i="5"/>
  <c r="E30" i="5"/>
  <c r="P30" i="5" s="1"/>
  <c r="D30" i="5"/>
  <c r="C30" i="5"/>
  <c r="M30" i="5"/>
  <c r="Z29" i="5"/>
  <c r="I30" i="3"/>
  <c r="L30" i="3" s="1"/>
  <c r="F31" i="4" l="1"/>
  <c r="H31" i="4" s="1"/>
  <c r="I31" i="4" s="1"/>
  <c r="U31" i="4" s="1"/>
  <c r="V30" i="3"/>
  <c r="N30" i="3"/>
  <c r="O31" i="4"/>
  <c r="I31" i="6"/>
  <c r="U30" i="3"/>
  <c r="J30" i="3"/>
  <c r="K30" i="3" s="1"/>
  <c r="W30" i="3" s="1"/>
  <c r="F30" i="5"/>
  <c r="H30" i="5" s="1"/>
  <c r="O30" i="5" l="1"/>
  <c r="L31" i="6"/>
  <c r="X30" i="3"/>
  <c r="L31" i="4"/>
  <c r="I30" i="5"/>
  <c r="U30" i="5" s="1"/>
  <c r="L30" i="5"/>
  <c r="T30" i="3"/>
  <c r="U31" i="6"/>
  <c r="J31" i="6"/>
  <c r="K31" i="6" s="1"/>
  <c r="W31" i="6" s="1"/>
  <c r="J31" i="4"/>
  <c r="V31" i="4" l="1"/>
  <c r="N31" i="4"/>
  <c r="V31" i="6"/>
  <c r="N31" i="6"/>
  <c r="X31" i="6" s="1"/>
  <c r="V30" i="5"/>
  <c r="N30" i="5"/>
  <c r="K31" i="4"/>
  <c r="W31" i="4" s="1"/>
  <c r="J30" i="5"/>
  <c r="E31" i="3"/>
  <c r="P31" i="3" s="1"/>
  <c r="D31" i="3"/>
  <c r="R31" i="3"/>
  <c r="G31" i="3"/>
  <c r="Q31" i="3"/>
  <c r="C31" i="3"/>
  <c r="Z30" i="3"/>
  <c r="F31" i="3" l="1"/>
  <c r="X31" i="4"/>
  <c r="K30" i="5"/>
  <c r="W30" i="5" s="1"/>
  <c r="AA32" i="3"/>
  <c r="Y31" i="6"/>
  <c r="T31" i="6"/>
  <c r="Z31" i="6"/>
  <c r="T31" i="4"/>
  <c r="Z31" i="4" s="1"/>
  <c r="X30" i="5"/>
  <c r="T30" i="5"/>
  <c r="H31" i="3"/>
  <c r="O31" i="3"/>
  <c r="E31" i="5" l="1"/>
  <c r="C31" i="5"/>
  <c r="P31" i="5" s="1"/>
  <c r="M31" i="5"/>
  <c r="D31" i="5"/>
  <c r="Q31" i="5"/>
  <c r="R31" i="5"/>
  <c r="G31" i="5"/>
  <c r="AA32" i="5" s="1"/>
  <c r="F31" i="5"/>
  <c r="Z30" i="5"/>
  <c r="R32" i="4"/>
  <c r="Q32" i="4"/>
  <c r="G32" i="4"/>
  <c r="AA33" i="4" s="1"/>
  <c r="E32" i="4"/>
  <c r="D32" i="4"/>
  <c r="C32" i="4"/>
  <c r="F32" i="4" s="1"/>
  <c r="O32" i="4" s="1"/>
  <c r="M32" i="4"/>
  <c r="R32" i="6"/>
  <c r="G32" i="6"/>
  <c r="E32" i="6"/>
  <c r="Q32" i="6"/>
  <c r="M32" i="6"/>
  <c r="D32" i="6"/>
  <c r="C32" i="6"/>
  <c r="I31" i="3"/>
  <c r="L31" i="3" s="1"/>
  <c r="P32" i="4" l="1"/>
  <c r="F32" i="6"/>
  <c r="H32" i="4"/>
  <c r="P32" i="6"/>
  <c r="V31" i="3"/>
  <c r="N31" i="3"/>
  <c r="I32" i="4"/>
  <c r="U32" i="4" s="1"/>
  <c r="L32" i="4"/>
  <c r="U31" i="3"/>
  <c r="J31" i="3"/>
  <c r="K31" i="3" s="1"/>
  <c r="W31" i="3" s="1"/>
  <c r="H32" i="6"/>
  <c r="O31" i="5"/>
  <c r="H31" i="5"/>
  <c r="AA33" i="6"/>
  <c r="I31" i="5"/>
  <c r="U31" i="5" s="1"/>
  <c r="O32" i="6"/>
  <c r="J32" i="4" l="1"/>
  <c r="K32" i="4" s="1"/>
  <c r="W32" i="4" s="1"/>
  <c r="X31" i="3"/>
  <c r="T31" i="3"/>
  <c r="Z31" i="3" s="1"/>
  <c r="J31" i="5"/>
  <c r="K31" i="5" s="1"/>
  <c r="W31" i="5" s="1"/>
  <c r="R32" i="3"/>
  <c r="C32" i="3"/>
  <c r="G32" i="3"/>
  <c r="D32" i="3"/>
  <c r="E32" i="3"/>
  <c r="F32" i="3" s="1"/>
  <c r="Q32" i="3"/>
  <c r="V32" i="4"/>
  <c r="N32" i="4"/>
  <c r="L31" i="5"/>
  <c r="I32" i="6"/>
  <c r="O32" i="3" l="1"/>
  <c r="H32" i="3"/>
  <c r="I32" i="3"/>
  <c r="U32" i="3" s="1"/>
  <c r="U32" i="6"/>
  <c r="J32" i="6"/>
  <c r="K32" i="6" s="1"/>
  <c r="W32" i="6" s="1"/>
  <c r="P32" i="3"/>
  <c r="V31" i="5"/>
  <c r="N31" i="5"/>
  <c r="T31" i="5" s="1"/>
  <c r="L32" i="6"/>
  <c r="T32" i="4"/>
  <c r="Z32" i="4" s="1"/>
  <c r="AA33" i="3"/>
  <c r="Y32" i="6"/>
  <c r="X32" i="4"/>
  <c r="Z31" i="5" l="1"/>
  <c r="X31" i="5"/>
  <c r="J32" i="3"/>
  <c r="L32" i="3"/>
  <c r="V32" i="6"/>
  <c r="N32" i="6"/>
  <c r="R32" i="5"/>
  <c r="G32" i="5"/>
  <c r="AA33" i="5" s="1"/>
  <c r="Q32" i="5"/>
  <c r="C32" i="5"/>
  <c r="D32" i="5"/>
  <c r="E32" i="5"/>
  <c r="M32" i="5"/>
  <c r="G33" i="4"/>
  <c r="AA34" i="4" s="1"/>
  <c r="E33" i="4"/>
  <c r="R33" i="4"/>
  <c r="D33" i="4"/>
  <c r="M33" i="4"/>
  <c r="Q33" i="4"/>
  <c r="C33" i="4"/>
  <c r="P32" i="5" l="1"/>
  <c r="P33" i="4"/>
  <c r="F33" i="4"/>
  <c r="T32" i="6"/>
  <c r="X32" i="6"/>
  <c r="V32" i="3"/>
  <c r="N32" i="3"/>
  <c r="F32" i="5"/>
  <c r="K32" i="3"/>
  <c r="M33" i="6" l="1"/>
  <c r="C33" i="6"/>
  <c r="D33" i="6"/>
  <c r="R33" i="6"/>
  <c r="Q33" i="6"/>
  <c r="G33" i="6"/>
  <c r="E33" i="6"/>
  <c r="Z32" i="6"/>
  <c r="O33" i="4"/>
  <c r="W32" i="3"/>
  <c r="X32" i="3"/>
  <c r="H32" i="5"/>
  <c r="I32" i="5" s="1"/>
  <c r="O32" i="5"/>
  <c r="T32" i="3"/>
  <c r="H33" i="4"/>
  <c r="I33" i="4" s="1"/>
  <c r="U33" i="4" s="1"/>
  <c r="F33" i="6" l="1"/>
  <c r="U32" i="5"/>
  <c r="J32" i="5"/>
  <c r="K32" i="5" s="1"/>
  <c r="W32" i="5" s="1"/>
  <c r="O33" i="6"/>
  <c r="H33" i="6"/>
  <c r="R33" i="3"/>
  <c r="G33" i="3"/>
  <c r="AA34" i="3" s="1"/>
  <c r="Q33" i="3"/>
  <c r="E33" i="3"/>
  <c r="D33" i="3"/>
  <c r="C33" i="3"/>
  <c r="Z32" i="3"/>
  <c r="J33" i="4"/>
  <c r="K33" i="4" s="1"/>
  <c r="W33" i="4" s="1"/>
  <c r="L32" i="5"/>
  <c r="P33" i="6"/>
  <c r="I33" i="6"/>
  <c r="U33" i="6" s="1"/>
  <c r="AA34" i="6"/>
  <c r="L33" i="4"/>
  <c r="F33" i="3" l="1"/>
  <c r="H33" i="3"/>
  <c r="I33" i="3" s="1"/>
  <c r="O33" i="3"/>
  <c r="L33" i="6"/>
  <c r="V32" i="5"/>
  <c r="N32" i="5"/>
  <c r="V33" i="4"/>
  <c r="N33" i="4"/>
  <c r="T33" i="4" s="1"/>
  <c r="J33" i="6"/>
  <c r="K33" i="6" s="1"/>
  <c r="W33" i="6" s="1"/>
  <c r="P33" i="3"/>
  <c r="Y33" i="6"/>
  <c r="Z33" i="4" l="1"/>
  <c r="U33" i="3"/>
  <c r="J33" i="3"/>
  <c r="K33" i="3" s="1"/>
  <c r="W33" i="3" s="1"/>
  <c r="T32" i="5"/>
  <c r="Z32" i="5"/>
  <c r="X32" i="5"/>
  <c r="V33" i="6"/>
  <c r="N33" i="6"/>
  <c r="D34" i="4"/>
  <c r="M34" i="4"/>
  <c r="C34" i="4"/>
  <c r="E34" i="4"/>
  <c r="Q34" i="4"/>
  <c r="P34" i="4"/>
  <c r="R34" i="4"/>
  <c r="G34" i="4"/>
  <c r="AA35" i="4" s="1"/>
  <c r="F34" i="4"/>
  <c r="L33" i="3"/>
  <c r="X33" i="4"/>
  <c r="H34" i="4" l="1"/>
  <c r="V33" i="3"/>
  <c r="N33" i="3"/>
  <c r="T33" i="3" s="1"/>
  <c r="Z33" i="3" s="1"/>
  <c r="X33" i="3"/>
  <c r="T33" i="6"/>
  <c r="X33" i="6"/>
  <c r="O34" i="4"/>
  <c r="C33" i="5"/>
  <c r="P33" i="5" s="1"/>
  <c r="M33" i="5"/>
  <c r="D33" i="5"/>
  <c r="G33" i="5"/>
  <c r="AA34" i="5" s="1"/>
  <c r="E33" i="5"/>
  <c r="R33" i="5"/>
  <c r="Q33" i="5"/>
  <c r="I34" i="4"/>
  <c r="U34" i="4" s="1"/>
  <c r="D34" i="3" l="1"/>
  <c r="C34" i="3"/>
  <c r="E34" i="3"/>
  <c r="R34" i="3"/>
  <c r="Q34" i="3"/>
  <c r="G34" i="3"/>
  <c r="AA35" i="3" s="1"/>
  <c r="P34" i="3"/>
  <c r="E34" i="6"/>
  <c r="F34" i="6" s="1"/>
  <c r="D34" i="6"/>
  <c r="Q34" i="6"/>
  <c r="G34" i="6"/>
  <c r="R34" i="6"/>
  <c r="C34" i="6"/>
  <c r="M34" i="6"/>
  <c r="Z33" i="6"/>
  <c r="J34" i="4"/>
  <c r="K34" i="4" s="1"/>
  <c r="W34" i="4" s="1"/>
  <c r="F33" i="5"/>
  <c r="L34" i="4"/>
  <c r="P34" i="6" l="1"/>
  <c r="AA35" i="6"/>
  <c r="Y34" i="6"/>
  <c r="F34" i="3"/>
  <c r="H34" i="3" s="1"/>
  <c r="H34" i="6"/>
  <c r="I34" i="6" s="1"/>
  <c r="U34" i="6" s="1"/>
  <c r="V34" i="4"/>
  <c r="N34" i="4"/>
  <c r="X34" i="4"/>
  <c r="H33" i="5"/>
  <c r="O33" i="5"/>
  <c r="O34" i="6"/>
  <c r="J34" i="6" l="1"/>
  <c r="K34" i="6" s="1"/>
  <c r="W34" i="6" s="1"/>
  <c r="I33" i="5"/>
  <c r="L33" i="5" s="1"/>
  <c r="L34" i="6"/>
  <c r="T34" i="4"/>
  <c r="Z34" i="4"/>
  <c r="O34" i="3"/>
  <c r="I34" i="3"/>
  <c r="L34" i="3" s="1"/>
  <c r="J34" i="3" l="1"/>
  <c r="K34" i="3" s="1"/>
  <c r="W34" i="3" s="1"/>
  <c r="V33" i="5"/>
  <c r="N33" i="5"/>
  <c r="V34" i="3"/>
  <c r="N34" i="3"/>
  <c r="T34" i="3" s="1"/>
  <c r="Q35" i="4"/>
  <c r="G35" i="4"/>
  <c r="AA36" i="4" s="1"/>
  <c r="E35" i="4"/>
  <c r="R35" i="4"/>
  <c r="C35" i="4"/>
  <c r="M35" i="4"/>
  <c r="D35" i="4"/>
  <c r="V34" i="6"/>
  <c r="N34" i="6"/>
  <c r="T34" i="6" s="1"/>
  <c r="U34" i="3"/>
  <c r="U33" i="5"/>
  <c r="J33" i="5"/>
  <c r="X34" i="3"/>
  <c r="Z34" i="6"/>
  <c r="X34" i="6"/>
  <c r="P35" i="4" l="1"/>
  <c r="F35" i="4"/>
  <c r="Q35" i="3"/>
  <c r="G35" i="3"/>
  <c r="AA36" i="3" s="1"/>
  <c r="E35" i="3"/>
  <c r="R35" i="3"/>
  <c r="D35" i="3"/>
  <c r="C35" i="3"/>
  <c r="R35" i="6"/>
  <c r="Q35" i="6"/>
  <c r="G35" i="6"/>
  <c r="E35" i="6"/>
  <c r="M35" i="6"/>
  <c r="D35" i="6"/>
  <c r="C35" i="6"/>
  <c r="K33" i="5"/>
  <c r="W33" i="5" s="1"/>
  <c r="H35" i="4"/>
  <c r="Z34" i="3"/>
  <c r="P35" i="3" l="1"/>
  <c r="F35" i="6"/>
  <c r="O35" i="6" s="1"/>
  <c r="P35" i="6"/>
  <c r="X33" i="5"/>
  <c r="Z33" i="5"/>
  <c r="F35" i="3"/>
  <c r="AA36" i="6"/>
  <c r="Y35" i="6"/>
  <c r="O35" i="4"/>
  <c r="T33" i="5"/>
  <c r="H35" i="6"/>
  <c r="I35" i="6" s="1"/>
  <c r="U35" i="6" s="1"/>
  <c r="I35" i="4"/>
  <c r="U35" i="4" s="1"/>
  <c r="L35" i="4" l="1"/>
  <c r="J35" i="4"/>
  <c r="K35" i="4" s="1"/>
  <c r="W35" i="4" s="1"/>
  <c r="O35" i="3"/>
  <c r="H35" i="3"/>
  <c r="J35" i="6"/>
  <c r="K35" i="6" s="1"/>
  <c r="W35" i="6" s="1"/>
  <c r="V35" i="4"/>
  <c r="N35" i="4"/>
  <c r="T35" i="4" s="1"/>
  <c r="L35" i="6"/>
  <c r="D34" i="5"/>
  <c r="R34" i="5"/>
  <c r="G34" i="5"/>
  <c r="AA35" i="5" s="1"/>
  <c r="M34" i="5"/>
  <c r="Q34" i="5"/>
  <c r="E34" i="5"/>
  <c r="C34" i="5"/>
  <c r="F34" i="5" s="1"/>
  <c r="Z35" i="4" l="1"/>
  <c r="P34" i="5"/>
  <c r="X35" i="4"/>
  <c r="H34" i="5"/>
  <c r="I35" i="3"/>
  <c r="O34" i="5"/>
  <c r="V35" i="6"/>
  <c r="N35" i="6"/>
  <c r="T35" i="6" s="1"/>
  <c r="R36" i="4"/>
  <c r="E36" i="4"/>
  <c r="P36" i="4" s="1"/>
  <c r="D36" i="4"/>
  <c r="Q36" i="4"/>
  <c r="C36" i="4"/>
  <c r="G36" i="4"/>
  <c r="AA37" i="4" s="1"/>
  <c r="M36" i="4"/>
  <c r="M36" i="6" l="1"/>
  <c r="C36" i="6"/>
  <c r="R36" i="6"/>
  <c r="Q36" i="6"/>
  <c r="G36" i="6"/>
  <c r="E36" i="6"/>
  <c r="P36" i="6" s="1"/>
  <c r="D36" i="6"/>
  <c r="F36" i="4"/>
  <c r="U35" i="3"/>
  <c r="J35" i="3"/>
  <c r="L35" i="3"/>
  <c r="X35" i="6"/>
  <c r="Z35" i="6"/>
  <c r="I34" i="5"/>
  <c r="K35" i="3" l="1"/>
  <c r="W35" i="3" s="1"/>
  <c r="X35" i="3"/>
  <c r="U34" i="5"/>
  <c r="J34" i="5"/>
  <c r="K34" i="5" s="1"/>
  <c r="W34" i="5" s="1"/>
  <c r="H36" i="4"/>
  <c r="O36" i="4"/>
  <c r="I36" i="4"/>
  <c r="U36" i="4" s="1"/>
  <c r="F36" i="6"/>
  <c r="AA37" i="6"/>
  <c r="V35" i="3"/>
  <c r="N35" i="3"/>
  <c r="L34" i="5"/>
  <c r="O36" i="6" l="1"/>
  <c r="V34" i="5"/>
  <c r="N34" i="5"/>
  <c r="T34" i="5" s="1"/>
  <c r="L36" i="4"/>
  <c r="H36" i="6"/>
  <c r="T35" i="3"/>
  <c r="J36" i="4"/>
  <c r="K36" i="4" l="1"/>
  <c r="V36" i="4"/>
  <c r="N36" i="4"/>
  <c r="T36" i="4" s="1"/>
  <c r="X34" i="5"/>
  <c r="Q35" i="5"/>
  <c r="G35" i="5"/>
  <c r="AA36" i="5" s="1"/>
  <c r="D35" i="5"/>
  <c r="C35" i="5"/>
  <c r="F35" i="5" s="1"/>
  <c r="O35" i="5" s="1"/>
  <c r="M35" i="5"/>
  <c r="P35" i="5"/>
  <c r="E35" i="5"/>
  <c r="R35" i="5"/>
  <c r="Z34" i="5"/>
  <c r="D36" i="3"/>
  <c r="C36" i="3"/>
  <c r="E36" i="3"/>
  <c r="P36" i="3" s="1"/>
  <c r="Q36" i="3"/>
  <c r="G36" i="3"/>
  <c r="F36" i="3"/>
  <c r="R36" i="3"/>
  <c r="Z35" i="3"/>
  <c r="I36" i="6"/>
  <c r="M37" i="4" l="1"/>
  <c r="C37" i="4"/>
  <c r="D37" i="4"/>
  <c r="G37" i="4"/>
  <c r="AA38" i="4" s="1"/>
  <c r="Q37" i="4"/>
  <c r="E37" i="4"/>
  <c r="P37" i="4" s="1"/>
  <c r="R37" i="4"/>
  <c r="H36" i="3"/>
  <c r="H35" i="5"/>
  <c r="U36" i="6"/>
  <c r="J36" i="6"/>
  <c r="X36" i="4"/>
  <c r="O36" i="3"/>
  <c r="AA37" i="3"/>
  <c r="Y36" i="6"/>
  <c r="W36" i="4"/>
  <c r="Z36" i="4"/>
  <c r="L36" i="6"/>
  <c r="V36" i="6" l="1"/>
  <c r="N36" i="6"/>
  <c r="K36" i="6"/>
  <c r="W36" i="6" s="1"/>
  <c r="I35" i="5"/>
  <c r="F37" i="4"/>
  <c r="I36" i="3"/>
  <c r="L36" i="3" s="1"/>
  <c r="H37" i="4"/>
  <c r="V36" i="3" l="1"/>
  <c r="N36" i="3"/>
  <c r="U35" i="5"/>
  <c r="J35" i="5"/>
  <c r="K35" i="5" s="1"/>
  <c r="W35" i="5" s="1"/>
  <c r="X36" i="6"/>
  <c r="L35" i="5"/>
  <c r="T36" i="6"/>
  <c r="L37" i="4"/>
  <c r="U36" i="3"/>
  <c r="J36" i="3"/>
  <c r="I37" i="4"/>
  <c r="U37" i="4" s="1"/>
  <c r="O37" i="4"/>
  <c r="J37" i="4"/>
  <c r="K37" i="4" s="1"/>
  <c r="W37" i="4" s="1"/>
  <c r="V37" i="4" l="1"/>
  <c r="N37" i="4"/>
  <c r="T37" i="4" s="1"/>
  <c r="X37" i="4"/>
  <c r="E37" i="6"/>
  <c r="D37" i="6"/>
  <c r="M37" i="6"/>
  <c r="C37" i="6"/>
  <c r="R37" i="6"/>
  <c r="G37" i="6"/>
  <c r="Q37" i="6"/>
  <c r="Z36" i="6"/>
  <c r="V35" i="5"/>
  <c r="N35" i="5"/>
  <c r="K36" i="3"/>
  <c r="Z37" i="4"/>
  <c r="F37" i="6" l="1"/>
  <c r="H37" i="6"/>
  <c r="O37" i="6"/>
  <c r="I37" i="6"/>
  <c r="U37" i="6" s="1"/>
  <c r="P37" i="6"/>
  <c r="T35" i="5"/>
  <c r="X35" i="5"/>
  <c r="W36" i="3"/>
  <c r="X36" i="3"/>
  <c r="T36" i="3"/>
  <c r="E38" i="4"/>
  <c r="D38" i="4"/>
  <c r="Q38" i="4"/>
  <c r="G38" i="4"/>
  <c r="AA39" i="4" s="1"/>
  <c r="R38" i="4"/>
  <c r="M38" i="4"/>
  <c r="C38" i="4"/>
  <c r="AA38" i="6"/>
  <c r="P38" i="4" l="1"/>
  <c r="M36" i="5"/>
  <c r="D36" i="5"/>
  <c r="C36" i="5"/>
  <c r="R36" i="5"/>
  <c r="Q36" i="5"/>
  <c r="G36" i="5"/>
  <c r="AA37" i="5" s="1"/>
  <c r="E36" i="5"/>
  <c r="P36" i="5" s="1"/>
  <c r="Z35" i="5"/>
  <c r="F38" i="4"/>
  <c r="J37" i="6"/>
  <c r="C37" i="3"/>
  <c r="R37" i="3"/>
  <c r="G37" i="3"/>
  <c r="Q37" i="3"/>
  <c r="E37" i="3"/>
  <c r="P37" i="3" s="1"/>
  <c r="D37" i="3"/>
  <c r="Z36" i="3"/>
  <c r="L37" i="6"/>
  <c r="AA38" i="3" l="1"/>
  <c r="Y37" i="6"/>
  <c r="F36" i="5"/>
  <c r="F37" i="3"/>
  <c r="O38" i="4"/>
  <c r="K37" i="6"/>
  <c r="W37" i="6" s="1"/>
  <c r="V37" i="6"/>
  <c r="N37" i="6"/>
  <c r="H38" i="4"/>
  <c r="T37" i="6" l="1"/>
  <c r="Z37" i="6"/>
  <c r="X37" i="6"/>
  <c r="R38" i="6"/>
  <c r="Q38" i="6"/>
  <c r="G38" i="6"/>
  <c r="P38" i="6"/>
  <c r="E38" i="6"/>
  <c r="M38" i="6"/>
  <c r="D38" i="6"/>
  <c r="C38" i="6"/>
  <c r="O37" i="3"/>
  <c r="O36" i="5"/>
  <c r="H36" i="5"/>
  <c r="I36" i="5" s="1"/>
  <c r="U36" i="5" s="1"/>
  <c r="H37" i="3"/>
  <c r="I38" i="4"/>
  <c r="L36" i="5" l="1"/>
  <c r="F38" i="6"/>
  <c r="J36" i="5"/>
  <c r="K36" i="5" s="1"/>
  <c r="W36" i="5" s="1"/>
  <c r="L38" i="4"/>
  <c r="AA39" i="6"/>
  <c r="I37" i="3"/>
  <c r="U38" i="4"/>
  <c r="J38" i="4"/>
  <c r="K38" i="4" s="1"/>
  <c r="W38" i="4" s="1"/>
  <c r="O38" i="6" l="1"/>
  <c r="H38" i="6"/>
  <c r="U37" i="3"/>
  <c r="J37" i="3"/>
  <c r="L37" i="3"/>
  <c r="V36" i="5"/>
  <c r="N36" i="5"/>
  <c r="V38" i="4"/>
  <c r="N38" i="4"/>
  <c r="K37" i="3" l="1"/>
  <c r="W37" i="3" s="1"/>
  <c r="T36" i="5"/>
  <c r="X36" i="5"/>
  <c r="Z36" i="5"/>
  <c r="V37" i="3"/>
  <c r="N37" i="3"/>
  <c r="T37" i="3" s="1"/>
  <c r="T38" i="4"/>
  <c r="X38" i="4"/>
  <c r="I38" i="6"/>
  <c r="L38" i="6" s="1"/>
  <c r="R39" i="4" l="1"/>
  <c r="Q39" i="4"/>
  <c r="G39" i="4"/>
  <c r="AA40" i="4" s="1"/>
  <c r="E39" i="4"/>
  <c r="D39" i="4"/>
  <c r="C39" i="4"/>
  <c r="M39" i="4"/>
  <c r="V38" i="6"/>
  <c r="N38" i="6"/>
  <c r="D38" i="3"/>
  <c r="C38" i="3"/>
  <c r="Q38" i="3"/>
  <c r="E38" i="3"/>
  <c r="P38" i="3" s="1"/>
  <c r="G38" i="3"/>
  <c r="R38" i="3"/>
  <c r="M37" i="5"/>
  <c r="C37" i="5"/>
  <c r="F37" i="5" s="1"/>
  <c r="Q37" i="5"/>
  <c r="E37" i="5"/>
  <c r="D37" i="5"/>
  <c r="R37" i="5"/>
  <c r="G37" i="5"/>
  <c r="AA38" i="5" s="1"/>
  <c r="Z37" i="3"/>
  <c r="U38" i="6"/>
  <c r="J38" i="6"/>
  <c r="X37" i="3"/>
  <c r="Z38" i="4"/>
  <c r="P39" i="4" l="1"/>
  <c r="O37" i="5"/>
  <c r="P37" i="5"/>
  <c r="AA39" i="3"/>
  <c r="Y38" i="6"/>
  <c r="F39" i="4"/>
  <c r="H39" i="4" s="1"/>
  <c r="H37" i="5"/>
  <c r="K38" i="6"/>
  <c r="X38" i="6"/>
  <c r="F38" i="3"/>
  <c r="I39" i="4" l="1"/>
  <c r="U39" i="4" s="1"/>
  <c r="W38" i="6"/>
  <c r="T38" i="6"/>
  <c r="I37" i="5"/>
  <c r="O38" i="3"/>
  <c r="O39" i="4"/>
  <c r="H38" i="3"/>
  <c r="I38" i="3" l="1"/>
  <c r="U37" i="5"/>
  <c r="J37" i="5"/>
  <c r="K37" i="5" s="1"/>
  <c r="W37" i="5" s="1"/>
  <c r="L38" i="3"/>
  <c r="J39" i="4"/>
  <c r="L37" i="5"/>
  <c r="M39" i="6"/>
  <c r="G39" i="6"/>
  <c r="E39" i="6"/>
  <c r="P39" i="6" s="1"/>
  <c r="D39" i="6"/>
  <c r="C39" i="6"/>
  <c r="R39" i="6"/>
  <c r="Q39" i="6"/>
  <c r="Z38" i="6"/>
  <c r="L39" i="4"/>
  <c r="V39" i="4" l="1"/>
  <c r="N39" i="4"/>
  <c r="AA40" i="6"/>
  <c r="V37" i="5"/>
  <c r="N37" i="5"/>
  <c r="X37" i="5" s="1"/>
  <c r="K39" i="4"/>
  <c r="W39" i="4" s="1"/>
  <c r="V38" i="3"/>
  <c r="N38" i="3"/>
  <c r="U38" i="3"/>
  <c r="J38" i="3"/>
  <c r="F39" i="6"/>
  <c r="T39" i="4" l="1"/>
  <c r="Z39" i="4" s="1"/>
  <c r="H39" i="6"/>
  <c r="I39" i="6" s="1"/>
  <c r="O39" i="6"/>
  <c r="T37" i="5"/>
  <c r="Z37" i="5" s="1"/>
  <c r="M40" i="4"/>
  <c r="C40" i="4"/>
  <c r="G40" i="4"/>
  <c r="AA41" i="4" s="1"/>
  <c r="E40" i="4"/>
  <c r="P40" i="4" s="1"/>
  <c r="R40" i="4"/>
  <c r="Q40" i="4"/>
  <c r="D40" i="4"/>
  <c r="K38" i="3"/>
  <c r="X39" i="4"/>
  <c r="F40" i="4" l="1"/>
  <c r="U39" i="6"/>
  <c r="J39" i="6"/>
  <c r="K39" i="6" s="1"/>
  <c r="W39" i="6" s="1"/>
  <c r="H40" i="4"/>
  <c r="L39" i="6"/>
  <c r="W38" i="3"/>
  <c r="X38" i="3"/>
  <c r="T38" i="3"/>
  <c r="O40" i="4"/>
  <c r="M38" i="5"/>
  <c r="Q38" i="5"/>
  <c r="C38" i="5"/>
  <c r="R38" i="5"/>
  <c r="G38" i="5"/>
  <c r="AA39" i="5" s="1"/>
  <c r="E38" i="5"/>
  <c r="P38" i="5" s="1"/>
  <c r="D38" i="5"/>
  <c r="F38" i="5" l="1"/>
  <c r="O38" i="5"/>
  <c r="H38" i="5"/>
  <c r="I38" i="5"/>
  <c r="U38" i="5" s="1"/>
  <c r="R39" i="3"/>
  <c r="G39" i="3"/>
  <c r="Q39" i="3"/>
  <c r="E39" i="3"/>
  <c r="P39" i="3" s="1"/>
  <c r="D39" i="3"/>
  <c r="C39" i="3"/>
  <c r="Z38" i="3"/>
  <c r="I40" i="4"/>
  <c r="L40" i="4" s="1"/>
  <c r="V39" i="6"/>
  <c r="N39" i="6"/>
  <c r="F39" i="3" l="1"/>
  <c r="H39" i="3"/>
  <c r="I39" i="3" s="1"/>
  <c r="U39" i="3" s="1"/>
  <c r="T39" i="6"/>
  <c r="X39" i="6"/>
  <c r="L38" i="5"/>
  <c r="O39" i="3"/>
  <c r="J38" i="5"/>
  <c r="K38" i="5" s="1"/>
  <c r="W38" i="5" s="1"/>
  <c r="V40" i="4"/>
  <c r="N40" i="4"/>
  <c r="T40" i="4" s="1"/>
  <c r="AA40" i="3"/>
  <c r="Y39" i="6"/>
  <c r="U40" i="4"/>
  <c r="J40" i="4"/>
  <c r="K40" i="4" s="1"/>
  <c r="W40" i="4" s="1"/>
  <c r="V38" i="5" l="1"/>
  <c r="N38" i="5"/>
  <c r="T38" i="5" s="1"/>
  <c r="J39" i="3"/>
  <c r="Z38" i="5"/>
  <c r="Z40" i="4"/>
  <c r="D40" i="6"/>
  <c r="M40" i="6"/>
  <c r="C40" i="6"/>
  <c r="E40" i="6"/>
  <c r="R40" i="6"/>
  <c r="Q40" i="6"/>
  <c r="G40" i="6"/>
  <c r="Z39" i="6"/>
  <c r="E41" i="4"/>
  <c r="D41" i="4"/>
  <c r="M41" i="4"/>
  <c r="C41" i="4"/>
  <c r="R41" i="4"/>
  <c r="Q41" i="4"/>
  <c r="G41" i="4"/>
  <c r="AA42" i="4" s="1"/>
  <c r="X38" i="5"/>
  <c r="X40" i="4"/>
  <c r="L39" i="3"/>
  <c r="P40" i="6" l="1"/>
  <c r="P41" i="4"/>
  <c r="F40" i="6"/>
  <c r="O40" i="6" s="1"/>
  <c r="V39" i="3"/>
  <c r="N39" i="3"/>
  <c r="F41" i="4"/>
  <c r="H40" i="6"/>
  <c r="I40" i="6" s="1"/>
  <c r="U40" i="6" s="1"/>
  <c r="K39" i="3"/>
  <c r="R39" i="5"/>
  <c r="G39" i="5"/>
  <c r="AA40" i="5" s="1"/>
  <c r="Q39" i="5"/>
  <c r="E39" i="5"/>
  <c r="D39" i="5"/>
  <c r="C39" i="5"/>
  <c r="P39" i="5" s="1"/>
  <c r="M39" i="5"/>
  <c r="AA41" i="6"/>
  <c r="T39" i="3" l="1"/>
  <c r="F39" i="5"/>
  <c r="L40" i="6"/>
  <c r="J40" i="6"/>
  <c r="K40" i="6" s="1"/>
  <c r="W40" i="6" s="1"/>
  <c r="Q40" i="3"/>
  <c r="E40" i="3"/>
  <c r="D40" i="3"/>
  <c r="R40" i="3"/>
  <c r="G40" i="3"/>
  <c r="C40" i="3"/>
  <c r="W39" i="3"/>
  <c r="X39" i="3"/>
  <c r="O41" i="4"/>
  <c r="Z39" i="3"/>
  <c r="H41" i="4"/>
  <c r="F40" i="3" l="1"/>
  <c r="P40" i="3"/>
  <c r="H40" i="3"/>
  <c r="O40" i="3"/>
  <c r="O39" i="5"/>
  <c r="AA41" i="3"/>
  <c r="Y40" i="6"/>
  <c r="V40" i="6"/>
  <c r="N40" i="6"/>
  <c r="I40" i="3"/>
  <c r="U40" i="3" s="1"/>
  <c r="I41" i="4"/>
  <c r="L41" i="4" s="1"/>
  <c r="H39" i="5"/>
  <c r="V41" i="4" l="1"/>
  <c r="N41" i="4"/>
  <c r="J40" i="3"/>
  <c r="K40" i="3" s="1"/>
  <c r="W40" i="3" s="1"/>
  <c r="T40" i="6"/>
  <c r="Z40" i="6"/>
  <c r="X40" i="6"/>
  <c r="U41" i="4"/>
  <c r="J41" i="4"/>
  <c r="L40" i="3"/>
  <c r="I39" i="5"/>
  <c r="U39" i="5" l="1"/>
  <c r="J39" i="5"/>
  <c r="K39" i="5" s="1"/>
  <c r="W39" i="5" s="1"/>
  <c r="K41" i="4"/>
  <c r="W41" i="4" s="1"/>
  <c r="Q41" i="6"/>
  <c r="G41" i="6"/>
  <c r="E41" i="6"/>
  <c r="R41" i="6"/>
  <c r="D41" i="6"/>
  <c r="C41" i="6"/>
  <c r="M41" i="6"/>
  <c r="L39" i="5"/>
  <c r="V40" i="3"/>
  <c r="N40" i="3"/>
  <c r="T40" i="3" s="1"/>
  <c r="X41" i="4"/>
  <c r="P41" i="6" l="1"/>
  <c r="X40" i="3"/>
  <c r="E41" i="3"/>
  <c r="Q41" i="3"/>
  <c r="G41" i="3"/>
  <c r="AA42" i="3" s="1"/>
  <c r="C41" i="3"/>
  <c r="P41" i="3" s="1"/>
  <c r="D41" i="3"/>
  <c r="R41" i="3"/>
  <c r="AA42" i="6"/>
  <c r="V39" i="5"/>
  <c r="N39" i="5"/>
  <c r="T39" i="5" s="1"/>
  <c r="Z40" i="3"/>
  <c r="T41" i="4"/>
  <c r="F41" i="6"/>
  <c r="F41" i="3" l="1"/>
  <c r="Y41" i="6"/>
  <c r="C40" i="5"/>
  <c r="M40" i="5"/>
  <c r="D40" i="5"/>
  <c r="Q40" i="5"/>
  <c r="E40" i="5"/>
  <c r="F40" i="5" s="1"/>
  <c r="R40" i="5"/>
  <c r="G40" i="5"/>
  <c r="AA41" i="5" s="1"/>
  <c r="O41" i="6"/>
  <c r="Z39" i="5"/>
  <c r="R42" i="4"/>
  <c r="Q42" i="4"/>
  <c r="G42" i="4"/>
  <c r="AA43" i="4" s="1"/>
  <c r="D42" i="4"/>
  <c r="C42" i="4"/>
  <c r="E42" i="4"/>
  <c r="P42" i="4" s="1"/>
  <c r="M42" i="4"/>
  <c r="Z41" i="4"/>
  <c r="H41" i="6"/>
  <c r="O41" i="3"/>
  <c r="X39" i="5"/>
  <c r="H41" i="3"/>
  <c r="I41" i="6"/>
  <c r="U41" i="6" s="1"/>
  <c r="F42" i="4" l="1"/>
  <c r="H42" i="4"/>
  <c r="I42" i="4" s="1"/>
  <c r="P40" i="5"/>
  <c r="I41" i="3"/>
  <c r="L41" i="3" s="1"/>
  <c r="H40" i="5"/>
  <c r="I40" i="5" s="1"/>
  <c r="L41" i="6"/>
  <c r="O40" i="5"/>
  <c r="O42" i="4"/>
  <c r="J41" i="6"/>
  <c r="K41" i="6" s="1"/>
  <c r="W41" i="6" s="1"/>
  <c r="U42" i="4" l="1"/>
  <c r="J42" i="4"/>
  <c r="K42" i="4" s="1"/>
  <c r="W42" i="4" s="1"/>
  <c r="U40" i="5"/>
  <c r="J40" i="5"/>
  <c r="K40" i="5" s="1"/>
  <c r="W40" i="5" s="1"/>
  <c r="V41" i="3"/>
  <c r="N41" i="3"/>
  <c r="V41" i="6"/>
  <c r="N41" i="6"/>
  <c r="X41" i="6"/>
  <c r="L40" i="5"/>
  <c r="U41" i="3"/>
  <c r="J41" i="3"/>
  <c r="L42" i="4"/>
  <c r="T41" i="6" l="1"/>
  <c r="Z41" i="6"/>
  <c r="K41" i="3"/>
  <c r="W41" i="3" s="1"/>
  <c r="X41" i="3"/>
  <c r="V40" i="5"/>
  <c r="N40" i="5"/>
  <c r="T40" i="5" s="1"/>
  <c r="V42" i="4"/>
  <c r="N42" i="4"/>
  <c r="E41" i="5" l="1"/>
  <c r="R41" i="5"/>
  <c r="G41" i="5"/>
  <c r="AA42" i="5" s="1"/>
  <c r="C41" i="5"/>
  <c r="F41" i="5" s="1"/>
  <c r="Q41" i="5"/>
  <c r="D41" i="5"/>
  <c r="P41" i="5"/>
  <c r="M41" i="5"/>
  <c r="Z40" i="5"/>
  <c r="T42" i="4"/>
  <c r="X42" i="4"/>
  <c r="X40" i="5"/>
  <c r="Z42" i="4"/>
  <c r="T41" i="3"/>
  <c r="R42" i="6"/>
  <c r="M42" i="6"/>
  <c r="G42" i="6"/>
  <c r="Q42" i="6"/>
  <c r="E42" i="6"/>
  <c r="P42" i="6" s="1"/>
  <c r="D42" i="6"/>
  <c r="C42" i="6"/>
  <c r="G43" i="4" l="1"/>
  <c r="AA44" i="4" s="1"/>
  <c r="E43" i="4"/>
  <c r="R43" i="4"/>
  <c r="D43" i="4"/>
  <c r="Q43" i="4"/>
  <c r="C43" i="4"/>
  <c r="P43" i="4"/>
  <c r="M43" i="4"/>
  <c r="AA43" i="6"/>
  <c r="R42" i="3"/>
  <c r="Q42" i="3"/>
  <c r="C42" i="3"/>
  <c r="E42" i="3"/>
  <c r="D42" i="3"/>
  <c r="G42" i="3"/>
  <c r="AA43" i="3" s="1"/>
  <c r="Z41" i="3"/>
  <c r="F42" i="6"/>
  <c r="H41" i="5"/>
  <c r="O41" i="5"/>
  <c r="P42" i="3" l="1"/>
  <c r="F43" i="4"/>
  <c r="H43" i="4"/>
  <c r="F42" i="3"/>
  <c r="H42" i="3"/>
  <c r="I41" i="5"/>
  <c r="O42" i="6"/>
  <c r="H42" i="6"/>
  <c r="Y42" i="6"/>
  <c r="U41" i="5" l="1"/>
  <c r="J41" i="5"/>
  <c r="K41" i="5" s="1"/>
  <c r="W41" i="5" s="1"/>
  <c r="L41" i="5"/>
  <c r="I42" i="6"/>
  <c r="O43" i="4"/>
  <c r="I43" i="4"/>
  <c r="L43" i="4" s="1"/>
  <c r="O42" i="3"/>
  <c r="I42" i="3"/>
  <c r="U42" i="3" s="1"/>
  <c r="J43" i="4" l="1"/>
  <c r="K43" i="4" s="1"/>
  <c r="W43" i="4" s="1"/>
  <c r="J42" i="3"/>
  <c r="K42" i="3" s="1"/>
  <c r="W42" i="3" s="1"/>
  <c r="U42" i="6"/>
  <c r="J42" i="6"/>
  <c r="V43" i="4"/>
  <c r="N43" i="4"/>
  <c r="T43" i="4" s="1"/>
  <c r="L42" i="3"/>
  <c r="V41" i="5"/>
  <c r="N41" i="5"/>
  <c r="T41" i="5" s="1"/>
  <c r="L42" i="6"/>
  <c r="U43" i="4"/>
  <c r="V42" i="3" l="1"/>
  <c r="N42" i="3"/>
  <c r="K42" i="6"/>
  <c r="Z41" i="5"/>
  <c r="Z43" i="4"/>
  <c r="V42" i="6"/>
  <c r="N42" i="6"/>
  <c r="T42" i="6" s="1"/>
  <c r="X43" i="4"/>
  <c r="D44" i="4"/>
  <c r="M44" i="4"/>
  <c r="C44" i="4"/>
  <c r="E44" i="4"/>
  <c r="P44" i="4"/>
  <c r="Q44" i="4"/>
  <c r="R44" i="4"/>
  <c r="G44" i="4"/>
  <c r="AA45" i="4" s="1"/>
  <c r="F44" i="4"/>
  <c r="O44" i="4" s="1"/>
  <c r="R42" i="5"/>
  <c r="C42" i="5"/>
  <c r="M42" i="5"/>
  <c r="D42" i="5"/>
  <c r="G42" i="5"/>
  <c r="AA43" i="5" s="1"/>
  <c r="Q42" i="5"/>
  <c r="E42" i="5"/>
  <c r="X41" i="5"/>
  <c r="X42" i="6" l="1"/>
  <c r="W42" i="6"/>
  <c r="Z42" i="6"/>
  <c r="F42" i="5"/>
  <c r="T42" i="3"/>
  <c r="X42" i="3"/>
  <c r="Z42" i="3"/>
  <c r="M43" i="6"/>
  <c r="C43" i="6"/>
  <c r="F43" i="6" s="1"/>
  <c r="D43" i="6"/>
  <c r="R43" i="6"/>
  <c r="Q43" i="6"/>
  <c r="E43" i="6"/>
  <c r="G43" i="6"/>
  <c r="P42" i="5"/>
  <c r="H44" i="4"/>
  <c r="I44" i="4" s="1"/>
  <c r="P43" i="6" l="1"/>
  <c r="U44" i="4"/>
  <c r="J44" i="4"/>
  <c r="K44" i="4" s="1"/>
  <c r="W44" i="4" s="1"/>
  <c r="H42" i="5"/>
  <c r="O42" i="5"/>
  <c r="I42" i="5"/>
  <c r="U42" i="5" s="1"/>
  <c r="Y43" i="6"/>
  <c r="AA44" i="6"/>
  <c r="O43" i="6"/>
  <c r="H43" i="6"/>
  <c r="L44" i="4"/>
  <c r="Q43" i="3"/>
  <c r="G43" i="3"/>
  <c r="AA44" i="3" s="1"/>
  <c r="D43" i="3"/>
  <c r="E43" i="3"/>
  <c r="R43" i="3"/>
  <c r="C43" i="3"/>
  <c r="F43" i="3" s="1"/>
  <c r="O43" i="3" s="1"/>
  <c r="P43" i="3" l="1"/>
  <c r="I43" i="6"/>
  <c r="J42" i="5"/>
  <c r="K42" i="5" s="1"/>
  <c r="W42" i="5" s="1"/>
  <c r="H43" i="3"/>
  <c r="V44" i="4"/>
  <c r="N44" i="4"/>
  <c r="T44" i="4" s="1"/>
  <c r="L42" i="5"/>
  <c r="Z44" i="4" l="1"/>
  <c r="X44" i="4"/>
  <c r="U43" i="6"/>
  <c r="J43" i="6"/>
  <c r="L43" i="3"/>
  <c r="Q45" i="4"/>
  <c r="G45" i="4"/>
  <c r="AA46" i="4" s="1"/>
  <c r="E45" i="4"/>
  <c r="P45" i="4" s="1"/>
  <c r="R45" i="4"/>
  <c r="M45" i="4"/>
  <c r="C45" i="4"/>
  <c r="D45" i="4"/>
  <c r="I43" i="3"/>
  <c r="V42" i="5"/>
  <c r="N42" i="5"/>
  <c r="L43" i="6"/>
  <c r="F45" i="4" l="1"/>
  <c r="O45" i="4"/>
  <c r="T42" i="5"/>
  <c r="Z42" i="5" s="1"/>
  <c r="X42" i="5"/>
  <c r="V43" i="3"/>
  <c r="N43" i="3"/>
  <c r="X43" i="3" s="1"/>
  <c r="K43" i="6"/>
  <c r="V43" i="6"/>
  <c r="N43" i="6"/>
  <c r="T43" i="6" s="1"/>
  <c r="U43" i="3"/>
  <c r="J43" i="3"/>
  <c r="K43" i="3" s="1"/>
  <c r="W43" i="3" s="1"/>
  <c r="H45" i="4"/>
  <c r="R43" i="5" l="1"/>
  <c r="G43" i="5"/>
  <c r="AA44" i="5" s="1"/>
  <c r="Q43" i="5"/>
  <c r="M43" i="5"/>
  <c r="E43" i="5"/>
  <c r="D43" i="5"/>
  <c r="C43" i="5"/>
  <c r="E44" i="6"/>
  <c r="D44" i="6"/>
  <c r="Q44" i="6"/>
  <c r="G44" i="6"/>
  <c r="C44" i="6"/>
  <c r="R44" i="6"/>
  <c r="M44" i="6"/>
  <c r="W43" i="6"/>
  <c r="Z43" i="6"/>
  <c r="I45" i="4"/>
  <c r="X43" i="6"/>
  <c r="T43" i="3"/>
  <c r="Z43" i="3" s="1"/>
  <c r="P43" i="5" l="1"/>
  <c r="P44" i="6"/>
  <c r="U45" i="4"/>
  <c r="J45" i="4"/>
  <c r="K45" i="4" s="1"/>
  <c r="W45" i="4" s="1"/>
  <c r="H44" i="6"/>
  <c r="D44" i="3"/>
  <c r="R44" i="3"/>
  <c r="G44" i="3"/>
  <c r="AA45" i="3" s="1"/>
  <c r="Q44" i="3"/>
  <c r="E44" i="3"/>
  <c r="P44" i="3" s="1"/>
  <c r="C44" i="3"/>
  <c r="F44" i="3" s="1"/>
  <c r="AA45" i="6"/>
  <c r="F43" i="5"/>
  <c r="H43" i="5" s="1"/>
  <c r="F44" i="6"/>
  <c r="L45" i="4"/>
  <c r="I43" i="5" l="1"/>
  <c r="U43" i="5" s="1"/>
  <c r="L43" i="5"/>
  <c r="O44" i="6"/>
  <c r="I44" i="6"/>
  <c r="U44" i="6" s="1"/>
  <c r="O43" i="5"/>
  <c r="J43" i="5"/>
  <c r="K43" i="5" s="1"/>
  <c r="W43" i="5" s="1"/>
  <c r="V45" i="4"/>
  <c r="N45" i="4"/>
  <c r="T45" i="4" s="1"/>
  <c r="H44" i="3"/>
  <c r="Y44" i="6"/>
  <c r="O44" i="3"/>
  <c r="R46" i="4" l="1"/>
  <c r="E46" i="4"/>
  <c r="D46" i="4"/>
  <c r="Q46" i="4"/>
  <c r="C46" i="4"/>
  <c r="M46" i="4"/>
  <c r="G46" i="4"/>
  <c r="AA47" i="4" s="1"/>
  <c r="L44" i="6"/>
  <c r="X45" i="4"/>
  <c r="V43" i="5"/>
  <c r="N43" i="5"/>
  <c r="Z45" i="4"/>
  <c r="J44" i="6"/>
  <c r="I44" i="3"/>
  <c r="L44" i="3" s="1"/>
  <c r="P46" i="4" l="1"/>
  <c r="V44" i="3"/>
  <c r="N44" i="3"/>
  <c r="V44" i="6"/>
  <c r="N44" i="6"/>
  <c r="K44" i="6"/>
  <c r="W44" i="6" s="1"/>
  <c r="T43" i="5"/>
  <c r="Z43" i="5"/>
  <c r="X43" i="5"/>
  <c r="U44" i="3"/>
  <c r="J44" i="3"/>
  <c r="K44" i="3" s="1"/>
  <c r="W44" i="3" s="1"/>
  <c r="F46" i="4"/>
  <c r="D44" i="5" l="1"/>
  <c r="C44" i="5"/>
  <c r="M44" i="5"/>
  <c r="E44" i="5"/>
  <c r="P44" i="5" s="1"/>
  <c r="G44" i="5"/>
  <c r="AA45" i="5" s="1"/>
  <c r="R44" i="5"/>
  <c r="Q44" i="5"/>
  <c r="X44" i="6"/>
  <c r="Z44" i="6"/>
  <c r="T44" i="6"/>
  <c r="O46" i="4"/>
  <c r="H46" i="4"/>
  <c r="I46" i="4" s="1"/>
  <c r="U46" i="4" s="1"/>
  <c r="X44" i="3"/>
  <c r="T44" i="3"/>
  <c r="Q45" i="3" l="1"/>
  <c r="G45" i="3"/>
  <c r="AA46" i="3" s="1"/>
  <c r="C45" i="3"/>
  <c r="E45" i="3"/>
  <c r="R45" i="3"/>
  <c r="D45" i="3"/>
  <c r="F45" i="3"/>
  <c r="O45" i="3" s="1"/>
  <c r="J46" i="4"/>
  <c r="K46" i="4" s="1"/>
  <c r="W46" i="4" s="1"/>
  <c r="L46" i="4"/>
  <c r="F44" i="5"/>
  <c r="Z44" i="3"/>
  <c r="R45" i="6"/>
  <c r="Q45" i="6"/>
  <c r="G45" i="6"/>
  <c r="M45" i="6"/>
  <c r="E45" i="6"/>
  <c r="D45" i="6"/>
  <c r="C45" i="6"/>
  <c r="P45" i="6" l="1"/>
  <c r="H45" i="3"/>
  <c r="I45" i="3"/>
  <c r="O44" i="5"/>
  <c r="H44" i="5"/>
  <c r="V46" i="4"/>
  <c r="N46" i="4"/>
  <c r="T46" i="4" s="1"/>
  <c r="Y45" i="6"/>
  <c r="AA46" i="6"/>
  <c r="F45" i="6"/>
  <c r="X46" i="4"/>
  <c r="P45" i="3"/>
  <c r="Z46" i="4" l="1"/>
  <c r="I44" i="5"/>
  <c r="O45" i="6"/>
  <c r="H45" i="6"/>
  <c r="I45" i="6"/>
  <c r="U45" i="6" s="1"/>
  <c r="J45" i="6"/>
  <c r="K45" i="6" s="1"/>
  <c r="W45" i="6" s="1"/>
  <c r="U45" i="3"/>
  <c r="J45" i="3"/>
  <c r="M47" i="4"/>
  <c r="C47" i="4"/>
  <c r="P47" i="4" s="1"/>
  <c r="D47" i="4"/>
  <c r="G47" i="4"/>
  <c r="AA48" i="4" s="1"/>
  <c r="E47" i="4"/>
  <c r="R47" i="4"/>
  <c r="Q47" i="4"/>
  <c r="L45" i="3"/>
  <c r="K45" i="3" l="1"/>
  <c r="L45" i="6"/>
  <c r="F47" i="4"/>
  <c r="U44" i="5"/>
  <c r="J44" i="5"/>
  <c r="V45" i="3"/>
  <c r="N45" i="3"/>
  <c r="T45" i="3" s="1"/>
  <c r="L44" i="5"/>
  <c r="Z45" i="3" l="1"/>
  <c r="R46" i="3"/>
  <c r="G46" i="3"/>
  <c r="AA47" i="3" s="1"/>
  <c r="Q46" i="3"/>
  <c r="E46" i="3"/>
  <c r="D46" i="3"/>
  <c r="C46" i="3"/>
  <c r="K44" i="5"/>
  <c r="W44" i="5" s="1"/>
  <c r="V45" i="6"/>
  <c r="N45" i="6"/>
  <c r="T45" i="6" s="1"/>
  <c r="O47" i="4"/>
  <c r="W45" i="3"/>
  <c r="X45" i="3"/>
  <c r="V44" i="5"/>
  <c r="N44" i="5"/>
  <c r="H47" i="4"/>
  <c r="I47" i="4" s="1"/>
  <c r="U47" i="4" s="1"/>
  <c r="T44" i="5" l="1"/>
  <c r="X45" i="6"/>
  <c r="P46" i="3"/>
  <c r="Z45" i="6"/>
  <c r="X44" i="5"/>
  <c r="F46" i="3"/>
  <c r="H46" i="3" s="1"/>
  <c r="J47" i="4"/>
  <c r="K47" i="4" s="1"/>
  <c r="W47" i="4" s="1"/>
  <c r="Q45" i="5"/>
  <c r="G45" i="5"/>
  <c r="AA46" i="5" s="1"/>
  <c r="M45" i="5"/>
  <c r="R45" i="5"/>
  <c r="E45" i="5"/>
  <c r="D45" i="5"/>
  <c r="C45" i="5"/>
  <c r="F45" i="5" s="1"/>
  <c r="Z44" i="5"/>
  <c r="L47" i="4"/>
  <c r="M46" i="6"/>
  <c r="C46" i="6"/>
  <c r="P46" i="6" s="1"/>
  <c r="R46" i="6"/>
  <c r="D46" i="6"/>
  <c r="Q46" i="6"/>
  <c r="E46" i="6"/>
  <c r="G46" i="6"/>
  <c r="P45" i="5" l="1"/>
  <c r="F46" i="6"/>
  <c r="O46" i="6"/>
  <c r="H45" i="5"/>
  <c r="V47" i="4"/>
  <c r="N47" i="4"/>
  <c r="X47" i="4" s="1"/>
  <c r="O46" i="3"/>
  <c r="I46" i="3"/>
  <c r="U46" i="3" s="1"/>
  <c r="Y46" i="6"/>
  <c r="AA47" i="6"/>
  <c r="H46" i="6"/>
  <c r="O45" i="5"/>
  <c r="I46" i="6" l="1"/>
  <c r="T47" i="4"/>
  <c r="L46" i="3"/>
  <c r="J46" i="3"/>
  <c r="I45" i="5"/>
  <c r="U45" i="5" l="1"/>
  <c r="J45" i="5"/>
  <c r="K45" i="5" s="1"/>
  <c r="W45" i="5" s="1"/>
  <c r="K46" i="3"/>
  <c r="W46" i="3" s="1"/>
  <c r="E48" i="4"/>
  <c r="D48" i="4"/>
  <c r="Q48" i="4"/>
  <c r="G48" i="4"/>
  <c r="AA49" i="4" s="1"/>
  <c r="R48" i="4"/>
  <c r="M48" i="4"/>
  <c r="C48" i="4"/>
  <c r="V46" i="3"/>
  <c r="N46" i="3"/>
  <c r="Z47" i="4"/>
  <c r="U46" i="6"/>
  <c r="J46" i="6"/>
  <c r="K46" i="6" s="1"/>
  <c r="W46" i="6" s="1"/>
  <c r="L46" i="6"/>
  <c r="L45" i="5"/>
  <c r="P48" i="4" l="1"/>
  <c r="T46" i="3"/>
  <c r="Z46" i="3" s="1"/>
  <c r="F48" i="4"/>
  <c r="O48" i="4" s="1"/>
  <c r="X46" i="3"/>
  <c r="V45" i="5"/>
  <c r="N45" i="5"/>
  <c r="T45" i="5" s="1"/>
  <c r="H48" i="4"/>
  <c r="V46" i="6"/>
  <c r="N46" i="6"/>
  <c r="X46" i="6"/>
  <c r="D47" i="3" l="1"/>
  <c r="C47" i="3"/>
  <c r="R47" i="3"/>
  <c r="Q47" i="3"/>
  <c r="G47" i="3"/>
  <c r="AA48" i="3" s="1"/>
  <c r="E47" i="3"/>
  <c r="F47" i="3" s="1"/>
  <c r="H47" i="3" s="1"/>
  <c r="O47" i="3"/>
  <c r="E46" i="5"/>
  <c r="D46" i="5"/>
  <c r="C46" i="5"/>
  <c r="Q46" i="5"/>
  <c r="G46" i="5"/>
  <c r="AA47" i="5" s="1"/>
  <c r="R46" i="5"/>
  <c r="M46" i="5"/>
  <c r="P47" i="3"/>
  <c r="Z45" i="5"/>
  <c r="T46" i="6"/>
  <c r="Z46" i="6" s="1"/>
  <c r="X45" i="5"/>
  <c r="I48" i="4"/>
  <c r="L48" i="4" s="1"/>
  <c r="F46" i="5" l="1"/>
  <c r="O46" i="5" s="1"/>
  <c r="H46" i="5"/>
  <c r="I46" i="5" s="1"/>
  <c r="U46" i="5" s="1"/>
  <c r="P46" i="5"/>
  <c r="V48" i="4"/>
  <c r="N48" i="4"/>
  <c r="I47" i="3"/>
  <c r="L47" i="3" s="1"/>
  <c r="U48" i="4"/>
  <c r="J48" i="4"/>
  <c r="E47" i="6"/>
  <c r="D47" i="6"/>
  <c r="M47" i="6"/>
  <c r="C47" i="6"/>
  <c r="G47" i="6"/>
  <c r="R47" i="6"/>
  <c r="Q47" i="6"/>
  <c r="P47" i="6" l="1"/>
  <c r="L46" i="5"/>
  <c r="Y47" i="6"/>
  <c r="AA48" i="6"/>
  <c r="K48" i="4"/>
  <c r="W48" i="4" s="1"/>
  <c r="X48" i="4"/>
  <c r="J46" i="5"/>
  <c r="K46" i="5" s="1"/>
  <c r="W46" i="5" s="1"/>
  <c r="F47" i="6"/>
  <c r="H47" i="6" s="1"/>
  <c r="I47" i="6" s="1"/>
  <c r="U47" i="6" s="1"/>
  <c r="U47" i="3"/>
  <c r="J47" i="3"/>
  <c r="V47" i="3"/>
  <c r="N47" i="3"/>
  <c r="T48" i="4" l="1"/>
  <c r="R49" i="4" s="1"/>
  <c r="Q49" i="4"/>
  <c r="G49" i="4"/>
  <c r="AA50" i="4" s="1"/>
  <c r="D49" i="4"/>
  <c r="C49" i="4"/>
  <c r="E49" i="4"/>
  <c r="P49" i="4" s="1"/>
  <c r="M49" i="4"/>
  <c r="Z48" i="4"/>
  <c r="V46" i="5"/>
  <c r="N46" i="5"/>
  <c r="T46" i="5" s="1"/>
  <c r="K47" i="3"/>
  <c r="W47" i="3" s="1"/>
  <c r="X47" i="3"/>
  <c r="J47" i="6"/>
  <c r="K47" i="6" s="1"/>
  <c r="W47" i="6" s="1"/>
  <c r="O47" i="6"/>
  <c r="T47" i="3"/>
  <c r="L47" i="6"/>
  <c r="X46" i="5"/>
  <c r="F49" i="4" l="1"/>
  <c r="M47" i="5"/>
  <c r="C47" i="5"/>
  <c r="R47" i="5"/>
  <c r="Q47" i="5"/>
  <c r="G47" i="5"/>
  <c r="AA48" i="5" s="1"/>
  <c r="E47" i="5"/>
  <c r="P47" i="5" s="1"/>
  <c r="D47" i="5"/>
  <c r="V47" i="6"/>
  <c r="N47" i="6"/>
  <c r="X47" i="6" s="1"/>
  <c r="E48" i="3"/>
  <c r="G48" i="3"/>
  <c r="AA49" i="3" s="1"/>
  <c r="R48" i="3"/>
  <c r="Q48" i="3"/>
  <c r="C48" i="3"/>
  <c r="D48" i="3"/>
  <c r="Z47" i="3"/>
  <c r="H49" i="4"/>
  <c r="Z46" i="5"/>
  <c r="O49" i="4"/>
  <c r="F47" i="5" l="1"/>
  <c r="O47" i="5" s="1"/>
  <c r="P48" i="3"/>
  <c r="T47" i="6"/>
  <c r="Z47" i="6" s="1"/>
  <c r="F48" i="3"/>
  <c r="H47" i="5"/>
  <c r="I49" i="4"/>
  <c r="R48" i="6" l="1"/>
  <c r="Q48" i="6"/>
  <c r="G48" i="6"/>
  <c r="M48" i="6"/>
  <c r="D48" i="6"/>
  <c r="C48" i="6"/>
  <c r="E48" i="6"/>
  <c r="P48" i="6" s="1"/>
  <c r="O48" i="3"/>
  <c r="U49" i="4"/>
  <c r="J49" i="4"/>
  <c r="K49" i="4" s="1"/>
  <c r="W49" i="4" s="1"/>
  <c r="I47" i="5"/>
  <c r="H48" i="3"/>
  <c r="L49" i="4"/>
  <c r="I48" i="3" l="1"/>
  <c r="V49" i="4"/>
  <c r="N49" i="4"/>
  <c r="T49" i="4" s="1"/>
  <c r="L48" i="3"/>
  <c r="F48" i="6"/>
  <c r="U47" i="5"/>
  <c r="J47" i="5"/>
  <c r="K47" i="5" s="1"/>
  <c r="W47" i="5" s="1"/>
  <c r="L47" i="5"/>
  <c r="Y48" i="6"/>
  <c r="AA49" i="6"/>
  <c r="Z49" i="4" l="1"/>
  <c r="O48" i="6"/>
  <c r="V48" i="3"/>
  <c r="N48" i="3"/>
  <c r="H48" i="6"/>
  <c r="I48" i="6" s="1"/>
  <c r="U48" i="6" s="1"/>
  <c r="M50" i="4"/>
  <c r="C50" i="4"/>
  <c r="G50" i="4"/>
  <c r="AA51" i="4" s="1"/>
  <c r="E50" i="4"/>
  <c r="P50" i="4" s="1"/>
  <c r="R50" i="4"/>
  <c r="D50" i="4"/>
  <c r="Q50" i="4"/>
  <c r="X49" i="4"/>
  <c r="V47" i="5"/>
  <c r="N47" i="5"/>
  <c r="U48" i="3"/>
  <c r="J48" i="3"/>
  <c r="F50" i="4" l="1"/>
  <c r="L48" i="6"/>
  <c r="J48" i="6"/>
  <c r="K48" i="6" s="1"/>
  <c r="W48" i="6" s="1"/>
  <c r="K48" i="3"/>
  <c r="W48" i="3" s="1"/>
  <c r="T47" i="5"/>
  <c r="Z47" i="5"/>
  <c r="X47" i="5"/>
  <c r="X48" i="3" l="1"/>
  <c r="O50" i="4"/>
  <c r="T48" i="3"/>
  <c r="V48" i="6"/>
  <c r="N48" i="6"/>
  <c r="T48" i="6" s="1"/>
  <c r="R48" i="5"/>
  <c r="G48" i="5"/>
  <c r="AA49" i="5" s="1"/>
  <c r="Q48" i="5"/>
  <c r="E48" i="5"/>
  <c r="P48" i="5" s="1"/>
  <c r="D48" i="5"/>
  <c r="C48" i="5"/>
  <c r="M48" i="5"/>
  <c r="H50" i="4"/>
  <c r="I50" i="4" s="1"/>
  <c r="U50" i="4" l="1"/>
  <c r="J50" i="4"/>
  <c r="K50" i="4" s="1"/>
  <c r="W50" i="4" s="1"/>
  <c r="Q49" i="6"/>
  <c r="C49" i="6"/>
  <c r="R49" i="6"/>
  <c r="D49" i="6"/>
  <c r="E49" i="6"/>
  <c r="F49" i="6" s="1"/>
  <c r="M49" i="6"/>
  <c r="G49" i="6"/>
  <c r="D49" i="3"/>
  <c r="C49" i="3"/>
  <c r="E49" i="3"/>
  <c r="P49" i="3" s="1"/>
  <c r="G49" i="3"/>
  <c r="AA50" i="3" s="1"/>
  <c r="Q49" i="3"/>
  <c r="R49" i="3"/>
  <c r="Z48" i="3"/>
  <c r="F48" i="5"/>
  <c r="X48" i="6"/>
  <c r="L50" i="4"/>
  <c r="Z48" i="6"/>
  <c r="O49" i="6" l="1"/>
  <c r="Y49" i="6"/>
  <c r="AA50" i="6"/>
  <c r="H49" i="6"/>
  <c r="I49" i="6" s="1"/>
  <c r="U49" i="6" s="1"/>
  <c r="V50" i="4"/>
  <c r="N50" i="4"/>
  <c r="P49" i="6"/>
  <c r="J48" i="5"/>
  <c r="K48" i="5" s="1"/>
  <c r="W48" i="5" s="1"/>
  <c r="O48" i="5"/>
  <c r="F49" i="3"/>
  <c r="H48" i="5"/>
  <c r="I48" i="5"/>
  <c r="U48" i="5" s="1"/>
  <c r="H49" i="3" l="1"/>
  <c r="I49" i="3" s="1"/>
  <c r="L49" i="6"/>
  <c r="L48" i="5"/>
  <c r="O49" i="3"/>
  <c r="J49" i="6"/>
  <c r="K49" i="6" s="1"/>
  <c r="W49" i="6" s="1"/>
  <c r="T50" i="4"/>
  <c r="Z50" i="4" s="1"/>
  <c r="X50" i="4"/>
  <c r="U49" i="3" l="1"/>
  <c r="L49" i="3"/>
  <c r="J49" i="3"/>
  <c r="K49" i="3" s="1"/>
  <c r="W49" i="3" s="1"/>
  <c r="V48" i="5"/>
  <c r="N48" i="5"/>
  <c r="V49" i="3"/>
  <c r="N49" i="3"/>
  <c r="T49" i="3" s="1"/>
  <c r="E51" i="4"/>
  <c r="P51" i="4" s="1"/>
  <c r="D51" i="4"/>
  <c r="M51" i="4"/>
  <c r="C51" i="4"/>
  <c r="Q51" i="4"/>
  <c r="R51" i="4"/>
  <c r="G51" i="4"/>
  <c r="AA52" i="4" s="1"/>
  <c r="V49" i="6"/>
  <c r="N49" i="6"/>
  <c r="T49" i="6" l="1"/>
  <c r="X49" i="6"/>
  <c r="X49" i="3"/>
  <c r="R50" i="3"/>
  <c r="G50" i="3"/>
  <c r="AA51" i="3" s="1"/>
  <c r="E50" i="3"/>
  <c r="D50" i="3"/>
  <c r="C50" i="3"/>
  <c r="P50" i="3" s="1"/>
  <c r="Q50" i="3"/>
  <c r="F51" i="4"/>
  <c r="T48" i="5"/>
  <c r="Z48" i="5"/>
  <c r="X48" i="5"/>
  <c r="Z49" i="3"/>
  <c r="D50" i="6" l="1"/>
  <c r="M50" i="6"/>
  <c r="C50" i="6"/>
  <c r="E50" i="6"/>
  <c r="P50" i="6" s="1"/>
  <c r="G50" i="6"/>
  <c r="R50" i="6"/>
  <c r="Q50" i="6"/>
  <c r="Z49" i="6"/>
  <c r="M49" i="5"/>
  <c r="C49" i="5"/>
  <c r="G49" i="5"/>
  <c r="AA50" i="5" s="1"/>
  <c r="R49" i="5"/>
  <c r="Q49" i="5"/>
  <c r="E49" i="5"/>
  <c r="D49" i="5"/>
  <c r="O51" i="4"/>
  <c r="F50" i="3"/>
  <c r="H50" i="3"/>
  <c r="H51" i="4"/>
  <c r="P49" i="5" l="1"/>
  <c r="F50" i="6"/>
  <c r="F49" i="5"/>
  <c r="O50" i="3"/>
  <c r="I51" i="4"/>
  <c r="Y50" i="6"/>
  <c r="AA51" i="6"/>
  <c r="I50" i="3"/>
  <c r="U50" i="3" s="1"/>
  <c r="O50" i="6" l="1"/>
  <c r="U51" i="4"/>
  <c r="J51" i="4"/>
  <c r="K51" i="4" s="1"/>
  <c r="W51" i="4" s="1"/>
  <c r="J50" i="3"/>
  <c r="K50" i="3" s="1"/>
  <c r="W50" i="3" s="1"/>
  <c r="H50" i="6"/>
  <c r="I50" i="6" s="1"/>
  <c r="L51" i="4"/>
  <c r="L50" i="3"/>
  <c r="O49" i="5"/>
  <c r="H49" i="5"/>
  <c r="I49" i="5"/>
  <c r="U49" i="5" s="1"/>
  <c r="U50" i="6" l="1"/>
  <c r="J50" i="6"/>
  <c r="K50" i="6" s="1"/>
  <c r="W50" i="6" s="1"/>
  <c r="V50" i="3"/>
  <c r="N50" i="3"/>
  <c r="V51" i="4"/>
  <c r="N51" i="4"/>
  <c r="T51" i="4" s="1"/>
  <c r="L49" i="5"/>
  <c r="J49" i="5"/>
  <c r="K49" i="5" s="1"/>
  <c r="W49" i="5" s="1"/>
  <c r="L50" i="6"/>
  <c r="Z51" i="4"/>
  <c r="V49" i="5" l="1"/>
  <c r="N49" i="5"/>
  <c r="T49" i="5" s="1"/>
  <c r="R52" i="4"/>
  <c r="Q52" i="4"/>
  <c r="G52" i="4"/>
  <c r="AA53" i="4" s="1"/>
  <c r="C52" i="4"/>
  <c r="M52" i="4"/>
  <c r="D52" i="4"/>
  <c r="E52" i="4"/>
  <c r="F52" i="4" s="1"/>
  <c r="T50" i="3"/>
  <c r="Z50" i="3" s="1"/>
  <c r="X50" i="3"/>
  <c r="V50" i="6"/>
  <c r="N50" i="6"/>
  <c r="X51" i="4"/>
  <c r="X49" i="5"/>
  <c r="P52" i="4" l="1"/>
  <c r="O52" i="4"/>
  <c r="H52" i="4"/>
  <c r="I52" i="4" s="1"/>
  <c r="T50" i="6"/>
  <c r="Z50" i="6" s="1"/>
  <c r="X50" i="6"/>
  <c r="R50" i="5"/>
  <c r="G50" i="5"/>
  <c r="AA51" i="5" s="1"/>
  <c r="Q50" i="5"/>
  <c r="C50" i="5"/>
  <c r="M50" i="5"/>
  <c r="E50" i="5"/>
  <c r="D50" i="5"/>
  <c r="E51" i="3"/>
  <c r="Q51" i="3"/>
  <c r="D51" i="3"/>
  <c r="C51" i="3"/>
  <c r="R51" i="3"/>
  <c r="G51" i="3"/>
  <c r="AA52" i="3" s="1"/>
  <c r="Z49" i="5"/>
  <c r="F51" i="3" l="1"/>
  <c r="P50" i="5"/>
  <c r="U52" i="4"/>
  <c r="J52" i="4"/>
  <c r="K52" i="4" s="1"/>
  <c r="W52" i="4" s="1"/>
  <c r="H51" i="3"/>
  <c r="O51" i="3"/>
  <c r="P51" i="3"/>
  <c r="Q51" i="6"/>
  <c r="G51" i="6"/>
  <c r="E51" i="6"/>
  <c r="P51" i="6" s="1"/>
  <c r="R51" i="6"/>
  <c r="M51" i="6"/>
  <c r="D51" i="6"/>
  <c r="C51" i="6"/>
  <c r="L52" i="4"/>
  <c r="F50" i="5"/>
  <c r="H50" i="5" l="1"/>
  <c r="O50" i="5"/>
  <c r="I51" i="3"/>
  <c r="V52" i="4"/>
  <c r="N52" i="4"/>
  <c r="T52" i="4" s="1"/>
  <c r="F51" i="6"/>
  <c r="AA52" i="6"/>
  <c r="Y51" i="6"/>
  <c r="U51" i="3" l="1"/>
  <c r="J51" i="3"/>
  <c r="K51" i="3" s="1"/>
  <c r="W51" i="3" s="1"/>
  <c r="O51" i="6"/>
  <c r="H51" i="6"/>
  <c r="E53" i="4"/>
  <c r="R53" i="4"/>
  <c r="D53" i="4"/>
  <c r="Q53" i="4"/>
  <c r="C53" i="4"/>
  <c r="G53" i="4"/>
  <c r="AA54" i="4" s="1"/>
  <c r="M53" i="4"/>
  <c r="X52" i="4"/>
  <c r="I50" i="5"/>
  <c r="Z52" i="4"/>
  <c r="L51" i="3"/>
  <c r="P53" i="4" l="1"/>
  <c r="L50" i="5"/>
  <c r="V51" i="3"/>
  <c r="N51" i="3"/>
  <c r="I51" i="6"/>
  <c r="L51" i="6" s="1"/>
  <c r="U50" i="5"/>
  <c r="J50" i="5"/>
  <c r="F53" i="4"/>
  <c r="O53" i="4" l="1"/>
  <c r="V50" i="5"/>
  <c r="N50" i="5"/>
  <c r="V51" i="6"/>
  <c r="N51" i="6"/>
  <c r="K50" i="5"/>
  <c r="W50" i="5" s="1"/>
  <c r="T51" i="3"/>
  <c r="Z51" i="3" s="1"/>
  <c r="X51" i="3"/>
  <c r="H53" i="4"/>
  <c r="I53" i="4" s="1"/>
  <c r="U53" i="4" s="1"/>
  <c r="U51" i="6"/>
  <c r="J51" i="6"/>
  <c r="T50" i="5" l="1"/>
  <c r="J53" i="4"/>
  <c r="K53" i="4" s="1"/>
  <c r="W53" i="4" s="1"/>
  <c r="E51" i="5"/>
  <c r="C51" i="5"/>
  <c r="M51" i="5"/>
  <c r="D51" i="5"/>
  <c r="G51" i="5"/>
  <c r="AA52" i="5" s="1"/>
  <c r="R51" i="5"/>
  <c r="Q51" i="5"/>
  <c r="K51" i="6"/>
  <c r="X51" i="6" s="1"/>
  <c r="L53" i="4"/>
  <c r="R52" i="3"/>
  <c r="G52" i="3"/>
  <c r="AA53" i="3" s="1"/>
  <c r="C52" i="3"/>
  <c r="E52" i="3"/>
  <c r="P52" i="3" s="1"/>
  <c r="Q52" i="3"/>
  <c r="D52" i="3"/>
  <c r="X50" i="5"/>
  <c r="Z50" i="5"/>
  <c r="P51" i="5" l="1"/>
  <c r="F51" i="5"/>
  <c r="V53" i="4"/>
  <c r="N53" i="4"/>
  <c r="T53" i="4" s="1"/>
  <c r="H51" i="5"/>
  <c r="F52" i="3"/>
  <c r="W51" i="6"/>
  <c r="T51" i="6"/>
  <c r="X53" i="4" l="1"/>
  <c r="Z53" i="4"/>
  <c r="D54" i="4"/>
  <c r="C54" i="4"/>
  <c r="M54" i="4"/>
  <c r="E54" i="4"/>
  <c r="G54" i="4"/>
  <c r="AA55" i="4" s="1"/>
  <c r="Q54" i="4"/>
  <c r="R54" i="4"/>
  <c r="R52" i="6"/>
  <c r="Q52" i="6"/>
  <c r="C52" i="6"/>
  <c r="D52" i="6"/>
  <c r="G52" i="6"/>
  <c r="E52" i="6"/>
  <c r="P52" i="6" s="1"/>
  <c r="M52" i="6"/>
  <c r="J51" i="5"/>
  <c r="K51" i="5" s="1"/>
  <c r="W51" i="5" s="1"/>
  <c r="I51" i="5"/>
  <c r="O51" i="5"/>
  <c r="Z51" i="6"/>
  <c r="O52" i="3"/>
  <c r="H52" i="3"/>
  <c r="P54" i="4" l="1"/>
  <c r="U51" i="5"/>
  <c r="F54" i="4"/>
  <c r="H54" i="4" s="1"/>
  <c r="Y52" i="6"/>
  <c r="AA53" i="6"/>
  <c r="L51" i="5"/>
  <c r="F52" i="6"/>
  <c r="I52" i="3"/>
  <c r="O52" i="6" l="1"/>
  <c r="V51" i="5"/>
  <c r="N51" i="5"/>
  <c r="X51" i="5" s="1"/>
  <c r="U52" i="3"/>
  <c r="J52" i="3"/>
  <c r="L52" i="3"/>
  <c r="O54" i="4"/>
  <c r="I54" i="4"/>
  <c r="U54" i="4" s="1"/>
  <c r="H52" i="6"/>
  <c r="J54" i="4" l="1"/>
  <c r="K54" i="4" s="1"/>
  <c r="W54" i="4" s="1"/>
  <c r="L54" i="4"/>
  <c r="K52" i="3"/>
  <c r="W52" i="3" s="1"/>
  <c r="T51" i="5"/>
  <c r="I52" i="6"/>
  <c r="V52" i="3"/>
  <c r="N52" i="3"/>
  <c r="X52" i="3" s="1"/>
  <c r="R52" i="5" l="1"/>
  <c r="G52" i="5"/>
  <c r="AA53" i="5" s="1"/>
  <c r="Q52" i="5"/>
  <c r="M52" i="5"/>
  <c r="E52" i="5"/>
  <c r="P52" i="5" s="1"/>
  <c r="D52" i="5"/>
  <c r="C52" i="5"/>
  <c r="T52" i="3"/>
  <c r="V54" i="4"/>
  <c r="N54" i="4"/>
  <c r="U52" i="6"/>
  <c r="J52" i="6"/>
  <c r="K52" i="6" s="1"/>
  <c r="W52" i="6" s="1"/>
  <c r="Z51" i="5"/>
  <c r="L52" i="6"/>
  <c r="E53" i="3" l="1"/>
  <c r="D53" i="3"/>
  <c r="C53" i="3"/>
  <c r="Q53" i="3"/>
  <c r="R53" i="3"/>
  <c r="G53" i="3"/>
  <c r="AA54" i="3" s="1"/>
  <c r="Z52" i="3"/>
  <c r="F52" i="5"/>
  <c r="V52" i="6"/>
  <c r="N52" i="6"/>
  <c r="T52" i="6" s="1"/>
  <c r="Z52" i="6" s="1"/>
  <c r="T54" i="4"/>
  <c r="Z54" i="4" s="1"/>
  <c r="X54" i="4"/>
  <c r="X52" i="6" l="1"/>
  <c r="P53" i="3"/>
  <c r="O52" i="5"/>
  <c r="M55" i="4"/>
  <c r="C55" i="4"/>
  <c r="D55" i="4"/>
  <c r="R55" i="4"/>
  <c r="Q55" i="4"/>
  <c r="E55" i="4"/>
  <c r="P55" i="4" s="1"/>
  <c r="G55" i="4"/>
  <c r="AA56" i="4" s="1"/>
  <c r="M53" i="6"/>
  <c r="C53" i="6"/>
  <c r="D53" i="6"/>
  <c r="G53" i="6"/>
  <c r="E53" i="6"/>
  <c r="P53" i="6" s="1"/>
  <c r="R53" i="6"/>
  <c r="Q53" i="6"/>
  <c r="F53" i="3"/>
  <c r="H53" i="3" s="1"/>
  <c r="H52" i="5"/>
  <c r="F53" i="6" l="1"/>
  <c r="F55" i="4"/>
  <c r="H55" i="4" s="1"/>
  <c r="I55" i="4" s="1"/>
  <c r="O55" i="4"/>
  <c r="I52" i="5"/>
  <c r="L52" i="5" s="1"/>
  <c r="I53" i="3"/>
  <c r="U53" i="3" s="1"/>
  <c r="O53" i="3"/>
  <c r="Y53" i="6"/>
  <c r="AA54" i="6"/>
  <c r="L53" i="3" l="1"/>
  <c r="J53" i="3"/>
  <c r="K53" i="3" s="1"/>
  <c r="W53" i="3" s="1"/>
  <c r="H53" i="6"/>
  <c r="I53" i="6" s="1"/>
  <c r="O53" i="6"/>
  <c r="U55" i="4"/>
  <c r="J55" i="4"/>
  <c r="K55" i="4" s="1"/>
  <c r="W55" i="4" s="1"/>
  <c r="V52" i="5"/>
  <c r="N52" i="5"/>
  <c r="T52" i="5" s="1"/>
  <c r="V53" i="3"/>
  <c r="N53" i="3"/>
  <c r="U52" i="5"/>
  <c r="J52" i="5"/>
  <c r="K52" i="5" s="1"/>
  <c r="W52" i="5" s="1"/>
  <c r="L55" i="4"/>
  <c r="L53" i="6" l="1"/>
  <c r="U53" i="6"/>
  <c r="J53" i="6"/>
  <c r="K53" i="6" s="1"/>
  <c r="W53" i="6" s="1"/>
  <c r="X52" i="5"/>
  <c r="V55" i="4"/>
  <c r="N55" i="4"/>
  <c r="T55" i="4" s="1"/>
  <c r="T53" i="3"/>
  <c r="X53" i="3"/>
  <c r="C53" i="5"/>
  <c r="F53" i="5" s="1"/>
  <c r="M53" i="5"/>
  <c r="D53" i="5"/>
  <c r="E53" i="5"/>
  <c r="R53" i="5"/>
  <c r="G53" i="5"/>
  <c r="AA54" i="5" s="1"/>
  <c r="Q53" i="5"/>
  <c r="X55" i="4"/>
  <c r="Z52" i="5"/>
  <c r="V53" i="6"/>
  <c r="N53" i="6"/>
  <c r="Z55" i="4"/>
  <c r="P53" i="5" l="1"/>
  <c r="O53" i="5"/>
  <c r="H53" i="5"/>
  <c r="T53" i="6"/>
  <c r="Z53" i="6" s="1"/>
  <c r="D54" i="3"/>
  <c r="E54" i="3"/>
  <c r="Q54" i="3"/>
  <c r="G54" i="3"/>
  <c r="AA55" i="3" s="1"/>
  <c r="C54" i="3"/>
  <c r="R54" i="3"/>
  <c r="Z53" i="3"/>
  <c r="Q56" i="4"/>
  <c r="E56" i="4"/>
  <c r="D56" i="4"/>
  <c r="C56" i="4"/>
  <c r="R56" i="4"/>
  <c r="G56" i="4"/>
  <c r="AA57" i="4" s="1"/>
  <c r="M56" i="4"/>
  <c r="X53" i="6"/>
  <c r="P54" i="3" l="1"/>
  <c r="F54" i="3"/>
  <c r="F56" i="4"/>
  <c r="P56" i="4"/>
  <c r="E54" i="6"/>
  <c r="P54" i="6" s="1"/>
  <c r="D54" i="6"/>
  <c r="Q54" i="6"/>
  <c r="G54" i="6"/>
  <c r="M54" i="6"/>
  <c r="R54" i="6"/>
  <c r="C54" i="6"/>
  <c r="I53" i="5"/>
  <c r="H56" i="4"/>
  <c r="O56" i="4" l="1"/>
  <c r="I56" i="4"/>
  <c r="U56" i="4" s="1"/>
  <c r="F54" i="6"/>
  <c r="U53" i="5"/>
  <c r="J53" i="5"/>
  <c r="L53" i="5"/>
  <c r="L56" i="4"/>
  <c r="H54" i="3"/>
  <c r="I54" i="3" s="1"/>
  <c r="U54" i="3" s="1"/>
  <c r="O54" i="3"/>
  <c r="AA55" i="6"/>
  <c r="Y54" i="6"/>
  <c r="V56" i="4" l="1"/>
  <c r="N56" i="4"/>
  <c r="V53" i="5"/>
  <c r="N53" i="5"/>
  <c r="K53" i="5"/>
  <c r="X53" i="5"/>
  <c r="L54" i="3"/>
  <c r="H54" i="6"/>
  <c r="O54" i="6"/>
  <c r="J54" i="3"/>
  <c r="K54" i="3" s="1"/>
  <c r="W54" i="3" s="1"/>
  <c r="J56" i="4"/>
  <c r="K56" i="4" s="1"/>
  <c r="W56" i="4" s="1"/>
  <c r="X56" i="4"/>
  <c r="T53" i="5" l="1"/>
  <c r="D54" i="5"/>
  <c r="R54" i="5"/>
  <c r="G54" i="5"/>
  <c r="AA55" i="5" s="1"/>
  <c r="M54" i="5"/>
  <c r="E54" i="5"/>
  <c r="C54" i="5"/>
  <c r="Q54" i="5"/>
  <c r="P54" i="5"/>
  <c r="V54" i="3"/>
  <c r="N54" i="3"/>
  <c r="W53" i="5"/>
  <c r="Z53" i="5"/>
  <c r="I54" i="6"/>
  <c r="L54" i="6" s="1"/>
  <c r="T56" i="4"/>
  <c r="V54" i="6" l="1"/>
  <c r="N54" i="6"/>
  <c r="M57" i="4"/>
  <c r="Q57" i="4"/>
  <c r="E57" i="4"/>
  <c r="R57" i="4"/>
  <c r="C57" i="4"/>
  <c r="G57" i="4"/>
  <c r="AA58" i="4" s="1"/>
  <c r="D57" i="4"/>
  <c r="Z56" i="4"/>
  <c r="U54" i="6"/>
  <c r="J54" i="6"/>
  <c r="K54" i="6" s="1"/>
  <c r="W54" i="6" s="1"/>
  <c r="F54" i="5"/>
  <c r="T54" i="3"/>
  <c r="X54" i="6"/>
  <c r="X54" i="3"/>
  <c r="P57" i="4" l="1"/>
  <c r="Q55" i="3"/>
  <c r="G55" i="3"/>
  <c r="AA56" i="3" s="1"/>
  <c r="R55" i="3"/>
  <c r="E55" i="3"/>
  <c r="D55" i="3"/>
  <c r="C55" i="3"/>
  <c r="H54" i="5"/>
  <c r="O54" i="5"/>
  <c r="F57" i="4"/>
  <c r="T54" i="6"/>
  <c r="Z54" i="3"/>
  <c r="F55" i="3" l="1"/>
  <c r="H55" i="3"/>
  <c r="O55" i="3"/>
  <c r="P55" i="3"/>
  <c r="R55" i="6"/>
  <c r="Q55" i="6"/>
  <c r="G55" i="6"/>
  <c r="C55" i="6"/>
  <c r="P55" i="6" s="1"/>
  <c r="D55" i="6"/>
  <c r="M55" i="6"/>
  <c r="E55" i="6"/>
  <c r="Z54" i="6"/>
  <c r="I55" i="3"/>
  <c r="U55" i="3" s="1"/>
  <c r="O57" i="4"/>
  <c r="I54" i="5"/>
  <c r="L54" i="5" s="1"/>
  <c r="H57" i="4"/>
  <c r="I57" i="4" s="1"/>
  <c r="U57" i="4" s="1"/>
  <c r="AA56" i="6" l="1"/>
  <c r="Y55" i="6"/>
  <c r="J55" i="3"/>
  <c r="V54" i="5"/>
  <c r="N54" i="5"/>
  <c r="L57" i="4"/>
  <c r="U54" i="5"/>
  <c r="J54" i="5"/>
  <c r="J57" i="4"/>
  <c r="F55" i="6"/>
  <c r="L55" i="3"/>
  <c r="V57" i="4" l="1"/>
  <c r="N57" i="4"/>
  <c r="V55" i="3"/>
  <c r="N55" i="3"/>
  <c r="O55" i="6"/>
  <c r="H55" i="6"/>
  <c r="K55" i="3"/>
  <c r="W55" i="3" s="1"/>
  <c r="K57" i="4"/>
  <c r="X57" i="4"/>
  <c r="X55" i="3"/>
  <c r="K54" i="5"/>
  <c r="W54" i="5" s="1"/>
  <c r="T55" i="3" l="1"/>
  <c r="W57" i="4"/>
  <c r="T57" i="4"/>
  <c r="T54" i="5"/>
  <c r="C56" i="3"/>
  <c r="Q56" i="3"/>
  <c r="E56" i="3"/>
  <c r="P56" i="3" s="1"/>
  <c r="R56" i="3"/>
  <c r="G56" i="3"/>
  <c r="AA57" i="3" s="1"/>
  <c r="D56" i="3"/>
  <c r="I55" i="6"/>
  <c r="Z55" i="3"/>
  <c r="X54" i="5"/>
  <c r="Q55" i="5" l="1"/>
  <c r="G55" i="5"/>
  <c r="AA56" i="5" s="1"/>
  <c r="D55" i="5"/>
  <c r="C55" i="5"/>
  <c r="M55" i="5"/>
  <c r="P55" i="5"/>
  <c r="E55" i="5"/>
  <c r="R55" i="5"/>
  <c r="Z54" i="5"/>
  <c r="U55" i="6"/>
  <c r="J55" i="6"/>
  <c r="R58" i="4"/>
  <c r="G58" i="4"/>
  <c r="AA59" i="4" s="1"/>
  <c r="Q58" i="4"/>
  <c r="E58" i="4"/>
  <c r="D58" i="4"/>
  <c r="C58" i="4"/>
  <c r="M58" i="4"/>
  <c r="Z57" i="4"/>
  <c r="L55" i="6"/>
  <c r="F56" i="3"/>
  <c r="F58" i="4" l="1"/>
  <c r="O58" i="4"/>
  <c r="H58" i="4"/>
  <c r="H56" i="3"/>
  <c r="I56" i="3" s="1"/>
  <c r="O56" i="3"/>
  <c r="V55" i="6"/>
  <c r="N55" i="6"/>
  <c r="P58" i="4"/>
  <c r="F55" i="5"/>
  <c r="K55" i="6"/>
  <c r="T55" i="6" l="1"/>
  <c r="Z55" i="6" s="1"/>
  <c r="U56" i="3"/>
  <c r="J56" i="3"/>
  <c r="K56" i="3" s="1"/>
  <c r="W56" i="3" s="1"/>
  <c r="L56" i="3"/>
  <c r="O55" i="5"/>
  <c r="H55" i="5"/>
  <c r="I55" i="5" s="1"/>
  <c r="M56" i="6"/>
  <c r="C56" i="6"/>
  <c r="E56" i="6"/>
  <c r="P56" i="6" s="1"/>
  <c r="R56" i="6"/>
  <c r="D56" i="6"/>
  <c r="Q56" i="6"/>
  <c r="W55" i="6"/>
  <c r="X55" i="6"/>
  <c r="I58" i="4"/>
  <c r="L58" i="4" s="1"/>
  <c r="G56" i="6" l="1"/>
  <c r="U55" i="5"/>
  <c r="J55" i="5"/>
  <c r="K55" i="5" s="1"/>
  <c r="W55" i="5" s="1"/>
  <c r="Y56" i="6"/>
  <c r="AA57" i="6"/>
  <c r="V56" i="3"/>
  <c r="N56" i="3"/>
  <c r="T56" i="3" s="1"/>
  <c r="Z56" i="3" s="1"/>
  <c r="U58" i="4"/>
  <c r="J58" i="4"/>
  <c r="L55" i="5"/>
  <c r="V58" i="4"/>
  <c r="N58" i="4"/>
  <c r="F56" i="6"/>
  <c r="X56" i="3" l="1"/>
  <c r="V55" i="5"/>
  <c r="N55" i="5"/>
  <c r="T55" i="5" s="1"/>
  <c r="O56" i="6"/>
  <c r="H56" i="6"/>
  <c r="K58" i="4"/>
  <c r="W58" i="4" s="1"/>
  <c r="X58" i="4"/>
  <c r="C57" i="3"/>
  <c r="R57" i="3"/>
  <c r="E57" i="3"/>
  <c r="Q57" i="3"/>
  <c r="G57" i="3"/>
  <c r="AA58" i="3" s="1"/>
  <c r="D57" i="3"/>
  <c r="X55" i="5"/>
  <c r="Z55" i="5"/>
  <c r="P57" i="3" l="1"/>
  <c r="T58" i="4"/>
  <c r="G56" i="5"/>
  <c r="AA57" i="5" s="1"/>
  <c r="E56" i="5"/>
  <c r="P56" i="5" s="1"/>
  <c r="M56" i="5"/>
  <c r="D56" i="5"/>
  <c r="C56" i="5"/>
  <c r="R56" i="5"/>
  <c r="Q56" i="5"/>
  <c r="E59" i="4"/>
  <c r="P59" i="4" s="1"/>
  <c r="M59" i="4"/>
  <c r="C59" i="4"/>
  <c r="R59" i="4"/>
  <c r="Q59" i="4"/>
  <c r="G59" i="4"/>
  <c r="AA60" i="4" s="1"/>
  <c r="D59" i="4"/>
  <c r="F57" i="3"/>
  <c r="I56" i="6"/>
  <c r="L56" i="6" s="1"/>
  <c r="H57" i="3"/>
  <c r="Z58" i="4"/>
  <c r="F59" i="4" l="1"/>
  <c r="O59" i="4" s="1"/>
  <c r="F56" i="5"/>
  <c r="U56" i="6"/>
  <c r="J56" i="6"/>
  <c r="O57" i="3"/>
  <c r="I57" i="3"/>
  <c r="U57" i="3" s="1"/>
  <c r="V56" i="6"/>
  <c r="N56" i="6"/>
  <c r="H59" i="4" l="1"/>
  <c r="K56" i="6"/>
  <c r="W56" i="6" s="1"/>
  <c r="X56" i="6"/>
  <c r="H56" i="5"/>
  <c r="O56" i="5"/>
  <c r="I59" i="4"/>
  <c r="L59" i="4" s="1"/>
  <c r="T56" i="6"/>
  <c r="Z56" i="6" s="1"/>
  <c r="L57" i="3"/>
  <c r="J57" i="3"/>
  <c r="K57" i="3" s="1"/>
  <c r="W57" i="3" s="1"/>
  <c r="V57" i="3" l="1"/>
  <c r="N57" i="3"/>
  <c r="V59" i="4"/>
  <c r="N59" i="4"/>
  <c r="E57" i="6"/>
  <c r="D57" i="6"/>
  <c r="M57" i="6"/>
  <c r="C57" i="6"/>
  <c r="Q57" i="6"/>
  <c r="R57" i="6"/>
  <c r="G57" i="6"/>
  <c r="I56" i="5"/>
  <c r="U59" i="4"/>
  <c r="J59" i="4"/>
  <c r="K59" i="4" s="1"/>
  <c r="W59" i="4" s="1"/>
  <c r="X57" i="3"/>
  <c r="F57" i="6" l="1"/>
  <c r="H57" i="6" s="1"/>
  <c r="I57" i="6" s="1"/>
  <c r="U57" i="6" s="1"/>
  <c r="X59" i="4"/>
  <c r="U56" i="5"/>
  <c r="J56" i="5"/>
  <c r="K56" i="5" s="1"/>
  <c r="W56" i="5" s="1"/>
  <c r="T57" i="3"/>
  <c r="P57" i="6"/>
  <c r="T59" i="4"/>
  <c r="Z59" i="4" s="1"/>
  <c r="AA58" i="6"/>
  <c r="Y57" i="6"/>
  <c r="L56" i="5"/>
  <c r="O57" i="6" l="1"/>
  <c r="V56" i="5"/>
  <c r="N56" i="5"/>
  <c r="T56" i="5" s="1"/>
  <c r="C58" i="3"/>
  <c r="R58" i="3"/>
  <c r="Q58" i="3"/>
  <c r="G58" i="3"/>
  <c r="AA59" i="3" s="1"/>
  <c r="E58" i="3"/>
  <c r="P58" i="3" s="1"/>
  <c r="D58" i="3"/>
  <c r="R60" i="4"/>
  <c r="G60" i="4"/>
  <c r="AA61" i="4" s="1"/>
  <c r="Q60" i="4"/>
  <c r="E60" i="4"/>
  <c r="D60" i="4"/>
  <c r="C60" i="4"/>
  <c r="M60" i="4"/>
  <c r="X56" i="5"/>
  <c r="J57" i="6"/>
  <c r="K57" i="6" s="1"/>
  <c r="W57" i="6" s="1"/>
  <c r="Z56" i="5"/>
  <c r="Z57" i="3"/>
  <c r="L57" i="6"/>
  <c r="F58" i="3" l="1"/>
  <c r="P60" i="4"/>
  <c r="H58" i="3"/>
  <c r="F60" i="4"/>
  <c r="M57" i="5"/>
  <c r="C57" i="5"/>
  <c r="Q57" i="5"/>
  <c r="E57" i="5"/>
  <c r="F57" i="5" s="1"/>
  <c r="D57" i="5"/>
  <c r="H57" i="5" s="1"/>
  <c r="R57" i="5"/>
  <c r="G57" i="5"/>
  <c r="AA58" i="5" s="1"/>
  <c r="V57" i="6"/>
  <c r="N57" i="6"/>
  <c r="O58" i="3"/>
  <c r="H60" i="4" l="1"/>
  <c r="I60" i="4" s="1"/>
  <c r="P57" i="5"/>
  <c r="O57" i="5"/>
  <c r="I57" i="5"/>
  <c r="U57" i="5" s="1"/>
  <c r="T57" i="6"/>
  <c r="X57" i="6"/>
  <c r="O60" i="4"/>
  <c r="I58" i="3"/>
  <c r="U60" i="4" l="1"/>
  <c r="L60" i="4"/>
  <c r="J60" i="4"/>
  <c r="K60" i="4" s="1"/>
  <c r="W60" i="4" s="1"/>
  <c r="L58" i="3"/>
  <c r="J57" i="5"/>
  <c r="R58" i="6"/>
  <c r="Q58" i="6"/>
  <c r="G58" i="6"/>
  <c r="C58" i="6"/>
  <c r="D58" i="6"/>
  <c r="M58" i="6"/>
  <c r="E58" i="6"/>
  <c r="V60" i="4"/>
  <c r="N60" i="4"/>
  <c r="T60" i="4" s="1"/>
  <c r="Z57" i="6"/>
  <c r="U58" i="3"/>
  <c r="J58" i="3"/>
  <c r="K58" i="3" s="1"/>
  <c r="W58" i="3" s="1"/>
  <c r="L57" i="5"/>
  <c r="P58" i="6" l="1"/>
  <c r="X60" i="4"/>
  <c r="V57" i="5"/>
  <c r="N57" i="5"/>
  <c r="F58" i="6"/>
  <c r="H58" i="6" s="1"/>
  <c r="Y58" i="6"/>
  <c r="AA59" i="6"/>
  <c r="M61" i="4"/>
  <c r="C61" i="4"/>
  <c r="G61" i="4"/>
  <c r="AA62" i="4" s="1"/>
  <c r="E61" i="4"/>
  <c r="D61" i="4"/>
  <c r="R61" i="4"/>
  <c r="Q61" i="4"/>
  <c r="K57" i="5"/>
  <c r="W57" i="5" s="1"/>
  <c r="Z60" i="4"/>
  <c r="V58" i="3"/>
  <c r="N58" i="3"/>
  <c r="T58" i="3" s="1"/>
  <c r="Z58" i="3" l="1"/>
  <c r="X58" i="3"/>
  <c r="F61" i="4"/>
  <c r="H61" i="4"/>
  <c r="P61" i="4"/>
  <c r="O58" i="6"/>
  <c r="I58" i="6"/>
  <c r="U58" i="6" s="1"/>
  <c r="T57" i="5"/>
  <c r="E59" i="3"/>
  <c r="P59" i="3" s="1"/>
  <c r="R59" i="3"/>
  <c r="G59" i="3"/>
  <c r="AA60" i="3" s="1"/>
  <c r="Q59" i="3"/>
  <c r="C59" i="3"/>
  <c r="D59" i="3"/>
  <c r="X57" i="5"/>
  <c r="F59" i="3" l="1"/>
  <c r="H59" i="3"/>
  <c r="J58" i="6"/>
  <c r="K58" i="6" s="1"/>
  <c r="W58" i="6" s="1"/>
  <c r="O59" i="3"/>
  <c r="O61" i="4"/>
  <c r="I61" i="4"/>
  <c r="L61" i="4" s="1"/>
  <c r="I59" i="3"/>
  <c r="U59" i="3" s="1"/>
  <c r="M58" i="5"/>
  <c r="G58" i="5"/>
  <c r="AA59" i="5" s="1"/>
  <c r="E58" i="5"/>
  <c r="P58" i="5" s="1"/>
  <c r="D58" i="5"/>
  <c r="C58" i="5"/>
  <c r="R58" i="5"/>
  <c r="Q58" i="5"/>
  <c r="Z57" i="5"/>
  <c r="L58" i="6"/>
  <c r="V61" i="4" l="1"/>
  <c r="N61" i="4"/>
  <c r="J61" i="4"/>
  <c r="K61" i="4" s="1"/>
  <c r="W61" i="4" s="1"/>
  <c r="X61" i="4"/>
  <c r="V58" i="6"/>
  <c r="N58" i="6"/>
  <c r="T58" i="6" s="1"/>
  <c r="U61" i="4"/>
  <c r="F58" i="5"/>
  <c r="J59" i="3"/>
  <c r="K59" i="3" s="1"/>
  <c r="W59" i="3" s="1"/>
  <c r="L59" i="3"/>
  <c r="V59" i="3" l="1"/>
  <c r="N59" i="3"/>
  <c r="T59" i="3" s="1"/>
  <c r="Z58" i="6"/>
  <c r="X58" i="6"/>
  <c r="Z59" i="3"/>
  <c r="E59" i="6"/>
  <c r="P59" i="6" s="1"/>
  <c r="R59" i="6"/>
  <c r="D59" i="6"/>
  <c r="Q59" i="6"/>
  <c r="C59" i="6"/>
  <c r="G59" i="6"/>
  <c r="M59" i="6"/>
  <c r="X59" i="3"/>
  <c r="H58" i="5"/>
  <c r="I58" i="5" s="1"/>
  <c r="U58" i="5" s="1"/>
  <c r="O58" i="5"/>
  <c r="T61" i="4"/>
  <c r="Z61" i="4" s="1"/>
  <c r="Y59" i="6" l="1"/>
  <c r="AA60" i="6"/>
  <c r="J58" i="5"/>
  <c r="K58" i="5" s="1"/>
  <c r="W58" i="5" s="1"/>
  <c r="L58" i="5"/>
  <c r="D62" i="4"/>
  <c r="R62" i="4"/>
  <c r="G62" i="4"/>
  <c r="AA63" i="4" s="1"/>
  <c r="Q62" i="4"/>
  <c r="P62" i="4"/>
  <c r="M62" i="4"/>
  <c r="E62" i="4"/>
  <c r="C62" i="4"/>
  <c r="F62" i="4" s="1"/>
  <c r="D60" i="3"/>
  <c r="C60" i="3"/>
  <c r="E60" i="3"/>
  <c r="P60" i="3" s="1"/>
  <c r="G60" i="3"/>
  <c r="AA61" i="3" s="1"/>
  <c r="R60" i="3"/>
  <c r="Q60" i="3"/>
  <c r="F59" i="6"/>
  <c r="H59" i="6" s="1"/>
  <c r="F60" i="3" l="1"/>
  <c r="H62" i="4"/>
  <c r="H60" i="3"/>
  <c r="O60" i="3"/>
  <c r="I62" i="4"/>
  <c r="U62" i="4" s="1"/>
  <c r="O62" i="4"/>
  <c r="V58" i="5"/>
  <c r="N58" i="5"/>
  <c r="I59" i="6"/>
  <c r="U59" i="6" s="1"/>
  <c r="J59" i="6"/>
  <c r="K59" i="6" s="1"/>
  <c r="W59" i="6" s="1"/>
  <c r="O59" i="6"/>
  <c r="J62" i="4" l="1"/>
  <c r="K62" i="4" s="1"/>
  <c r="W62" i="4" s="1"/>
  <c r="I60" i="3"/>
  <c r="L59" i="6"/>
  <c r="T58" i="5"/>
  <c r="X58" i="5"/>
  <c r="L62" i="4"/>
  <c r="V59" i="6" l="1"/>
  <c r="N59" i="6"/>
  <c r="T59" i="6" s="1"/>
  <c r="R59" i="5"/>
  <c r="G59" i="5"/>
  <c r="AA60" i="5" s="1"/>
  <c r="Q59" i="5"/>
  <c r="P59" i="5"/>
  <c r="E59" i="5"/>
  <c r="F59" i="5" s="1"/>
  <c r="D59" i="5"/>
  <c r="C59" i="5"/>
  <c r="M59" i="5"/>
  <c r="Z58" i="5"/>
  <c r="U60" i="3"/>
  <c r="J60" i="3"/>
  <c r="L60" i="3"/>
  <c r="X59" i="6"/>
  <c r="V62" i="4"/>
  <c r="N62" i="4"/>
  <c r="H59" i="5" l="1"/>
  <c r="I59" i="5" s="1"/>
  <c r="T62" i="4"/>
  <c r="X62" i="4"/>
  <c r="Z62" i="4"/>
  <c r="D60" i="6"/>
  <c r="M60" i="6"/>
  <c r="C60" i="6"/>
  <c r="E60" i="6"/>
  <c r="F60" i="6" s="1"/>
  <c r="G60" i="6"/>
  <c r="R60" i="6"/>
  <c r="Q60" i="6"/>
  <c r="V60" i="3"/>
  <c r="N60" i="3"/>
  <c r="K60" i="3"/>
  <c r="W60" i="3" s="1"/>
  <c r="X60" i="3"/>
  <c r="O59" i="5"/>
  <c r="Z59" i="6"/>
  <c r="U59" i="5" l="1"/>
  <c r="J59" i="5"/>
  <c r="K59" i="5" s="1"/>
  <c r="W59" i="5" s="1"/>
  <c r="L59" i="5"/>
  <c r="P60" i="6"/>
  <c r="O60" i="6"/>
  <c r="Y60" i="6"/>
  <c r="AA61" i="6"/>
  <c r="T60" i="3"/>
  <c r="Q63" i="4"/>
  <c r="G63" i="4"/>
  <c r="AA64" i="4" s="1"/>
  <c r="C63" i="4"/>
  <c r="M63" i="4"/>
  <c r="D63" i="4"/>
  <c r="E63" i="4"/>
  <c r="P63" i="4" s="1"/>
  <c r="R63" i="4"/>
  <c r="Z60" i="3"/>
  <c r="H60" i="6"/>
  <c r="I60" i="6" s="1"/>
  <c r="U60" i="6" s="1"/>
  <c r="V59" i="5" l="1"/>
  <c r="N59" i="5"/>
  <c r="F63" i="4"/>
  <c r="H63" i="4"/>
  <c r="E61" i="3"/>
  <c r="G61" i="3"/>
  <c r="AA62" i="3" s="1"/>
  <c r="R61" i="3"/>
  <c r="Q61" i="3"/>
  <c r="D61" i="3"/>
  <c r="C61" i="3"/>
  <c r="F61" i="3" s="1"/>
  <c r="L60" i="6"/>
  <c r="J60" i="6"/>
  <c r="K60" i="6" s="1"/>
  <c r="W60" i="6" s="1"/>
  <c r="P61" i="3" l="1"/>
  <c r="T59" i="5"/>
  <c r="X59" i="5"/>
  <c r="Z59" i="5"/>
  <c r="O61" i="3"/>
  <c r="O63" i="4"/>
  <c r="V60" i="6"/>
  <c r="N60" i="6"/>
  <c r="H61" i="3"/>
  <c r="I61" i="3" s="1"/>
  <c r="U61" i="3" s="1"/>
  <c r="I63" i="4"/>
  <c r="U63" i="4" s="1"/>
  <c r="J61" i="3" l="1"/>
  <c r="K61" i="3" s="1"/>
  <c r="W61" i="3" s="1"/>
  <c r="G60" i="5"/>
  <c r="AA61" i="5" s="1"/>
  <c r="E60" i="5"/>
  <c r="R60" i="5"/>
  <c r="Q60" i="5"/>
  <c r="C60" i="5"/>
  <c r="M60" i="5"/>
  <c r="D60" i="5"/>
  <c r="T60" i="6"/>
  <c r="Z60" i="6" s="1"/>
  <c r="X60" i="6"/>
  <c r="J63" i="4"/>
  <c r="K63" i="4" s="1"/>
  <c r="W63" i="4" s="1"/>
  <c r="L63" i="4"/>
  <c r="L61" i="3"/>
  <c r="F60" i="5" l="1"/>
  <c r="P60" i="5"/>
  <c r="V63" i="4"/>
  <c r="N63" i="4"/>
  <c r="T63" i="4" s="1"/>
  <c r="X63" i="4"/>
  <c r="V61" i="3"/>
  <c r="N61" i="3"/>
  <c r="Q61" i="6"/>
  <c r="G61" i="6"/>
  <c r="E61" i="6"/>
  <c r="R61" i="6"/>
  <c r="M61" i="6"/>
  <c r="C61" i="6"/>
  <c r="D61" i="6"/>
  <c r="Z63" i="4" l="1"/>
  <c r="P61" i="6"/>
  <c r="O60" i="5"/>
  <c r="H60" i="5"/>
  <c r="F61" i="6"/>
  <c r="R64" i="4"/>
  <c r="G64" i="4"/>
  <c r="AA65" i="4" s="1"/>
  <c r="M64" i="4"/>
  <c r="E64" i="4"/>
  <c r="P64" i="4" s="1"/>
  <c r="D64" i="4"/>
  <c r="C64" i="4"/>
  <c r="Q64" i="4"/>
  <c r="T61" i="3"/>
  <c r="Z61" i="3" s="1"/>
  <c r="X61" i="3"/>
  <c r="AA62" i="6"/>
  <c r="Y61" i="6"/>
  <c r="I60" i="5" l="1"/>
  <c r="L60" i="5"/>
  <c r="O61" i="6"/>
  <c r="H61" i="6"/>
  <c r="I61" i="6"/>
  <c r="U61" i="6" s="1"/>
  <c r="R62" i="3"/>
  <c r="D62" i="3"/>
  <c r="C62" i="3"/>
  <c r="E62" i="3"/>
  <c r="G62" i="3"/>
  <c r="AA63" i="3" s="1"/>
  <c r="Q62" i="3"/>
  <c r="F64" i="4"/>
  <c r="H64" i="4" l="1"/>
  <c r="I64" i="4" s="1"/>
  <c r="V60" i="5"/>
  <c r="N60" i="5"/>
  <c r="U60" i="5"/>
  <c r="J60" i="5"/>
  <c r="K60" i="5" s="1"/>
  <c r="W60" i="5" s="1"/>
  <c r="P62" i="3"/>
  <c r="X60" i="5"/>
  <c r="L61" i="6"/>
  <c r="F62" i="3"/>
  <c r="J61" i="6"/>
  <c r="K61" i="6" s="1"/>
  <c r="W61" i="6" s="1"/>
  <c r="O64" i="4"/>
  <c r="U64" i="4" l="1"/>
  <c r="J64" i="4"/>
  <c r="K64" i="4" s="1"/>
  <c r="W64" i="4" s="1"/>
  <c r="L64" i="4"/>
  <c r="T60" i="5"/>
  <c r="V64" i="4"/>
  <c r="N64" i="4"/>
  <c r="T64" i="4" s="1"/>
  <c r="O62" i="3"/>
  <c r="V61" i="6"/>
  <c r="N61" i="6"/>
  <c r="T61" i="6" s="1"/>
  <c r="H62" i="3"/>
  <c r="I62" i="3"/>
  <c r="U62" i="3" s="1"/>
  <c r="Z61" i="6" l="1"/>
  <c r="X61" i="6"/>
  <c r="X64" i="4"/>
  <c r="G61" i="5"/>
  <c r="AA62" i="5" s="1"/>
  <c r="M61" i="5"/>
  <c r="Q61" i="5"/>
  <c r="C61" i="5"/>
  <c r="D61" i="5"/>
  <c r="E61" i="5"/>
  <c r="P61" i="5" s="1"/>
  <c r="R61" i="5"/>
  <c r="Z60" i="5"/>
  <c r="Z64" i="4"/>
  <c r="M65" i="4"/>
  <c r="C65" i="4"/>
  <c r="E65" i="4"/>
  <c r="P65" i="4" s="1"/>
  <c r="D65" i="4"/>
  <c r="Q65" i="4"/>
  <c r="G65" i="4"/>
  <c r="R65" i="4"/>
  <c r="L62" i="3"/>
  <c r="R62" i="6"/>
  <c r="E62" i="6"/>
  <c r="D62" i="6"/>
  <c r="Q62" i="6"/>
  <c r="C62" i="6"/>
  <c r="G62" i="6"/>
  <c r="M62" i="6"/>
  <c r="J62" i="3"/>
  <c r="F61" i="5" l="1"/>
  <c r="F65" i="4"/>
  <c r="H65" i="4" s="1"/>
  <c r="P62" i="6"/>
  <c r="O61" i="5"/>
  <c r="H61" i="5"/>
  <c r="I61" i="5"/>
  <c r="U61" i="5" s="1"/>
  <c r="I65" i="4"/>
  <c r="AA63" i="6"/>
  <c r="Y62" i="6"/>
  <c r="V62" i="3"/>
  <c r="N62" i="3"/>
  <c r="O65" i="4"/>
  <c r="K62" i="3"/>
  <c r="W62" i="3" s="1"/>
  <c r="F62" i="6"/>
  <c r="L61" i="5" l="1"/>
  <c r="J61" i="5"/>
  <c r="O62" i="6"/>
  <c r="X62" i="3"/>
  <c r="H62" i="6"/>
  <c r="I62" i="6" s="1"/>
  <c r="T62" i="3"/>
  <c r="U65" i="4"/>
  <c r="J65" i="4"/>
  <c r="L65" i="4"/>
  <c r="K61" i="5" l="1"/>
  <c r="W61" i="5" s="1"/>
  <c r="V61" i="5"/>
  <c r="N61" i="5"/>
  <c r="T61" i="5" s="1"/>
  <c r="U62" i="6"/>
  <c r="J62" i="6"/>
  <c r="K62" i="6" s="1"/>
  <c r="W62" i="6" s="1"/>
  <c r="G63" i="3"/>
  <c r="AA64" i="3" s="1"/>
  <c r="R63" i="3"/>
  <c r="Q63" i="3"/>
  <c r="D63" i="3"/>
  <c r="E63" i="3"/>
  <c r="P63" i="3" s="1"/>
  <c r="C63" i="3"/>
  <c r="Z62" i="3"/>
  <c r="V65" i="4"/>
  <c r="N65" i="4"/>
  <c r="K65" i="4"/>
  <c r="W65" i="4" s="1"/>
  <c r="L62" i="6"/>
  <c r="X65" i="4" l="1"/>
  <c r="F63" i="3"/>
  <c r="O63" i="3" s="1"/>
  <c r="H63" i="3"/>
  <c r="X61" i="5"/>
  <c r="Z61" i="5"/>
  <c r="G62" i="5"/>
  <c r="AA63" i="5" s="1"/>
  <c r="Q62" i="5"/>
  <c r="C62" i="5"/>
  <c r="F62" i="5" s="1"/>
  <c r="O62" i="5" s="1"/>
  <c r="D62" i="5"/>
  <c r="E62" i="5"/>
  <c r="R62" i="5"/>
  <c r="M62" i="5"/>
  <c r="V62" i="6"/>
  <c r="N62" i="6"/>
  <c r="X62" i="6" s="1"/>
  <c r="I63" i="3"/>
  <c r="U63" i="3" s="1"/>
  <c r="T65" i="4"/>
  <c r="H62" i="5" l="1"/>
  <c r="I62" i="5"/>
  <c r="P62" i="5"/>
  <c r="M66" i="4"/>
  <c r="E66" i="4"/>
  <c r="D66" i="4"/>
  <c r="C66" i="4"/>
  <c r="R66" i="4"/>
  <c r="Q66" i="4"/>
  <c r="Z65" i="4"/>
  <c r="J63" i="3"/>
  <c r="T62" i="6"/>
  <c r="Z62" i="6"/>
  <c r="L63" i="3"/>
  <c r="U62" i="5" l="1"/>
  <c r="J62" i="5"/>
  <c r="L62" i="5"/>
  <c r="V63" i="3"/>
  <c r="N63" i="3"/>
  <c r="K63" i="3"/>
  <c r="W63" i="3" s="1"/>
  <c r="AA66" i="4"/>
  <c r="G66" i="4"/>
  <c r="AA67" i="4" s="1"/>
  <c r="F66" i="4"/>
  <c r="C63" i="6"/>
  <c r="M63" i="6"/>
  <c r="D63" i="6"/>
  <c r="G63" i="6"/>
  <c r="R63" i="6"/>
  <c r="Q63" i="6"/>
  <c r="E63" i="6"/>
  <c r="P66" i="4"/>
  <c r="V62" i="5" l="1"/>
  <c r="N62" i="5"/>
  <c r="P63" i="6"/>
  <c r="K62" i="5"/>
  <c r="H66" i="4"/>
  <c r="I66" i="4"/>
  <c r="U66" i="4" s="1"/>
  <c r="O66" i="4"/>
  <c r="T63" i="3"/>
  <c r="AA64" i="6"/>
  <c r="Y63" i="6"/>
  <c r="X63" i="3"/>
  <c r="F63" i="6"/>
  <c r="J66" i="4" l="1"/>
  <c r="K66" i="4" s="1"/>
  <c r="W66" i="4" s="1"/>
  <c r="W62" i="5"/>
  <c r="X62" i="5"/>
  <c r="T62" i="5"/>
  <c r="D64" i="3"/>
  <c r="E64" i="3"/>
  <c r="P64" i="3" s="1"/>
  <c r="C64" i="3"/>
  <c r="Q64" i="3"/>
  <c r="G64" i="3"/>
  <c r="AA65" i="3" s="1"/>
  <c r="R64" i="3"/>
  <c r="Z63" i="3"/>
  <c r="H63" i="6"/>
  <c r="I63" i="6" s="1"/>
  <c r="O63" i="6"/>
  <c r="L66" i="4"/>
  <c r="F64" i="3" l="1"/>
  <c r="G63" i="5"/>
  <c r="AA64" i="5" s="1"/>
  <c r="R63" i="5"/>
  <c r="M63" i="5"/>
  <c r="Q63" i="5"/>
  <c r="E63" i="5"/>
  <c r="P63" i="5" s="1"/>
  <c r="D63" i="5"/>
  <c r="C63" i="5"/>
  <c r="Z62" i="5"/>
  <c r="U63" i="6"/>
  <c r="J63" i="6"/>
  <c r="K63" i="6" s="1"/>
  <c r="W63" i="6" s="1"/>
  <c r="O64" i="3"/>
  <c r="L63" i="6"/>
  <c r="V66" i="4"/>
  <c r="N66" i="4"/>
  <c r="H64" i="3"/>
  <c r="I64" i="3" s="1"/>
  <c r="U64" i="3" s="1"/>
  <c r="F63" i="5" l="1"/>
  <c r="J64" i="3"/>
  <c r="T66" i="4"/>
  <c r="X66" i="4"/>
  <c r="Z66" i="4"/>
  <c r="V63" i="6"/>
  <c r="N63" i="6"/>
  <c r="T63" i="6" s="1"/>
  <c r="L64" i="3"/>
  <c r="Z63" i="6" l="1"/>
  <c r="O63" i="5"/>
  <c r="H63" i="5"/>
  <c r="I63" i="5" s="1"/>
  <c r="V64" i="3"/>
  <c r="N64" i="3"/>
  <c r="X63" i="6"/>
  <c r="Q67" i="4"/>
  <c r="E67" i="4"/>
  <c r="D67" i="4"/>
  <c r="R67" i="4"/>
  <c r="G67" i="4"/>
  <c r="AA68" i="4" s="1"/>
  <c r="C67" i="4"/>
  <c r="F67" i="4" s="1"/>
  <c r="M67" i="4"/>
  <c r="K64" i="3"/>
  <c r="W64" i="3" s="1"/>
  <c r="E64" i="6"/>
  <c r="R64" i="6"/>
  <c r="G64" i="6"/>
  <c r="C64" i="6"/>
  <c r="Q64" i="6"/>
  <c r="D64" i="6"/>
  <c r="M64" i="6"/>
  <c r="U63" i="5" l="1"/>
  <c r="J63" i="5"/>
  <c r="K63" i="5" s="1"/>
  <c r="W63" i="5" s="1"/>
  <c r="H67" i="4"/>
  <c r="I67" i="4" s="1"/>
  <c r="L63" i="5"/>
  <c r="P64" i="6"/>
  <c r="F64" i="6"/>
  <c r="T64" i="3"/>
  <c r="AA65" i="6"/>
  <c r="Y64" i="6"/>
  <c r="O67" i="4"/>
  <c r="P67" i="4"/>
  <c r="X64" i="3"/>
  <c r="U67" i="4" l="1"/>
  <c r="J67" i="4"/>
  <c r="K67" i="4" s="1"/>
  <c r="W67" i="4" s="1"/>
  <c r="V63" i="5"/>
  <c r="N63" i="5"/>
  <c r="X63" i="5"/>
  <c r="O64" i="6"/>
  <c r="L67" i="4"/>
  <c r="Q65" i="3"/>
  <c r="G65" i="3"/>
  <c r="D65" i="3"/>
  <c r="C65" i="3"/>
  <c r="R65" i="3"/>
  <c r="E65" i="3"/>
  <c r="P65" i="3" s="1"/>
  <c r="Z64" i="3"/>
  <c r="H64" i="6"/>
  <c r="T63" i="5" l="1"/>
  <c r="Z63" i="5"/>
  <c r="V67" i="4"/>
  <c r="N67" i="4"/>
  <c r="F65" i="3"/>
  <c r="I64" i="6"/>
  <c r="Q64" i="5" l="1"/>
  <c r="E64" i="5"/>
  <c r="M64" i="5"/>
  <c r="C64" i="5"/>
  <c r="F64" i="5" s="1"/>
  <c r="G64" i="5"/>
  <c r="AA65" i="5" s="1"/>
  <c r="R64" i="5"/>
  <c r="D64" i="5"/>
  <c r="O65" i="3"/>
  <c r="T67" i="4"/>
  <c r="X67" i="4"/>
  <c r="U64" i="6"/>
  <c r="J64" i="6"/>
  <c r="L64" i="6"/>
  <c r="H65" i="3"/>
  <c r="I65" i="3" s="1"/>
  <c r="U65" i="3" s="1"/>
  <c r="H64" i="5" l="1"/>
  <c r="P64" i="5"/>
  <c r="O64" i="5"/>
  <c r="I64" i="5"/>
  <c r="U64" i="5" s="1"/>
  <c r="V64" i="6"/>
  <c r="N64" i="6"/>
  <c r="J65" i="3"/>
  <c r="K64" i="6"/>
  <c r="W64" i="6" s="1"/>
  <c r="M68" i="4"/>
  <c r="C68" i="4"/>
  <c r="G68" i="4"/>
  <c r="AA69" i="4" s="1"/>
  <c r="E68" i="4"/>
  <c r="D68" i="4"/>
  <c r="R68" i="4"/>
  <c r="Q68" i="4"/>
  <c r="Z67" i="4"/>
  <c r="L65" i="3"/>
  <c r="L64" i="5" l="1"/>
  <c r="T64" i="6"/>
  <c r="Z64" i="6" s="1"/>
  <c r="J64" i="5"/>
  <c r="K64" i="5" s="1"/>
  <c r="P68" i="4"/>
  <c r="F68" i="4"/>
  <c r="X64" i="6"/>
  <c r="K65" i="3"/>
  <c r="W65" i="3" s="1"/>
  <c r="M65" i="6"/>
  <c r="E65" i="6"/>
  <c r="Q65" i="6"/>
  <c r="V65" i="3"/>
  <c r="N65" i="3"/>
  <c r="G65" i="6" l="1"/>
  <c r="Y65" i="6" s="1"/>
  <c r="W64" i="5"/>
  <c r="P65" i="6"/>
  <c r="C65" i="6"/>
  <c r="D65" i="6"/>
  <c r="V64" i="5"/>
  <c r="N64" i="5"/>
  <c r="T64" i="5" s="1"/>
  <c r="X64" i="5"/>
  <c r="R65" i="6"/>
  <c r="T65" i="3"/>
  <c r="E66" i="3" s="1"/>
  <c r="O68" i="4"/>
  <c r="X65" i="3"/>
  <c r="H68" i="4"/>
  <c r="I68" i="4" s="1"/>
  <c r="F65" i="6"/>
  <c r="H65" i="6" s="1"/>
  <c r="I65" i="6" s="1"/>
  <c r="U65" i="6" s="1"/>
  <c r="Z65" i="3" l="1"/>
  <c r="Q66" i="3"/>
  <c r="M65" i="5"/>
  <c r="G65" i="5"/>
  <c r="R65" i="5"/>
  <c r="C65" i="5"/>
  <c r="E65" i="5"/>
  <c r="P65" i="5" s="1"/>
  <c r="Q65" i="5"/>
  <c r="D65" i="5"/>
  <c r="U68" i="4"/>
  <c r="J68" i="4"/>
  <c r="K68" i="4" s="1"/>
  <c r="W68" i="4" s="1"/>
  <c r="C66" i="3"/>
  <c r="AA66" i="3" s="1"/>
  <c r="R66" i="3"/>
  <c r="D66" i="3"/>
  <c r="Z64" i="5"/>
  <c r="J65" i="6"/>
  <c r="K65" i="6" s="1"/>
  <c r="W65" i="6" s="1"/>
  <c r="O65" i="6"/>
  <c r="L65" i="6"/>
  <c r="L68" i="4"/>
  <c r="P66" i="3" l="1"/>
  <c r="F65" i="5"/>
  <c r="F66" i="3"/>
  <c r="G66" i="3"/>
  <c r="AA67" i="3" s="1"/>
  <c r="H65" i="5"/>
  <c r="V68" i="4"/>
  <c r="N68" i="4"/>
  <c r="V65" i="6"/>
  <c r="N65" i="6"/>
  <c r="T65" i="6" s="1"/>
  <c r="X68" i="4"/>
  <c r="H66" i="3" l="1"/>
  <c r="I66" i="3" s="1"/>
  <c r="I65" i="5"/>
  <c r="U65" i="5" s="1"/>
  <c r="L65" i="5"/>
  <c r="J65" i="5"/>
  <c r="K65" i="5" s="1"/>
  <c r="W65" i="5" s="1"/>
  <c r="O65" i="5"/>
  <c r="O66" i="3"/>
  <c r="R66" i="6"/>
  <c r="D66" i="6"/>
  <c r="C66" i="6"/>
  <c r="F66" i="6" s="1"/>
  <c r="O66" i="6" s="1"/>
  <c r="Q66" i="6"/>
  <c r="E66" i="6"/>
  <c r="M66" i="6"/>
  <c r="X65" i="6"/>
  <c r="Z65" i="6"/>
  <c r="T68" i="4"/>
  <c r="AA66" i="6" l="1"/>
  <c r="P66" i="6"/>
  <c r="U66" i="3"/>
  <c r="L66" i="3"/>
  <c r="V66" i="3" s="1"/>
  <c r="J66" i="3"/>
  <c r="K66" i="3" s="1"/>
  <c r="W66" i="3" s="1"/>
  <c r="G66" i="6"/>
  <c r="AA67" i="6" s="1"/>
  <c r="V65" i="5"/>
  <c r="N65" i="5"/>
  <c r="Y66" i="6"/>
  <c r="H66" i="6"/>
  <c r="E69" i="4"/>
  <c r="R69" i="4"/>
  <c r="G69" i="4"/>
  <c r="AA70" i="4" s="1"/>
  <c r="Q69" i="4"/>
  <c r="C69" i="4"/>
  <c r="P69" i="4"/>
  <c r="M69" i="4"/>
  <c r="D69" i="4"/>
  <c r="Z68" i="4"/>
  <c r="I66" i="6"/>
  <c r="U66" i="6" s="1"/>
  <c r="N66" i="3" l="1"/>
  <c r="X66" i="3" s="1"/>
  <c r="T65" i="5"/>
  <c r="Z65" i="5"/>
  <c r="X65" i="5"/>
  <c r="L66" i="6"/>
  <c r="T66" i="3"/>
  <c r="F69" i="4"/>
  <c r="J66" i="6"/>
  <c r="K66" i="6" s="1"/>
  <c r="W66" i="6" s="1"/>
  <c r="Q66" i="5" l="1"/>
  <c r="R66" i="5"/>
  <c r="M66" i="5"/>
  <c r="E66" i="5"/>
  <c r="G66" i="5"/>
  <c r="AA67" i="5" s="1"/>
  <c r="C66" i="5"/>
  <c r="F66" i="5" s="1"/>
  <c r="P66" i="5"/>
  <c r="D66" i="5"/>
  <c r="C67" i="3"/>
  <c r="D67" i="3"/>
  <c r="E67" i="3"/>
  <c r="G67" i="3"/>
  <c r="AA68" i="3" s="1"/>
  <c r="R67" i="3"/>
  <c r="Q67" i="3"/>
  <c r="O69" i="4"/>
  <c r="H69" i="4"/>
  <c r="I69" i="4" s="1"/>
  <c r="U69" i="4" s="1"/>
  <c r="Z66" i="3"/>
  <c r="V66" i="6"/>
  <c r="N66" i="6"/>
  <c r="T66" i="6" s="1"/>
  <c r="Z66" i="6" s="1"/>
  <c r="X66" i="6"/>
  <c r="F67" i="3" l="1"/>
  <c r="O66" i="5"/>
  <c r="H66" i="5"/>
  <c r="AA66" i="5"/>
  <c r="O67" i="3"/>
  <c r="H67" i="3"/>
  <c r="I67" i="3" s="1"/>
  <c r="U67" i="3" s="1"/>
  <c r="L69" i="4"/>
  <c r="P67" i="3"/>
  <c r="D67" i="6"/>
  <c r="E67" i="6"/>
  <c r="C67" i="6"/>
  <c r="M67" i="6"/>
  <c r="Q67" i="6"/>
  <c r="R67" i="6"/>
  <c r="G67" i="6"/>
  <c r="J69" i="4"/>
  <c r="K69" i="4" s="1"/>
  <c r="W69" i="4" s="1"/>
  <c r="F67" i="6" l="1"/>
  <c r="I66" i="5"/>
  <c r="L66" i="5" s="1"/>
  <c r="O67" i="6"/>
  <c r="H67" i="6"/>
  <c r="V69" i="4"/>
  <c r="N69" i="4"/>
  <c r="L67" i="3"/>
  <c r="J67" i="3"/>
  <c r="K67" i="3" s="1"/>
  <c r="W67" i="3" s="1"/>
  <c r="AA68" i="6"/>
  <c r="Y67" i="6"/>
  <c r="P67" i="6"/>
  <c r="V66" i="5" l="1"/>
  <c r="N66" i="5"/>
  <c r="U66" i="5"/>
  <c r="J66" i="5"/>
  <c r="V67" i="3"/>
  <c r="N67" i="3"/>
  <c r="T67" i="3" s="1"/>
  <c r="T69" i="4"/>
  <c r="X69" i="4"/>
  <c r="I67" i="6"/>
  <c r="L67" i="6" s="1"/>
  <c r="K66" i="5" l="1"/>
  <c r="W66" i="5" s="1"/>
  <c r="X66" i="5"/>
  <c r="T66" i="5"/>
  <c r="Z67" i="3"/>
  <c r="X67" i="3"/>
  <c r="V67" i="6"/>
  <c r="N67" i="6"/>
  <c r="R70" i="4"/>
  <c r="M70" i="4"/>
  <c r="C70" i="4"/>
  <c r="P70" i="4" s="1"/>
  <c r="G70" i="4"/>
  <c r="AA71" i="4" s="1"/>
  <c r="E70" i="4"/>
  <c r="D70" i="4"/>
  <c r="Q70" i="4"/>
  <c r="U67" i="6"/>
  <c r="J67" i="6"/>
  <c r="R68" i="3"/>
  <c r="G68" i="3"/>
  <c r="AA69" i="3" s="1"/>
  <c r="C68" i="3"/>
  <c r="F68" i="3" s="1"/>
  <c r="Q68" i="3"/>
  <c r="E68" i="3"/>
  <c r="D68" i="3"/>
  <c r="Z69" i="4"/>
  <c r="F70" i="4" l="1"/>
  <c r="P68" i="3"/>
  <c r="M67" i="5"/>
  <c r="E67" i="5"/>
  <c r="P67" i="5" s="1"/>
  <c r="G67" i="5"/>
  <c r="AA68" i="5" s="1"/>
  <c r="R67" i="5"/>
  <c r="Q67" i="5"/>
  <c r="C67" i="5"/>
  <c r="F67" i="5" s="1"/>
  <c r="D67" i="5"/>
  <c r="Z66" i="5"/>
  <c r="O70" i="4"/>
  <c r="K67" i="6"/>
  <c r="W67" i="6" s="1"/>
  <c r="H68" i="3"/>
  <c r="I68" i="3" s="1"/>
  <c r="U68" i="3" s="1"/>
  <c r="H70" i="4"/>
  <c r="I70" i="4" s="1"/>
  <c r="U70" i="4" s="1"/>
  <c r="O68" i="3"/>
  <c r="O67" i="5" l="1"/>
  <c r="H67" i="5"/>
  <c r="X67" i="6"/>
  <c r="T67" i="6"/>
  <c r="D68" i="6" s="1"/>
  <c r="J70" i="4"/>
  <c r="K70" i="4" s="1"/>
  <c r="W70" i="4" s="1"/>
  <c r="L70" i="4"/>
  <c r="J68" i="3"/>
  <c r="K68" i="3" s="1"/>
  <c r="W68" i="3" s="1"/>
  <c r="L68" i="3"/>
  <c r="G68" i="6" l="1"/>
  <c r="Y68" i="6" s="1"/>
  <c r="Q68" i="6"/>
  <c r="Z67" i="6"/>
  <c r="E68" i="6"/>
  <c r="P68" i="6" s="1"/>
  <c r="C68" i="6"/>
  <c r="F68" i="6" s="1"/>
  <c r="M68" i="6"/>
  <c r="I67" i="5"/>
  <c r="R68" i="6"/>
  <c r="V68" i="3"/>
  <c r="N68" i="3"/>
  <c r="AA69" i="6"/>
  <c r="V70" i="4"/>
  <c r="N70" i="4"/>
  <c r="H68" i="6" l="1"/>
  <c r="L67" i="5"/>
  <c r="U67" i="5"/>
  <c r="J67" i="5"/>
  <c r="K67" i="5" s="1"/>
  <c r="W67" i="5" s="1"/>
  <c r="L68" i="6"/>
  <c r="T70" i="4"/>
  <c r="Z70" i="4" s="1"/>
  <c r="X70" i="4"/>
  <c r="O68" i="6"/>
  <c r="I68" i="6"/>
  <c r="U68" i="6" s="1"/>
  <c r="T68" i="3"/>
  <c r="X68" i="3"/>
  <c r="V67" i="5" l="1"/>
  <c r="N67" i="5"/>
  <c r="C69" i="3"/>
  <c r="E69" i="3"/>
  <c r="F69" i="3" s="1"/>
  <c r="Q69" i="3"/>
  <c r="D69" i="3"/>
  <c r="R69" i="3"/>
  <c r="G69" i="3"/>
  <c r="AA70" i="3" s="1"/>
  <c r="R71" i="4"/>
  <c r="G71" i="4"/>
  <c r="AA72" i="4" s="1"/>
  <c r="Q71" i="4"/>
  <c r="E71" i="4"/>
  <c r="M71" i="4"/>
  <c r="D71" i="4"/>
  <c r="C71" i="4"/>
  <c r="P71" i="4" s="1"/>
  <c r="Z68" i="3"/>
  <c r="V68" i="6"/>
  <c r="N68" i="6"/>
  <c r="J68" i="6"/>
  <c r="F71" i="4" l="1"/>
  <c r="H71" i="4"/>
  <c r="O71" i="4"/>
  <c r="P69" i="3"/>
  <c r="H69" i="3"/>
  <c r="T67" i="5"/>
  <c r="Z67" i="5"/>
  <c r="X67" i="5"/>
  <c r="I71" i="4"/>
  <c r="L71" i="4" s="1"/>
  <c r="O69" i="3"/>
  <c r="K68" i="6"/>
  <c r="W68" i="6" s="1"/>
  <c r="U71" i="4" l="1"/>
  <c r="J71" i="4"/>
  <c r="K71" i="4" s="1"/>
  <c r="W71" i="4" s="1"/>
  <c r="I69" i="3"/>
  <c r="Q68" i="5"/>
  <c r="M68" i="5"/>
  <c r="C68" i="5"/>
  <c r="G68" i="5"/>
  <c r="AA69" i="5" s="1"/>
  <c r="R68" i="5"/>
  <c r="D68" i="5"/>
  <c r="E68" i="5"/>
  <c r="T68" i="6"/>
  <c r="X68" i="6"/>
  <c r="V71" i="4"/>
  <c r="N71" i="4"/>
  <c r="P68" i="5" l="1"/>
  <c r="U69" i="3"/>
  <c r="J69" i="3"/>
  <c r="K69" i="3" s="1"/>
  <c r="W69" i="3" s="1"/>
  <c r="F68" i="5"/>
  <c r="H68" i="5" s="1"/>
  <c r="L69" i="3"/>
  <c r="Q69" i="6"/>
  <c r="E69" i="6"/>
  <c r="P69" i="6" s="1"/>
  <c r="D69" i="6"/>
  <c r="R69" i="6"/>
  <c r="G69" i="6"/>
  <c r="M69" i="6"/>
  <c r="C69" i="6"/>
  <c r="Z68" i="6"/>
  <c r="T71" i="4"/>
  <c r="Z71" i="4" s="1"/>
  <c r="X71" i="4"/>
  <c r="F69" i="6" l="1"/>
  <c r="O68" i="5"/>
  <c r="V69" i="3"/>
  <c r="N69" i="3"/>
  <c r="X69" i="3"/>
  <c r="I68" i="5"/>
  <c r="U68" i="5" s="1"/>
  <c r="H69" i="6"/>
  <c r="I69" i="6" s="1"/>
  <c r="U69" i="6" s="1"/>
  <c r="O69" i="6"/>
  <c r="D72" i="4"/>
  <c r="M72" i="4"/>
  <c r="C72" i="4"/>
  <c r="G72" i="4"/>
  <c r="AA73" i="4" s="1"/>
  <c r="E72" i="4"/>
  <c r="F72" i="4" s="1"/>
  <c r="R72" i="4"/>
  <c r="Q72" i="4"/>
  <c r="AA70" i="6"/>
  <c r="Y69" i="6"/>
  <c r="L68" i="5" l="1"/>
  <c r="P72" i="4"/>
  <c r="V68" i="5"/>
  <c r="N68" i="5"/>
  <c r="T69" i="3"/>
  <c r="Z69" i="3"/>
  <c r="J68" i="5"/>
  <c r="J69" i="6"/>
  <c r="K69" i="6" s="1"/>
  <c r="W69" i="6" s="1"/>
  <c r="H72" i="4"/>
  <c r="L69" i="6"/>
  <c r="O72" i="4"/>
  <c r="E70" i="3" l="1"/>
  <c r="D70" i="3"/>
  <c r="R70" i="3"/>
  <c r="Q70" i="3"/>
  <c r="G70" i="3"/>
  <c r="AA71" i="3" s="1"/>
  <c r="C70" i="3"/>
  <c r="F70" i="3"/>
  <c r="K68" i="5"/>
  <c r="V69" i="6"/>
  <c r="N69" i="6"/>
  <c r="T69" i="6" s="1"/>
  <c r="Z69" i="6" s="1"/>
  <c r="I72" i="4"/>
  <c r="H70" i="3" l="1"/>
  <c r="I70" i="3" s="1"/>
  <c r="W68" i="5"/>
  <c r="X68" i="5"/>
  <c r="X69" i="6"/>
  <c r="T68" i="5"/>
  <c r="O70" i="3"/>
  <c r="Z68" i="5"/>
  <c r="P70" i="3"/>
  <c r="M70" i="6"/>
  <c r="C70" i="6"/>
  <c r="D70" i="6"/>
  <c r="R70" i="6"/>
  <c r="Q70" i="6"/>
  <c r="E70" i="6"/>
  <c r="P70" i="6" s="1"/>
  <c r="G70" i="6"/>
  <c r="F70" i="6"/>
  <c r="O70" i="6" s="1"/>
  <c r="U72" i="4"/>
  <c r="J72" i="4"/>
  <c r="K72" i="4" s="1"/>
  <c r="W72" i="4" s="1"/>
  <c r="L72" i="4"/>
  <c r="U70" i="3" l="1"/>
  <c r="L70" i="3"/>
  <c r="J70" i="3"/>
  <c r="K70" i="3" s="1"/>
  <c r="W70" i="3" s="1"/>
  <c r="C69" i="5"/>
  <c r="M69" i="5"/>
  <c r="G69" i="5"/>
  <c r="AA70" i="5" s="1"/>
  <c r="Q69" i="5"/>
  <c r="R69" i="5"/>
  <c r="E69" i="5"/>
  <c r="F69" i="5" s="1"/>
  <c r="O69" i="5" s="1"/>
  <c r="D69" i="5"/>
  <c r="Y70" i="6"/>
  <c r="AA71" i="6"/>
  <c r="H70" i="6"/>
  <c r="V72" i="4"/>
  <c r="N72" i="4"/>
  <c r="T72" i="4" s="1"/>
  <c r="Z72" i="4"/>
  <c r="X72" i="4"/>
  <c r="N70" i="3" l="1"/>
  <c r="V70" i="3"/>
  <c r="H69" i="5"/>
  <c r="P69" i="5"/>
  <c r="Q73" i="4"/>
  <c r="G73" i="4"/>
  <c r="AA74" i="4" s="1"/>
  <c r="R73" i="4"/>
  <c r="M73" i="4"/>
  <c r="E73" i="4"/>
  <c r="P73" i="4" s="1"/>
  <c r="D73" i="4"/>
  <c r="C73" i="4"/>
  <c r="I70" i="6"/>
  <c r="L70" i="6" s="1"/>
  <c r="F73" i="4" l="1"/>
  <c r="O73" i="4" s="1"/>
  <c r="X70" i="3"/>
  <c r="T70" i="3"/>
  <c r="I69" i="5"/>
  <c r="V70" i="6"/>
  <c r="N70" i="6"/>
  <c r="H73" i="4"/>
  <c r="U70" i="6"/>
  <c r="J70" i="6"/>
  <c r="K70" i="6" s="1"/>
  <c r="W70" i="6" s="1"/>
  <c r="R71" i="3" l="1"/>
  <c r="E71" i="3"/>
  <c r="D71" i="3"/>
  <c r="C71" i="3"/>
  <c r="Z70" i="3"/>
  <c r="Q71" i="3"/>
  <c r="G71" i="3"/>
  <c r="AA72" i="3" s="1"/>
  <c r="U69" i="5"/>
  <c r="J69" i="5"/>
  <c r="K69" i="5" s="1"/>
  <c r="W69" i="5" s="1"/>
  <c r="L69" i="5"/>
  <c r="T70" i="6"/>
  <c r="Z70" i="6" s="1"/>
  <c r="X70" i="6"/>
  <c r="I73" i="4"/>
  <c r="F71" i="3" l="1"/>
  <c r="H71" i="3"/>
  <c r="P71" i="3"/>
  <c r="V69" i="5"/>
  <c r="N69" i="5"/>
  <c r="U73" i="4"/>
  <c r="J73" i="4"/>
  <c r="K73" i="4" s="1"/>
  <c r="W73" i="4" s="1"/>
  <c r="L73" i="4"/>
  <c r="R71" i="6"/>
  <c r="G71" i="6"/>
  <c r="Q71" i="6"/>
  <c r="E71" i="6"/>
  <c r="D71" i="6"/>
  <c r="M71" i="6"/>
  <c r="C71" i="6"/>
  <c r="O71" i="3" l="1"/>
  <c r="I71" i="3"/>
  <c r="T69" i="5"/>
  <c r="Z69" i="5"/>
  <c r="X69" i="5"/>
  <c r="P71" i="6"/>
  <c r="AA72" i="6"/>
  <c r="Y71" i="6"/>
  <c r="V73" i="4"/>
  <c r="N73" i="4"/>
  <c r="F71" i="6"/>
  <c r="U71" i="3" l="1"/>
  <c r="J71" i="3"/>
  <c r="K71" i="3" s="1"/>
  <c r="L71" i="3"/>
  <c r="C70" i="5"/>
  <c r="R70" i="5"/>
  <c r="Q70" i="5"/>
  <c r="G70" i="5"/>
  <c r="AA71" i="5" s="1"/>
  <c r="E70" i="5"/>
  <c r="P70" i="5" s="1"/>
  <c r="D70" i="5"/>
  <c r="M70" i="5"/>
  <c r="T73" i="4"/>
  <c r="Z73" i="4" s="1"/>
  <c r="X73" i="4"/>
  <c r="W71" i="3"/>
  <c r="O71" i="6"/>
  <c r="H71" i="6"/>
  <c r="V71" i="3" l="1"/>
  <c r="N71" i="3"/>
  <c r="T71" i="3"/>
  <c r="F70" i="5"/>
  <c r="D74" i="4"/>
  <c r="C74" i="4"/>
  <c r="M74" i="4"/>
  <c r="P74" i="4"/>
  <c r="E74" i="4"/>
  <c r="G74" i="4"/>
  <c r="AA75" i="4" s="1"/>
  <c r="R74" i="4"/>
  <c r="Q74" i="4"/>
  <c r="I71" i="6"/>
  <c r="R72" i="3" l="1"/>
  <c r="E72" i="3"/>
  <c r="D72" i="3"/>
  <c r="G72" i="3"/>
  <c r="AA73" i="3" s="1"/>
  <c r="C72" i="3"/>
  <c r="Q72" i="3"/>
  <c r="X71" i="3"/>
  <c r="Z71" i="3"/>
  <c r="F74" i="4"/>
  <c r="O74" i="4" s="1"/>
  <c r="O70" i="5"/>
  <c r="H70" i="5"/>
  <c r="I70" i="5"/>
  <c r="U70" i="5" s="1"/>
  <c r="U71" i="6"/>
  <c r="J71" i="6"/>
  <c r="K71" i="6" s="1"/>
  <c r="W71" i="6" s="1"/>
  <c r="L71" i="6"/>
  <c r="F72" i="3" l="1"/>
  <c r="H72" i="3"/>
  <c r="P72" i="3"/>
  <c r="L70" i="5"/>
  <c r="J70" i="5"/>
  <c r="K70" i="5" s="1"/>
  <c r="W70" i="5" s="1"/>
  <c r="H74" i="4"/>
  <c r="V71" i="6"/>
  <c r="N71" i="6"/>
  <c r="T71" i="6" s="1"/>
  <c r="I72" i="3" l="1"/>
  <c r="U72" i="3" s="1"/>
  <c r="L72" i="3"/>
  <c r="O72" i="3"/>
  <c r="J72" i="3"/>
  <c r="K72" i="3" s="1"/>
  <c r="W72" i="3" s="1"/>
  <c r="Z71" i="6"/>
  <c r="I74" i="4"/>
  <c r="V70" i="5"/>
  <c r="N70" i="5"/>
  <c r="T70" i="5" s="1"/>
  <c r="C72" i="6"/>
  <c r="M72" i="6"/>
  <c r="D72" i="6"/>
  <c r="R72" i="6"/>
  <c r="Q72" i="6"/>
  <c r="G72" i="6"/>
  <c r="E72" i="6"/>
  <c r="F72" i="6" s="1"/>
  <c r="X71" i="6"/>
  <c r="V72" i="3" l="1"/>
  <c r="N72" i="3"/>
  <c r="P72" i="6"/>
  <c r="J74" i="4"/>
  <c r="U74" i="4"/>
  <c r="X70" i="5"/>
  <c r="Z70" i="5"/>
  <c r="E71" i="5"/>
  <c r="P71" i="5" s="1"/>
  <c r="D71" i="5"/>
  <c r="M71" i="5"/>
  <c r="R71" i="5"/>
  <c r="Q71" i="5"/>
  <c r="C71" i="5"/>
  <c r="G71" i="5"/>
  <c r="AA72" i="5" s="1"/>
  <c r="L74" i="4"/>
  <c r="O72" i="6"/>
  <c r="H72" i="6"/>
  <c r="Y72" i="6"/>
  <c r="AA73" i="6"/>
  <c r="T72" i="3" l="1"/>
  <c r="X72" i="3"/>
  <c r="V74" i="4"/>
  <c r="N74" i="4"/>
  <c r="K74" i="4"/>
  <c r="W74" i="4" s="1"/>
  <c r="F71" i="5"/>
  <c r="X74" i="4"/>
  <c r="I72" i="6"/>
  <c r="L72" i="6" s="1"/>
  <c r="Z72" i="3" l="1"/>
  <c r="G73" i="3"/>
  <c r="AA74" i="3" s="1"/>
  <c r="E73" i="3"/>
  <c r="D73" i="3"/>
  <c r="R73" i="3"/>
  <c r="C73" i="3"/>
  <c r="Q73" i="3"/>
  <c r="O71" i="5"/>
  <c r="H71" i="5"/>
  <c r="I71" i="5" s="1"/>
  <c r="T74" i="4"/>
  <c r="V72" i="6"/>
  <c r="N72" i="6"/>
  <c r="U72" i="6"/>
  <c r="J72" i="6"/>
  <c r="P73" i="3" l="1"/>
  <c r="F73" i="3"/>
  <c r="U71" i="5"/>
  <c r="J71" i="5"/>
  <c r="K71" i="5" s="1"/>
  <c r="D75" i="4"/>
  <c r="R75" i="4"/>
  <c r="Q75" i="4"/>
  <c r="M75" i="4"/>
  <c r="C75" i="4"/>
  <c r="F75" i="4" s="1"/>
  <c r="G75" i="4"/>
  <c r="AA76" i="4" s="1"/>
  <c r="E75" i="4"/>
  <c r="Z74" i="4"/>
  <c r="L71" i="5"/>
  <c r="K72" i="6"/>
  <c r="W72" i="6" s="1"/>
  <c r="H73" i="3" l="1"/>
  <c r="O73" i="3"/>
  <c r="P75" i="4"/>
  <c r="O75" i="4"/>
  <c r="X72" i="6"/>
  <c r="V71" i="5"/>
  <c r="N71" i="5"/>
  <c r="X71" i="5" s="1"/>
  <c r="H75" i="4"/>
  <c r="I75" i="4" s="1"/>
  <c r="U75" i="4" s="1"/>
  <c r="W71" i="5"/>
  <c r="T72" i="6"/>
  <c r="Z72" i="6" s="1"/>
  <c r="T71" i="5" l="1"/>
  <c r="Z71" i="5" s="1"/>
  <c r="I73" i="3"/>
  <c r="L73" i="3"/>
  <c r="L75" i="4"/>
  <c r="J75" i="4"/>
  <c r="K75" i="4" s="1"/>
  <c r="W75" i="4" s="1"/>
  <c r="C72" i="5"/>
  <c r="D72" i="5"/>
  <c r="E72" i="5"/>
  <c r="F72" i="5" s="1"/>
  <c r="O72" i="5" s="1"/>
  <c r="M72" i="5"/>
  <c r="R72" i="5"/>
  <c r="Q72" i="5"/>
  <c r="G72" i="5"/>
  <c r="AA73" i="5" s="1"/>
  <c r="D73" i="6"/>
  <c r="M73" i="6"/>
  <c r="G73" i="6"/>
  <c r="E73" i="6"/>
  <c r="C73" i="6"/>
  <c r="R73" i="6"/>
  <c r="Q73" i="6"/>
  <c r="V73" i="3" l="1"/>
  <c r="N73" i="3"/>
  <c r="F73" i="6"/>
  <c r="U73" i="3"/>
  <c r="J73" i="3"/>
  <c r="P72" i="5"/>
  <c r="X75" i="4"/>
  <c r="H72" i="5"/>
  <c r="V75" i="4"/>
  <c r="N75" i="4"/>
  <c r="T75" i="4" s="1"/>
  <c r="AA74" i="6"/>
  <c r="Y73" i="6"/>
  <c r="H73" i="6"/>
  <c r="I73" i="6" s="1"/>
  <c r="U73" i="6" s="1"/>
  <c r="O73" i="6"/>
  <c r="P73" i="6"/>
  <c r="K73" i="3" l="1"/>
  <c r="W73" i="3" s="1"/>
  <c r="X73" i="3"/>
  <c r="T73" i="3"/>
  <c r="Z73" i="3" s="1"/>
  <c r="D76" i="4"/>
  <c r="M76" i="4"/>
  <c r="Q76" i="4"/>
  <c r="E76" i="4"/>
  <c r="P76" i="4" s="1"/>
  <c r="C76" i="4"/>
  <c r="G76" i="4"/>
  <c r="AA77" i="4" s="1"/>
  <c r="R76" i="4"/>
  <c r="Z75" i="4"/>
  <c r="I72" i="5"/>
  <c r="L73" i="6"/>
  <c r="J73" i="6"/>
  <c r="K73" i="6" s="1"/>
  <c r="W73" i="6" s="1"/>
  <c r="F76" i="4" l="1"/>
  <c r="D74" i="3"/>
  <c r="C74" i="3"/>
  <c r="Q74" i="3"/>
  <c r="R74" i="3"/>
  <c r="G74" i="3"/>
  <c r="AA75" i="3" s="1"/>
  <c r="E74" i="3"/>
  <c r="P74" i="3" s="1"/>
  <c r="F74" i="3"/>
  <c r="O76" i="4"/>
  <c r="U72" i="5"/>
  <c r="J72" i="5"/>
  <c r="K72" i="5" s="1"/>
  <c r="W72" i="5" s="1"/>
  <c r="H76" i="4"/>
  <c r="L72" i="5"/>
  <c r="V73" i="6"/>
  <c r="N73" i="6"/>
  <c r="H74" i="3" l="1"/>
  <c r="O74" i="3"/>
  <c r="V72" i="5"/>
  <c r="N72" i="5"/>
  <c r="I76" i="4"/>
  <c r="L76" i="4"/>
  <c r="T73" i="6"/>
  <c r="X73" i="6"/>
  <c r="I74" i="3" l="1"/>
  <c r="L74" i="3"/>
  <c r="V76" i="4"/>
  <c r="N76" i="4"/>
  <c r="T72" i="5"/>
  <c r="Z72" i="5"/>
  <c r="X72" i="5"/>
  <c r="U76" i="4"/>
  <c r="J76" i="4"/>
  <c r="Q74" i="6"/>
  <c r="G74" i="6"/>
  <c r="E74" i="6"/>
  <c r="P74" i="6" s="1"/>
  <c r="D74" i="6"/>
  <c r="C74" i="6"/>
  <c r="M74" i="6"/>
  <c r="R74" i="6"/>
  <c r="Z73" i="6"/>
  <c r="U74" i="3" l="1"/>
  <c r="J74" i="3"/>
  <c r="V74" i="3"/>
  <c r="N74" i="3"/>
  <c r="R73" i="5"/>
  <c r="G73" i="5"/>
  <c r="AA74" i="5" s="1"/>
  <c r="M73" i="5"/>
  <c r="E73" i="5"/>
  <c r="D73" i="5"/>
  <c r="Q73" i="5"/>
  <c r="C73" i="5"/>
  <c r="K76" i="4"/>
  <c r="W76" i="4" s="1"/>
  <c r="X76" i="4"/>
  <c r="AA75" i="6"/>
  <c r="Y74" i="6"/>
  <c r="F74" i="6"/>
  <c r="K74" i="3" l="1"/>
  <c r="T74" i="3"/>
  <c r="T76" i="4"/>
  <c r="F73" i="5"/>
  <c r="P73" i="5"/>
  <c r="O74" i="6"/>
  <c r="H74" i="6"/>
  <c r="I74" i="6" s="1"/>
  <c r="U74" i="6" s="1"/>
  <c r="C75" i="3" l="1"/>
  <c r="F75" i="3" s="1"/>
  <c r="R75" i="3"/>
  <c r="Q75" i="3"/>
  <c r="G75" i="3"/>
  <c r="AA76" i="3" s="1"/>
  <c r="D75" i="3"/>
  <c r="E75" i="3"/>
  <c r="P75" i="3"/>
  <c r="Z74" i="3"/>
  <c r="W74" i="3"/>
  <c r="X74" i="3"/>
  <c r="O73" i="5"/>
  <c r="H73" i="5"/>
  <c r="I73" i="5" s="1"/>
  <c r="C77" i="4"/>
  <c r="F77" i="4" s="1"/>
  <c r="Q77" i="4"/>
  <c r="M77" i="4"/>
  <c r="E77" i="4"/>
  <c r="D77" i="4"/>
  <c r="R77" i="4"/>
  <c r="G77" i="4"/>
  <c r="AA78" i="4" s="1"/>
  <c r="Z76" i="4"/>
  <c r="J74" i="6"/>
  <c r="L74" i="6"/>
  <c r="O75" i="3" l="1"/>
  <c r="H75" i="3"/>
  <c r="I75" i="3"/>
  <c r="U75" i="3" s="1"/>
  <c r="O77" i="4"/>
  <c r="U73" i="5"/>
  <c r="J73" i="5"/>
  <c r="K73" i="5" s="1"/>
  <c r="W73" i="5" s="1"/>
  <c r="H77" i="4"/>
  <c r="L73" i="5"/>
  <c r="P77" i="4"/>
  <c r="V74" i="6"/>
  <c r="N74" i="6"/>
  <c r="K74" i="6"/>
  <c r="J75" i="3" l="1"/>
  <c r="K75" i="3" s="1"/>
  <c r="W75" i="3" s="1"/>
  <c r="L75" i="3"/>
  <c r="V73" i="5"/>
  <c r="N73" i="5"/>
  <c r="T73" i="5" s="1"/>
  <c r="Z73" i="5" s="1"/>
  <c r="T74" i="6"/>
  <c r="R75" i="6" s="1"/>
  <c r="I77" i="4"/>
  <c r="L77" i="4" s="1"/>
  <c r="W74" i="6"/>
  <c r="X74" i="6"/>
  <c r="C75" i="6" l="1"/>
  <c r="V75" i="3"/>
  <c r="N75" i="3"/>
  <c r="D75" i="6"/>
  <c r="U77" i="4"/>
  <c r="J77" i="4"/>
  <c r="K77" i="4" s="1"/>
  <c r="W77" i="4" s="1"/>
  <c r="Z74" i="6"/>
  <c r="V77" i="4"/>
  <c r="N77" i="4"/>
  <c r="T77" i="4" s="1"/>
  <c r="E75" i="6"/>
  <c r="P75" i="6" s="1"/>
  <c r="Q74" i="5"/>
  <c r="E74" i="5"/>
  <c r="D74" i="5"/>
  <c r="R74" i="5"/>
  <c r="M74" i="5"/>
  <c r="G74" i="5"/>
  <c r="AA75" i="5" s="1"/>
  <c r="C74" i="5"/>
  <c r="F74" i="5" s="1"/>
  <c r="O74" i="5" s="1"/>
  <c r="Q75" i="6"/>
  <c r="M75" i="6"/>
  <c r="G75" i="6"/>
  <c r="Y75" i="6" s="1"/>
  <c r="X73" i="5"/>
  <c r="X77" i="4"/>
  <c r="X75" i="3" l="1"/>
  <c r="T75" i="3"/>
  <c r="Z75" i="3"/>
  <c r="E78" i="4"/>
  <c r="C78" i="4"/>
  <c r="F78" i="4" s="1"/>
  <c r="D78" i="4"/>
  <c r="M78" i="4"/>
  <c r="G78" i="4"/>
  <c r="AA79" i="4" s="1"/>
  <c r="Q78" i="4"/>
  <c r="R78" i="4"/>
  <c r="P74" i="5"/>
  <c r="AA76" i="6"/>
  <c r="H74" i="5"/>
  <c r="I74" i="5"/>
  <c r="U74" i="5" s="1"/>
  <c r="F75" i="6"/>
  <c r="Z77" i="4"/>
  <c r="O75" i="6"/>
  <c r="H78" i="4" l="1"/>
  <c r="O78" i="4"/>
  <c r="H75" i="6"/>
  <c r="I75" i="6" s="1"/>
  <c r="D76" i="3"/>
  <c r="Q76" i="3"/>
  <c r="R76" i="3"/>
  <c r="C76" i="3"/>
  <c r="H76" i="3" s="1"/>
  <c r="E76" i="3"/>
  <c r="F76" i="3" s="1"/>
  <c r="G76" i="3"/>
  <c r="AA77" i="3" s="1"/>
  <c r="I78" i="4"/>
  <c r="U78" i="4" s="1"/>
  <c r="L74" i="5"/>
  <c r="J74" i="5"/>
  <c r="K74" i="5" s="1"/>
  <c r="W74" i="5" s="1"/>
  <c r="P78" i="4"/>
  <c r="U75" i="6" l="1"/>
  <c r="J75" i="6"/>
  <c r="K75" i="6" s="1"/>
  <c r="W75" i="6" s="1"/>
  <c r="L75" i="6"/>
  <c r="V75" i="6" s="1"/>
  <c r="J78" i="4"/>
  <c r="I76" i="3"/>
  <c r="O76" i="3"/>
  <c r="P76" i="3"/>
  <c r="V74" i="5"/>
  <c r="N74" i="5"/>
  <c r="L78" i="4"/>
  <c r="K78" i="4"/>
  <c r="L76" i="3" l="1"/>
  <c r="U76" i="3"/>
  <c r="N75" i="6"/>
  <c r="J76" i="3"/>
  <c r="K76" i="3" s="1"/>
  <c r="W76" i="3" s="1"/>
  <c r="V78" i="4"/>
  <c r="N78" i="4"/>
  <c r="T78" i="4" s="1"/>
  <c r="R79" i="4" s="1"/>
  <c r="T74" i="5"/>
  <c r="X74" i="5"/>
  <c r="W78" i="4"/>
  <c r="X78" i="4"/>
  <c r="T75" i="6" l="1"/>
  <c r="X75" i="6"/>
  <c r="Z75" i="6"/>
  <c r="D79" i="4"/>
  <c r="G79" i="4"/>
  <c r="AA80" i="4" s="1"/>
  <c r="M79" i="4"/>
  <c r="E79" i="4"/>
  <c r="Z78" i="4"/>
  <c r="Q79" i="4"/>
  <c r="X76" i="3"/>
  <c r="V76" i="3"/>
  <c r="N76" i="3"/>
  <c r="T76" i="3" s="1"/>
  <c r="C79" i="4"/>
  <c r="G75" i="5"/>
  <c r="AA76" i="5" s="1"/>
  <c r="E75" i="5"/>
  <c r="P75" i="5" s="1"/>
  <c r="R75" i="5"/>
  <c r="D75" i="5"/>
  <c r="C75" i="5"/>
  <c r="Q75" i="5"/>
  <c r="M75" i="5"/>
  <c r="Z74" i="5"/>
  <c r="P79" i="4" l="1"/>
  <c r="E77" i="3"/>
  <c r="C77" i="3"/>
  <c r="R77" i="3"/>
  <c r="Q77" i="3"/>
  <c r="P77" i="3"/>
  <c r="D77" i="3"/>
  <c r="G77" i="3"/>
  <c r="AA78" i="3" s="1"/>
  <c r="Z76" i="3"/>
  <c r="C76" i="6"/>
  <c r="R76" i="6"/>
  <c r="G76" i="6"/>
  <c r="Q76" i="6"/>
  <c r="E76" i="6"/>
  <c r="D76" i="6"/>
  <c r="M76" i="6"/>
  <c r="F79" i="4"/>
  <c r="F75" i="5"/>
  <c r="P76" i="6" l="1"/>
  <c r="F76" i="6"/>
  <c r="H76" i="6"/>
  <c r="I76" i="6"/>
  <c r="U76" i="6" s="1"/>
  <c r="O79" i="4"/>
  <c r="Y76" i="6"/>
  <c r="AA77" i="6"/>
  <c r="F77" i="3"/>
  <c r="H79" i="4"/>
  <c r="I79" i="4" s="1"/>
  <c r="O75" i="5"/>
  <c r="H75" i="5"/>
  <c r="I75" i="5" s="1"/>
  <c r="U79" i="4" l="1"/>
  <c r="L79" i="4"/>
  <c r="J79" i="4"/>
  <c r="L76" i="6"/>
  <c r="O76" i="6"/>
  <c r="J76" i="6"/>
  <c r="K76" i="6" s="1"/>
  <c r="W76" i="6" s="1"/>
  <c r="O77" i="3"/>
  <c r="H77" i="3"/>
  <c r="U75" i="5"/>
  <c r="J75" i="5"/>
  <c r="K75" i="5" s="1"/>
  <c r="W75" i="5" s="1"/>
  <c r="L75" i="5"/>
  <c r="K79" i="4"/>
  <c r="W79" i="4" s="1"/>
  <c r="V79" i="4"/>
  <c r="N79" i="4"/>
  <c r="T79" i="4" s="1"/>
  <c r="V76" i="6" l="1"/>
  <c r="N76" i="6"/>
  <c r="I77" i="3"/>
  <c r="L77" i="3"/>
  <c r="V75" i="5"/>
  <c r="N75" i="5"/>
  <c r="R80" i="4"/>
  <c r="G80" i="4"/>
  <c r="AA81" i="4" s="1"/>
  <c r="Q80" i="4"/>
  <c r="E80" i="4"/>
  <c r="M80" i="4"/>
  <c r="D80" i="4"/>
  <c r="C80" i="4"/>
  <c r="F80" i="4" s="1"/>
  <c r="Z79" i="4"/>
  <c r="X79" i="4"/>
  <c r="U77" i="3" l="1"/>
  <c r="J77" i="3"/>
  <c r="T76" i="6"/>
  <c r="Z76" i="6"/>
  <c r="P80" i="4"/>
  <c r="V77" i="3"/>
  <c r="N77" i="3"/>
  <c r="X76" i="6"/>
  <c r="T75" i="5"/>
  <c r="X75" i="5"/>
  <c r="Z75" i="5"/>
  <c r="H80" i="4"/>
  <c r="O80" i="4"/>
  <c r="K77" i="3" l="1"/>
  <c r="W77" i="3" s="1"/>
  <c r="Q77" i="6"/>
  <c r="R77" i="6"/>
  <c r="C77" i="6"/>
  <c r="F77" i="6" s="1"/>
  <c r="M77" i="6"/>
  <c r="E77" i="6"/>
  <c r="P77" i="6" s="1"/>
  <c r="G77" i="6"/>
  <c r="D77" i="6"/>
  <c r="H77" i="6" s="1"/>
  <c r="T77" i="3"/>
  <c r="Z77" i="3" s="1"/>
  <c r="X77" i="3"/>
  <c r="G76" i="5"/>
  <c r="AA77" i="5" s="1"/>
  <c r="Q76" i="5"/>
  <c r="E76" i="5"/>
  <c r="R76" i="5"/>
  <c r="C76" i="5"/>
  <c r="M76" i="5"/>
  <c r="D76" i="5"/>
  <c r="I80" i="4"/>
  <c r="O77" i="6" l="1"/>
  <c r="I77" i="6"/>
  <c r="U77" i="6" s="1"/>
  <c r="AA78" i="6"/>
  <c r="Y77" i="6"/>
  <c r="D78" i="3"/>
  <c r="C78" i="3"/>
  <c r="G78" i="3"/>
  <c r="AA79" i="3" s="1"/>
  <c r="E78" i="3"/>
  <c r="P78" i="3" s="1"/>
  <c r="R78" i="3"/>
  <c r="Q78" i="3"/>
  <c r="F76" i="5"/>
  <c r="P76" i="5"/>
  <c r="U80" i="4"/>
  <c r="J80" i="4"/>
  <c r="K80" i="4" s="1"/>
  <c r="W80" i="4" s="1"/>
  <c r="L80" i="4"/>
  <c r="F78" i="3" l="1"/>
  <c r="H78" i="3"/>
  <c r="J77" i="6"/>
  <c r="K77" i="6" s="1"/>
  <c r="L77" i="6"/>
  <c r="O76" i="5"/>
  <c r="H76" i="5"/>
  <c r="V80" i="4"/>
  <c r="N80" i="4"/>
  <c r="T80" i="4" s="1"/>
  <c r="W77" i="6"/>
  <c r="N77" i="6" l="1"/>
  <c r="V77" i="6"/>
  <c r="O78" i="3"/>
  <c r="I78" i="3"/>
  <c r="U78" i="3" s="1"/>
  <c r="L78" i="3"/>
  <c r="I76" i="5"/>
  <c r="L76" i="5" s="1"/>
  <c r="M81" i="4"/>
  <c r="C81" i="4"/>
  <c r="E81" i="4"/>
  <c r="F81" i="4" s="1"/>
  <c r="D81" i="4"/>
  <c r="R81" i="4"/>
  <c r="Q81" i="4"/>
  <c r="G81" i="4"/>
  <c r="AA82" i="4" s="1"/>
  <c r="Z80" i="4"/>
  <c r="X80" i="4"/>
  <c r="J78" i="3" l="1"/>
  <c r="K78" i="3" s="1"/>
  <c r="W78" i="3" s="1"/>
  <c r="T77" i="6"/>
  <c r="Z77" i="6"/>
  <c r="V78" i="3"/>
  <c r="N78" i="3"/>
  <c r="T78" i="3" s="1"/>
  <c r="Z78" i="3"/>
  <c r="X77" i="6"/>
  <c r="V76" i="5"/>
  <c r="N76" i="5"/>
  <c r="U76" i="5"/>
  <c r="J76" i="5"/>
  <c r="H81" i="4"/>
  <c r="I81" i="4"/>
  <c r="O81" i="4"/>
  <c r="P81" i="4"/>
  <c r="G79" i="3" l="1"/>
  <c r="AA80" i="3" s="1"/>
  <c r="Q79" i="3"/>
  <c r="R79" i="3"/>
  <c r="C79" i="3"/>
  <c r="E79" i="3"/>
  <c r="F79" i="3" s="1"/>
  <c r="O79" i="3" s="1"/>
  <c r="D79" i="3"/>
  <c r="H79" i="3"/>
  <c r="M78" i="6"/>
  <c r="R78" i="6"/>
  <c r="Q78" i="6"/>
  <c r="C78" i="6"/>
  <c r="F78" i="6" s="1"/>
  <c r="D78" i="6"/>
  <c r="G78" i="6"/>
  <c r="E78" i="6"/>
  <c r="P78" i="6"/>
  <c r="X78" i="3"/>
  <c r="K76" i="5"/>
  <c r="W76" i="5" s="1"/>
  <c r="U81" i="4"/>
  <c r="J81" i="4"/>
  <c r="K81" i="4" s="1"/>
  <c r="W81" i="4" s="1"/>
  <c r="L81" i="4"/>
  <c r="H78" i="6" l="1"/>
  <c r="O78" i="6"/>
  <c r="I79" i="3"/>
  <c r="U79" i="3" s="1"/>
  <c r="AA79" i="6"/>
  <c r="Y78" i="6"/>
  <c r="T76" i="5"/>
  <c r="I78" i="6"/>
  <c r="U78" i="6" s="1"/>
  <c r="P79" i="3"/>
  <c r="X76" i="5"/>
  <c r="E77" i="5"/>
  <c r="V81" i="4"/>
  <c r="N81" i="4"/>
  <c r="T81" i="4" s="1"/>
  <c r="D77" i="5" l="1"/>
  <c r="M77" i="5"/>
  <c r="J79" i="3"/>
  <c r="K79" i="3" s="1"/>
  <c r="W79" i="3" s="1"/>
  <c r="G77" i="5"/>
  <c r="AA78" i="5" s="1"/>
  <c r="Z76" i="5"/>
  <c r="R77" i="5"/>
  <c r="C77" i="5"/>
  <c r="F77" i="5" s="1"/>
  <c r="Q77" i="5"/>
  <c r="L78" i="6"/>
  <c r="J78" i="6"/>
  <c r="L79" i="3"/>
  <c r="P77" i="5"/>
  <c r="D82" i="4"/>
  <c r="R82" i="4"/>
  <c r="G82" i="4"/>
  <c r="AA83" i="4" s="1"/>
  <c r="Q82" i="4"/>
  <c r="M82" i="4"/>
  <c r="E82" i="4"/>
  <c r="C82" i="4"/>
  <c r="Z81" i="4"/>
  <c r="X81" i="4"/>
  <c r="O77" i="5" l="1"/>
  <c r="V79" i="3"/>
  <c r="N79" i="3"/>
  <c r="K78" i="6"/>
  <c r="W78" i="6" s="1"/>
  <c r="X78" i="6"/>
  <c r="P82" i="4"/>
  <c r="H77" i="5"/>
  <c r="N78" i="6"/>
  <c r="V78" i="6"/>
  <c r="F82" i="4"/>
  <c r="H82" i="4" s="1"/>
  <c r="I82" i="4" s="1"/>
  <c r="O82" i="4"/>
  <c r="I77" i="5" l="1"/>
  <c r="T79" i="3"/>
  <c r="X79" i="3"/>
  <c r="Z79" i="3"/>
  <c r="T78" i="6"/>
  <c r="U82" i="4"/>
  <c r="J82" i="4"/>
  <c r="K82" i="4" s="1"/>
  <c r="W82" i="4" s="1"/>
  <c r="L82" i="4"/>
  <c r="C80" i="3" l="1"/>
  <c r="D80" i="3"/>
  <c r="G80" i="3"/>
  <c r="AA81" i="3" s="1"/>
  <c r="E80" i="3"/>
  <c r="F80" i="3" s="1"/>
  <c r="O80" i="3" s="1"/>
  <c r="R80" i="3"/>
  <c r="P80" i="3"/>
  <c r="Q80" i="3"/>
  <c r="U77" i="5"/>
  <c r="J77" i="5"/>
  <c r="K77" i="5" s="1"/>
  <c r="W77" i="5" s="1"/>
  <c r="L77" i="5"/>
  <c r="Z78" i="6"/>
  <c r="E79" i="6"/>
  <c r="P79" i="6" s="1"/>
  <c r="D79" i="6"/>
  <c r="R79" i="6"/>
  <c r="Q79" i="6"/>
  <c r="C79" i="6"/>
  <c r="F79" i="6" s="1"/>
  <c r="M79" i="6"/>
  <c r="G79" i="6"/>
  <c r="V82" i="4"/>
  <c r="N82" i="4"/>
  <c r="T82" i="4" s="1"/>
  <c r="O79" i="6" l="1"/>
  <c r="H79" i="6"/>
  <c r="I79" i="6"/>
  <c r="U79" i="6" s="1"/>
  <c r="H80" i="3"/>
  <c r="Z82" i="4"/>
  <c r="V77" i="5"/>
  <c r="N77" i="5"/>
  <c r="AA80" i="6"/>
  <c r="Y79" i="6"/>
  <c r="X82" i="4"/>
  <c r="Q83" i="4"/>
  <c r="G83" i="4"/>
  <c r="AA84" i="4" s="1"/>
  <c r="C83" i="4"/>
  <c r="P83" i="4" s="1"/>
  <c r="M83" i="4"/>
  <c r="D83" i="4"/>
  <c r="R83" i="4"/>
  <c r="E83" i="4"/>
  <c r="T77" i="5" l="1"/>
  <c r="X77" i="5"/>
  <c r="L79" i="6"/>
  <c r="I80" i="3"/>
  <c r="J79" i="6"/>
  <c r="F83" i="4"/>
  <c r="U80" i="3" l="1"/>
  <c r="J80" i="3"/>
  <c r="K80" i="3" s="1"/>
  <c r="W80" i="3" s="1"/>
  <c r="L80" i="3"/>
  <c r="V79" i="6"/>
  <c r="N79" i="6"/>
  <c r="K79" i="6"/>
  <c r="W79" i="6" s="1"/>
  <c r="X79" i="6"/>
  <c r="Z77" i="5"/>
  <c r="G78" i="5"/>
  <c r="AA79" i="5" s="1"/>
  <c r="C78" i="5"/>
  <c r="E78" i="5"/>
  <c r="F78" i="5" s="1"/>
  <c r="Q78" i="5"/>
  <c r="M78" i="5"/>
  <c r="R78" i="5"/>
  <c r="D78" i="5"/>
  <c r="P78" i="5"/>
  <c r="O83" i="4"/>
  <c r="H83" i="4"/>
  <c r="I83" i="4" s="1"/>
  <c r="U83" i="4" s="1"/>
  <c r="H78" i="5" l="1"/>
  <c r="T79" i="6"/>
  <c r="N80" i="3"/>
  <c r="T80" i="3" s="1"/>
  <c r="V80" i="3"/>
  <c r="O78" i="5"/>
  <c r="Z79" i="6"/>
  <c r="J83" i="4"/>
  <c r="K83" i="4" s="1"/>
  <c r="W83" i="4" s="1"/>
  <c r="L83" i="4"/>
  <c r="Q81" i="3" l="1"/>
  <c r="C81" i="3"/>
  <c r="H81" i="3" s="1"/>
  <c r="R81" i="3"/>
  <c r="D81" i="3"/>
  <c r="I81" i="3" s="1"/>
  <c r="E81" i="3"/>
  <c r="P81" i="3" s="1"/>
  <c r="G81" i="3"/>
  <c r="AA82" i="3" s="1"/>
  <c r="F81" i="3"/>
  <c r="J81" i="3" s="1"/>
  <c r="K81" i="3" s="1"/>
  <c r="W81" i="3" s="1"/>
  <c r="E80" i="6"/>
  <c r="M80" i="6"/>
  <c r="Q80" i="6"/>
  <c r="D80" i="6"/>
  <c r="G80" i="6"/>
  <c r="C80" i="6"/>
  <c r="F80" i="6" s="1"/>
  <c r="R80" i="6"/>
  <c r="X80" i="3"/>
  <c r="Z80" i="3"/>
  <c r="I78" i="5"/>
  <c r="V83" i="4"/>
  <c r="N83" i="4"/>
  <c r="X83" i="4"/>
  <c r="L81" i="3" l="1"/>
  <c r="V81" i="3" s="1"/>
  <c r="U81" i="3"/>
  <c r="O80" i="6"/>
  <c r="H80" i="6"/>
  <c r="O81" i="3"/>
  <c r="I80" i="6"/>
  <c r="U80" i="6" s="1"/>
  <c r="AA81" i="6"/>
  <c r="Y80" i="6"/>
  <c r="P80" i="6"/>
  <c r="U78" i="5"/>
  <c r="J78" i="5"/>
  <c r="K78" i="5" s="1"/>
  <c r="W78" i="5" s="1"/>
  <c r="L78" i="5"/>
  <c r="N81" i="3"/>
  <c r="T81" i="3" s="1"/>
  <c r="X81" i="3"/>
  <c r="T83" i="4"/>
  <c r="Z83" i="4" s="1"/>
  <c r="V78" i="5" l="1"/>
  <c r="N78" i="5"/>
  <c r="T78" i="5" s="1"/>
  <c r="L80" i="6"/>
  <c r="J80" i="6"/>
  <c r="K80" i="6" s="1"/>
  <c r="W80" i="6" s="1"/>
  <c r="Z78" i="5"/>
  <c r="R82" i="3"/>
  <c r="C82" i="3"/>
  <c r="D82" i="3"/>
  <c r="G82" i="3"/>
  <c r="AA83" i="3" s="1"/>
  <c r="E82" i="3"/>
  <c r="Q82" i="3"/>
  <c r="Z81" i="3"/>
  <c r="R84" i="4"/>
  <c r="G84" i="4"/>
  <c r="AA85" i="4" s="1"/>
  <c r="E84" i="4"/>
  <c r="P84" i="4" s="1"/>
  <c r="D84" i="4"/>
  <c r="C84" i="4"/>
  <c r="Q84" i="4"/>
  <c r="M84" i="4"/>
  <c r="N80" i="6" l="1"/>
  <c r="V80" i="6"/>
  <c r="Q79" i="5"/>
  <c r="E79" i="5"/>
  <c r="R79" i="5"/>
  <c r="C79" i="5"/>
  <c r="M79" i="5"/>
  <c r="D79" i="5"/>
  <c r="P79" i="5"/>
  <c r="F79" i="5"/>
  <c r="O79" i="5" s="1"/>
  <c r="G79" i="5"/>
  <c r="AA80" i="5" s="1"/>
  <c r="X78" i="5"/>
  <c r="P82" i="3"/>
  <c r="F82" i="3"/>
  <c r="H82" i="3" s="1"/>
  <c r="F84" i="4"/>
  <c r="H79" i="5" l="1"/>
  <c r="X80" i="6"/>
  <c r="T80" i="6"/>
  <c r="I82" i="3"/>
  <c r="U82" i="3" s="1"/>
  <c r="O82" i="3"/>
  <c r="O84" i="4"/>
  <c r="H84" i="4"/>
  <c r="Z80" i="6" l="1"/>
  <c r="E81" i="6"/>
  <c r="G81" i="6"/>
  <c r="M81" i="6"/>
  <c r="Q81" i="6"/>
  <c r="D81" i="6"/>
  <c r="C81" i="6"/>
  <c r="R81" i="6"/>
  <c r="I79" i="5"/>
  <c r="L82" i="3"/>
  <c r="J82" i="3"/>
  <c r="K82" i="3" s="1"/>
  <c r="W82" i="3" s="1"/>
  <c r="I84" i="4"/>
  <c r="L84" i="4" s="1"/>
  <c r="F81" i="6" l="1"/>
  <c r="O81" i="6" s="1"/>
  <c r="P81" i="6"/>
  <c r="AA82" i="6"/>
  <c r="Y81" i="6"/>
  <c r="U79" i="5"/>
  <c r="J79" i="5"/>
  <c r="K79" i="5" s="1"/>
  <c r="W79" i="5" s="1"/>
  <c r="L79" i="5"/>
  <c r="V82" i="3"/>
  <c r="N82" i="3"/>
  <c r="V84" i="4"/>
  <c r="N84" i="4"/>
  <c r="U84" i="4"/>
  <c r="J84" i="4"/>
  <c r="V79" i="5" l="1"/>
  <c r="N79" i="5"/>
  <c r="T79" i="5" s="1"/>
  <c r="H81" i="6"/>
  <c r="Z79" i="5"/>
  <c r="X79" i="5"/>
  <c r="I81" i="6"/>
  <c r="K84" i="4"/>
  <c r="W84" i="4" s="1"/>
  <c r="T82" i="3"/>
  <c r="X82" i="3"/>
  <c r="J81" i="6" l="1"/>
  <c r="K81" i="6" s="1"/>
  <c r="W81" i="6" s="1"/>
  <c r="U81" i="6"/>
  <c r="G80" i="5"/>
  <c r="AA81" i="5" s="1"/>
  <c r="R80" i="5"/>
  <c r="C80" i="5"/>
  <c r="F80" i="5" s="1"/>
  <c r="D80" i="5"/>
  <c r="Q80" i="5"/>
  <c r="M80" i="5"/>
  <c r="E80" i="5"/>
  <c r="P80" i="5" s="1"/>
  <c r="L81" i="6"/>
  <c r="X84" i="4"/>
  <c r="T84" i="4"/>
  <c r="Z84" i="4" s="1"/>
  <c r="R83" i="3"/>
  <c r="G83" i="3"/>
  <c r="AA84" i="3" s="1"/>
  <c r="D83" i="3"/>
  <c r="Q83" i="3"/>
  <c r="E83" i="3"/>
  <c r="C83" i="3"/>
  <c r="P83" i="3" s="1"/>
  <c r="Z82" i="3"/>
  <c r="O80" i="5" l="1"/>
  <c r="V81" i="6"/>
  <c r="N81" i="6"/>
  <c r="X81" i="6"/>
  <c r="H80" i="5"/>
  <c r="R85" i="4"/>
  <c r="G85" i="4"/>
  <c r="AA86" i="4" s="1"/>
  <c r="Q85" i="4"/>
  <c r="D85" i="4"/>
  <c r="E85" i="4"/>
  <c r="C85" i="4"/>
  <c r="M85" i="4"/>
  <c r="F83" i="3"/>
  <c r="T81" i="6" l="1"/>
  <c r="Z81" i="6"/>
  <c r="P85" i="4"/>
  <c r="I80" i="5"/>
  <c r="F85" i="4"/>
  <c r="O85" i="4"/>
  <c r="O83" i="3"/>
  <c r="H83" i="3"/>
  <c r="I83" i="3" s="1"/>
  <c r="U83" i="3" s="1"/>
  <c r="U80" i="5" l="1"/>
  <c r="J80" i="5"/>
  <c r="K80" i="5" s="1"/>
  <c r="W80" i="5" s="1"/>
  <c r="L80" i="5"/>
  <c r="G82" i="6"/>
  <c r="C82" i="6"/>
  <c r="M82" i="6"/>
  <c r="D82" i="6"/>
  <c r="Q82" i="6"/>
  <c r="E82" i="6"/>
  <c r="P82" i="6" s="1"/>
  <c r="R82" i="6"/>
  <c r="H85" i="4"/>
  <c r="J83" i="3"/>
  <c r="K83" i="3" s="1"/>
  <c r="W83" i="3" s="1"/>
  <c r="L83" i="3"/>
  <c r="Y82" i="6" l="1"/>
  <c r="AA83" i="6"/>
  <c r="F82" i="6"/>
  <c r="N80" i="5"/>
  <c r="V80" i="5"/>
  <c r="I85" i="4"/>
  <c r="V83" i="3"/>
  <c r="N83" i="3"/>
  <c r="T80" i="5" l="1"/>
  <c r="X80" i="5"/>
  <c r="O82" i="6"/>
  <c r="H82" i="6"/>
  <c r="U85" i="4"/>
  <c r="J85" i="4"/>
  <c r="K85" i="4" s="1"/>
  <c r="W85" i="4" s="1"/>
  <c r="L85" i="4"/>
  <c r="T83" i="3"/>
  <c r="Z83" i="3"/>
  <c r="X83" i="3"/>
  <c r="M81" i="5" l="1"/>
  <c r="D81" i="5"/>
  <c r="E81" i="5"/>
  <c r="Q81" i="5"/>
  <c r="G81" i="5"/>
  <c r="AA82" i="5" s="1"/>
  <c r="C81" i="5"/>
  <c r="R81" i="5"/>
  <c r="P81" i="5"/>
  <c r="Z80" i="5"/>
  <c r="I82" i="6"/>
  <c r="V85" i="4"/>
  <c r="N85" i="4"/>
  <c r="T85" i="4" s="1"/>
  <c r="D84" i="3"/>
  <c r="C84" i="3"/>
  <c r="G84" i="3"/>
  <c r="AA85" i="3" s="1"/>
  <c r="R84" i="3"/>
  <c r="Q84" i="3"/>
  <c r="E84" i="3"/>
  <c r="P84" i="3" s="1"/>
  <c r="U82" i="6" l="1"/>
  <c r="J82" i="6"/>
  <c r="K82" i="6" s="1"/>
  <c r="W82" i="6" s="1"/>
  <c r="L82" i="6"/>
  <c r="F81" i="5"/>
  <c r="G86" i="4"/>
  <c r="AA87" i="4" s="1"/>
  <c r="E86" i="4"/>
  <c r="P86" i="4" s="1"/>
  <c r="C86" i="4"/>
  <c r="R86" i="4"/>
  <c r="Q86" i="4"/>
  <c r="M86" i="4"/>
  <c r="D86" i="4"/>
  <c r="X85" i="4"/>
  <c r="Z85" i="4"/>
  <c r="F84" i="3"/>
  <c r="O81" i="5" l="1"/>
  <c r="V82" i="6"/>
  <c r="N82" i="6"/>
  <c r="H81" i="5"/>
  <c r="F86" i="4"/>
  <c r="O84" i="3"/>
  <c r="H84" i="3"/>
  <c r="T82" i="6" l="1"/>
  <c r="X82" i="6"/>
  <c r="Z82" i="6"/>
  <c r="I81" i="5"/>
  <c r="O86" i="4"/>
  <c r="H86" i="4"/>
  <c r="I84" i="3"/>
  <c r="L84" i="3" s="1"/>
  <c r="U81" i="5" l="1"/>
  <c r="J81" i="5"/>
  <c r="M83" i="6"/>
  <c r="Q83" i="6"/>
  <c r="R83" i="6"/>
  <c r="G83" i="6"/>
  <c r="D83" i="6"/>
  <c r="C83" i="6"/>
  <c r="E83" i="6"/>
  <c r="F83" i="6"/>
  <c r="L81" i="5"/>
  <c r="I86" i="4"/>
  <c r="L86" i="4" s="1"/>
  <c r="V84" i="3"/>
  <c r="N84" i="3"/>
  <c r="U84" i="3"/>
  <c r="J84" i="3"/>
  <c r="V81" i="5" l="1"/>
  <c r="N81" i="5"/>
  <c r="P83" i="6"/>
  <c r="Y83" i="6"/>
  <c r="AA84" i="6"/>
  <c r="O83" i="6"/>
  <c r="K81" i="5"/>
  <c r="W81" i="5" s="1"/>
  <c r="H83" i="6"/>
  <c r="V86" i="4"/>
  <c r="N86" i="4"/>
  <c r="U86" i="4"/>
  <c r="J86" i="4"/>
  <c r="K84" i="3"/>
  <c r="W84" i="3" s="1"/>
  <c r="X84" i="3"/>
  <c r="T81" i="5" l="1"/>
  <c r="Z81" i="5"/>
  <c r="I83" i="6"/>
  <c r="L83" i="6"/>
  <c r="X81" i="5"/>
  <c r="K86" i="4"/>
  <c r="X86" i="4"/>
  <c r="T86" i="4"/>
  <c r="T84" i="3"/>
  <c r="U83" i="6" l="1"/>
  <c r="J83" i="6"/>
  <c r="V83" i="6"/>
  <c r="N83" i="6"/>
  <c r="C82" i="5"/>
  <c r="E82" i="5"/>
  <c r="P82" i="5" s="1"/>
  <c r="R82" i="5"/>
  <c r="Q82" i="5"/>
  <c r="G82" i="5"/>
  <c r="AA83" i="5" s="1"/>
  <c r="D82" i="5"/>
  <c r="M82" i="5"/>
  <c r="W86" i="4"/>
  <c r="Z86" i="4"/>
  <c r="Q87" i="4"/>
  <c r="G87" i="4"/>
  <c r="AA88" i="4" s="1"/>
  <c r="D87" i="4"/>
  <c r="R87" i="4"/>
  <c r="M87" i="4"/>
  <c r="E87" i="4"/>
  <c r="P87" i="4" s="1"/>
  <c r="C87" i="4"/>
  <c r="Q85" i="3"/>
  <c r="G85" i="3"/>
  <c r="AA86" i="3" s="1"/>
  <c r="E85" i="3"/>
  <c r="R85" i="3"/>
  <c r="C85" i="3"/>
  <c r="P85" i="3" s="1"/>
  <c r="D85" i="3"/>
  <c r="Z84" i="3"/>
  <c r="F82" i="5" l="1"/>
  <c r="K83" i="6"/>
  <c r="W83" i="6" s="1"/>
  <c r="X83" i="6"/>
  <c r="F85" i="3"/>
  <c r="O85" i="3" s="1"/>
  <c r="F87" i="4"/>
  <c r="H87" i="4" s="1"/>
  <c r="O82" i="5" l="1"/>
  <c r="H82" i="5"/>
  <c r="T83" i="6"/>
  <c r="H85" i="3"/>
  <c r="I85" i="3" s="1"/>
  <c r="U85" i="3" s="1"/>
  <c r="O87" i="4"/>
  <c r="I87" i="4"/>
  <c r="U87" i="4" s="1"/>
  <c r="Z83" i="6" l="1"/>
  <c r="Q84" i="6"/>
  <c r="G84" i="6"/>
  <c r="E84" i="6"/>
  <c r="R84" i="6"/>
  <c r="C84" i="6"/>
  <c r="M84" i="6"/>
  <c r="D84" i="6"/>
  <c r="P84" i="6"/>
  <c r="F84" i="6"/>
  <c r="L85" i="3"/>
  <c r="J85" i="3"/>
  <c r="K85" i="3" s="1"/>
  <c r="W85" i="3" s="1"/>
  <c r="I82" i="5"/>
  <c r="L82" i="5"/>
  <c r="J87" i="4"/>
  <c r="K87" i="4" s="1"/>
  <c r="W87" i="4" s="1"/>
  <c r="L87" i="4"/>
  <c r="V85" i="3"/>
  <c r="N85" i="3"/>
  <c r="X85" i="3" s="1"/>
  <c r="H84" i="6" l="1"/>
  <c r="U82" i="5"/>
  <c r="J82" i="5"/>
  <c r="K82" i="5" s="1"/>
  <c r="W82" i="5" s="1"/>
  <c r="AA85" i="6"/>
  <c r="Y84" i="6"/>
  <c r="V82" i="5"/>
  <c r="N82" i="5"/>
  <c r="O84" i="6"/>
  <c r="V87" i="4"/>
  <c r="N87" i="4"/>
  <c r="T87" i="4" s="1"/>
  <c r="Z87" i="4"/>
  <c r="X87" i="4"/>
  <c r="T85" i="3"/>
  <c r="X82" i="5" l="1"/>
  <c r="L84" i="6"/>
  <c r="T82" i="5"/>
  <c r="I84" i="6"/>
  <c r="G88" i="4"/>
  <c r="AA89" i="4" s="1"/>
  <c r="D88" i="4"/>
  <c r="R88" i="4"/>
  <c r="M88" i="4"/>
  <c r="E88" i="4"/>
  <c r="P88" i="4" s="1"/>
  <c r="Q88" i="4"/>
  <c r="C88" i="4"/>
  <c r="D86" i="3"/>
  <c r="C86" i="3"/>
  <c r="E86" i="3"/>
  <c r="P86" i="3" s="1"/>
  <c r="R86" i="3"/>
  <c r="Q86" i="3"/>
  <c r="G86" i="3"/>
  <c r="AA87" i="3" s="1"/>
  <c r="Z85" i="3"/>
  <c r="D83" i="5" l="1"/>
  <c r="C83" i="5"/>
  <c r="G83" i="5"/>
  <c r="AA84" i="5" s="1"/>
  <c r="E83" i="5"/>
  <c r="P83" i="5" s="1"/>
  <c r="R83" i="5"/>
  <c r="M83" i="5"/>
  <c r="Q83" i="5"/>
  <c r="F83" i="5"/>
  <c r="O83" i="5" s="1"/>
  <c r="Z82" i="5"/>
  <c r="U84" i="6"/>
  <c r="J84" i="6"/>
  <c r="K84" i="6" s="1"/>
  <c r="W84" i="6" s="1"/>
  <c r="V84" i="6"/>
  <c r="N84" i="6"/>
  <c r="F88" i="4"/>
  <c r="F86" i="3"/>
  <c r="H83" i="5" l="1"/>
  <c r="X84" i="6"/>
  <c r="T84" i="6"/>
  <c r="Z84" i="6"/>
  <c r="I83" i="5"/>
  <c r="U83" i="5" s="1"/>
  <c r="O88" i="4"/>
  <c r="H88" i="4"/>
  <c r="I88" i="4" s="1"/>
  <c r="U88" i="4" s="1"/>
  <c r="O86" i="3"/>
  <c r="H86" i="3"/>
  <c r="J83" i="5" l="1"/>
  <c r="K83" i="5" s="1"/>
  <c r="W83" i="5" s="1"/>
  <c r="C85" i="6"/>
  <c r="D85" i="6"/>
  <c r="M85" i="6"/>
  <c r="E85" i="6"/>
  <c r="R85" i="6"/>
  <c r="Q85" i="6"/>
  <c r="P85" i="6"/>
  <c r="G85" i="6"/>
  <c r="L83" i="5"/>
  <c r="L88" i="4"/>
  <c r="J88" i="4"/>
  <c r="I86" i="3"/>
  <c r="V83" i="5" l="1"/>
  <c r="N83" i="5"/>
  <c r="Y85" i="6"/>
  <c r="AA86" i="6"/>
  <c r="F85" i="6"/>
  <c r="H85" i="6" s="1"/>
  <c r="K88" i="4"/>
  <c r="W88" i="4" s="1"/>
  <c r="V88" i="4"/>
  <c r="N88" i="4"/>
  <c r="T88" i="4" s="1"/>
  <c r="U86" i="3"/>
  <c r="J86" i="3"/>
  <c r="K86" i="3" s="1"/>
  <c r="W86" i="3" s="1"/>
  <c r="L86" i="3"/>
  <c r="X88" i="4" l="1"/>
  <c r="T83" i="5"/>
  <c r="X83" i="5"/>
  <c r="O85" i="6"/>
  <c r="I85" i="6"/>
  <c r="U85" i="6" s="1"/>
  <c r="J85" i="6"/>
  <c r="K85" i="6" s="1"/>
  <c r="W85" i="6" s="1"/>
  <c r="C89" i="4"/>
  <c r="E89" i="4"/>
  <c r="P89" i="4" s="1"/>
  <c r="Q89" i="4"/>
  <c r="M89" i="4"/>
  <c r="R89" i="4"/>
  <c r="G89" i="4"/>
  <c r="AA90" i="4" s="1"/>
  <c r="D89" i="4"/>
  <c r="Z88" i="4"/>
  <c r="V86" i="3"/>
  <c r="N86" i="3"/>
  <c r="M84" i="5" l="1"/>
  <c r="E84" i="5"/>
  <c r="G84" i="5"/>
  <c r="AA85" i="5" s="1"/>
  <c r="R84" i="5"/>
  <c r="Q84" i="5"/>
  <c r="C84" i="5"/>
  <c r="D84" i="5"/>
  <c r="Z83" i="5"/>
  <c r="L85" i="6"/>
  <c r="F89" i="4"/>
  <c r="T86" i="3"/>
  <c r="X86" i="3"/>
  <c r="Z86" i="3"/>
  <c r="P84" i="5" l="1"/>
  <c r="F84" i="5"/>
  <c r="V85" i="6"/>
  <c r="N85" i="6"/>
  <c r="O89" i="4"/>
  <c r="H89" i="4"/>
  <c r="I89" i="4" s="1"/>
  <c r="U89" i="4" s="1"/>
  <c r="D87" i="3"/>
  <c r="C87" i="3"/>
  <c r="G87" i="3"/>
  <c r="AA88" i="3" s="1"/>
  <c r="E87" i="3"/>
  <c r="P87" i="3" s="1"/>
  <c r="R87" i="3"/>
  <c r="Q87" i="3"/>
  <c r="X85" i="6" l="1"/>
  <c r="T85" i="6"/>
  <c r="O84" i="5"/>
  <c r="H84" i="5"/>
  <c r="L89" i="4"/>
  <c r="J89" i="4"/>
  <c r="F87" i="3"/>
  <c r="I84" i="5" l="1"/>
  <c r="L84" i="5"/>
  <c r="Z85" i="6"/>
  <c r="R86" i="6"/>
  <c r="E86" i="6"/>
  <c r="P86" i="6" s="1"/>
  <c r="Q86" i="6"/>
  <c r="D86" i="6"/>
  <c r="M86" i="6"/>
  <c r="G86" i="6"/>
  <c r="C86" i="6"/>
  <c r="V89" i="4"/>
  <c r="N89" i="4"/>
  <c r="K89" i="4"/>
  <c r="X89" i="4" s="1"/>
  <c r="O87" i="3"/>
  <c r="H87" i="3"/>
  <c r="F86" i="6" l="1"/>
  <c r="V84" i="5"/>
  <c r="N84" i="5"/>
  <c r="U84" i="5"/>
  <c r="J84" i="5"/>
  <c r="Y86" i="6"/>
  <c r="AA87" i="6"/>
  <c r="W89" i="4"/>
  <c r="Z89" i="4"/>
  <c r="T89" i="4"/>
  <c r="I87" i="3"/>
  <c r="K84" i="5" l="1"/>
  <c r="W84" i="5" s="1"/>
  <c r="X84" i="5"/>
  <c r="O86" i="6"/>
  <c r="T84" i="5"/>
  <c r="Z84" i="5"/>
  <c r="H86" i="6"/>
  <c r="M90" i="4"/>
  <c r="C90" i="4"/>
  <c r="Q90" i="4"/>
  <c r="R90" i="4"/>
  <c r="D90" i="4"/>
  <c r="G90" i="4"/>
  <c r="AA91" i="4" s="1"/>
  <c r="E90" i="4"/>
  <c r="P90" i="4" s="1"/>
  <c r="U87" i="3"/>
  <c r="J87" i="3"/>
  <c r="K87" i="3" s="1"/>
  <c r="W87" i="3" s="1"/>
  <c r="L87" i="3"/>
  <c r="G85" i="5" l="1"/>
  <c r="AA86" i="5" s="1"/>
  <c r="R85" i="5"/>
  <c r="E85" i="5"/>
  <c r="C85" i="5"/>
  <c r="D85" i="5"/>
  <c r="Q85" i="5"/>
  <c r="M85" i="5"/>
  <c r="P85" i="5"/>
  <c r="F90" i="4"/>
  <c r="H90" i="4" s="1"/>
  <c r="I86" i="6"/>
  <c r="V87" i="3"/>
  <c r="N87" i="3"/>
  <c r="T87" i="3" s="1"/>
  <c r="Z87" i="3" s="1"/>
  <c r="O90" i="4" l="1"/>
  <c r="F85" i="5"/>
  <c r="U86" i="6"/>
  <c r="J86" i="6"/>
  <c r="L86" i="6"/>
  <c r="I90" i="4"/>
  <c r="Q88" i="3"/>
  <c r="G88" i="3"/>
  <c r="AA89" i="3" s="1"/>
  <c r="C88" i="3"/>
  <c r="E88" i="3"/>
  <c r="D88" i="3"/>
  <c r="R88" i="3"/>
  <c r="X87" i="3"/>
  <c r="P88" i="3" l="1"/>
  <c r="V86" i="6"/>
  <c r="N86" i="6"/>
  <c r="K86" i="6"/>
  <c r="W86" i="6" s="1"/>
  <c r="J85" i="5"/>
  <c r="K85" i="5" s="1"/>
  <c r="W85" i="5" s="1"/>
  <c r="O85" i="5"/>
  <c r="H85" i="5"/>
  <c r="X86" i="6"/>
  <c r="I85" i="5"/>
  <c r="U85" i="5" s="1"/>
  <c r="U90" i="4"/>
  <c r="J90" i="4"/>
  <c r="L90" i="4"/>
  <c r="F88" i="3"/>
  <c r="L85" i="5" l="1"/>
  <c r="T86" i="6"/>
  <c r="K90" i="4"/>
  <c r="W90" i="4" s="1"/>
  <c r="X90" i="4"/>
  <c r="V90" i="4"/>
  <c r="N90" i="4"/>
  <c r="O88" i="3"/>
  <c r="H88" i="3"/>
  <c r="I88" i="3" s="1"/>
  <c r="U88" i="3" s="1"/>
  <c r="D87" i="6" l="1"/>
  <c r="R87" i="6"/>
  <c r="M87" i="6"/>
  <c r="C87" i="6"/>
  <c r="Q87" i="6"/>
  <c r="G87" i="6"/>
  <c r="E87" i="6"/>
  <c r="P87" i="6" s="1"/>
  <c r="Z86" i="6"/>
  <c r="T90" i="4"/>
  <c r="Z90" i="4" s="1"/>
  <c r="V85" i="5"/>
  <c r="N85" i="5"/>
  <c r="L88" i="3"/>
  <c r="J88" i="3"/>
  <c r="K88" i="3" s="1"/>
  <c r="W88" i="3" s="1"/>
  <c r="G91" i="4" l="1"/>
  <c r="AA92" i="4" s="1"/>
  <c r="D91" i="4"/>
  <c r="T85" i="5"/>
  <c r="Z85" i="5"/>
  <c r="X85" i="5"/>
  <c r="C91" i="4"/>
  <c r="Y87" i="6"/>
  <c r="AA88" i="6"/>
  <c r="R91" i="4"/>
  <c r="M91" i="4"/>
  <c r="F87" i="6"/>
  <c r="E91" i="4"/>
  <c r="P91" i="4" s="1"/>
  <c r="Q91" i="4"/>
  <c r="F91" i="4"/>
  <c r="V88" i="3"/>
  <c r="N88" i="3"/>
  <c r="C86" i="5" l="1"/>
  <c r="G86" i="5"/>
  <c r="AA87" i="5" s="1"/>
  <c r="E86" i="5"/>
  <c r="P86" i="5" s="1"/>
  <c r="R86" i="5"/>
  <c r="Q86" i="5"/>
  <c r="M86" i="5"/>
  <c r="D86" i="5"/>
  <c r="O87" i="6"/>
  <c r="H87" i="6"/>
  <c r="O91" i="4"/>
  <c r="H91" i="4"/>
  <c r="I91" i="4" s="1"/>
  <c r="T88" i="3"/>
  <c r="Z88" i="3" s="1"/>
  <c r="X88" i="3"/>
  <c r="I87" i="6" l="1"/>
  <c r="F86" i="5"/>
  <c r="U91" i="4"/>
  <c r="J91" i="4"/>
  <c r="K91" i="4" s="1"/>
  <c r="W91" i="4" s="1"/>
  <c r="L91" i="4"/>
  <c r="R89" i="3"/>
  <c r="C89" i="3"/>
  <c r="F89" i="3" s="1"/>
  <c r="Q89" i="3"/>
  <c r="G89" i="3"/>
  <c r="AA90" i="3" s="1"/>
  <c r="E89" i="3"/>
  <c r="D89" i="3"/>
  <c r="O86" i="5" l="1"/>
  <c r="H86" i="5"/>
  <c r="U87" i="6"/>
  <c r="J87" i="6"/>
  <c r="L87" i="6"/>
  <c r="V91" i="4"/>
  <c r="N91" i="4"/>
  <c r="X91" i="4"/>
  <c r="P89" i="3"/>
  <c r="O89" i="3"/>
  <c r="H89" i="3"/>
  <c r="I89" i="3" s="1"/>
  <c r="U89" i="3" s="1"/>
  <c r="V87" i="6" l="1"/>
  <c r="N87" i="6"/>
  <c r="I86" i="5"/>
  <c r="L86" i="5" s="1"/>
  <c r="K87" i="6"/>
  <c r="T91" i="4"/>
  <c r="Z91" i="4"/>
  <c r="L89" i="3"/>
  <c r="J89" i="3"/>
  <c r="K89" i="3" s="1"/>
  <c r="W89" i="3" s="1"/>
  <c r="V86" i="5" l="1"/>
  <c r="N86" i="5"/>
  <c r="U86" i="5"/>
  <c r="J86" i="5"/>
  <c r="T87" i="6"/>
  <c r="W87" i="6"/>
  <c r="X87" i="6"/>
  <c r="R92" i="4"/>
  <c r="E92" i="4"/>
  <c r="Q92" i="4"/>
  <c r="G92" i="4"/>
  <c r="AA93" i="4" s="1"/>
  <c r="C92" i="4"/>
  <c r="D92" i="4"/>
  <c r="M92" i="4"/>
  <c r="V89" i="3"/>
  <c r="N89" i="3"/>
  <c r="X89" i="3" s="1"/>
  <c r="K86" i="5" l="1"/>
  <c r="W86" i="5" s="1"/>
  <c r="X86" i="5"/>
  <c r="R88" i="6"/>
  <c r="M88" i="6"/>
  <c r="D88" i="6"/>
  <c r="Q88" i="6"/>
  <c r="G88" i="6"/>
  <c r="E88" i="6"/>
  <c r="C88" i="6"/>
  <c r="Z87" i="6"/>
  <c r="P92" i="4"/>
  <c r="F92" i="4"/>
  <c r="T89" i="3"/>
  <c r="Z89" i="3" s="1"/>
  <c r="P88" i="6" l="1"/>
  <c r="AA89" i="6"/>
  <c r="Y88" i="6"/>
  <c r="F88" i="6"/>
  <c r="T86" i="5"/>
  <c r="O92" i="4"/>
  <c r="H92" i="4"/>
  <c r="C90" i="3"/>
  <c r="Q90" i="3"/>
  <c r="R90" i="3"/>
  <c r="D90" i="3"/>
  <c r="G90" i="3"/>
  <c r="AA91" i="3" s="1"/>
  <c r="E90" i="3"/>
  <c r="P90" i="3" s="1"/>
  <c r="R87" i="5" l="1"/>
  <c r="Q87" i="5"/>
  <c r="G87" i="5"/>
  <c r="AA88" i="5" s="1"/>
  <c r="E87" i="5"/>
  <c r="P87" i="5" s="1"/>
  <c r="M87" i="5"/>
  <c r="C87" i="5"/>
  <c r="D87" i="5"/>
  <c r="Z86" i="5"/>
  <c r="H88" i="6"/>
  <c r="O88" i="6"/>
  <c r="I92" i="4"/>
  <c r="F90" i="3"/>
  <c r="H90" i="3" s="1"/>
  <c r="I90" i="3" s="1"/>
  <c r="U90" i="3" s="1"/>
  <c r="F87" i="5" l="1"/>
  <c r="I88" i="6"/>
  <c r="H87" i="5"/>
  <c r="U92" i="4"/>
  <c r="J92" i="4"/>
  <c r="K92" i="4" s="1"/>
  <c r="W92" i="4" s="1"/>
  <c r="L92" i="4"/>
  <c r="L90" i="3"/>
  <c r="O90" i="3"/>
  <c r="J90" i="3"/>
  <c r="K90" i="3" s="1"/>
  <c r="W90" i="3" s="1"/>
  <c r="U88" i="6" l="1"/>
  <c r="J88" i="6"/>
  <c r="I87" i="5"/>
  <c r="U87" i="5" s="1"/>
  <c r="L87" i="5"/>
  <c r="L88" i="6"/>
  <c r="O87" i="5"/>
  <c r="J87" i="5"/>
  <c r="K87" i="5" s="1"/>
  <c r="W87" i="5" s="1"/>
  <c r="V92" i="4"/>
  <c r="N92" i="4"/>
  <c r="X92" i="4"/>
  <c r="V90" i="3"/>
  <c r="N90" i="3"/>
  <c r="T90" i="3" s="1"/>
  <c r="X90" i="3" l="1"/>
  <c r="V88" i="6"/>
  <c r="N88" i="6"/>
  <c r="V87" i="5"/>
  <c r="N87" i="5"/>
  <c r="T87" i="5" s="1"/>
  <c r="K88" i="6"/>
  <c r="Z90" i="3"/>
  <c r="T92" i="4"/>
  <c r="E91" i="3"/>
  <c r="D91" i="3"/>
  <c r="G91" i="3"/>
  <c r="AA92" i="3" s="1"/>
  <c r="C91" i="3"/>
  <c r="R91" i="3"/>
  <c r="Q91" i="3"/>
  <c r="D88" i="5" l="1"/>
  <c r="E88" i="5"/>
  <c r="R88" i="5"/>
  <c r="Q88" i="5"/>
  <c r="G88" i="5"/>
  <c r="AA89" i="5" s="1"/>
  <c r="C88" i="5"/>
  <c r="M88" i="5"/>
  <c r="W88" i="6"/>
  <c r="X88" i="6"/>
  <c r="F91" i="3"/>
  <c r="H91" i="3" s="1"/>
  <c r="X87" i="5"/>
  <c r="T88" i="6"/>
  <c r="Z87" i="5"/>
  <c r="M93" i="4"/>
  <c r="E93" i="4"/>
  <c r="D93" i="4"/>
  <c r="Q93" i="4"/>
  <c r="G93" i="4"/>
  <c r="AA94" i="4" s="1"/>
  <c r="R93" i="4"/>
  <c r="C93" i="4"/>
  <c r="Z92" i="4"/>
  <c r="P91" i="3"/>
  <c r="I91" i="3" l="1"/>
  <c r="U91" i="3" s="1"/>
  <c r="E89" i="6"/>
  <c r="R89" i="6"/>
  <c r="D89" i="6"/>
  <c r="C89" i="6"/>
  <c r="Q89" i="6"/>
  <c r="G89" i="6"/>
  <c r="M89" i="6"/>
  <c r="P88" i="5"/>
  <c r="F88" i="5"/>
  <c r="O91" i="3"/>
  <c r="Z88" i="6"/>
  <c r="F93" i="4"/>
  <c r="P93" i="4"/>
  <c r="L91" i="3"/>
  <c r="J91" i="3"/>
  <c r="O88" i="5" l="1"/>
  <c r="F89" i="6"/>
  <c r="P89" i="6"/>
  <c r="Y89" i="6"/>
  <c r="AA90" i="6"/>
  <c r="H88" i="5"/>
  <c r="O93" i="4"/>
  <c r="H93" i="4"/>
  <c r="K91" i="3"/>
  <c r="W91" i="3" s="1"/>
  <c r="V91" i="3"/>
  <c r="N91" i="3"/>
  <c r="T91" i="3" s="1"/>
  <c r="O89" i="6" l="1"/>
  <c r="I88" i="5"/>
  <c r="L88" i="5"/>
  <c r="H89" i="6"/>
  <c r="I89" i="6"/>
  <c r="U89" i="6" s="1"/>
  <c r="I93" i="4"/>
  <c r="R92" i="3"/>
  <c r="Q92" i="3"/>
  <c r="G92" i="3"/>
  <c r="AA93" i="3" s="1"/>
  <c r="E92" i="3"/>
  <c r="D92" i="3"/>
  <c r="C92" i="3"/>
  <c r="X91" i="3"/>
  <c r="Z91" i="3"/>
  <c r="L89" i="6" l="1"/>
  <c r="J89" i="6"/>
  <c r="V88" i="5"/>
  <c r="N88" i="5"/>
  <c r="U88" i="5"/>
  <c r="J88" i="5"/>
  <c r="P92" i="3"/>
  <c r="U93" i="4"/>
  <c r="J93" i="4"/>
  <c r="F92" i="3"/>
  <c r="L93" i="4"/>
  <c r="H92" i="3"/>
  <c r="I92" i="3"/>
  <c r="U92" i="3" s="1"/>
  <c r="O92" i="3"/>
  <c r="K88" i="5" l="1"/>
  <c r="W88" i="5" s="1"/>
  <c r="X88" i="5"/>
  <c r="T88" i="5"/>
  <c r="Z88" i="5" s="1"/>
  <c r="K89" i="6"/>
  <c r="V89" i="6"/>
  <c r="N89" i="6"/>
  <c r="T89" i="6" s="1"/>
  <c r="V93" i="4"/>
  <c r="N93" i="4"/>
  <c r="T93" i="4" s="1"/>
  <c r="K93" i="4"/>
  <c r="L92" i="3"/>
  <c r="J92" i="3"/>
  <c r="G90" i="6" l="1"/>
  <c r="E90" i="6"/>
  <c r="D90" i="6"/>
  <c r="M90" i="6"/>
  <c r="Q90" i="6"/>
  <c r="R90" i="6"/>
  <c r="C90" i="6"/>
  <c r="H90" i="6" s="1"/>
  <c r="F90" i="6"/>
  <c r="Z89" i="6"/>
  <c r="W89" i="6"/>
  <c r="X89" i="6"/>
  <c r="Z93" i="4"/>
  <c r="Q89" i="5"/>
  <c r="M89" i="5"/>
  <c r="E89" i="5"/>
  <c r="P89" i="5" s="1"/>
  <c r="C89" i="5"/>
  <c r="D89" i="5"/>
  <c r="R89" i="5"/>
  <c r="G89" i="5"/>
  <c r="AA90" i="5" s="1"/>
  <c r="F89" i="5"/>
  <c r="I89" i="5" s="1"/>
  <c r="U89" i="5" s="1"/>
  <c r="H89" i="5"/>
  <c r="O89" i="5"/>
  <c r="W93" i="4"/>
  <c r="X93" i="4"/>
  <c r="C94" i="4"/>
  <c r="Q94" i="4"/>
  <c r="G94" i="4"/>
  <c r="AA95" i="4" s="1"/>
  <c r="D94" i="4"/>
  <c r="M94" i="4"/>
  <c r="E94" i="4"/>
  <c r="R94" i="4"/>
  <c r="K92" i="3"/>
  <c r="W92" i="3" s="1"/>
  <c r="V92" i="3"/>
  <c r="N92" i="3"/>
  <c r="L89" i="5" l="1"/>
  <c r="V89" i="5" s="1"/>
  <c r="J89" i="5"/>
  <c r="K89" i="5" s="1"/>
  <c r="W89" i="5" s="1"/>
  <c r="O90" i="6"/>
  <c r="J90" i="6"/>
  <c r="K90" i="6" s="1"/>
  <c r="W90" i="6" s="1"/>
  <c r="F94" i="4"/>
  <c r="O94" i="4" s="1"/>
  <c r="P90" i="6"/>
  <c r="I90" i="6"/>
  <c r="U90" i="6" s="1"/>
  <c r="AA91" i="6"/>
  <c r="Y90" i="6"/>
  <c r="T92" i="3"/>
  <c r="C93" i="3" s="1"/>
  <c r="P94" i="4"/>
  <c r="X92" i="3"/>
  <c r="L90" i="6" l="1"/>
  <c r="H94" i="4"/>
  <c r="I94" i="4" s="1"/>
  <c r="U94" i="4" s="1"/>
  <c r="X89" i="5"/>
  <c r="G93" i="3"/>
  <c r="AA94" i="3" s="1"/>
  <c r="E93" i="3"/>
  <c r="P93" i="3" s="1"/>
  <c r="Z89" i="5"/>
  <c r="N89" i="5"/>
  <c r="T89" i="5" s="1"/>
  <c r="D93" i="3"/>
  <c r="Q93" i="3"/>
  <c r="R93" i="3"/>
  <c r="Z92" i="3"/>
  <c r="L94" i="4"/>
  <c r="F93" i="3" l="1"/>
  <c r="E90" i="5"/>
  <c r="Q90" i="5"/>
  <c r="R90" i="5"/>
  <c r="M90" i="5"/>
  <c r="G90" i="5"/>
  <c r="AA91" i="5" s="1"/>
  <c r="D90" i="5"/>
  <c r="C90" i="5"/>
  <c r="J94" i="4"/>
  <c r="K94" i="4" s="1"/>
  <c r="V90" i="6"/>
  <c r="N90" i="6"/>
  <c r="T90" i="6" s="1"/>
  <c r="N94" i="4"/>
  <c r="V94" i="4"/>
  <c r="O93" i="3"/>
  <c r="H93" i="3"/>
  <c r="G91" i="6" l="1"/>
  <c r="Q91" i="6"/>
  <c r="R91" i="6"/>
  <c r="M91" i="6"/>
  <c r="E91" i="6"/>
  <c r="D91" i="6"/>
  <c r="C91" i="6"/>
  <c r="F91" i="6" s="1"/>
  <c r="P90" i="5"/>
  <c r="X90" i="6"/>
  <c r="Z90" i="6"/>
  <c r="F90" i="5"/>
  <c r="T94" i="4"/>
  <c r="M95" i="4"/>
  <c r="C95" i="4"/>
  <c r="E95" i="4"/>
  <c r="P95" i="4" s="1"/>
  <c r="D95" i="4"/>
  <c r="R95" i="4"/>
  <c r="Q95" i="4"/>
  <c r="G95" i="4"/>
  <c r="AA96" i="4" s="1"/>
  <c r="F95" i="4"/>
  <c r="X94" i="4"/>
  <c r="W94" i="4"/>
  <c r="Z94" i="4"/>
  <c r="I93" i="3"/>
  <c r="O91" i="6" l="1"/>
  <c r="H91" i="6"/>
  <c r="J90" i="5"/>
  <c r="K90" i="5" s="1"/>
  <c r="W90" i="5" s="1"/>
  <c r="O90" i="5"/>
  <c r="P91" i="6"/>
  <c r="H90" i="5"/>
  <c r="AA92" i="6"/>
  <c r="Y91" i="6"/>
  <c r="I90" i="5"/>
  <c r="O95" i="4"/>
  <c r="H95" i="4"/>
  <c r="I95" i="4" s="1"/>
  <c r="U93" i="3"/>
  <c r="J93" i="3"/>
  <c r="L93" i="3"/>
  <c r="L90" i="5" l="1"/>
  <c r="U90" i="5"/>
  <c r="I91" i="6"/>
  <c r="L91" i="6"/>
  <c r="U95" i="4"/>
  <c r="J95" i="4"/>
  <c r="K95" i="4" s="1"/>
  <c r="W95" i="4" s="1"/>
  <c r="L95" i="4"/>
  <c r="V95" i="4"/>
  <c r="N95" i="4"/>
  <c r="T95" i="4" s="1"/>
  <c r="V93" i="3"/>
  <c r="N93" i="3"/>
  <c r="K93" i="3"/>
  <c r="W93" i="3" s="1"/>
  <c r="T93" i="3" l="1"/>
  <c r="V91" i="6"/>
  <c r="N91" i="6"/>
  <c r="U91" i="6"/>
  <c r="J91" i="6"/>
  <c r="K91" i="6" s="1"/>
  <c r="W91" i="6" s="1"/>
  <c r="V90" i="5"/>
  <c r="N90" i="5"/>
  <c r="E94" i="3"/>
  <c r="D94" i="3"/>
  <c r="C94" i="3"/>
  <c r="R94" i="3"/>
  <c r="Q94" i="3"/>
  <c r="G94" i="3"/>
  <c r="AA95" i="3" s="1"/>
  <c r="F94" i="3"/>
  <c r="Z93" i="3"/>
  <c r="X93" i="3"/>
  <c r="X95" i="4"/>
  <c r="Q96" i="4"/>
  <c r="E96" i="4"/>
  <c r="F96" i="4" s="1"/>
  <c r="D96" i="4"/>
  <c r="C96" i="4"/>
  <c r="R96" i="4"/>
  <c r="G96" i="4"/>
  <c r="AA97" i="4" s="1"/>
  <c r="M96" i="4"/>
  <c r="Z95" i="4"/>
  <c r="T90" i="5" l="1"/>
  <c r="X90" i="5"/>
  <c r="Z90" i="5"/>
  <c r="P96" i="4"/>
  <c r="T91" i="6"/>
  <c r="P94" i="3"/>
  <c r="X91" i="6"/>
  <c r="O96" i="4"/>
  <c r="H94" i="3"/>
  <c r="I94" i="3" s="1"/>
  <c r="U94" i="3" s="1"/>
  <c r="O94" i="3"/>
  <c r="H96" i="4"/>
  <c r="I96" i="4" s="1"/>
  <c r="U96" i="4" s="1"/>
  <c r="E92" i="6" l="1"/>
  <c r="P92" i="6" s="1"/>
  <c r="C92" i="6"/>
  <c r="Q92" i="6"/>
  <c r="D92" i="6"/>
  <c r="R92" i="6"/>
  <c r="G92" i="6"/>
  <c r="M92" i="6"/>
  <c r="F92" i="6"/>
  <c r="O92" i="6" s="1"/>
  <c r="R91" i="5"/>
  <c r="Q91" i="5"/>
  <c r="E91" i="5"/>
  <c r="P91" i="5" s="1"/>
  <c r="M91" i="5"/>
  <c r="D91" i="5"/>
  <c r="C91" i="5"/>
  <c r="G91" i="5"/>
  <c r="AA92" i="5" s="1"/>
  <c r="Z91" i="6"/>
  <c r="L94" i="3"/>
  <c r="L96" i="4"/>
  <c r="J96" i="4"/>
  <c r="J94" i="3"/>
  <c r="Y92" i="6" l="1"/>
  <c r="AA93" i="6"/>
  <c r="F91" i="5"/>
  <c r="H92" i="6"/>
  <c r="H91" i="5"/>
  <c r="V96" i="4"/>
  <c r="N96" i="4"/>
  <c r="K96" i="4"/>
  <c r="V94" i="3"/>
  <c r="N94" i="3"/>
  <c r="K94" i="3"/>
  <c r="I91" i="5" l="1"/>
  <c r="U91" i="5" s="1"/>
  <c r="L91" i="5"/>
  <c r="O91" i="5"/>
  <c r="J91" i="5"/>
  <c r="K91" i="5" s="1"/>
  <c r="W91" i="5" s="1"/>
  <c r="I92" i="6"/>
  <c r="W96" i="4"/>
  <c r="X96" i="4"/>
  <c r="T94" i="3"/>
  <c r="W94" i="3"/>
  <c r="X94" i="3"/>
  <c r="T96" i="4"/>
  <c r="U92" i="6" l="1"/>
  <c r="J92" i="6"/>
  <c r="K92" i="6" s="1"/>
  <c r="W92" i="6" s="1"/>
  <c r="V91" i="5"/>
  <c r="N91" i="5"/>
  <c r="T91" i="5" s="1"/>
  <c r="X91" i="5"/>
  <c r="Z91" i="5"/>
  <c r="L92" i="6"/>
  <c r="R95" i="3"/>
  <c r="Q95" i="3"/>
  <c r="G95" i="3"/>
  <c r="AA96" i="3" s="1"/>
  <c r="C95" i="3"/>
  <c r="D95" i="3"/>
  <c r="E95" i="3"/>
  <c r="P95" i="3" s="1"/>
  <c r="M97" i="4"/>
  <c r="E97" i="4"/>
  <c r="F97" i="4" s="1"/>
  <c r="D97" i="4"/>
  <c r="R97" i="4"/>
  <c r="C97" i="4"/>
  <c r="Q97" i="4"/>
  <c r="G97" i="4"/>
  <c r="AA98" i="4" s="1"/>
  <c r="Z96" i="4"/>
  <c r="Z94" i="3"/>
  <c r="V92" i="6" l="1"/>
  <c r="N92" i="6"/>
  <c r="R92" i="5"/>
  <c r="Q92" i="5"/>
  <c r="C92" i="5"/>
  <c r="M92" i="5"/>
  <c r="G92" i="5"/>
  <c r="AA93" i="5" s="1"/>
  <c r="D92" i="5"/>
  <c r="E92" i="5"/>
  <c r="P92" i="5" s="1"/>
  <c r="F92" i="5"/>
  <c r="X92" i="6"/>
  <c r="O97" i="4"/>
  <c r="P97" i="4"/>
  <c r="H97" i="4"/>
  <c r="F95" i="3"/>
  <c r="H92" i="5" l="1"/>
  <c r="T92" i="6"/>
  <c r="Z92" i="6"/>
  <c r="O92" i="5"/>
  <c r="I97" i="4"/>
  <c r="O95" i="3"/>
  <c r="H95" i="3"/>
  <c r="I95" i="3" s="1"/>
  <c r="U95" i="3" s="1"/>
  <c r="G93" i="6" l="1"/>
  <c r="M93" i="6"/>
  <c r="E93" i="6"/>
  <c r="P93" i="6" s="1"/>
  <c r="C93" i="6"/>
  <c r="D93" i="6"/>
  <c r="R93" i="6"/>
  <c r="Q93" i="6"/>
  <c r="F93" i="6"/>
  <c r="H93" i="6"/>
  <c r="I93" i="6" s="1"/>
  <c r="U93" i="6" s="1"/>
  <c r="I92" i="5"/>
  <c r="L92" i="5"/>
  <c r="L95" i="3"/>
  <c r="J95" i="3"/>
  <c r="K95" i="3" s="1"/>
  <c r="W95" i="3" s="1"/>
  <c r="U97" i="4"/>
  <c r="J97" i="4"/>
  <c r="L97" i="4"/>
  <c r="J93" i="6" l="1"/>
  <c r="K93" i="6" s="1"/>
  <c r="V92" i="5"/>
  <c r="N92" i="5"/>
  <c r="U92" i="5"/>
  <c r="J92" i="5"/>
  <c r="AA94" i="6"/>
  <c r="Y93" i="6"/>
  <c r="O93" i="6"/>
  <c r="L93" i="6"/>
  <c r="V93" i="6" s="1"/>
  <c r="V95" i="3"/>
  <c r="N95" i="3"/>
  <c r="T95" i="3" s="1"/>
  <c r="V97" i="4"/>
  <c r="N97" i="4"/>
  <c r="X97" i="4" s="1"/>
  <c r="X95" i="3"/>
  <c r="K97" i="4"/>
  <c r="W93" i="6" l="1"/>
  <c r="K92" i="5"/>
  <c r="W92" i="5" s="1"/>
  <c r="T92" i="5"/>
  <c r="X92" i="5"/>
  <c r="N93" i="6"/>
  <c r="T93" i="6" s="1"/>
  <c r="T97" i="4"/>
  <c r="G98" i="4" s="1"/>
  <c r="AA99" i="4" s="1"/>
  <c r="R98" i="4"/>
  <c r="C98" i="4"/>
  <c r="D96" i="3"/>
  <c r="G96" i="3"/>
  <c r="AA97" i="3" s="1"/>
  <c r="E96" i="3"/>
  <c r="P96" i="3" s="1"/>
  <c r="R96" i="3"/>
  <c r="C96" i="3"/>
  <c r="Q96" i="3"/>
  <c r="Z95" i="3"/>
  <c r="W97" i="4"/>
  <c r="Z97" i="4"/>
  <c r="D94" i="6" l="1"/>
  <c r="Q94" i="6"/>
  <c r="G94" i="6"/>
  <c r="M94" i="6"/>
  <c r="C94" i="6"/>
  <c r="E94" i="6"/>
  <c r="P94" i="6" s="1"/>
  <c r="R94" i="6"/>
  <c r="X93" i="6"/>
  <c r="R93" i="5"/>
  <c r="E93" i="5"/>
  <c r="P93" i="5" s="1"/>
  <c r="Q93" i="5"/>
  <c r="C93" i="5"/>
  <c r="G93" i="5"/>
  <c r="AA94" i="5" s="1"/>
  <c r="M93" i="5"/>
  <c r="D93" i="5"/>
  <c r="M98" i="4"/>
  <c r="E98" i="4"/>
  <c r="F98" i="4"/>
  <c r="O98" i="4" s="1"/>
  <c r="F96" i="3"/>
  <c r="O96" i="3" s="1"/>
  <c r="Q98" i="4"/>
  <c r="Z93" i="6"/>
  <c r="D98" i="4"/>
  <c r="H98" i="4" s="1"/>
  <c r="Z92" i="5"/>
  <c r="P98" i="4"/>
  <c r="H96" i="3"/>
  <c r="I98" i="4" l="1"/>
  <c r="U98" i="4" s="1"/>
  <c r="F93" i="5"/>
  <c r="AA95" i="6"/>
  <c r="Y94" i="6"/>
  <c r="F94" i="6"/>
  <c r="J98" i="4"/>
  <c r="K98" i="4" s="1"/>
  <c r="W98" i="4" s="1"/>
  <c r="L98" i="4"/>
  <c r="I96" i="3"/>
  <c r="H94" i="6" l="1"/>
  <c r="O94" i="6"/>
  <c r="I93" i="5"/>
  <c r="U93" i="5" s="1"/>
  <c r="H93" i="5"/>
  <c r="O93" i="5"/>
  <c r="U96" i="3"/>
  <c r="J96" i="3"/>
  <c r="K96" i="3" s="1"/>
  <c r="W96" i="3" s="1"/>
  <c r="V98" i="4"/>
  <c r="N98" i="4"/>
  <c r="L96" i="3"/>
  <c r="L93" i="5" l="1"/>
  <c r="J93" i="5"/>
  <c r="K93" i="5" s="1"/>
  <c r="W93" i="5" s="1"/>
  <c r="I94" i="6"/>
  <c r="T98" i="4"/>
  <c r="X98" i="4"/>
  <c r="V96" i="3"/>
  <c r="N96" i="3"/>
  <c r="T96" i="3" s="1"/>
  <c r="V93" i="5" l="1"/>
  <c r="N93" i="5"/>
  <c r="L94" i="6"/>
  <c r="U94" i="6"/>
  <c r="J94" i="6"/>
  <c r="Z96" i="3"/>
  <c r="X96" i="3"/>
  <c r="E99" i="4"/>
  <c r="M99" i="4"/>
  <c r="C99" i="4"/>
  <c r="P99" i="4" s="1"/>
  <c r="D99" i="4"/>
  <c r="R99" i="4"/>
  <c r="Q99" i="4"/>
  <c r="G99" i="4"/>
  <c r="AA100" i="4" s="1"/>
  <c r="Z98" i="4"/>
  <c r="D97" i="3"/>
  <c r="C97" i="3"/>
  <c r="Q97" i="3"/>
  <c r="G97" i="3"/>
  <c r="AA98" i="3" s="1"/>
  <c r="E97" i="3"/>
  <c r="P97" i="3" s="1"/>
  <c r="R97" i="3"/>
  <c r="K94" i="6" l="1"/>
  <c r="V94" i="6"/>
  <c r="N94" i="6"/>
  <c r="T94" i="6" s="1"/>
  <c r="T93" i="5"/>
  <c r="X93" i="5"/>
  <c r="Z93" i="5"/>
  <c r="F97" i="3"/>
  <c r="F99" i="4"/>
  <c r="O99" i="4" s="1"/>
  <c r="H97" i="3" l="1"/>
  <c r="I97" i="3" s="1"/>
  <c r="Q95" i="6"/>
  <c r="G95" i="6"/>
  <c r="E95" i="6"/>
  <c r="C95" i="6"/>
  <c r="D95" i="6"/>
  <c r="P95" i="6"/>
  <c r="R95" i="6"/>
  <c r="M95" i="6"/>
  <c r="O97" i="3"/>
  <c r="Z94" i="6"/>
  <c r="E94" i="5"/>
  <c r="P94" i="5" s="1"/>
  <c r="Q94" i="5"/>
  <c r="M94" i="5"/>
  <c r="G94" i="5"/>
  <c r="AA95" i="5" s="1"/>
  <c r="D94" i="5"/>
  <c r="C94" i="5"/>
  <c r="R94" i="5"/>
  <c r="F94" i="5"/>
  <c r="O94" i="5" s="1"/>
  <c r="H99" i="4"/>
  <c r="W94" i="6"/>
  <c r="X94" i="6"/>
  <c r="I99" i="4"/>
  <c r="U97" i="3" l="1"/>
  <c r="J97" i="3"/>
  <c r="K97" i="3" s="1"/>
  <c r="W97" i="3" s="1"/>
  <c r="L97" i="3"/>
  <c r="Y95" i="6"/>
  <c r="AA96" i="6"/>
  <c r="H94" i="5"/>
  <c r="F95" i="6"/>
  <c r="I95" i="6" s="1"/>
  <c r="U95" i="6" s="1"/>
  <c r="H95" i="6"/>
  <c r="V97" i="3"/>
  <c r="N97" i="3"/>
  <c r="U99" i="4"/>
  <c r="J99" i="4"/>
  <c r="L99" i="4"/>
  <c r="L95" i="6" l="1"/>
  <c r="I94" i="5"/>
  <c r="L94" i="5" s="1"/>
  <c r="J95" i="6"/>
  <c r="K95" i="6" s="1"/>
  <c r="W95" i="6" s="1"/>
  <c r="O95" i="6"/>
  <c r="X97" i="3"/>
  <c r="K99" i="4"/>
  <c r="T97" i="3"/>
  <c r="V99" i="4"/>
  <c r="N99" i="4"/>
  <c r="T99" i="4" s="1"/>
  <c r="V94" i="5" l="1"/>
  <c r="N94" i="5"/>
  <c r="X95" i="6"/>
  <c r="U94" i="5"/>
  <c r="J94" i="5"/>
  <c r="V95" i="6"/>
  <c r="N95" i="6"/>
  <c r="T95" i="6" s="1"/>
  <c r="R100" i="4"/>
  <c r="G100" i="4"/>
  <c r="AA101" i="4" s="1"/>
  <c r="Q100" i="4"/>
  <c r="E100" i="4"/>
  <c r="D100" i="4"/>
  <c r="C100" i="4"/>
  <c r="M100" i="4"/>
  <c r="Q98" i="3"/>
  <c r="G98" i="3"/>
  <c r="AA99" i="3" s="1"/>
  <c r="E98" i="3"/>
  <c r="R98" i="3"/>
  <c r="C98" i="3"/>
  <c r="D98" i="3"/>
  <c r="Z97" i="3"/>
  <c r="Z99" i="4"/>
  <c r="W99" i="4"/>
  <c r="X99" i="4"/>
  <c r="G96" i="6" l="1"/>
  <c r="E96" i="6"/>
  <c r="M96" i="6"/>
  <c r="C96" i="6"/>
  <c r="F96" i="6" s="1"/>
  <c r="D96" i="6"/>
  <c r="P96" i="6"/>
  <c r="R96" i="6"/>
  <c r="Q96" i="6"/>
  <c r="K94" i="5"/>
  <c r="W94" i="5" s="1"/>
  <c r="X94" i="5"/>
  <c r="Z95" i="6"/>
  <c r="P98" i="3"/>
  <c r="P100" i="4"/>
  <c r="F98" i="3"/>
  <c r="F100" i="4"/>
  <c r="H96" i="6" l="1"/>
  <c r="O96" i="6"/>
  <c r="T94" i="5"/>
  <c r="Y96" i="6"/>
  <c r="AA97" i="6"/>
  <c r="O100" i="4"/>
  <c r="H100" i="4"/>
  <c r="I100" i="4" s="1"/>
  <c r="O98" i="3"/>
  <c r="H98" i="3"/>
  <c r="I98" i="3" s="1"/>
  <c r="U98" i="3" s="1"/>
  <c r="M95" i="5" l="1"/>
  <c r="E95" i="5"/>
  <c r="C95" i="5"/>
  <c r="Q95" i="5"/>
  <c r="D95" i="5"/>
  <c r="R95" i="5"/>
  <c r="G95" i="5"/>
  <c r="AA96" i="5" s="1"/>
  <c r="F95" i="5"/>
  <c r="Z94" i="5"/>
  <c r="I96" i="6"/>
  <c r="U100" i="4"/>
  <c r="J100" i="4"/>
  <c r="K100" i="4" s="1"/>
  <c r="W100" i="4" s="1"/>
  <c r="J98" i="3"/>
  <c r="K98" i="3" s="1"/>
  <c r="W98" i="3" s="1"/>
  <c r="L98" i="3"/>
  <c r="L100" i="4"/>
  <c r="H95" i="5" l="1"/>
  <c r="U96" i="6"/>
  <c r="J96" i="6"/>
  <c r="K96" i="6" s="1"/>
  <c r="W96" i="6" s="1"/>
  <c r="P95" i="5"/>
  <c r="O95" i="5"/>
  <c r="L96" i="6"/>
  <c r="V100" i="4"/>
  <c r="N100" i="4"/>
  <c r="V98" i="3"/>
  <c r="N98" i="3"/>
  <c r="T98" i="3" s="1"/>
  <c r="X98" i="3"/>
  <c r="V96" i="6" l="1"/>
  <c r="N96" i="6"/>
  <c r="T96" i="6" s="1"/>
  <c r="X96" i="6"/>
  <c r="I95" i="5"/>
  <c r="L95" i="5" s="1"/>
  <c r="R99" i="3"/>
  <c r="C99" i="3"/>
  <c r="E99" i="3"/>
  <c r="P99" i="3" s="1"/>
  <c r="Q99" i="3"/>
  <c r="D99" i="3"/>
  <c r="G99" i="3"/>
  <c r="AA100" i="3" s="1"/>
  <c r="T100" i="4"/>
  <c r="Z100" i="4" s="1"/>
  <c r="X100" i="4"/>
  <c r="Z98" i="3"/>
  <c r="V95" i="5" l="1"/>
  <c r="N95" i="5"/>
  <c r="Z96" i="6"/>
  <c r="G97" i="6"/>
  <c r="C97" i="6"/>
  <c r="F97" i="6" s="1"/>
  <c r="M97" i="6"/>
  <c r="E97" i="6"/>
  <c r="P97" i="6" s="1"/>
  <c r="Q97" i="6"/>
  <c r="R97" i="6"/>
  <c r="D97" i="6"/>
  <c r="U95" i="5"/>
  <c r="J95" i="5"/>
  <c r="K95" i="5" s="1"/>
  <c r="W95" i="5" s="1"/>
  <c r="X95" i="5"/>
  <c r="M101" i="4"/>
  <c r="C101" i="4"/>
  <c r="Q101" i="4"/>
  <c r="G101" i="4"/>
  <c r="AA102" i="4" s="1"/>
  <c r="E101" i="4"/>
  <c r="P101" i="4" s="1"/>
  <c r="D101" i="4"/>
  <c r="R101" i="4"/>
  <c r="F99" i="3"/>
  <c r="O97" i="6" l="1"/>
  <c r="Y97" i="6"/>
  <c r="AA98" i="6"/>
  <c r="H97" i="6"/>
  <c r="I97" i="6" s="1"/>
  <c r="Z95" i="5"/>
  <c r="T95" i="5"/>
  <c r="F101" i="4"/>
  <c r="H101" i="4"/>
  <c r="O99" i="3"/>
  <c r="H99" i="3"/>
  <c r="U97" i="6" l="1"/>
  <c r="J97" i="6"/>
  <c r="K97" i="6" s="1"/>
  <c r="W97" i="6" s="1"/>
  <c r="E96" i="5"/>
  <c r="M96" i="5"/>
  <c r="D96" i="5"/>
  <c r="C96" i="5"/>
  <c r="F96" i="5" s="1"/>
  <c r="Q96" i="5"/>
  <c r="R96" i="5"/>
  <c r="G96" i="5"/>
  <c r="AA97" i="5" s="1"/>
  <c r="P96" i="5"/>
  <c r="L97" i="6"/>
  <c r="O101" i="4"/>
  <c r="I99" i="3"/>
  <c r="L99" i="3" s="1"/>
  <c r="I101" i="4"/>
  <c r="U101" i="4" s="1"/>
  <c r="O96" i="5" l="1"/>
  <c r="H96" i="5"/>
  <c r="I96" i="5" s="1"/>
  <c r="V97" i="6"/>
  <c r="N97" i="6"/>
  <c r="V99" i="3"/>
  <c r="N99" i="3"/>
  <c r="U99" i="3"/>
  <c r="J99" i="3"/>
  <c r="J101" i="4"/>
  <c r="K101" i="4" s="1"/>
  <c r="W101" i="4" s="1"/>
  <c r="L101" i="4"/>
  <c r="L96" i="5" l="1"/>
  <c r="U96" i="5"/>
  <c r="J96" i="5"/>
  <c r="K96" i="5" s="1"/>
  <c r="W96" i="5" s="1"/>
  <c r="T97" i="6"/>
  <c r="X97" i="6"/>
  <c r="V101" i="4"/>
  <c r="N101" i="4"/>
  <c r="T101" i="4" s="1"/>
  <c r="X101" i="4"/>
  <c r="K99" i="3"/>
  <c r="T99" i="3" s="1"/>
  <c r="Z99" i="3" s="1"/>
  <c r="Z97" i="6" l="1"/>
  <c r="G98" i="6"/>
  <c r="E98" i="6"/>
  <c r="M98" i="6"/>
  <c r="R98" i="6"/>
  <c r="Q98" i="6"/>
  <c r="D98" i="6"/>
  <c r="C98" i="6"/>
  <c r="V96" i="5"/>
  <c r="N96" i="5"/>
  <c r="W99" i="3"/>
  <c r="X99" i="3"/>
  <c r="C100" i="3"/>
  <c r="E100" i="3"/>
  <c r="P100" i="3" s="1"/>
  <c r="G100" i="3"/>
  <c r="AA101" i="3" s="1"/>
  <c r="D100" i="3"/>
  <c r="R100" i="3"/>
  <c r="Q100" i="3"/>
  <c r="D102" i="4"/>
  <c r="R102" i="4"/>
  <c r="G102" i="4"/>
  <c r="AA103" i="4" s="1"/>
  <c r="Q102" i="4"/>
  <c r="E102" i="4"/>
  <c r="P102" i="4" s="1"/>
  <c r="C102" i="4"/>
  <c r="F102" i="4" s="1"/>
  <c r="M102" i="4"/>
  <c r="Z101" i="4"/>
  <c r="T96" i="5" l="1"/>
  <c r="X96" i="5"/>
  <c r="F98" i="6"/>
  <c r="H98" i="6" s="1"/>
  <c r="P98" i="6"/>
  <c r="Y98" i="6"/>
  <c r="AA99" i="6"/>
  <c r="F100" i="3"/>
  <c r="O102" i="4"/>
  <c r="H102" i="4"/>
  <c r="I98" i="6" l="1"/>
  <c r="U98" i="6" s="1"/>
  <c r="L98" i="6"/>
  <c r="Z96" i="5"/>
  <c r="C97" i="5"/>
  <c r="E97" i="5"/>
  <c r="P97" i="5" s="1"/>
  <c r="M97" i="5"/>
  <c r="R97" i="5"/>
  <c r="Q97" i="5"/>
  <c r="D97" i="5"/>
  <c r="G97" i="5"/>
  <c r="AA98" i="5" s="1"/>
  <c r="O98" i="6"/>
  <c r="J98" i="6"/>
  <c r="K98" i="6" s="1"/>
  <c r="W98" i="6" s="1"/>
  <c r="O100" i="3"/>
  <c r="H100" i="3"/>
  <c r="I102" i="4"/>
  <c r="V98" i="6" l="1"/>
  <c r="N98" i="6"/>
  <c r="X98" i="6" s="1"/>
  <c r="F97" i="5"/>
  <c r="U102" i="4"/>
  <c r="J102" i="4"/>
  <c r="K102" i="4" s="1"/>
  <c r="W102" i="4" s="1"/>
  <c r="L102" i="4"/>
  <c r="I100" i="3"/>
  <c r="H97" i="5" l="1"/>
  <c r="O97" i="5"/>
  <c r="T98" i="6"/>
  <c r="I97" i="5"/>
  <c r="U97" i="5" s="1"/>
  <c r="U100" i="3"/>
  <c r="J100" i="3"/>
  <c r="L100" i="3"/>
  <c r="V102" i="4"/>
  <c r="N102" i="4"/>
  <c r="T102" i="4" s="1"/>
  <c r="Z102" i="4"/>
  <c r="M99" i="6" l="1"/>
  <c r="G99" i="6"/>
  <c r="E99" i="6"/>
  <c r="F99" i="6" s="1"/>
  <c r="C99" i="6"/>
  <c r="H99" i="6" s="1"/>
  <c r="Q99" i="6"/>
  <c r="D99" i="6"/>
  <c r="R99" i="6"/>
  <c r="Z98" i="6"/>
  <c r="J97" i="5"/>
  <c r="K97" i="5" s="1"/>
  <c r="W97" i="5" s="1"/>
  <c r="L97" i="5"/>
  <c r="Q103" i="4"/>
  <c r="G103" i="4"/>
  <c r="AA104" i="4" s="1"/>
  <c r="C103" i="4"/>
  <c r="F103" i="4" s="1"/>
  <c r="M103" i="4"/>
  <c r="D103" i="4"/>
  <c r="E103" i="4"/>
  <c r="R103" i="4"/>
  <c r="K100" i="3"/>
  <c r="W100" i="3" s="1"/>
  <c r="V100" i="3"/>
  <c r="N100" i="3"/>
  <c r="X102" i="4"/>
  <c r="I99" i="6" l="1"/>
  <c r="O99" i="6"/>
  <c r="J99" i="6"/>
  <c r="K99" i="6" s="1"/>
  <c r="W99" i="6" s="1"/>
  <c r="P99" i="6"/>
  <c r="V97" i="5"/>
  <c r="N97" i="5"/>
  <c r="T97" i="5" s="1"/>
  <c r="X97" i="5"/>
  <c r="P103" i="4"/>
  <c r="Y99" i="6"/>
  <c r="AA100" i="6"/>
  <c r="X100" i="3"/>
  <c r="H103" i="4"/>
  <c r="I103" i="4"/>
  <c r="U103" i="4" s="1"/>
  <c r="O103" i="4"/>
  <c r="T100" i="3"/>
  <c r="Z97" i="5" l="1"/>
  <c r="E98" i="5"/>
  <c r="P98" i="5" s="1"/>
  <c r="R98" i="5"/>
  <c r="D98" i="5"/>
  <c r="C98" i="5"/>
  <c r="F98" i="5" s="1"/>
  <c r="G98" i="5"/>
  <c r="AA99" i="5" s="1"/>
  <c r="M98" i="5"/>
  <c r="Q98" i="5"/>
  <c r="L99" i="6"/>
  <c r="U99" i="6"/>
  <c r="E101" i="3"/>
  <c r="D101" i="3"/>
  <c r="Q101" i="3"/>
  <c r="G101" i="3"/>
  <c r="AA102" i="3" s="1"/>
  <c r="C101" i="3"/>
  <c r="R101" i="3"/>
  <c r="Z100" i="3"/>
  <c r="L103" i="4"/>
  <c r="J103" i="4"/>
  <c r="O98" i="5" l="1"/>
  <c r="I98" i="5"/>
  <c r="U98" i="5" s="1"/>
  <c r="V99" i="6"/>
  <c r="N99" i="6"/>
  <c r="T99" i="6" s="1"/>
  <c r="Z99" i="6"/>
  <c r="P101" i="3"/>
  <c r="H98" i="5"/>
  <c r="K103" i="4"/>
  <c r="F101" i="3"/>
  <c r="H101" i="3" s="1"/>
  <c r="V103" i="4"/>
  <c r="N103" i="4"/>
  <c r="T103" i="4" s="1"/>
  <c r="J98" i="5" l="1"/>
  <c r="R100" i="6"/>
  <c r="E100" i="6"/>
  <c r="C100" i="6"/>
  <c r="G100" i="6"/>
  <c r="Q100" i="6"/>
  <c r="D100" i="6"/>
  <c r="M100" i="6"/>
  <c r="X99" i="6"/>
  <c r="L98" i="5"/>
  <c r="Z103" i="4"/>
  <c r="I101" i="3"/>
  <c r="U101" i="3" s="1"/>
  <c r="O101" i="3"/>
  <c r="W103" i="4"/>
  <c r="X103" i="4"/>
  <c r="R104" i="4"/>
  <c r="G104" i="4"/>
  <c r="AA105" i="4" s="1"/>
  <c r="C104" i="4"/>
  <c r="Q104" i="4"/>
  <c r="M104" i="4"/>
  <c r="E104" i="4"/>
  <c r="P104" i="4" s="1"/>
  <c r="D104" i="4"/>
  <c r="Y100" i="6" l="1"/>
  <c r="AA101" i="6"/>
  <c r="F100" i="6"/>
  <c r="P100" i="6"/>
  <c r="V98" i="5"/>
  <c r="N98" i="5"/>
  <c r="K98" i="5"/>
  <c r="J101" i="3"/>
  <c r="K101" i="3" s="1"/>
  <c r="W101" i="3" s="1"/>
  <c r="L101" i="3"/>
  <c r="F104" i="4"/>
  <c r="W98" i="5" l="1"/>
  <c r="X98" i="5"/>
  <c r="T98" i="5"/>
  <c r="H100" i="6"/>
  <c r="O100" i="6"/>
  <c r="Z98" i="5"/>
  <c r="I100" i="6"/>
  <c r="U100" i="6" s="1"/>
  <c r="O104" i="4"/>
  <c r="H104" i="4"/>
  <c r="V101" i="3"/>
  <c r="N101" i="3"/>
  <c r="L100" i="6" l="1"/>
  <c r="J100" i="6"/>
  <c r="K100" i="6" s="1"/>
  <c r="W100" i="6" s="1"/>
  <c r="Q99" i="5"/>
  <c r="C99" i="5"/>
  <c r="G99" i="5"/>
  <c r="AA100" i="5" s="1"/>
  <c r="M99" i="5"/>
  <c r="E99" i="5"/>
  <c r="P99" i="5" s="1"/>
  <c r="R99" i="5"/>
  <c r="D99" i="5"/>
  <c r="I104" i="4"/>
  <c r="T101" i="3"/>
  <c r="Z101" i="3"/>
  <c r="X101" i="3"/>
  <c r="V100" i="6" l="1"/>
  <c r="N100" i="6"/>
  <c r="T100" i="6" s="1"/>
  <c r="F99" i="5"/>
  <c r="X100" i="6"/>
  <c r="R102" i="3"/>
  <c r="Q102" i="3"/>
  <c r="G102" i="3"/>
  <c r="AA103" i="3" s="1"/>
  <c r="C102" i="3"/>
  <c r="P102" i="3"/>
  <c r="D102" i="3"/>
  <c r="E102" i="3"/>
  <c r="F102" i="3"/>
  <c r="U104" i="4"/>
  <c r="J104" i="4"/>
  <c r="L104" i="4"/>
  <c r="O99" i="5" l="1"/>
  <c r="H99" i="5"/>
  <c r="I99" i="5" s="1"/>
  <c r="G101" i="6"/>
  <c r="M101" i="6"/>
  <c r="D101" i="6"/>
  <c r="C101" i="6"/>
  <c r="R101" i="6"/>
  <c r="E101" i="6"/>
  <c r="Q101" i="6"/>
  <c r="P101" i="6"/>
  <c r="Z100" i="6"/>
  <c r="H102" i="3"/>
  <c r="V104" i="4"/>
  <c r="N104" i="4"/>
  <c r="O102" i="3"/>
  <c r="K104" i="4"/>
  <c r="U99" i="5" l="1"/>
  <c r="J99" i="5"/>
  <c r="K99" i="5" s="1"/>
  <c r="W99" i="5" s="1"/>
  <c r="AA102" i="6"/>
  <c r="Y101" i="6"/>
  <c r="F101" i="6"/>
  <c r="L99" i="5"/>
  <c r="X104" i="4"/>
  <c r="W104" i="4"/>
  <c r="T104" i="4"/>
  <c r="Z104" i="4" s="1"/>
  <c r="I102" i="3"/>
  <c r="V99" i="5" l="1"/>
  <c r="N99" i="5"/>
  <c r="O101" i="6"/>
  <c r="H101" i="6"/>
  <c r="U102" i="3"/>
  <c r="J102" i="3"/>
  <c r="K102" i="3" s="1"/>
  <c r="W102" i="3" s="1"/>
  <c r="M105" i="4"/>
  <c r="C105" i="4"/>
  <c r="P105" i="4"/>
  <c r="E105" i="4"/>
  <c r="D105" i="4"/>
  <c r="Q105" i="4"/>
  <c r="G105" i="4"/>
  <c r="AA106" i="4" s="1"/>
  <c r="R105" i="4"/>
  <c r="L102" i="3"/>
  <c r="I101" i="6" l="1"/>
  <c r="T99" i="5"/>
  <c r="X99" i="5"/>
  <c r="F105" i="4"/>
  <c r="O105" i="4" s="1"/>
  <c r="H105" i="4"/>
  <c r="V102" i="3"/>
  <c r="N102" i="3"/>
  <c r="M100" i="5" l="1"/>
  <c r="Q100" i="5"/>
  <c r="G100" i="5"/>
  <c r="AA101" i="5" s="1"/>
  <c r="C100" i="5"/>
  <c r="F100" i="5" s="1"/>
  <c r="R100" i="5"/>
  <c r="E100" i="5"/>
  <c r="D100" i="5"/>
  <c r="P100" i="5"/>
  <c r="Z99" i="5"/>
  <c r="U101" i="6"/>
  <c r="J101" i="6"/>
  <c r="L101" i="6"/>
  <c r="T102" i="3"/>
  <c r="X102" i="3"/>
  <c r="I105" i="4"/>
  <c r="H100" i="5" l="1"/>
  <c r="O100" i="5"/>
  <c r="K101" i="6"/>
  <c r="W101" i="6" s="1"/>
  <c r="X101" i="6"/>
  <c r="V101" i="6"/>
  <c r="N101" i="6"/>
  <c r="E103" i="3"/>
  <c r="Q103" i="3"/>
  <c r="D103" i="3"/>
  <c r="R103" i="3"/>
  <c r="C103" i="3"/>
  <c r="G103" i="3"/>
  <c r="AA104" i="3" s="1"/>
  <c r="P103" i="3"/>
  <c r="U105" i="4"/>
  <c r="J105" i="4"/>
  <c r="Z102" i="3"/>
  <c r="L105" i="4"/>
  <c r="T101" i="6" l="1"/>
  <c r="Z101" i="6" s="1"/>
  <c r="I100" i="5"/>
  <c r="L100" i="5" s="1"/>
  <c r="V105" i="4"/>
  <c r="N105" i="4"/>
  <c r="F103" i="3"/>
  <c r="H103" i="3" s="1"/>
  <c r="K105" i="4"/>
  <c r="V100" i="5" l="1"/>
  <c r="N100" i="5"/>
  <c r="U100" i="5"/>
  <c r="J100" i="5"/>
  <c r="K100" i="5" s="1"/>
  <c r="W100" i="5" s="1"/>
  <c r="C102" i="6"/>
  <c r="M102" i="6"/>
  <c r="G102" i="6"/>
  <c r="E102" i="6"/>
  <c r="D102" i="6"/>
  <c r="R102" i="6"/>
  <c r="Q102" i="6"/>
  <c r="T105" i="4"/>
  <c r="D106" i="4" s="1"/>
  <c r="X105" i="4"/>
  <c r="W105" i="4"/>
  <c r="O103" i="3"/>
  <c r="I103" i="3"/>
  <c r="U103" i="3" s="1"/>
  <c r="M106" i="4" l="1"/>
  <c r="P102" i="6"/>
  <c r="Z105" i="4"/>
  <c r="H102" i="6"/>
  <c r="E106" i="4"/>
  <c r="G106" i="4"/>
  <c r="AA107" i="4" s="1"/>
  <c r="AA103" i="6"/>
  <c r="Y102" i="6"/>
  <c r="R106" i="4"/>
  <c r="T100" i="5"/>
  <c r="Q106" i="4"/>
  <c r="F102" i="6"/>
  <c r="X100" i="5"/>
  <c r="C106" i="4"/>
  <c r="J103" i="3"/>
  <c r="K103" i="3" s="1"/>
  <c r="W103" i="3" s="1"/>
  <c r="L103" i="3"/>
  <c r="V103" i="3" s="1"/>
  <c r="N103" i="3"/>
  <c r="T103" i="3" s="1"/>
  <c r="F106" i="4" l="1"/>
  <c r="O106" i="4" s="1"/>
  <c r="I102" i="6"/>
  <c r="U102" i="6" s="1"/>
  <c r="J102" i="6"/>
  <c r="K102" i="6" s="1"/>
  <c r="W102" i="6" s="1"/>
  <c r="O102" i="6"/>
  <c r="C101" i="5"/>
  <c r="G101" i="5"/>
  <c r="AA102" i="5" s="1"/>
  <c r="R101" i="5"/>
  <c r="E101" i="5"/>
  <c r="Q101" i="5"/>
  <c r="M101" i="5"/>
  <c r="D101" i="5"/>
  <c r="P101" i="5"/>
  <c r="F101" i="5"/>
  <c r="O101" i="5"/>
  <c r="Z100" i="5"/>
  <c r="P106" i="4"/>
  <c r="E104" i="3"/>
  <c r="P104" i="3" s="1"/>
  <c r="D104" i="3"/>
  <c r="C104" i="3"/>
  <c r="R104" i="3"/>
  <c r="G104" i="3"/>
  <c r="AA105" i="3" s="1"/>
  <c r="Q104" i="3"/>
  <c r="Z103" i="3"/>
  <c r="X103" i="3"/>
  <c r="H101" i="5" l="1"/>
  <c r="L102" i="6"/>
  <c r="H106" i="4"/>
  <c r="I106" i="4" s="1"/>
  <c r="J106" i="4" s="1"/>
  <c r="F104" i="3"/>
  <c r="V102" i="6" l="1"/>
  <c r="N102" i="6"/>
  <c r="U106" i="4"/>
  <c r="L106" i="4"/>
  <c r="V106" i="4" s="1"/>
  <c r="I101" i="5"/>
  <c r="H104" i="3"/>
  <c r="O104" i="3"/>
  <c r="K106" i="4"/>
  <c r="N106" i="4" l="1"/>
  <c r="U101" i="5"/>
  <c r="J101" i="5"/>
  <c r="K101" i="5" s="1"/>
  <c r="W101" i="5" s="1"/>
  <c r="T102" i="6"/>
  <c r="Z102" i="6"/>
  <c r="X102" i="6"/>
  <c r="L101" i="5"/>
  <c r="W106" i="4"/>
  <c r="X106" i="4"/>
  <c r="T106" i="4"/>
  <c r="I104" i="3"/>
  <c r="L104" i="3" s="1"/>
  <c r="D103" i="6" l="1"/>
  <c r="M103" i="6"/>
  <c r="C103" i="6"/>
  <c r="R103" i="6"/>
  <c r="E103" i="6"/>
  <c r="P103" i="6" s="1"/>
  <c r="Q103" i="6"/>
  <c r="G103" i="6"/>
  <c r="F103" i="6"/>
  <c r="O103" i="6" s="1"/>
  <c r="V101" i="5"/>
  <c r="N101" i="5"/>
  <c r="T101" i="5" s="1"/>
  <c r="Q107" i="4"/>
  <c r="E107" i="4"/>
  <c r="D107" i="4"/>
  <c r="R107" i="4"/>
  <c r="G107" i="4"/>
  <c r="AA108" i="4" s="1"/>
  <c r="C107" i="4"/>
  <c r="M107" i="4"/>
  <c r="V104" i="3"/>
  <c r="N104" i="3"/>
  <c r="Z106" i="4"/>
  <c r="U104" i="3"/>
  <c r="J104" i="3"/>
  <c r="X101" i="5" l="1"/>
  <c r="H103" i="6"/>
  <c r="AA104" i="6"/>
  <c r="Y103" i="6"/>
  <c r="Z101" i="5"/>
  <c r="P107" i="4"/>
  <c r="R102" i="5"/>
  <c r="Q102" i="5"/>
  <c r="G102" i="5"/>
  <c r="AA103" i="5" s="1"/>
  <c r="D102" i="5"/>
  <c r="C102" i="5"/>
  <c r="M102" i="5"/>
  <c r="E102" i="5"/>
  <c r="F102" i="5" s="1"/>
  <c r="P102" i="5"/>
  <c r="H102" i="5"/>
  <c r="K104" i="3"/>
  <c r="W104" i="3" s="1"/>
  <c r="F107" i="4"/>
  <c r="I102" i="5" l="1"/>
  <c r="O102" i="5"/>
  <c r="L103" i="6"/>
  <c r="J102" i="5"/>
  <c r="K102" i="5" s="1"/>
  <c r="W102" i="5" s="1"/>
  <c r="I103" i="6"/>
  <c r="T104" i="3"/>
  <c r="Z104" i="3" s="1"/>
  <c r="O107" i="4"/>
  <c r="X104" i="3"/>
  <c r="H107" i="4"/>
  <c r="I107" i="4" s="1"/>
  <c r="U103" i="6" l="1"/>
  <c r="J103" i="6"/>
  <c r="K103" i="6" s="1"/>
  <c r="W103" i="6" s="1"/>
  <c r="L102" i="5"/>
  <c r="U102" i="5"/>
  <c r="V103" i="6"/>
  <c r="N103" i="6"/>
  <c r="U107" i="4"/>
  <c r="J107" i="4"/>
  <c r="K107" i="4" s="1"/>
  <c r="W107" i="4" s="1"/>
  <c r="L107" i="4"/>
  <c r="R105" i="3"/>
  <c r="Q105" i="3"/>
  <c r="G105" i="3"/>
  <c r="AA106" i="3" s="1"/>
  <c r="E105" i="3"/>
  <c r="C105" i="3"/>
  <c r="D105" i="3"/>
  <c r="V102" i="5" l="1"/>
  <c r="N102" i="5"/>
  <c r="X103" i="6"/>
  <c r="T103" i="6"/>
  <c r="F105" i="3"/>
  <c r="I105" i="3" s="1"/>
  <c r="U105" i="3" s="1"/>
  <c r="P105" i="3"/>
  <c r="H105" i="3"/>
  <c r="V107" i="4"/>
  <c r="N107" i="4"/>
  <c r="T107" i="4" s="1"/>
  <c r="O105" i="3" l="1"/>
  <c r="Q104" i="6"/>
  <c r="G104" i="6"/>
  <c r="E104" i="6"/>
  <c r="R104" i="6"/>
  <c r="D104" i="6"/>
  <c r="C104" i="6"/>
  <c r="F104" i="6" s="1"/>
  <c r="M104" i="6"/>
  <c r="Z103" i="6"/>
  <c r="T102" i="5"/>
  <c r="Z102" i="5" s="1"/>
  <c r="X102" i="5"/>
  <c r="J105" i="3"/>
  <c r="K105" i="3" s="1"/>
  <c r="W105" i="3" s="1"/>
  <c r="M108" i="4"/>
  <c r="C108" i="4"/>
  <c r="R108" i="4"/>
  <c r="Q108" i="4"/>
  <c r="P108" i="4"/>
  <c r="G108" i="4"/>
  <c r="AA109" i="4" s="1"/>
  <c r="E108" i="4"/>
  <c r="D108" i="4"/>
  <c r="L105" i="3"/>
  <c r="X107" i="4"/>
  <c r="Z107" i="4"/>
  <c r="O104" i="6" l="1"/>
  <c r="H104" i="6"/>
  <c r="I104" i="6" s="1"/>
  <c r="Q103" i="5"/>
  <c r="C103" i="5"/>
  <c r="R103" i="5"/>
  <c r="M103" i="5"/>
  <c r="D103" i="5"/>
  <c r="G103" i="5"/>
  <c r="AA104" i="5" s="1"/>
  <c r="E103" i="5"/>
  <c r="P103" i="5"/>
  <c r="Y104" i="6"/>
  <c r="AA105" i="6"/>
  <c r="P104" i="6"/>
  <c r="V105" i="3"/>
  <c r="N105" i="3"/>
  <c r="X105" i="3"/>
  <c r="F108" i="4"/>
  <c r="U104" i="6" l="1"/>
  <c r="J104" i="6"/>
  <c r="K104" i="6" s="1"/>
  <c r="W104" i="6" s="1"/>
  <c r="F103" i="5"/>
  <c r="L104" i="6"/>
  <c r="H108" i="4"/>
  <c r="O108" i="4"/>
  <c r="T105" i="3"/>
  <c r="Z105" i="3"/>
  <c r="V104" i="6" l="1"/>
  <c r="N104" i="6"/>
  <c r="T104" i="6" s="1"/>
  <c r="Z104" i="6"/>
  <c r="O103" i="5"/>
  <c r="I103" i="5"/>
  <c r="U103" i="5" s="1"/>
  <c r="H103" i="5"/>
  <c r="D106" i="3"/>
  <c r="Q106" i="3"/>
  <c r="R106" i="3"/>
  <c r="G106" i="3"/>
  <c r="AA107" i="3" s="1"/>
  <c r="E106" i="3"/>
  <c r="C106" i="3"/>
  <c r="I108" i="4"/>
  <c r="L108" i="4" s="1"/>
  <c r="L103" i="5" l="1"/>
  <c r="F105" i="6"/>
  <c r="M105" i="6"/>
  <c r="R105" i="6"/>
  <c r="P105" i="6"/>
  <c r="C105" i="6"/>
  <c r="D105" i="6"/>
  <c r="G105" i="6"/>
  <c r="Q105" i="6"/>
  <c r="E105" i="6"/>
  <c r="J103" i="5"/>
  <c r="K103" i="5" s="1"/>
  <c r="W103" i="5" s="1"/>
  <c r="X104" i="6"/>
  <c r="P106" i="3"/>
  <c r="F106" i="3"/>
  <c r="V108" i="4"/>
  <c r="N108" i="4"/>
  <c r="U108" i="4"/>
  <c r="J108" i="4"/>
  <c r="H105" i="6" l="1"/>
  <c r="V103" i="5"/>
  <c r="N103" i="5"/>
  <c r="O105" i="6"/>
  <c r="Y105" i="6"/>
  <c r="AA106" i="6"/>
  <c r="O106" i="3"/>
  <c r="H106" i="3"/>
  <c r="K108" i="4"/>
  <c r="T108" i="4" s="1"/>
  <c r="X108" i="4"/>
  <c r="T103" i="5" l="1"/>
  <c r="X103" i="5"/>
  <c r="I105" i="6"/>
  <c r="W108" i="4"/>
  <c r="Z108" i="4"/>
  <c r="I106" i="3"/>
  <c r="E109" i="4"/>
  <c r="G109" i="4"/>
  <c r="AA110" i="4" s="1"/>
  <c r="R109" i="4"/>
  <c r="D109" i="4"/>
  <c r="C109" i="4"/>
  <c r="P109" i="4" s="1"/>
  <c r="Q109" i="4"/>
  <c r="M109" i="4"/>
  <c r="U105" i="6" l="1"/>
  <c r="J105" i="6"/>
  <c r="K105" i="6" s="1"/>
  <c r="W105" i="6" s="1"/>
  <c r="Q104" i="5"/>
  <c r="R104" i="5"/>
  <c r="C104" i="5"/>
  <c r="E104" i="5"/>
  <c r="G104" i="5"/>
  <c r="AA105" i="5" s="1"/>
  <c r="D104" i="5"/>
  <c r="M104" i="5"/>
  <c r="L105" i="6"/>
  <c r="Z103" i="5"/>
  <c r="F109" i="4"/>
  <c r="H109" i="4" s="1"/>
  <c r="U106" i="3"/>
  <c r="J106" i="3"/>
  <c r="L106" i="3"/>
  <c r="P104" i="5" l="1"/>
  <c r="V105" i="6"/>
  <c r="N105" i="6"/>
  <c r="T105" i="6" s="1"/>
  <c r="Z105" i="6"/>
  <c r="F104" i="5"/>
  <c r="X105" i="6"/>
  <c r="V106" i="3"/>
  <c r="N106" i="3"/>
  <c r="K106" i="3"/>
  <c r="W106" i="3" s="1"/>
  <c r="X106" i="3"/>
  <c r="O109" i="4"/>
  <c r="I109" i="4"/>
  <c r="U109" i="4" s="1"/>
  <c r="O104" i="5" l="1"/>
  <c r="H104" i="5"/>
  <c r="R106" i="6"/>
  <c r="M106" i="6"/>
  <c r="E106" i="6"/>
  <c r="F106" i="6" s="1"/>
  <c r="Q106" i="6"/>
  <c r="G106" i="6"/>
  <c r="C106" i="6"/>
  <c r="D106" i="6"/>
  <c r="L109" i="4"/>
  <c r="T106" i="3"/>
  <c r="J109" i="4"/>
  <c r="AA107" i="6" l="1"/>
  <c r="Y106" i="6"/>
  <c r="P106" i="6"/>
  <c r="I106" i="6"/>
  <c r="U106" i="6" s="1"/>
  <c r="O106" i="6"/>
  <c r="H106" i="6"/>
  <c r="I104" i="5"/>
  <c r="K109" i="4"/>
  <c r="W109" i="4" s="1"/>
  <c r="D107" i="3"/>
  <c r="C107" i="3"/>
  <c r="P107" i="3" s="1"/>
  <c r="Q107" i="3"/>
  <c r="G107" i="3"/>
  <c r="AA108" i="3" s="1"/>
  <c r="E107" i="3"/>
  <c r="R107" i="3"/>
  <c r="V109" i="4"/>
  <c r="N109" i="4"/>
  <c r="X109" i="4"/>
  <c r="Z106" i="3"/>
  <c r="U104" i="5" l="1"/>
  <c r="J104" i="5"/>
  <c r="K104" i="5" s="1"/>
  <c r="W104" i="5" s="1"/>
  <c r="L106" i="6"/>
  <c r="L104" i="5"/>
  <c r="J106" i="6"/>
  <c r="K106" i="6" s="1"/>
  <c r="W106" i="6" s="1"/>
  <c r="T109" i="4"/>
  <c r="F107" i="3"/>
  <c r="H107" i="3" s="1"/>
  <c r="V104" i="5" l="1"/>
  <c r="N104" i="5"/>
  <c r="T104" i="5" s="1"/>
  <c r="X104" i="5"/>
  <c r="Z104" i="5"/>
  <c r="V106" i="6"/>
  <c r="N106" i="6"/>
  <c r="T106" i="6" s="1"/>
  <c r="R110" i="4"/>
  <c r="D110" i="4"/>
  <c r="C110" i="4"/>
  <c r="Q110" i="4"/>
  <c r="E110" i="4"/>
  <c r="M110" i="4"/>
  <c r="G110" i="4"/>
  <c r="AA111" i="4" s="1"/>
  <c r="F110" i="4"/>
  <c r="Z109" i="4"/>
  <c r="I107" i="3"/>
  <c r="U107" i="3" s="1"/>
  <c r="O107" i="3"/>
  <c r="X106" i="6" l="1"/>
  <c r="Z106" i="6"/>
  <c r="M107" i="6"/>
  <c r="D107" i="6"/>
  <c r="C107" i="6"/>
  <c r="F107" i="6" s="1"/>
  <c r="Q107" i="6"/>
  <c r="E107" i="6"/>
  <c r="P107" i="6" s="1"/>
  <c r="R107" i="6"/>
  <c r="G107" i="6"/>
  <c r="Q105" i="5"/>
  <c r="G105" i="5"/>
  <c r="AA106" i="5" s="1"/>
  <c r="R105" i="5"/>
  <c r="M105" i="5"/>
  <c r="E105" i="5"/>
  <c r="P105" i="5" s="1"/>
  <c r="D105" i="5"/>
  <c r="C105" i="5"/>
  <c r="F105" i="5"/>
  <c r="J105" i="5" s="1"/>
  <c r="K105" i="5" s="1"/>
  <c r="W105" i="5" s="1"/>
  <c r="O105" i="5"/>
  <c r="H105" i="5"/>
  <c r="I105" i="5" s="1"/>
  <c r="U105" i="5" s="1"/>
  <c r="L105" i="5"/>
  <c r="V105" i="5" s="1"/>
  <c r="O110" i="4"/>
  <c r="H110" i="4"/>
  <c r="P110" i="4"/>
  <c r="J107" i="3"/>
  <c r="L107" i="3"/>
  <c r="N105" i="5" l="1"/>
  <c r="T105" i="5" s="1"/>
  <c r="X105" i="5"/>
  <c r="Z105" i="5"/>
  <c r="O107" i="6"/>
  <c r="H107" i="6"/>
  <c r="Y107" i="6"/>
  <c r="AA108" i="6"/>
  <c r="V107" i="3"/>
  <c r="N107" i="3"/>
  <c r="I110" i="4"/>
  <c r="L110" i="4" s="1"/>
  <c r="K107" i="3"/>
  <c r="W107" i="3" s="1"/>
  <c r="X107" i="3"/>
  <c r="M106" i="5" l="1"/>
  <c r="D106" i="5"/>
  <c r="E106" i="5"/>
  <c r="C106" i="5"/>
  <c r="Q106" i="5"/>
  <c r="R106" i="5"/>
  <c r="G106" i="5"/>
  <c r="AA107" i="5" s="1"/>
  <c r="P106" i="5"/>
  <c r="I107" i="6"/>
  <c r="T107" i="3"/>
  <c r="G108" i="3" s="1"/>
  <c r="AA109" i="3" s="1"/>
  <c r="D108" i="3"/>
  <c r="R108" i="3"/>
  <c r="C108" i="3"/>
  <c r="U110" i="4"/>
  <c r="J110" i="4"/>
  <c r="V110" i="4"/>
  <c r="N110" i="4"/>
  <c r="U107" i="6" l="1"/>
  <c r="J107" i="6"/>
  <c r="K107" i="6" s="1"/>
  <c r="W107" i="6" s="1"/>
  <c r="Q108" i="3"/>
  <c r="E108" i="3"/>
  <c r="P108" i="3" s="1"/>
  <c r="Z107" i="3"/>
  <c r="F106" i="5"/>
  <c r="L107" i="6"/>
  <c r="K110" i="4"/>
  <c r="V107" i="6" l="1"/>
  <c r="N107" i="6"/>
  <c r="T107" i="6" s="1"/>
  <c r="H106" i="5"/>
  <c r="O106" i="5"/>
  <c r="X107" i="6"/>
  <c r="F108" i="3"/>
  <c r="H108" i="3" s="1"/>
  <c r="W110" i="4"/>
  <c r="X110" i="4"/>
  <c r="O108" i="3"/>
  <c r="T110" i="4"/>
  <c r="Z107" i="6" l="1"/>
  <c r="D108" i="6"/>
  <c r="M108" i="6"/>
  <c r="C108" i="6"/>
  <c r="R108" i="6"/>
  <c r="Q108" i="6"/>
  <c r="E108" i="6"/>
  <c r="F108" i="6" s="1"/>
  <c r="G108" i="6"/>
  <c r="H108" i="6" s="1"/>
  <c r="P108" i="6"/>
  <c r="I106" i="5"/>
  <c r="L106" i="5"/>
  <c r="M111" i="4"/>
  <c r="G111" i="4"/>
  <c r="AA112" i="4" s="1"/>
  <c r="E111" i="4"/>
  <c r="D111" i="4"/>
  <c r="C111" i="4"/>
  <c r="R111" i="4"/>
  <c r="Q111" i="4"/>
  <c r="Z110" i="4"/>
  <c r="I108" i="3"/>
  <c r="AA109" i="6" l="1"/>
  <c r="Y108" i="6"/>
  <c r="P111" i="4"/>
  <c r="U106" i="5"/>
  <c r="J106" i="5"/>
  <c r="J108" i="6"/>
  <c r="K108" i="6" s="1"/>
  <c r="W108" i="6" s="1"/>
  <c r="O108" i="6"/>
  <c r="V106" i="5"/>
  <c r="N106" i="5"/>
  <c r="I108" i="6"/>
  <c r="U108" i="6" s="1"/>
  <c r="U108" i="3"/>
  <c r="J108" i="3"/>
  <c r="K108" i="3" s="1"/>
  <c r="W108" i="3" s="1"/>
  <c r="F111" i="4"/>
  <c r="L108" i="3"/>
  <c r="K106" i="5" l="1"/>
  <c r="W106" i="5" s="1"/>
  <c r="X106" i="5"/>
  <c r="T106" i="5"/>
  <c r="L108" i="6"/>
  <c r="V108" i="3"/>
  <c r="N108" i="3"/>
  <c r="T108" i="3" s="1"/>
  <c r="O111" i="4"/>
  <c r="H111" i="4"/>
  <c r="I111" i="4" s="1"/>
  <c r="U111" i="4" s="1"/>
  <c r="V108" i="6" l="1"/>
  <c r="N108" i="6"/>
  <c r="T108" i="6" s="1"/>
  <c r="Q107" i="5"/>
  <c r="E107" i="5"/>
  <c r="G107" i="5"/>
  <c r="AA108" i="5" s="1"/>
  <c r="C107" i="5"/>
  <c r="D107" i="5"/>
  <c r="R107" i="5"/>
  <c r="M107" i="5"/>
  <c r="P107" i="5"/>
  <c r="X108" i="6"/>
  <c r="Z108" i="6"/>
  <c r="Z106" i="5"/>
  <c r="X108" i="3"/>
  <c r="R109" i="3"/>
  <c r="C109" i="3"/>
  <c r="Q109" i="3"/>
  <c r="G109" i="3"/>
  <c r="E109" i="3"/>
  <c r="F109" i="3" s="1"/>
  <c r="D109" i="3"/>
  <c r="P109" i="3"/>
  <c r="L111" i="4"/>
  <c r="Z108" i="3"/>
  <c r="J111" i="4"/>
  <c r="K111" i="4" s="1"/>
  <c r="W111" i="4" s="1"/>
  <c r="G109" i="6" l="1"/>
  <c r="AA110" i="6" s="1"/>
  <c r="R109" i="6"/>
  <c r="Q109" i="6"/>
  <c r="E109" i="6"/>
  <c r="F109" i="6" s="1"/>
  <c r="D109" i="6"/>
  <c r="H109" i="6" s="1"/>
  <c r="M109" i="6"/>
  <c r="P109" i="6"/>
  <c r="C109" i="6"/>
  <c r="F107" i="5"/>
  <c r="AA110" i="3"/>
  <c r="V111" i="4"/>
  <c r="N111" i="4"/>
  <c r="O109" i="3"/>
  <c r="H109" i="3"/>
  <c r="I109" i="6" l="1"/>
  <c r="U109" i="6" s="1"/>
  <c r="L109" i="6"/>
  <c r="V109" i="6" s="1"/>
  <c r="O109" i="6"/>
  <c r="J109" i="6"/>
  <c r="K109" i="6" s="1"/>
  <c r="W109" i="6" s="1"/>
  <c r="O107" i="5"/>
  <c r="H107" i="5"/>
  <c r="Y109" i="6"/>
  <c r="T111" i="4"/>
  <c r="X111" i="4"/>
  <c r="Z111" i="4"/>
  <c r="I109" i="3"/>
  <c r="I107" i="5" l="1"/>
  <c r="N109" i="6"/>
  <c r="U109" i="3"/>
  <c r="J109" i="3"/>
  <c r="L109" i="3"/>
  <c r="D112" i="4"/>
  <c r="E112" i="4"/>
  <c r="R112" i="4"/>
  <c r="Q112" i="4"/>
  <c r="M112" i="4"/>
  <c r="G112" i="4"/>
  <c r="AA113" i="4" s="1"/>
  <c r="C112" i="4"/>
  <c r="P112" i="4" l="1"/>
  <c r="L107" i="5"/>
  <c r="U107" i="5"/>
  <c r="J107" i="5"/>
  <c r="K107" i="5" s="1"/>
  <c r="W107" i="5" s="1"/>
  <c r="T109" i="6"/>
  <c r="X109" i="6"/>
  <c r="K109" i="3"/>
  <c r="W109" i="3" s="1"/>
  <c r="F112" i="4"/>
  <c r="H112" i="4" s="1"/>
  <c r="V109" i="3"/>
  <c r="N109" i="3"/>
  <c r="T109" i="3" s="1"/>
  <c r="Z109" i="6" l="1"/>
  <c r="E110" i="6"/>
  <c r="R110" i="6"/>
  <c r="G110" i="6"/>
  <c r="AA111" i="6" s="1"/>
  <c r="D110" i="6"/>
  <c r="C110" i="6"/>
  <c r="M110" i="6"/>
  <c r="Q110" i="6"/>
  <c r="V107" i="5"/>
  <c r="N107" i="5"/>
  <c r="Z109" i="3"/>
  <c r="C110" i="3"/>
  <c r="Q110" i="3"/>
  <c r="R110" i="3"/>
  <c r="D110" i="3"/>
  <c r="G110" i="3"/>
  <c r="E110" i="3"/>
  <c r="F110" i="3" s="1"/>
  <c r="X109" i="3"/>
  <c r="O112" i="4"/>
  <c r="I112" i="4"/>
  <c r="U112" i="4" s="1"/>
  <c r="T107" i="5" l="1"/>
  <c r="X107" i="5"/>
  <c r="Z107" i="5"/>
  <c r="P110" i="6"/>
  <c r="F110" i="6"/>
  <c r="P110" i="3"/>
  <c r="J112" i="4"/>
  <c r="K112" i="4" s="1"/>
  <c r="W112" i="4" s="1"/>
  <c r="O110" i="3"/>
  <c r="H110" i="3"/>
  <c r="AA111" i="3"/>
  <c r="Y110" i="6"/>
  <c r="I110" i="3"/>
  <c r="U110" i="3" s="1"/>
  <c r="L112" i="4"/>
  <c r="O110" i="6" l="1"/>
  <c r="D108" i="5"/>
  <c r="Q108" i="5"/>
  <c r="G108" i="5"/>
  <c r="AA109" i="5" s="1"/>
  <c r="C108" i="5"/>
  <c r="E108" i="5"/>
  <c r="P108" i="5" s="1"/>
  <c r="R108" i="5"/>
  <c r="M108" i="5"/>
  <c r="H110" i="6"/>
  <c r="L110" i="3"/>
  <c r="V112" i="4"/>
  <c r="N112" i="4"/>
  <c r="T112" i="4" s="1"/>
  <c r="J110" i="3"/>
  <c r="F108" i="5" l="1"/>
  <c r="I110" i="6"/>
  <c r="H108" i="5"/>
  <c r="K110" i="3"/>
  <c r="V110" i="3"/>
  <c r="N110" i="3"/>
  <c r="T110" i="3" s="1"/>
  <c r="Z112" i="4"/>
  <c r="Q113" i="4"/>
  <c r="G113" i="4"/>
  <c r="AA114" i="4" s="1"/>
  <c r="R113" i="4"/>
  <c r="E113" i="4"/>
  <c r="D113" i="4"/>
  <c r="M113" i="4"/>
  <c r="C113" i="4"/>
  <c r="X112" i="4"/>
  <c r="I108" i="5" l="1"/>
  <c r="U108" i="5" s="1"/>
  <c r="L108" i="5"/>
  <c r="U110" i="6"/>
  <c r="J110" i="6"/>
  <c r="K110" i="6" s="1"/>
  <c r="W110" i="6" s="1"/>
  <c r="L110" i="6"/>
  <c r="F113" i="4"/>
  <c r="O113" i="4" s="1"/>
  <c r="J108" i="5"/>
  <c r="K108" i="5" s="1"/>
  <c r="W108" i="5" s="1"/>
  <c r="O108" i="5"/>
  <c r="P113" i="4"/>
  <c r="E111" i="3"/>
  <c r="P111" i="3" s="1"/>
  <c r="D111" i="3"/>
  <c r="G111" i="3"/>
  <c r="C111" i="3"/>
  <c r="R111" i="3"/>
  <c r="Q111" i="3"/>
  <c r="Z110" i="3"/>
  <c r="W110" i="3"/>
  <c r="X110" i="3"/>
  <c r="H113" i="4" l="1"/>
  <c r="I113" i="4" s="1"/>
  <c r="U113" i="4" s="1"/>
  <c r="V110" i="6"/>
  <c r="N110" i="6"/>
  <c r="T110" i="6" s="1"/>
  <c r="Z110" i="6"/>
  <c r="V108" i="5"/>
  <c r="N108" i="5"/>
  <c r="AA112" i="3"/>
  <c r="F111" i="3"/>
  <c r="J113" i="4"/>
  <c r="L113" i="4"/>
  <c r="T108" i="5" l="1"/>
  <c r="Z108" i="5"/>
  <c r="X108" i="5"/>
  <c r="E111" i="6"/>
  <c r="P111" i="6" s="1"/>
  <c r="M111" i="6"/>
  <c r="C111" i="6"/>
  <c r="F111" i="6" s="1"/>
  <c r="G111" i="6"/>
  <c r="D111" i="6"/>
  <c r="Q111" i="6"/>
  <c r="R111" i="6"/>
  <c r="X110" i="6"/>
  <c r="K113" i="4"/>
  <c r="W113" i="4" s="1"/>
  <c r="O111" i="3"/>
  <c r="V113" i="4"/>
  <c r="N113" i="4"/>
  <c r="H111" i="3"/>
  <c r="O111" i="6" l="1"/>
  <c r="AA112" i="6"/>
  <c r="Y111" i="6"/>
  <c r="H111" i="6"/>
  <c r="G109" i="5"/>
  <c r="AA110" i="5" s="1"/>
  <c r="R109" i="5"/>
  <c r="Q109" i="5"/>
  <c r="M109" i="5"/>
  <c r="C109" i="5"/>
  <c r="H109" i="5" s="1"/>
  <c r="I109" i="5" s="1"/>
  <c r="E109" i="5"/>
  <c r="F109" i="5" s="1"/>
  <c r="D109" i="5"/>
  <c r="P109" i="5"/>
  <c r="O109" i="5"/>
  <c r="T113" i="4"/>
  <c r="M114" i="4" s="1"/>
  <c r="D114" i="4"/>
  <c r="C114" i="4"/>
  <c r="X113" i="4"/>
  <c r="Z113" i="4"/>
  <c r="I111" i="3"/>
  <c r="L111" i="3" s="1"/>
  <c r="L109" i="5" l="1"/>
  <c r="V109" i="5" s="1"/>
  <c r="U109" i="5"/>
  <c r="J109" i="5"/>
  <c r="Z109" i="5" s="1"/>
  <c r="K109" i="5"/>
  <c r="W109" i="5" s="1"/>
  <c r="I111" i="6"/>
  <c r="L111" i="6"/>
  <c r="G114" i="4"/>
  <c r="AA115" i="4" s="1"/>
  <c r="X109" i="5"/>
  <c r="R114" i="4"/>
  <c r="E114" i="4"/>
  <c r="P114" i="4" s="1"/>
  <c r="Q114" i="4"/>
  <c r="N109" i="5"/>
  <c r="T109" i="5" s="1"/>
  <c r="V111" i="3"/>
  <c r="N111" i="3"/>
  <c r="U111" i="3"/>
  <c r="J111" i="3"/>
  <c r="F114" i="4"/>
  <c r="V111" i="6" l="1"/>
  <c r="N111" i="6"/>
  <c r="E110" i="5"/>
  <c r="P110" i="5" s="1"/>
  <c r="M110" i="5"/>
  <c r="C110" i="5"/>
  <c r="Q110" i="5"/>
  <c r="R110" i="5"/>
  <c r="G110" i="5"/>
  <c r="AA111" i="5" s="1"/>
  <c r="D110" i="5"/>
  <c r="U111" i="6"/>
  <c r="J111" i="6"/>
  <c r="K111" i="3"/>
  <c r="W111" i="3" s="1"/>
  <c r="X111" i="3"/>
  <c r="O114" i="4"/>
  <c r="H114" i="4"/>
  <c r="K111" i="6" l="1"/>
  <c r="Z111" i="6" s="1"/>
  <c r="F110" i="5"/>
  <c r="H110" i="5"/>
  <c r="T111" i="6"/>
  <c r="T111" i="3"/>
  <c r="I114" i="4"/>
  <c r="L114" i="4" s="1"/>
  <c r="C112" i="6" l="1"/>
  <c r="M112" i="6"/>
  <c r="R112" i="6"/>
  <c r="G112" i="6"/>
  <c r="AA113" i="6" s="1"/>
  <c r="E112" i="6"/>
  <c r="F112" i="6" s="1"/>
  <c r="D112" i="6"/>
  <c r="Q112" i="6"/>
  <c r="P112" i="6"/>
  <c r="L110" i="5"/>
  <c r="O110" i="5"/>
  <c r="J110" i="5"/>
  <c r="K110" i="5" s="1"/>
  <c r="W110" i="5" s="1"/>
  <c r="W111" i="6"/>
  <c r="X111" i="6"/>
  <c r="I110" i="5"/>
  <c r="U110" i="5" s="1"/>
  <c r="V114" i="4"/>
  <c r="N114" i="4"/>
  <c r="R112" i="3"/>
  <c r="Q112" i="3"/>
  <c r="G112" i="3"/>
  <c r="E112" i="3"/>
  <c r="D112" i="3"/>
  <c r="C112" i="3"/>
  <c r="Z111" i="3"/>
  <c r="U114" i="4"/>
  <c r="J114" i="4"/>
  <c r="O112" i="6" l="1"/>
  <c r="V110" i="5"/>
  <c r="N110" i="5"/>
  <c r="H112" i="6"/>
  <c r="AA113" i="3"/>
  <c r="Y112" i="6"/>
  <c r="P112" i="3"/>
  <c r="K114" i="4"/>
  <c r="W114" i="4" s="1"/>
  <c r="X114" i="4"/>
  <c r="F112" i="3"/>
  <c r="T110" i="5" l="1"/>
  <c r="Z110" i="5"/>
  <c r="X110" i="5"/>
  <c r="I112" i="6"/>
  <c r="O112" i="3"/>
  <c r="H112" i="3"/>
  <c r="T114" i="4"/>
  <c r="Z114" i="4"/>
  <c r="I112" i="3"/>
  <c r="U112" i="3" s="1"/>
  <c r="D111" i="5" l="1"/>
  <c r="G111" i="5"/>
  <c r="AA112" i="5" s="1"/>
  <c r="M111" i="5"/>
  <c r="C111" i="5"/>
  <c r="F111" i="5"/>
  <c r="O111" i="5" s="1"/>
  <c r="R111" i="5"/>
  <c r="Q111" i="5"/>
  <c r="E111" i="5"/>
  <c r="U112" i="6"/>
  <c r="J112" i="6"/>
  <c r="K112" i="6" s="1"/>
  <c r="W112" i="6" s="1"/>
  <c r="L112" i="6"/>
  <c r="L112" i="3"/>
  <c r="J112" i="3"/>
  <c r="K112" i="3" s="1"/>
  <c r="W112" i="3" s="1"/>
  <c r="M115" i="4"/>
  <c r="C115" i="4"/>
  <c r="P115" i="4" s="1"/>
  <c r="D115" i="4"/>
  <c r="Q115" i="4"/>
  <c r="G115" i="4"/>
  <c r="AA116" i="4" s="1"/>
  <c r="E115" i="4"/>
  <c r="R115" i="4"/>
  <c r="V112" i="6" l="1"/>
  <c r="N112" i="6"/>
  <c r="T112" i="6" s="1"/>
  <c r="H111" i="5"/>
  <c r="I111" i="5" s="1"/>
  <c r="Z112" i="6"/>
  <c r="P111" i="5"/>
  <c r="V112" i="3"/>
  <c r="N112" i="3"/>
  <c r="F115" i="4"/>
  <c r="H115" i="4" s="1"/>
  <c r="U111" i="5" l="1"/>
  <c r="J111" i="5"/>
  <c r="K111" i="5" s="1"/>
  <c r="W111" i="5" s="1"/>
  <c r="D113" i="6"/>
  <c r="Q113" i="6"/>
  <c r="E113" i="6"/>
  <c r="P113" i="6" s="1"/>
  <c r="M113" i="6"/>
  <c r="G113" i="6"/>
  <c r="AA114" i="6" s="1"/>
  <c r="C113" i="6"/>
  <c r="F113" i="6" s="1"/>
  <c r="R113" i="6"/>
  <c r="L111" i="5"/>
  <c r="X112" i="6"/>
  <c r="L115" i="4"/>
  <c r="T112" i="3"/>
  <c r="Z112" i="3"/>
  <c r="X112" i="3"/>
  <c r="J115" i="4"/>
  <c r="K115" i="4" s="1"/>
  <c r="W115" i="4" s="1"/>
  <c r="O115" i="4"/>
  <c r="I115" i="4"/>
  <c r="U115" i="4" s="1"/>
  <c r="O113" i="6" l="1"/>
  <c r="H113" i="6"/>
  <c r="V111" i="5"/>
  <c r="N111" i="5"/>
  <c r="T111" i="5" s="1"/>
  <c r="V115" i="4"/>
  <c r="N115" i="4"/>
  <c r="T115" i="4" s="1"/>
  <c r="E113" i="3"/>
  <c r="R113" i="3"/>
  <c r="Q113" i="3"/>
  <c r="G113" i="3"/>
  <c r="D113" i="3"/>
  <c r="C113" i="3"/>
  <c r="Z115" i="4"/>
  <c r="Q112" i="5" l="1"/>
  <c r="G112" i="5"/>
  <c r="AA113" i="5" s="1"/>
  <c r="M112" i="5"/>
  <c r="E112" i="5"/>
  <c r="D112" i="5"/>
  <c r="C112" i="5"/>
  <c r="R112" i="5"/>
  <c r="L113" i="6"/>
  <c r="I113" i="6"/>
  <c r="Z111" i="5"/>
  <c r="X111" i="5"/>
  <c r="F113" i="3"/>
  <c r="O113" i="3" s="1"/>
  <c r="AA114" i="3"/>
  <c r="Y113" i="6"/>
  <c r="P113" i="3"/>
  <c r="X115" i="4"/>
  <c r="Q116" i="4"/>
  <c r="G116" i="4"/>
  <c r="AA117" i="4" s="1"/>
  <c r="M116" i="4"/>
  <c r="D116" i="4"/>
  <c r="C116" i="4"/>
  <c r="F116" i="4" s="1"/>
  <c r="R116" i="4"/>
  <c r="E116" i="4"/>
  <c r="P116" i="4" l="1"/>
  <c r="U113" i="6"/>
  <c r="J113" i="6"/>
  <c r="F112" i="5"/>
  <c r="N113" i="6"/>
  <c r="V113" i="6"/>
  <c r="P112" i="5"/>
  <c r="H113" i="3"/>
  <c r="O116" i="4"/>
  <c r="L113" i="3"/>
  <c r="I113" i="3"/>
  <c r="H116" i="4"/>
  <c r="I116" i="4" s="1"/>
  <c r="O112" i="5" l="1"/>
  <c r="K113" i="6"/>
  <c r="W113" i="6" s="1"/>
  <c r="X113" i="6"/>
  <c r="T113" i="6"/>
  <c r="H112" i="5"/>
  <c r="I112" i="5" s="1"/>
  <c r="U116" i="4"/>
  <c r="J116" i="4"/>
  <c r="K116" i="4" s="1"/>
  <c r="W116" i="4" s="1"/>
  <c r="V113" i="3"/>
  <c r="N113" i="3"/>
  <c r="L116" i="4"/>
  <c r="U113" i="3"/>
  <c r="J113" i="3"/>
  <c r="K113" i="3" s="1"/>
  <c r="W113" i="3" s="1"/>
  <c r="X113" i="3"/>
  <c r="U112" i="5" l="1"/>
  <c r="J112" i="5"/>
  <c r="K112" i="5" s="1"/>
  <c r="W112" i="5" s="1"/>
  <c r="L112" i="5"/>
  <c r="D114" i="6"/>
  <c r="M114" i="6"/>
  <c r="R114" i="6"/>
  <c r="C114" i="6"/>
  <c r="F114" i="6" s="1"/>
  <c r="G114" i="6"/>
  <c r="AA115" i="6" s="1"/>
  <c r="Q114" i="6"/>
  <c r="E114" i="6"/>
  <c r="P114" i="6" s="1"/>
  <c r="Z113" i="6"/>
  <c r="T113" i="3"/>
  <c r="Z113" i="3" s="1"/>
  <c r="E114" i="3"/>
  <c r="D114" i="3"/>
  <c r="R114" i="3"/>
  <c r="Q114" i="3"/>
  <c r="G114" i="3"/>
  <c r="V116" i="4"/>
  <c r="N116" i="4"/>
  <c r="O114" i="6"/>
  <c r="C114" i="3" l="1"/>
  <c r="H114" i="6"/>
  <c r="I114" i="6" s="1"/>
  <c r="U114" i="6" s="1"/>
  <c r="V112" i="5"/>
  <c r="N112" i="5"/>
  <c r="T112" i="5" s="1"/>
  <c r="F114" i="3"/>
  <c r="H114" i="3" s="1"/>
  <c r="I114" i="3" s="1"/>
  <c r="U114" i="3" s="1"/>
  <c r="AA115" i="3"/>
  <c r="Y114" i="6"/>
  <c r="T116" i="4"/>
  <c r="X116" i="4"/>
  <c r="Z116" i="4"/>
  <c r="L114" i="6"/>
  <c r="P114" i="3"/>
  <c r="O114" i="3" l="1"/>
  <c r="M113" i="5"/>
  <c r="E113" i="5"/>
  <c r="D113" i="5"/>
  <c r="Q113" i="5"/>
  <c r="C113" i="5"/>
  <c r="G113" i="5"/>
  <c r="AA114" i="5" s="1"/>
  <c r="R113" i="5"/>
  <c r="X112" i="5"/>
  <c r="J114" i="6"/>
  <c r="K114" i="6" s="1"/>
  <c r="W114" i="6" s="1"/>
  <c r="Z112" i="5"/>
  <c r="V114" i="6"/>
  <c r="N114" i="6"/>
  <c r="J114" i="3"/>
  <c r="K114" i="3" s="1"/>
  <c r="W114" i="3" s="1"/>
  <c r="G117" i="4"/>
  <c r="AA118" i="4" s="1"/>
  <c r="M117" i="4"/>
  <c r="E117" i="4"/>
  <c r="D117" i="4"/>
  <c r="C117" i="4"/>
  <c r="R117" i="4"/>
  <c r="Q117" i="4"/>
  <c r="L114" i="3"/>
  <c r="P117" i="4" l="1"/>
  <c r="F113" i="5"/>
  <c r="P113" i="5"/>
  <c r="F117" i="4"/>
  <c r="V114" i="3"/>
  <c r="N114" i="3"/>
  <c r="T114" i="6"/>
  <c r="X114" i="6"/>
  <c r="O113" i="5" l="1"/>
  <c r="H113" i="5"/>
  <c r="E115" i="6"/>
  <c r="P115" i="6" s="1"/>
  <c r="M115" i="6"/>
  <c r="C115" i="6"/>
  <c r="G115" i="6"/>
  <c r="D115" i="6"/>
  <c r="R115" i="6"/>
  <c r="Q115" i="6"/>
  <c r="Z114" i="6"/>
  <c r="T114" i="3"/>
  <c r="X114" i="3"/>
  <c r="O117" i="4"/>
  <c r="H117" i="4"/>
  <c r="I117" i="4" s="1"/>
  <c r="U117" i="4" s="1"/>
  <c r="I113" i="5" l="1"/>
  <c r="AA116" i="6"/>
  <c r="Y115" i="6"/>
  <c r="L117" i="4"/>
  <c r="J117" i="4"/>
  <c r="K117" i="4" s="1"/>
  <c r="W117" i="4" s="1"/>
  <c r="F115" i="6"/>
  <c r="R115" i="3"/>
  <c r="Q115" i="3"/>
  <c r="G115" i="3"/>
  <c r="AA116" i="3" s="1"/>
  <c r="C115" i="3"/>
  <c r="D115" i="3"/>
  <c r="E115" i="3"/>
  <c r="Z114" i="3"/>
  <c r="U113" i="5" l="1"/>
  <c r="J113" i="5"/>
  <c r="L113" i="5"/>
  <c r="V117" i="4"/>
  <c r="N117" i="4"/>
  <c r="T117" i="4" s="1"/>
  <c r="O115" i="6"/>
  <c r="H115" i="6"/>
  <c r="I115" i="6" s="1"/>
  <c r="F115" i="3"/>
  <c r="P115" i="3"/>
  <c r="V113" i="5" l="1"/>
  <c r="N113" i="5"/>
  <c r="K113" i="5"/>
  <c r="X113" i="5"/>
  <c r="U115" i="6"/>
  <c r="J115" i="6"/>
  <c r="K115" i="6" s="1"/>
  <c r="W115" i="6" s="1"/>
  <c r="M118" i="4"/>
  <c r="C118" i="4"/>
  <c r="G118" i="4"/>
  <c r="AA119" i="4" s="1"/>
  <c r="R118" i="4"/>
  <c r="E118" i="4"/>
  <c r="D118" i="4"/>
  <c r="Q118" i="4"/>
  <c r="H115" i="3"/>
  <c r="O115" i="3"/>
  <c r="X117" i="4"/>
  <c r="L115" i="6"/>
  <c r="Z117" i="4"/>
  <c r="W113" i="5" l="1"/>
  <c r="Z113" i="5"/>
  <c r="T113" i="5"/>
  <c r="P118" i="4"/>
  <c r="F118" i="4"/>
  <c r="O118" i="4" s="1"/>
  <c r="H118" i="4"/>
  <c r="V115" i="6"/>
  <c r="N115" i="6"/>
  <c r="T115" i="6" s="1"/>
  <c r="I115" i="3"/>
  <c r="L115" i="3" s="1"/>
  <c r="M114" i="5" l="1"/>
  <c r="C114" i="5"/>
  <c r="R114" i="5"/>
  <c r="E114" i="5"/>
  <c r="G114" i="5"/>
  <c r="AA115" i="5" s="1"/>
  <c r="Q114" i="5"/>
  <c r="D114" i="5"/>
  <c r="I114" i="5" s="1"/>
  <c r="U114" i="5" s="1"/>
  <c r="F114" i="5"/>
  <c r="P114" i="5"/>
  <c r="H114" i="5"/>
  <c r="L114" i="5" s="1"/>
  <c r="V115" i="3"/>
  <c r="N115" i="3"/>
  <c r="Z115" i="6"/>
  <c r="U115" i="3"/>
  <c r="J115" i="3"/>
  <c r="K115" i="3" s="1"/>
  <c r="W115" i="3" s="1"/>
  <c r="R116" i="6"/>
  <c r="G116" i="6"/>
  <c r="Q116" i="6"/>
  <c r="C116" i="6"/>
  <c r="F116" i="6" s="1"/>
  <c r="E116" i="6"/>
  <c r="D116" i="6"/>
  <c r="M116" i="6"/>
  <c r="I118" i="4"/>
  <c r="X115" i="6"/>
  <c r="V114" i="5" l="1"/>
  <c r="N114" i="5"/>
  <c r="J114" i="5"/>
  <c r="K114" i="5" s="1"/>
  <c r="W114" i="5" s="1"/>
  <c r="O114" i="5"/>
  <c r="P116" i="6"/>
  <c r="H116" i="6"/>
  <c r="I116" i="6"/>
  <c r="U116" i="6" s="1"/>
  <c r="AA117" i="6"/>
  <c r="O116" i="6"/>
  <c r="X115" i="3"/>
  <c r="L118" i="4"/>
  <c r="J116" i="6"/>
  <c r="K116" i="6" s="1"/>
  <c r="W116" i="6" s="1"/>
  <c r="U118" i="4"/>
  <c r="J118" i="4"/>
  <c r="K118" i="4" s="1"/>
  <c r="W118" i="4" s="1"/>
  <c r="T115" i="3"/>
  <c r="X114" i="5" l="1"/>
  <c r="T114" i="5"/>
  <c r="V118" i="4"/>
  <c r="N118" i="4"/>
  <c r="D116" i="3"/>
  <c r="G116" i="3"/>
  <c r="R116" i="3"/>
  <c r="E116" i="3"/>
  <c r="P116" i="3" s="1"/>
  <c r="C116" i="3"/>
  <c r="Q116" i="3"/>
  <c r="Z115" i="3"/>
  <c r="L116" i="6"/>
  <c r="C115" i="5" l="1"/>
  <c r="E115" i="5"/>
  <c r="F115" i="5" s="1"/>
  <c r="M115" i="5"/>
  <c r="Q115" i="5"/>
  <c r="G115" i="5"/>
  <c r="AA116" i="5" s="1"/>
  <c r="R115" i="5"/>
  <c r="D115" i="5"/>
  <c r="P115" i="5"/>
  <c r="Z114" i="5"/>
  <c r="V116" i="6"/>
  <c r="N116" i="6"/>
  <c r="T116" i="6" s="1"/>
  <c r="X116" i="6"/>
  <c r="T118" i="4"/>
  <c r="X118" i="4"/>
  <c r="F116" i="3"/>
  <c r="H116" i="3" s="1"/>
  <c r="AA117" i="3"/>
  <c r="Y116" i="6"/>
  <c r="O115" i="5" l="1"/>
  <c r="H115" i="5"/>
  <c r="Z116" i="6"/>
  <c r="E119" i="4"/>
  <c r="G119" i="4"/>
  <c r="AA120" i="4" s="1"/>
  <c r="R119" i="4"/>
  <c r="D119" i="4"/>
  <c r="Q119" i="4"/>
  <c r="C119" i="4"/>
  <c r="M119" i="4"/>
  <c r="C117" i="6"/>
  <c r="M117" i="6"/>
  <c r="D117" i="6"/>
  <c r="G117" i="6"/>
  <c r="E117" i="6"/>
  <c r="R117" i="6"/>
  <c r="Q117" i="6"/>
  <c r="O116" i="3"/>
  <c r="I116" i="3"/>
  <c r="U116" i="3" s="1"/>
  <c r="Z118" i="4"/>
  <c r="F117" i="6" l="1"/>
  <c r="J116" i="3"/>
  <c r="K116" i="3" s="1"/>
  <c r="W116" i="3" s="1"/>
  <c r="I115" i="5"/>
  <c r="P117" i="6"/>
  <c r="L116" i="3"/>
  <c r="V116" i="3" s="1"/>
  <c r="P119" i="4"/>
  <c r="O117" i="6"/>
  <c r="H117" i="6"/>
  <c r="AA118" i="6"/>
  <c r="F119" i="4"/>
  <c r="U115" i="5" l="1"/>
  <c r="J115" i="5"/>
  <c r="K115" i="5" s="1"/>
  <c r="W115" i="5" s="1"/>
  <c r="L115" i="5"/>
  <c r="N116" i="3"/>
  <c r="T116" i="3" s="1"/>
  <c r="R117" i="3" s="1"/>
  <c r="D117" i="3"/>
  <c r="C117" i="3"/>
  <c r="Q117" i="3"/>
  <c r="E117" i="3"/>
  <c r="Z116" i="3"/>
  <c r="H119" i="4"/>
  <c r="O119" i="4"/>
  <c r="I117" i="6"/>
  <c r="L117" i="6" s="1"/>
  <c r="X116" i="3"/>
  <c r="G117" i="3" l="1"/>
  <c r="V115" i="5"/>
  <c r="N115" i="5"/>
  <c r="P117" i="3"/>
  <c r="I119" i="4"/>
  <c r="V117" i="6"/>
  <c r="N117" i="6"/>
  <c r="F117" i="3"/>
  <c r="AA118" i="3"/>
  <c r="Y117" i="6"/>
  <c r="U117" i="6"/>
  <c r="J117" i="6"/>
  <c r="T115" i="5" l="1"/>
  <c r="X115" i="5"/>
  <c r="Z115" i="5"/>
  <c r="H117" i="3"/>
  <c r="I117" i="3" s="1"/>
  <c r="U119" i="4"/>
  <c r="J119" i="4"/>
  <c r="L119" i="4"/>
  <c r="K117" i="6"/>
  <c r="O117" i="3"/>
  <c r="R116" i="5" l="1"/>
  <c r="M116" i="5"/>
  <c r="Q116" i="5"/>
  <c r="C116" i="5"/>
  <c r="D116" i="5"/>
  <c r="G116" i="5"/>
  <c r="AA117" i="5" s="1"/>
  <c r="E116" i="5"/>
  <c r="F116" i="5"/>
  <c r="P116" i="5"/>
  <c r="H116" i="5"/>
  <c r="I116" i="5" s="1"/>
  <c r="U116" i="5" s="1"/>
  <c r="U117" i="3"/>
  <c r="L117" i="3"/>
  <c r="J117" i="3"/>
  <c r="K117" i="3" s="1"/>
  <c r="W117" i="3" s="1"/>
  <c r="V117" i="3"/>
  <c r="N117" i="3"/>
  <c r="T117" i="3" s="1"/>
  <c r="V119" i="4"/>
  <c r="N119" i="4"/>
  <c r="W117" i="6"/>
  <c r="X117" i="6"/>
  <c r="K119" i="4"/>
  <c r="W119" i="4" s="1"/>
  <c r="T117" i="6"/>
  <c r="J116" i="5" l="1"/>
  <c r="K116" i="5" s="1"/>
  <c r="W116" i="5" s="1"/>
  <c r="L116" i="5"/>
  <c r="X117" i="3"/>
  <c r="O116" i="5"/>
  <c r="Z117" i="3"/>
  <c r="Q118" i="3"/>
  <c r="G118" i="3"/>
  <c r="AA119" i="3" s="1"/>
  <c r="F118" i="3"/>
  <c r="O118" i="3" s="1"/>
  <c r="E118" i="3"/>
  <c r="P118" i="3" s="1"/>
  <c r="R118" i="3"/>
  <c r="C118" i="3"/>
  <c r="D118" i="3"/>
  <c r="T119" i="4"/>
  <c r="D118" i="6"/>
  <c r="R118" i="6"/>
  <c r="G118" i="6"/>
  <c r="M118" i="6"/>
  <c r="Q118" i="6"/>
  <c r="E118" i="6"/>
  <c r="F118" i="6" s="1"/>
  <c r="C118" i="6"/>
  <c r="Z117" i="6"/>
  <c r="X119" i="4"/>
  <c r="P118" i="6" l="1"/>
  <c r="V116" i="5"/>
  <c r="N116" i="5"/>
  <c r="T116" i="5" s="1"/>
  <c r="Z116" i="5"/>
  <c r="X116" i="5"/>
  <c r="H118" i="3"/>
  <c r="I118" i="3"/>
  <c r="U118" i="3" s="1"/>
  <c r="Y118" i="6"/>
  <c r="AA119" i="6"/>
  <c r="H118" i="6"/>
  <c r="I118" i="6" s="1"/>
  <c r="O118" i="6"/>
  <c r="R120" i="4"/>
  <c r="C120" i="4"/>
  <c r="M120" i="4"/>
  <c r="D120" i="4"/>
  <c r="G120" i="4"/>
  <c r="AA121" i="4" s="1"/>
  <c r="E120" i="4"/>
  <c r="P120" i="4" s="1"/>
  <c r="Q120" i="4"/>
  <c r="Z119" i="4"/>
  <c r="M117" i="5" l="1"/>
  <c r="D117" i="5"/>
  <c r="Q117" i="5"/>
  <c r="C117" i="5"/>
  <c r="R117" i="5"/>
  <c r="G117" i="5"/>
  <c r="AA118" i="5" s="1"/>
  <c r="E117" i="5"/>
  <c r="P117" i="5"/>
  <c r="F117" i="5"/>
  <c r="U118" i="6"/>
  <c r="J118" i="6"/>
  <c r="K118" i="6" s="1"/>
  <c r="W118" i="6" s="1"/>
  <c r="J118" i="3"/>
  <c r="K118" i="3" s="1"/>
  <c r="W118" i="3" s="1"/>
  <c r="L118" i="6"/>
  <c r="F120" i="4"/>
  <c r="L118" i="3"/>
  <c r="H117" i="5" l="1"/>
  <c r="O117" i="5"/>
  <c r="O120" i="4"/>
  <c r="V118" i="6"/>
  <c r="N118" i="6"/>
  <c r="T118" i="6" s="1"/>
  <c r="V118" i="3"/>
  <c r="N118" i="3"/>
  <c r="X118" i="3" s="1"/>
  <c r="H120" i="4"/>
  <c r="I120" i="4" s="1"/>
  <c r="I117" i="5" l="1"/>
  <c r="X118" i="6"/>
  <c r="U120" i="4"/>
  <c r="J120" i="4"/>
  <c r="K120" i="4" s="1"/>
  <c r="W120" i="4" s="1"/>
  <c r="L120" i="4"/>
  <c r="T118" i="3"/>
  <c r="Z118" i="3" s="1"/>
  <c r="Q119" i="6"/>
  <c r="G119" i="6"/>
  <c r="D119" i="6"/>
  <c r="C119" i="6"/>
  <c r="M119" i="6"/>
  <c r="E119" i="6"/>
  <c r="P119" i="6" s="1"/>
  <c r="R119" i="6"/>
  <c r="Z118" i="6"/>
  <c r="U117" i="5" l="1"/>
  <c r="J117" i="5"/>
  <c r="L117" i="5"/>
  <c r="R119" i="3"/>
  <c r="C119" i="3"/>
  <c r="E119" i="3"/>
  <c r="Q119" i="3"/>
  <c r="D119" i="3"/>
  <c r="G119" i="3"/>
  <c r="AA120" i="3" s="1"/>
  <c r="V120" i="4"/>
  <c r="N120" i="4"/>
  <c r="AA120" i="6"/>
  <c r="F119" i="6"/>
  <c r="H119" i="6" s="1"/>
  <c r="P119" i="3" l="1"/>
  <c r="V117" i="5"/>
  <c r="N117" i="5"/>
  <c r="T117" i="5" s="1"/>
  <c r="K117" i="5"/>
  <c r="F119" i="3"/>
  <c r="O119" i="3" s="1"/>
  <c r="O119" i="6"/>
  <c r="I119" i="6"/>
  <c r="U119" i="6" s="1"/>
  <c r="H119" i="3"/>
  <c r="Y119" i="6"/>
  <c r="T120" i="4"/>
  <c r="X120" i="4"/>
  <c r="C118" i="5" l="1"/>
  <c r="R118" i="5"/>
  <c r="M118" i="5"/>
  <c r="D118" i="5"/>
  <c r="G118" i="5"/>
  <c r="AA119" i="5" s="1"/>
  <c r="E118" i="5"/>
  <c r="P118" i="5" s="1"/>
  <c r="Q118" i="5"/>
  <c r="F118" i="5"/>
  <c r="Z117" i="5"/>
  <c r="W117" i="5"/>
  <c r="X117" i="5"/>
  <c r="L119" i="6"/>
  <c r="V119" i="6" s="1"/>
  <c r="M121" i="4"/>
  <c r="C121" i="4"/>
  <c r="R121" i="4"/>
  <c r="Q121" i="4"/>
  <c r="G121" i="4"/>
  <c r="AA122" i="4" s="1"/>
  <c r="E121" i="4"/>
  <c r="D121" i="4"/>
  <c r="I119" i="3"/>
  <c r="L119" i="3" s="1"/>
  <c r="N119" i="6"/>
  <c r="J119" i="6"/>
  <c r="K119" i="6" s="1"/>
  <c r="W119" i="6" s="1"/>
  <c r="Z120" i="4"/>
  <c r="H118" i="5" l="1"/>
  <c r="P121" i="4"/>
  <c r="O118" i="5"/>
  <c r="I118" i="5"/>
  <c r="U118" i="5" s="1"/>
  <c r="X119" i="6"/>
  <c r="F121" i="4"/>
  <c r="O121" i="4" s="1"/>
  <c r="V119" i="3"/>
  <c r="N119" i="3"/>
  <c r="U119" i="3"/>
  <c r="J119" i="3"/>
  <c r="K119" i="3" s="1"/>
  <c r="W119" i="3" s="1"/>
  <c r="T119" i="6"/>
  <c r="H121" i="4" l="1"/>
  <c r="J118" i="5"/>
  <c r="K118" i="5" s="1"/>
  <c r="W118" i="5" s="1"/>
  <c r="L118" i="5"/>
  <c r="X119" i="3"/>
  <c r="Q120" i="6"/>
  <c r="E120" i="6"/>
  <c r="D120" i="6"/>
  <c r="C120" i="6"/>
  <c r="R120" i="6"/>
  <c r="M120" i="6"/>
  <c r="G120" i="6"/>
  <c r="Z119" i="6"/>
  <c r="T119" i="3"/>
  <c r="I121" i="4"/>
  <c r="L121" i="4" s="1"/>
  <c r="X118" i="5" l="1"/>
  <c r="P120" i="6"/>
  <c r="N118" i="5"/>
  <c r="T118" i="5" s="1"/>
  <c r="V118" i="5"/>
  <c r="F120" i="6"/>
  <c r="O120" i="6" s="1"/>
  <c r="V121" i="4"/>
  <c r="N121" i="4"/>
  <c r="AA121" i="6"/>
  <c r="H120" i="6"/>
  <c r="U121" i="4"/>
  <c r="J121" i="4"/>
  <c r="C120" i="3"/>
  <c r="P120" i="3" s="1"/>
  <c r="E120" i="3"/>
  <c r="G120" i="3"/>
  <c r="AA121" i="3" s="1"/>
  <c r="D120" i="3"/>
  <c r="R120" i="3"/>
  <c r="Q120" i="3"/>
  <c r="Z119" i="3"/>
  <c r="Z118" i="5" l="1"/>
  <c r="R119" i="5"/>
  <c r="Q119" i="5"/>
  <c r="G119" i="5"/>
  <c r="AA120" i="5" s="1"/>
  <c r="C119" i="5"/>
  <c r="D119" i="5"/>
  <c r="M119" i="5"/>
  <c r="E119" i="5"/>
  <c r="P119" i="5" s="1"/>
  <c r="F119" i="5"/>
  <c r="H119" i="5" s="1"/>
  <c r="L119" i="5" s="1"/>
  <c r="V119" i="5" s="1"/>
  <c r="I119" i="5"/>
  <c r="U119" i="5" s="1"/>
  <c r="F120" i="3"/>
  <c r="H120" i="3" s="1"/>
  <c r="K121" i="4"/>
  <c r="W121" i="4" s="1"/>
  <c r="X121" i="4"/>
  <c r="Y120" i="6"/>
  <c r="I120" i="6"/>
  <c r="N119" i="5" l="1"/>
  <c r="J119" i="5"/>
  <c r="O119" i="5"/>
  <c r="U120" i="6"/>
  <c r="J120" i="6"/>
  <c r="T121" i="4"/>
  <c r="L120" i="6"/>
  <c r="O120" i="3"/>
  <c r="I120" i="3"/>
  <c r="U120" i="3" s="1"/>
  <c r="K119" i="5" l="1"/>
  <c r="T119" i="5"/>
  <c r="L120" i="3"/>
  <c r="J120" i="3"/>
  <c r="K120" i="3" s="1"/>
  <c r="W120" i="3" s="1"/>
  <c r="V120" i="6"/>
  <c r="N120" i="6"/>
  <c r="K120" i="6"/>
  <c r="D122" i="4"/>
  <c r="E122" i="4"/>
  <c r="G122" i="4"/>
  <c r="AA123" i="4" s="1"/>
  <c r="M122" i="4"/>
  <c r="C122" i="4"/>
  <c r="R122" i="4"/>
  <c r="Q122" i="4"/>
  <c r="Z121" i="4"/>
  <c r="P122" i="4" l="1"/>
  <c r="W119" i="5"/>
  <c r="X119" i="5"/>
  <c r="Q120" i="5"/>
  <c r="G120" i="5"/>
  <c r="AA121" i="5" s="1"/>
  <c r="R120" i="5"/>
  <c r="E120" i="5"/>
  <c r="D120" i="5"/>
  <c r="C120" i="5"/>
  <c r="M120" i="5"/>
  <c r="Z119" i="5"/>
  <c r="F122" i="4"/>
  <c r="T120" i="6"/>
  <c r="O122" i="4"/>
  <c r="M121" i="6"/>
  <c r="C121" i="6"/>
  <c r="Q121" i="6"/>
  <c r="E121" i="6"/>
  <c r="D121" i="6"/>
  <c r="R121" i="6"/>
  <c r="G121" i="6"/>
  <c r="V120" i="3"/>
  <c r="N120" i="3"/>
  <c r="T120" i="3" s="1"/>
  <c r="X120" i="6"/>
  <c r="H122" i="4"/>
  <c r="W120" i="6"/>
  <c r="Z120" i="6"/>
  <c r="F121" i="6" l="1"/>
  <c r="F120" i="5"/>
  <c r="O120" i="5" s="1"/>
  <c r="P120" i="5"/>
  <c r="O121" i="6"/>
  <c r="H121" i="6"/>
  <c r="I121" i="6"/>
  <c r="U121" i="6" s="1"/>
  <c r="P121" i="6"/>
  <c r="E121" i="3"/>
  <c r="F121" i="3" s="1"/>
  <c r="D121" i="3"/>
  <c r="Q121" i="3"/>
  <c r="G121" i="3"/>
  <c r="AA122" i="3" s="1"/>
  <c r="C121" i="3"/>
  <c r="R121" i="3"/>
  <c r="Z120" i="3"/>
  <c r="X120" i="3"/>
  <c r="AA122" i="6"/>
  <c r="I122" i="4"/>
  <c r="H120" i="5" l="1"/>
  <c r="Y121" i="6"/>
  <c r="I120" i="5"/>
  <c r="U120" i="5" s="1"/>
  <c r="P121" i="3"/>
  <c r="J121" i="6"/>
  <c r="K121" i="6" s="1"/>
  <c r="W121" i="6" s="1"/>
  <c r="H121" i="3"/>
  <c r="U122" i="4"/>
  <c r="J122" i="4"/>
  <c r="K122" i="4" s="1"/>
  <c r="W122" i="4" s="1"/>
  <c r="L121" i="6"/>
  <c r="L122" i="4"/>
  <c r="O121" i="3"/>
  <c r="J120" i="5" l="1"/>
  <c r="K120" i="5" s="1"/>
  <c r="W120" i="5" s="1"/>
  <c r="L120" i="5"/>
  <c r="V122" i="4"/>
  <c r="N122" i="4"/>
  <c r="V121" i="6"/>
  <c r="N121" i="6"/>
  <c r="I121" i="3"/>
  <c r="V120" i="5" l="1"/>
  <c r="N120" i="5"/>
  <c r="T122" i="4"/>
  <c r="Z122" i="4"/>
  <c r="U121" i="3"/>
  <c r="J121" i="3"/>
  <c r="K121" i="3" s="1"/>
  <c r="W121" i="3" s="1"/>
  <c r="T121" i="6"/>
  <c r="Z121" i="6" s="1"/>
  <c r="X121" i="6"/>
  <c r="X122" i="4"/>
  <c r="L121" i="3"/>
  <c r="T120" i="5" l="1"/>
  <c r="X120" i="5"/>
  <c r="M122" i="6"/>
  <c r="Q122" i="6"/>
  <c r="E122" i="6"/>
  <c r="D122" i="6"/>
  <c r="C122" i="6"/>
  <c r="G122" i="6"/>
  <c r="R122" i="6"/>
  <c r="V121" i="3"/>
  <c r="N121" i="3"/>
  <c r="Q123" i="4"/>
  <c r="G123" i="4"/>
  <c r="AA124" i="4" s="1"/>
  <c r="R123" i="4"/>
  <c r="E123" i="4"/>
  <c r="D123" i="4"/>
  <c r="C123" i="4"/>
  <c r="M123" i="4"/>
  <c r="F123" i="4" l="1"/>
  <c r="E121" i="5"/>
  <c r="P121" i="5" s="1"/>
  <c r="D121" i="5"/>
  <c r="C121" i="5"/>
  <c r="G121" i="5"/>
  <c r="AA122" i="5" s="1"/>
  <c r="Q121" i="5"/>
  <c r="Z120" i="5"/>
  <c r="M121" i="5"/>
  <c r="R121" i="5"/>
  <c r="O123" i="4"/>
  <c r="T121" i="3"/>
  <c r="Z121" i="3" s="1"/>
  <c r="X121" i="3"/>
  <c r="AA123" i="6"/>
  <c r="F122" i="6"/>
  <c r="P123" i="4"/>
  <c r="P122" i="6"/>
  <c r="H123" i="4"/>
  <c r="I123" i="4" s="1"/>
  <c r="U123" i="4" s="1"/>
  <c r="F121" i="5" l="1"/>
  <c r="R122" i="3"/>
  <c r="Q122" i="3"/>
  <c r="G122" i="3"/>
  <c r="C122" i="3"/>
  <c r="D122" i="3"/>
  <c r="E122" i="3"/>
  <c r="P122" i="3" s="1"/>
  <c r="H122" i="6"/>
  <c r="I122" i="6" s="1"/>
  <c r="O122" i="6"/>
  <c r="J123" i="4"/>
  <c r="K123" i="4" s="1"/>
  <c r="W123" i="4" s="1"/>
  <c r="L123" i="4"/>
  <c r="O121" i="5" l="1"/>
  <c r="H121" i="5"/>
  <c r="U122" i="6"/>
  <c r="J122" i="6"/>
  <c r="K122" i="6" s="1"/>
  <c r="W122" i="6" s="1"/>
  <c r="AA123" i="3"/>
  <c r="Y122" i="6"/>
  <c r="V123" i="4"/>
  <c r="N123" i="4"/>
  <c r="T123" i="4" s="1"/>
  <c r="F122" i="3"/>
  <c r="L122" i="6"/>
  <c r="I121" i="5" l="1"/>
  <c r="H122" i="3"/>
  <c r="O122" i="3"/>
  <c r="V122" i="6"/>
  <c r="N122" i="6"/>
  <c r="T122" i="6" s="1"/>
  <c r="I122" i="3"/>
  <c r="U122" i="3" s="1"/>
  <c r="Z123" i="4"/>
  <c r="C124" i="4"/>
  <c r="M124" i="4"/>
  <c r="D124" i="4"/>
  <c r="Q124" i="4"/>
  <c r="G124" i="4"/>
  <c r="E124" i="4"/>
  <c r="R124" i="4"/>
  <c r="X122" i="6"/>
  <c r="X123" i="4"/>
  <c r="P124" i="4" l="1"/>
  <c r="U121" i="5"/>
  <c r="J121" i="5"/>
  <c r="L121" i="5"/>
  <c r="F124" i="4"/>
  <c r="O124" i="4"/>
  <c r="L122" i="3"/>
  <c r="R123" i="6"/>
  <c r="G123" i="6"/>
  <c r="Q123" i="6"/>
  <c r="E123" i="6"/>
  <c r="P123" i="6" s="1"/>
  <c r="D123" i="6"/>
  <c r="C123" i="6"/>
  <c r="M123" i="6"/>
  <c r="J122" i="3"/>
  <c r="Z122" i="6"/>
  <c r="D8" i="8"/>
  <c r="AA125" i="4"/>
  <c r="H124" i="4"/>
  <c r="V121" i="5" l="1"/>
  <c r="N121" i="5"/>
  <c r="K121" i="5"/>
  <c r="W121" i="5" s="1"/>
  <c r="F123" i="6"/>
  <c r="H123" i="6" s="1"/>
  <c r="I123" i="6" s="1"/>
  <c r="AA124" i="6"/>
  <c r="K122" i="3"/>
  <c r="V122" i="3"/>
  <c r="N122" i="3"/>
  <c r="T122" i="3" s="1"/>
  <c r="I124" i="4"/>
  <c r="L124" i="4" s="1"/>
  <c r="X121" i="5" l="1"/>
  <c r="T121" i="5"/>
  <c r="U123" i="6"/>
  <c r="J123" i="6"/>
  <c r="K123" i="6" s="1"/>
  <c r="W123" i="6" s="1"/>
  <c r="O123" i="6"/>
  <c r="E123" i="3"/>
  <c r="D123" i="3"/>
  <c r="R123" i="3"/>
  <c r="C123" i="3"/>
  <c r="Q123" i="3"/>
  <c r="G123" i="3"/>
  <c r="V124" i="4"/>
  <c r="N124" i="4"/>
  <c r="L123" i="6"/>
  <c r="U124" i="4"/>
  <c r="J124" i="4"/>
  <c r="Z122" i="3"/>
  <c r="W122" i="3"/>
  <c r="X122" i="3"/>
  <c r="P123" i="3" l="1"/>
  <c r="D122" i="5"/>
  <c r="G122" i="5"/>
  <c r="AA123" i="5" s="1"/>
  <c r="C122" i="5"/>
  <c r="P122" i="5" s="1"/>
  <c r="R122" i="5"/>
  <c r="Q122" i="5"/>
  <c r="E122" i="5"/>
  <c r="M122" i="5"/>
  <c r="Z121" i="5"/>
  <c r="K124" i="4"/>
  <c r="W124" i="4" s="1"/>
  <c r="AA124" i="3"/>
  <c r="Y123" i="6"/>
  <c r="V123" i="6"/>
  <c r="N123" i="6"/>
  <c r="T123" i="6" s="1"/>
  <c r="Z123" i="6" s="1"/>
  <c r="F123" i="3"/>
  <c r="F122" i="5" l="1"/>
  <c r="T124" i="4"/>
  <c r="Z124" i="4" s="1"/>
  <c r="X124" i="4"/>
  <c r="X123" i="6"/>
  <c r="O123" i="3"/>
  <c r="C125" i="4"/>
  <c r="F125" i="4" s="1"/>
  <c r="E125" i="4"/>
  <c r="R125" i="4"/>
  <c r="Q125" i="4"/>
  <c r="G125" i="4"/>
  <c r="C8" i="8" s="1"/>
  <c r="E8" i="8" s="1"/>
  <c r="F8" i="8" s="1"/>
  <c r="C124" i="6"/>
  <c r="F124" i="6" s="1"/>
  <c r="M124" i="6"/>
  <c r="D124" i="6"/>
  <c r="Q124" i="6"/>
  <c r="G124" i="6"/>
  <c r="E124" i="6"/>
  <c r="R124" i="6"/>
  <c r="H123" i="3"/>
  <c r="I123" i="3" s="1"/>
  <c r="D125" i="4" l="1"/>
  <c r="H122" i="5"/>
  <c r="O122" i="5"/>
  <c r="P125" i="4"/>
  <c r="P124" i="6"/>
  <c r="U123" i="3"/>
  <c r="J123" i="3"/>
  <c r="K123" i="3" s="1"/>
  <c r="W123" i="3" s="1"/>
  <c r="H124" i="6"/>
  <c r="I124" i="6" s="1"/>
  <c r="H125" i="4"/>
  <c r="O124" i="6"/>
  <c r="AA125" i="6"/>
  <c r="O125" i="4"/>
  <c r="L123" i="3"/>
  <c r="I122" i="5" l="1"/>
  <c r="U124" i="6"/>
  <c r="J124" i="6"/>
  <c r="K124" i="6" s="1"/>
  <c r="W124" i="6" s="1"/>
  <c r="L124" i="6"/>
  <c r="V123" i="3"/>
  <c r="N123" i="3"/>
  <c r="I125" i="4"/>
  <c r="L125" i="4" s="1"/>
  <c r="U122" i="5" l="1"/>
  <c r="J122" i="5"/>
  <c r="L122" i="5"/>
  <c r="V125" i="4"/>
  <c r="M125" i="4"/>
  <c r="C6" i="2" s="1"/>
  <c r="T123" i="3"/>
  <c r="X123" i="3"/>
  <c r="V124" i="6"/>
  <c r="N124" i="6"/>
  <c r="T124" i="6" s="1"/>
  <c r="U125" i="4"/>
  <c r="J125" i="4"/>
  <c r="K125" i="4" s="1"/>
  <c r="X124" i="6" l="1"/>
  <c r="K122" i="5"/>
  <c r="V122" i="5"/>
  <c r="N122" i="5"/>
  <c r="T122" i="5" s="1"/>
  <c r="Z124" i="6"/>
  <c r="E125" i="6"/>
  <c r="P125" i="6" s="1"/>
  <c r="R125" i="6"/>
  <c r="G125" i="6"/>
  <c r="D125" i="6"/>
  <c r="C125" i="6"/>
  <c r="Q125" i="6"/>
  <c r="E124" i="3"/>
  <c r="D124" i="3"/>
  <c r="C124" i="3"/>
  <c r="R124" i="3"/>
  <c r="G124" i="3"/>
  <c r="Q124" i="3"/>
  <c r="Z123" i="3"/>
  <c r="W125" i="4"/>
  <c r="N125" i="4"/>
  <c r="X125" i="4" s="1"/>
  <c r="M123" i="5" l="1"/>
  <c r="D123" i="5"/>
  <c r="R123" i="5"/>
  <c r="G123" i="5"/>
  <c r="AA124" i="5" s="1"/>
  <c r="C123" i="5"/>
  <c r="E123" i="5"/>
  <c r="Q123" i="5"/>
  <c r="F123" i="5"/>
  <c r="O123" i="5"/>
  <c r="X122" i="5"/>
  <c r="S125" i="4"/>
  <c r="F125" i="6"/>
  <c r="W122" i="5"/>
  <c r="Z122" i="5"/>
  <c r="P124" i="3"/>
  <c r="O125" i="6"/>
  <c r="AA125" i="3"/>
  <c r="Y124" i="6"/>
  <c r="C9" i="8" s="1"/>
  <c r="E9" i="8" s="1"/>
  <c r="F9" i="8" s="1"/>
  <c r="F124" i="3"/>
  <c r="H125" i="6"/>
  <c r="C16" i="2"/>
  <c r="S126" i="4"/>
  <c r="S127" i="4" s="1"/>
  <c r="S128" i="4" s="1"/>
  <c r="S129" i="4" s="1"/>
  <c r="S130" i="4" s="1"/>
  <c r="S131" i="4" s="1"/>
  <c r="S132" i="4" s="1"/>
  <c r="S133" i="4" s="1"/>
  <c r="S134" i="4" s="1"/>
  <c r="S135" i="4" s="1"/>
  <c r="S136" i="4" s="1"/>
  <c r="S137" i="4" s="1"/>
  <c r="S138" i="4" s="1"/>
  <c r="S139" i="4" s="1"/>
  <c r="S140" i="4" s="1"/>
  <c r="S141" i="4" s="1"/>
  <c r="S142" i="4" s="1"/>
  <c r="S143" i="4" s="1"/>
  <c r="S144" i="4" s="1"/>
  <c r="S145" i="4" s="1"/>
  <c r="S146" i="4" s="1"/>
  <c r="S147" i="4" s="1"/>
  <c r="S148" i="4" s="1"/>
  <c r="S149" i="4" s="1"/>
  <c r="S150" i="4" s="1"/>
  <c r="S151" i="4" s="1"/>
  <c r="S152" i="4" s="1"/>
  <c r="S153" i="4" s="1"/>
  <c r="S154" i="4" s="1"/>
  <c r="S155" i="4" s="1"/>
  <c r="S156" i="4" s="1"/>
  <c r="S157" i="4" s="1"/>
  <c r="S158" i="4" s="1"/>
  <c r="S159" i="4" s="1"/>
  <c r="S160" i="4" s="1"/>
  <c r="S161" i="4" s="1"/>
  <c r="S162" i="4" s="1"/>
  <c r="S163" i="4" s="1"/>
  <c r="S164" i="4" s="1"/>
  <c r="S165" i="4" s="1"/>
  <c r="S166" i="4" s="1"/>
  <c r="S167" i="4" s="1"/>
  <c r="S168" i="4" s="1"/>
  <c r="S169" i="4" s="1"/>
  <c r="S170" i="4" s="1"/>
  <c r="S171" i="4" s="1"/>
  <c r="S172" i="4" s="1"/>
  <c r="S173" i="4" s="1"/>
  <c r="S174" i="4" s="1"/>
  <c r="S175" i="4" s="1"/>
  <c r="S176" i="4" s="1"/>
  <c r="S177" i="4" s="1"/>
  <c r="S178" i="4" s="1"/>
  <c r="S179" i="4" s="1"/>
  <c r="S180" i="4" s="1"/>
  <c r="S181" i="4" s="1"/>
  <c r="S182" i="4" s="1"/>
  <c r="S183" i="4" s="1"/>
  <c r="S184" i="4" s="1"/>
  <c r="S185" i="4" s="1"/>
  <c r="S186" i="4" s="1"/>
  <c r="S187" i="4" s="1"/>
  <c r="S188" i="4" s="1"/>
  <c r="S189" i="4" s="1"/>
  <c r="S190" i="4" s="1"/>
  <c r="S191" i="4" s="1"/>
  <c r="S192" i="4" s="1"/>
  <c r="S193" i="4" s="1"/>
  <c r="S194" i="4" s="1"/>
  <c r="S195" i="4" s="1"/>
  <c r="S196" i="4" s="1"/>
  <c r="S197" i="4" s="1"/>
  <c r="S198" i="4" s="1"/>
  <c r="S199" i="4" s="1"/>
  <c r="S200" i="4" s="1"/>
  <c r="S201" i="4" s="1"/>
  <c r="S202" i="4" s="1"/>
  <c r="S203" i="4" s="1"/>
  <c r="S204" i="4" s="1"/>
  <c r="S205" i="4" s="1"/>
  <c r="S206" i="4" s="1"/>
  <c r="S207" i="4" s="1"/>
  <c r="S208" i="4" s="1"/>
  <c r="S209" i="4" s="1"/>
  <c r="S210" i="4" s="1"/>
  <c r="S211" i="4" s="1"/>
  <c r="S212" i="4" s="1"/>
  <c r="S213" i="4" s="1"/>
  <c r="S214" i="4" s="1"/>
  <c r="S215" i="4" s="1"/>
  <c r="S216" i="4" s="1"/>
  <c r="S217" i="4" s="1"/>
  <c r="S218" i="4" s="1"/>
  <c r="S219" i="4" s="1"/>
  <c r="S220" i="4" s="1"/>
  <c r="S221" i="4" s="1"/>
  <c r="S222" i="4" s="1"/>
  <c r="S223" i="4" s="1"/>
  <c r="S224" i="4" s="1"/>
  <c r="S225" i="4" s="1"/>
  <c r="S226" i="4" s="1"/>
  <c r="S227" i="4" s="1"/>
  <c r="S228" i="4" s="1"/>
  <c r="S229" i="4" s="1"/>
  <c r="S230" i="4" s="1"/>
  <c r="S231" i="4" s="1"/>
  <c r="S232" i="4" s="1"/>
  <c r="S233" i="4" s="1"/>
  <c r="S234" i="4" s="1"/>
  <c r="S235" i="4" s="1"/>
  <c r="S236" i="4" s="1"/>
  <c r="S237" i="4" s="1"/>
  <c r="S238" i="4" s="1"/>
  <c r="S239" i="4" s="1"/>
  <c r="S240" i="4" s="1"/>
  <c r="S241" i="4" s="1"/>
  <c r="S242" i="4" s="1"/>
  <c r="S243" i="4" s="1"/>
  <c r="S244" i="4" s="1"/>
  <c r="S245" i="4" s="1"/>
  <c r="S246" i="4" s="1"/>
  <c r="S247" i="4" s="1"/>
  <c r="S248" i="4" s="1"/>
  <c r="S249" i="4" s="1"/>
  <c r="S250" i="4" s="1"/>
  <c r="S251" i="4" s="1"/>
  <c r="S252" i="4" s="1"/>
  <c r="S253" i="4" s="1"/>
  <c r="S254" i="4" s="1"/>
  <c r="S255" i="4" s="1"/>
  <c r="S256" i="4" s="1"/>
  <c r="S257" i="4" s="1"/>
  <c r="S258" i="4" s="1"/>
  <c r="S259" i="4" s="1"/>
  <c r="S260" i="4" s="1"/>
  <c r="S261" i="4" s="1"/>
  <c r="S262" i="4" s="1"/>
  <c r="S263" i="4" s="1"/>
  <c r="S264" i="4" s="1"/>
  <c r="S265" i="4" s="1"/>
  <c r="S266" i="4" s="1"/>
  <c r="S267" i="4" s="1"/>
  <c r="S268" i="4" s="1"/>
  <c r="S269" i="4" s="1"/>
  <c r="S270" i="4" s="1"/>
  <c r="S271" i="4" s="1"/>
  <c r="S272" i="4" s="1"/>
  <c r="S273" i="4" s="1"/>
  <c r="S274" i="4" s="1"/>
  <c r="S275" i="4" s="1"/>
  <c r="S276" i="4" s="1"/>
  <c r="S277" i="4" s="1"/>
  <c r="S278" i="4" s="1"/>
  <c r="S279" i="4" s="1"/>
  <c r="S280" i="4" s="1"/>
  <c r="S281" i="4" s="1"/>
  <c r="S282" i="4" s="1"/>
  <c r="S283" i="4" s="1"/>
  <c r="S284" i="4" s="1"/>
  <c r="S285" i="4" s="1"/>
  <c r="S286" i="4" s="1"/>
  <c r="S287" i="4" s="1"/>
  <c r="S288" i="4" s="1"/>
  <c r="S289" i="4" s="1"/>
  <c r="S290" i="4" s="1"/>
  <c r="S291" i="4" s="1"/>
  <c r="S292" i="4" s="1"/>
  <c r="S293" i="4" s="1"/>
  <c r="S294" i="4" s="1"/>
  <c r="S295" i="4" s="1"/>
  <c r="S296" i="4" s="1"/>
  <c r="S297" i="4" s="1"/>
  <c r="S298" i="4" s="1"/>
  <c r="S299" i="4" s="1"/>
  <c r="S300" i="4" s="1"/>
  <c r="S301" i="4" s="1"/>
  <c r="S302" i="4" s="1"/>
  <c r="S303" i="4" s="1"/>
  <c r="S304" i="4" s="1"/>
  <c r="S305" i="4" s="1"/>
  <c r="S306" i="4" s="1"/>
  <c r="S307" i="4" s="1"/>
  <c r="S308" i="4" s="1"/>
  <c r="S309" i="4" s="1"/>
  <c r="S310" i="4" s="1"/>
  <c r="S311" i="4" s="1"/>
  <c r="S312" i="4" s="1"/>
  <c r="S313" i="4" s="1"/>
  <c r="S314" i="4" s="1"/>
  <c r="S315" i="4" s="1"/>
  <c r="S316" i="4" s="1"/>
  <c r="S317" i="4" s="1"/>
  <c r="S318" i="4" s="1"/>
  <c r="S319" i="4" s="1"/>
  <c r="S320" i="4" s="1"/>
  <c r="S321" i="4" s="1"/>
  <c r="S322" i="4" s="1"/>
  <c r="S323" i="4" s="1"/>
  <c r="S324" i="4" s="1"/>
  <c r="S325" i="4" s="1"/>
  <c r="S326" i="4" s="1"/>
  <c r="S327" i="4" s="1"/>
  <c r="S328" i="4" s="1"/>
  <c r="S329" i="4" s="1"/>
  <c r="S330" i="4" s="1"/>
  <c r="S331" i="4" s="1"/>
  <c r="S332" i="4" s="1"/>
  <c r="S333" i="4" s="1"/>
  <c r="S334" i="4" s="1"/>
  <c r="S335" i="4" s="1"/>
  <c r="S336" i="4" s="1"/>
  <c r="S337" i="4" s="1"/>
  <c r="S338" i="4" s="1"/>
  <c r="S339" i="4" s="1"/>
  <c r="S340" i="4" s="1"/>
  <c r="S341" i="4" s="1"/>
  <c r="S342" i="4" s="1"/>
  <c r="S343" i="4" s="1"/>
  <c r="S344" i="4" s="1"/>
  <c r="S345" i="4" s="1"/>
  <c r="S346" i="4" s="1"/>
  <c r="S347" i="4" s="1"/>
  <c r="S348" i="4" s="1"/>
  <c r="S349" i="4" s="1"/>
  <c r="S350" i="4" s="1"/>
  <c r="S351" i="4" s="1"/>
  <c r="S352" i="4" s="1"/>
  <c r="S353" i="4" s="1"/>
  <c r="S354" i="4" s="1"/>
  <c r="S355" i="4" s="1"/>
  <c r="S356" i="4" s="1"/>
  <c r="S357" i="4" s="1"/>
  <c r="S358" i="4" s="1"/>
  <c r="S359" i="4" s="1"/>
  <c r="S360" i="4" s="1"/>
  <c r="S361" i="4" s="1"/>
  <c r="S362" i="4" s="1"/>
  <c r="S363" i="4" s="1"/>
  <c r="S364" i="4" s="1"/>
  <c r="S365" i="4" s="1"/>
  <c r="S366" i="4" s="1"/>
  <c r="S367" i="4" s="1"/>
  <c r="S368" i="4" s="1"/>
  <c r="S369" i="4" s="1"/>
  <c r="S370" i="4" s="1"/>
  <c r="S371" i="4" s="1"/>
  <c r="S372" i="4" s="1"/>
  <c r="S373" i="4" s="1"/>
  <c r="S374" i="4" s="1"/>
  <c r="S375" i="4" s="1"/>
  <c r="S376" i="4" s="1"/>
  <c r="S377" i="4" s="1"/>
  <c r="S378" i="4" s="1"/>
  <c r="S379" i="4" s="1"/>
  <c r="S380" i="4" s="1"/>
  <c r="S381" i="4" s="1"/>
  <c r="S382" i="4" s="1"/>
  <c r="S383" i="4" s="1"/>
  <c r="S384" i="4" s="1"/>
  <c r="S385" i="4" s="1"/>
  <c r="S386" i="4" s="1"/>
  <c r="S387" i="4" s="1"/>
  <c r="S388" i="4" s="1"/>
  <c r="S389" i="4" s="1"/>
  <c r="S390" i="4" s="1"/>
  <c r="S391" i="4" s="1"/>
  <c r="S392" i="4" s="1"/>
  <c r="S393" i="4" s="1"/>
  <c r="S394" i="4" s="1"/>
  <c r="S395" i="4" s="1"/>
  <c r="S396" i="4" s="1"/>
  <c r="S397" i="4" s="1"/>
  <c r="S398" i="4" s="1"/>
  <c r="S399" i="4" s="1"/>
  <c r="S400" i="4" s="1"/>
  <c r="S401" i="4" s="1"/>
  <c r="S402" i="4" s="1"/>
  <c r="S403" i="4" s="1"/>
  <c r="S404" i="4" s="1"/>
  <c r="S405" i="4" s="1"/>
  <c r="S406" i="4" s="1"/>
  <c r="S407" i="4" s="1"/>
  <c r="S408" i="4" s="1"/>
  <c r="S409" i="4" s="1"/>
  <c r="S410" i="4" s="1"/>
  <c r="S411" i="4" s="1"/>
  <c r="S412" i="4" s="1"/>
  <c r="S413" i="4" s="1"/>
  <c r="S414" i="4" s="1"/>
  <c r="S415" i="4" s="1"/>
  <c r="S416" i="4" s="1"/>
  <c r="S417" i="4" s="1"/>
  <c r="S418" i="4" s="1"/>
  <c r="S419" i="4" s="1"/>
  <c r="S420" i="4" s="1"/>
  <c r="S421" i="4" s="1"/>
  <c r="S422" i="4" s="1"/>
  <c r="S423" i="4" s="1"/>
  <c r="S424" i="4" s="1"/>
  <c r="S425" i="4" s="1"/>
  <c r="S426" i="4" s="1"/>
  <c r="S427" i="4" s="1"/>
  <c r="S428" i="4" s="1"/>
  <c r="S429" i="4" s="1"/>
  <c r="S430" i="4" s="1"/>
  <c r="S431" i="4" s="1"/>
  <c r="S432" i="4" s="1"/>
  <c r="S433" i="4" s="1"/>
  <c r="S434" i="4" s="1"/>
  <c r="S435" i="4" s="1"/>
  <c r="S436" i="4" s="1"/>
  <c r="S437" i="4" s="1"/>
  <c r="S438" i="4" s="1"/>
  <c r="S439" i="4" s="1"/>
  <c r="S440" i="4" s="1"/>
  <c r="S441" i="4" s="1"/>
  <c r="S442" i="4" s="1"/>
  <c r="S443" i="4" s="1"/>
  <c r="S444" i="4" s="1"/>
  <c r="S445" i="4" s="1"/>
  <c r="S446" i="4" s="1"/>
  <c r="S447" i="4" s="1"/>
  <c r="S448" i="4" s="1"/>
  <c r="S449" i="4" s="1"/>
  <c r="S450" i="4" s="1"/>
  <c r="S451" i="4" s="1"/>
  <c r="S452" i="4" s="1"/>
  <c r="S453" i="4" s="1"/>
  <c r="S454" i="4" s="1"/>
  <c r="S455" i="4" s="1"/>
  <c r="S456" i="4" s="1"/>
  <c r="S457" i="4" s="1"/>
  <c r="S458" i="4" s="1"/>
  <c r="S459" i="4" s="1"/>
  <c r="S460" i="4" s="1"/>
  <c r="S461" i="4" s="1"/>
  <c r="S462" i="4" s="1"/>
  <c r="S463" i="4" s="1"/>
  <c r="S464" i="4" s="1"/>
  <c r="S465" i="4" s="1"/>
  <c r="S466" i="4" s="1"/>
  <c r="S467" i="4" s="1"/>
  <c r="S468" i="4" s="1"/>
  <c r="S469" i="4" s="1"/>
  <c r="S470" i="4" s="1"/>
  <c r="S471" i="4" s="1"/>
  <c r="S472" i="4" s="1"/>
  <c r="S473" i="4" s="1"/>
  <c r="S474" i="4" s="1"/>
  <c r="S475" i="4" s="1"/>
  <c r="S476" i="4" s="1"/>
  <c r="S477" i="4" s="1"/>
  <c r="S478" i="4" s="1"/>
  <c r="S479" i="4" s="1"/>
  <c r="S480" i="4" s="1"/>
  <c r="S481" i="4" s="1"/>
  <c r="S482" i="4" s="1"/>
  <c r="S483" i="4" s="1"/>
  <c r="S484" i="4" s="1"/>
  <c r="S485" i="4" s="1"/>
  <c r="S486" i="4" s="1"/>
  <c r="S487" i="4" s="1"/>
  <c r="S488" i="4" s="1"/>
  <c r="S489" i="4" s="1"/>
  <c r="S490" i="4" s="1"/>
  <c r="S491" i="4" s="1"/>
  <c r="S492" i="4" s="1"/>
  <c r="S493" i="4" s="1"/>
  <c r="S494" i="4" s="1"/>
  <c r="S495" i="4" s="1"/>
  <c r="S496" i="4" s="1"/>
  <c r="S497" i="4" s="1"/>
  <c r="S498" i="4" s="1"/>
  <c r="S499" i="4" s="1"/>
  <c r="S500" i="4" s="1"/>
  <c r="S501" i="4" s="1"/>
  <c r="S502" i="4" s="1"/>
  <c r="S503" i="4" s="1"/>
  <c r="S504" i="4" s="1"/>
  <c r="S505" i="4" s="1"/>
  <c r="S506" i="4" s="1"/>
  <c r="S507" i="4" s="1"/>
  <c r="S508" i="4" s="1"/>
  <c r="S509" i="4" s="1"/>
  <c r="S510" i="4" s="1"/>
  <c r="S511" i="4" s="1"/>
  <c r="S512" i="4" s="1"/>
  <c r="S513" i="4" s="1"/>
  <c r="S514" i="4" s="1"/>
  <c r="S515" i="4" s="1"/>
  <c r="S516" i="4" s="1"/>
  <c r="S517" i="4" s="1"/>
  <c r="S518" i="4" s="1"/>
  <c r="S519" i="4" s="1"/>
  <c r="S520" i="4" s="1"/>
  <c r="S521" i="4" s="1"/>
  <c r="S522" i="4" s="1"/>
  <c r="S523" i="4" s="1"/>
  <c r="S524" i="4" s="1"/>
  <c r="S525" i="4" s="1"/>
  <c r="S526" i="4" s="1"/>
  <c r="S527" i="4" s="1"/>
  <c r="S528" i="4" s="1"/>
  <c r="S529" i="4" s="1"/>
  <c r="S530" i="4" s="1"/>
  <c r="S531" i="4" s="1"/>
  <c r="S532" i="4" s="1"/>
  <c r="S533" i="4" s="1"/>
  <c r="S534" i="4" s="1"/>
  <c r="S535" i="4" s="1"/>
  <c r="S536" i="4" s="1"/>
  <c r="S537" i="4" s="1"/>
  <c r="S538" i="4" s="1"/>
  <c r="S539" i="4" s="1"/>
  <c r="S540" i="4" s="1"/>
  <c r="S541" i="4" s="1"/>
  <c r="S542" i="4" s="1"/>
  <c r="S543" i="4" s="1"/>
  <c r="S544" i="4" s="1"/>
  <c r="S545" i="4" s="1"/>
  <c r="S546" i="4" s="1"/>
  <c r="S547" i="4" s="1"/>
  <c r="S548" i="4" s="1"/>
  <c r="S549" i="4" s="1"/>
  <c r="S550" i="4" s="1"/>
  <c r="S551" i="4" s="1"/>
  <c r="S552" i="4" s="1"/>
  <c r="S553" i="4" s="1"/>
  <c r="S554" i="4" s="1"/>
  <c r="S555" i="4" s="1"/>
  <c r="S556" i="4" s="1"/>
  <c r="S557" i="4" s="1"/>
  <c r="S558" i="4" s="1"/>
  <c r="S559" i="4" s="1"/>
  <c r="S560" i="4" s="1"/>
  <c r="S561" i="4" s="1"/>
  <c r="S562" i="4" s="1"/>
  <c r="S563" i="4" s="1"/>
  <c r="S564" i="4" s="1"/>
  <c r="S565" i="4" s="1"/>
  <c r="S566" i="4" s="1"/>
  <c r="S567" i="4" s="1"/>
  <c r="S568" i="4" s="1"/>
  <c r="S569" i="4" s="1"/>
  <c r="S570" i="4" s="1"/>
  <c r="S571" i="4" s="1"/>
  <c r="S572" i="4" s="1"/>
  <c r="S573" i="4" s="1"/>
  <c r="S574" i="4" s="1"/>
  <c r="S575" i="4" s="1"/>
  <c r="S576" i="4" s="1"/>
  <c r="S577" i="4" s="1"/>
  <c r="S578" i="4" s="1"/>
  <c r="S579" i="4" s="1"/>
  <c r="S580" i="4" s="1"/>
  <c r="S581" i="4" s="1"/>
  <c r="S582" i="4" s="1"/>
  <c r="S583" i="4" s="1"/>
  <c r="S584" i="4" s="1"/>
  <c r="S585" i="4" s="1"/>
  <c r="S586" i="4" s="1"/>
  <c r="S587" i="4" s="1"/>
  <c r="S588" i="4" s="1"/>
  <c r="S589" i="4" s="1"/>
  <c r="S590" i="4" s="1"/>
  <c r="S591" i="4" s="1"/>
  <c r="S592" i="4" s="1"/>
  <c r="S593" i="4" s="1"/>
  <c r="S594" i="4" s="1"/>
  <c r="S595" i="4" s="1"/>
  <c r="S596" i="4" s="1"/>
  <c r="S597" i="4" s="1"/>
  <c r="S598" i="4" s="1"/>
  <c r="S599" i="4" s="1"/>
  <c r="S600" i="4" s="1"/>
  <c r="S601" i="4" s="1"/>
  <c r="S602" i="4" s="1"/>
  <c r="S603" i="4" s="1"/>
  <c r="S604" i="4" s="1"/>
  <c r="S605" i="4" s="1"/>
  <c r="T125" i="4"/>
  <c r="Z125" i="4"/>
  <c r="H123" i="5" l="1"/>
  <c r="P123" i="5"/>
  <c r="Q126" i="4"/>
  <c r="R126" i="4"/>
  <c r="M126" i="4"/>
  <c r="E126" i="4"/>
  <c r="D126" i="4"/>
  <c r="C126" i="4"/>
  <c r="H124" i="3"/>
  <c r="I124" i="3" s="1"/>
  <c r="O124" i="3"/>
  <c r="I125" i="6"/>
  <c r="L125" i="6" s="1"/>
  <c r="F126" i="4" l="1"/>
  <c r="O126" i="4" s="1"/>
  <c r="I123" i="5"/>
  <c r="P126" i="4"/>
  <c r="C10" i="8" s="1"/>
  <c r="E10" i="8" s="1"/>
  <c r="F10" i="8" s="1"/>
  <c r="U124" i="3"/>
  <c r="J124" i="3"/>
  <c r="K124" i="3" s="1"/>
  <c r="W124" i="3" s="1"/>
  <c r="L124" i="3"/>
  <c r="V125" i="6"/>
  <c r="M125" i="6"/>
  <c r="E6" i="2" s="1"/>
  <c r="G126" i="4"/>
  <c r="U125" i="6"/>
  <c r="J125" i="6"/>
  <c r="K125" i="6" s="1"/>
  <c r="W125" i="6" s="1"/>
  <c r="AA126" i="4"/>
  <c r="D11" i="8" s="1"/>
  <c r="U123" i="5" l="1"/>
  <c r="J123" i="5"/>
  <c r="K123" i="5" s="1"/>
  <c r="W123" i="5" s="1"/>
  <c r="L123" i="5"/>
  <c r="N125" i="6"/>
  <c r="T125" i="6" s="1"/>
  <c r="E126" i="6" s="1"/>
  <c r="D126" i="6"/>
  <c r="C126" i="6"/>
  <c r="M126" i="6"/>
  <c r="C11" i="8"/>
  <c r="E11" i="8" s="1"/>
  <c r="F11" i="8" s="1"/>
  <c r="C7" i="2"/>
  <c r="AA127" i="4"/>
  <c r="H126" i="4"/>
  <c r="Z125" i="6"/>
  <c r="V124" i="3"/>
  <c r="N124" i="3"/>
  <c r="T124" i="3" s="1"/>
  <c r="X125" i="6"/>
  <c r="R126" i="6" l="1"/>
  <c r="V123" i="5"/>
  <c r="N123" i="5"/>
  <c r="T123" i="5" s="1"/>
  <c r="F126" i="6"/>
  <c r="O126" i="6" s="1"/>
  <c r="Q126" i="6"/>
  <c r="G126" i="6"/>
  <c r="Z123" i="5"/>
  <c r="X123" i="5"/>
  <c r="AA126" i="6"/>
  <c r="P126" i="6"/>
  <c r="Z124" i="3"/>
  <c r="H126" i="6"/>
  <c r="I126" i="6" s="1"/>
  <c r="AA127" i="6"/>
  <c r="E7" i="2"/>
  <c r="I126" i="4"/>
  <c r="L126" i="4" s="1"/>
  <c r="R125" i="3"/>
  <c r="Q125" i="3"/>
  <c r="G125" i="3"/>
  <c r="E125" i="3"/>
  <c r="D125" i="3"/>
  <c r="C125" i="3"/>
  <c r="X124" i="3"/>
  <c r="E124" i="5" l="1"/>
  <c r="R124" i="5"/>
  <c r="Q124" i="5"/>
  <c r="G124" i="5"/>
  <c r="AA125" i="5" s="1"/>
  <c r="M124" i="5"/>
  <c r="C124" i="5"/>
  <c r="D124" i="5"/>
  <c r="P124" i="5"/>
  <c r="F125" i="3"/>
  <c r="O125" i="3" s="1"/>
  <c r="P125" i="3"/>
  <c r="U126" i="6"/>
  <c r="J126" i="6"/>
  <c r="K126" i="6" s="1"/>
  <c r="W126" i="6" s="1"/>
  <c r="U126" i="4"/>
  <c r="J126" i="4"/>
  <c r="L126" i="6"/>
  <c r="V126" i="4"/>
  <c r="N126" i="4"/>
  <c r="F124" i="5" l="1"/>
  <c r="H125" i="3"/>
  <c r="I125" i="3"/>
  <c r="J125" i="3" s="1"/>
  <c r="K126" i="4"/>
  <c r="T126" i="4" s="1"/>
  <c r="X126" i="4"/>
  <c r="X126" i="6"/>
  <c r="V126" i="6"/>
  <c r="N126" i="6"/>
  <c r="T126" i="6" s="1"/>
  <c r="L125" i="3"/>
  <c r="U125" i="3" l="1"/>
  <c r="O124" i="5"/>
  <c r="H124" i="5"/>
  <c r="Z126" i="6"/>
  <c r="V125" i="3"/>
  <c r="N125" i="3"/>
  <c r="G127" i="4"/>
  <c r="AA128" i="4" s="1"/>
  <c r="R127" i="4"/>
  <c r="M127" i="4"/>
  <c r="E127" i="4"/>
  <c r="D127" i="4"/>
  <c r="C127" i="4"/>
  <c r="Q127" i="4"/>
  <c r="K125" i="3"/>
  <c r="W125" i="3" s="1"/>
  <c r="W126" i="4"/>
  <c r="Z126" i="4"/>
  <c r="R127" i="6"/>
  <c r="G127" i="6"/>
  <c r="AA128" i="6" s="1"/>
  <c r="E127" i="6"/>
  <c r="D127" i="6"/>
  <c r="C127" i="6"/>
  <c r="F127" i="6" s="1"/>
  <c r="Q127" i="6"/>
  <c r="M127" i="6"/>
  <c r="I124" i="5" l="1"/>
  <c r="P127" i="4"/>
  <c r="P127" i="6"/>
  <c r="F127" i="4"/>
  <c r="H127" i="4" s="1"/>
  <c r="T125" i="3"/>
  <c r="Z125" i="3" s="1"/>
  <c r="O127" i="4"/>
  <c r="O127" i="6"/>
  <c r="H127" i="6"/>
  <c r="X125" i="3"/>
  <c r="R126" i="3" l="1"/>
  <c r="C126" i="3"/>
  <c r="E126" i="3"/>
  <c r="AA126" i="3" s="1"/>
  <c r="Q126" i="3"/>
  <c r="U124" i="5"/>
  <c r="J124" i="5"/>
  <c r="D126" i="3"/>
  <c r="L124" i="5"/>
  <c r="P126" i="3"/>
  <c r="G126" i="3"/>
  <c r="I127" i="4"/>
  <c r="I127" i="6"/>
  <c r="L127" i="6" s="1"/>
  <c r="K124" i="5" l="1"/>
  <c r="F126" i="3"/>
  <c r="V124" i="5"/>
  <c r="N124" i="5"/>
  <c r="T124" i="5" s="1"/>
  <c r="H126" i="3"/>
  <c r="V127" i="6"/>
  <c r="N127" i="6"/>
  <c r="B7" i="2"/>
  <c r="AA127" i="3"/>
  <c r="U127" i="4"/>
  <c r="J127" i="4"/>
  <c r="K127" i="4" s="1"/>
  <c r="W127" i="4" s="1"/>
  <c r="U127" i="6"/>
  <c r="J127" i="6"/>
  <c r="K127" i="6" s="1"/>
  <c r="W127" i="6" s="1"/>
  <c r="O126" i="3"/>
  <c r="L127" i="4"/>
  <c r="I126" i="3"/>
  <c r="U126" i="3" s="1"/>
  <c r="X124" i="5" l="1"/>
  <c r="C125" i="5"/>
  <c r="G125" i="5"/>
  <c r="Q125" i="5"/>
  <c r="E125" i="5"/>
  <c r="P125" i="5" s="1"/>
  <c r="R125" i="5"/>
  <c r="D125" i="5"/>
  <c r="I125" i="5" s="1"/>
  <c r="U125" i="5" s="1"/>
  <c r="F125" i="5"/>
  <c r="H125" i="5" s="1"/>
  <c r="W124" i="5"/>
  <c r="Z124" i="5"/>
  <c r="X127" i="6"/>
  <c r="T127" i="6"/>
  <c r="Z127" i="6" s="1"/>
  <c r="J126" i="3"/>
  <c r="K126" i="3" s="1"/>
  <c r="W126" i="3" s="1"/>
  <c r="V127" i="4"/>
  <c r="N127" i="4"/>
  <c r="T127" i="4" s="1"/>
  <c r="R128" i="6"/>
  <c r="L126" i="3"/>
  <c r="L125" i="5" l="1"/>
  <c r="G128" i="6"/>
  <c r="AA129" i="6" s="1"/>
  <c r="O125" i="5"/>
  <c r="M128" i="6"/>
  <c r="J125" i="5"/>
  <c r="K125" i="5" s="1"/>
  <c r="W125" i="5" s="1"/>
  <c r="Q128" i="6"/>
  <c r="D128" i="6"/>
  <c r="C128" i="6"/>
  <c r="E128" i="6"/>
  <c r="V126" i="3"/>
  <c r="N126" i="3"/>
  <c r="T126" i="3" s="1"/>
  <c r="Z126" i="3"/>
  <c r="X127" i="4"/>
  <c r="Z127" i="4"/>
  <c r="M128" i="4"/>
  <c r="C128" i="4"/>
  <c r="P128" i="4" s="1"/>
  <c r="G128" i="4"/>
  <c r="AA129" i="4" s="1"/>
  <c r="R128" i="4"/>
  <c r="Q128" i="4"/>
  <c r="E128" i="4"/>
  <c r="D128" i="4"/>
  <c r="X126" i="3"/>
  <c r="P128" i="6" l="1"/>
  <c r="V125" i="5"/>
  <c r="M125" i="5"/>
  <c r="F128" i="6"/>
  <c r="D127" i="3"/>
  <c r="C127" i="3"/>
  <c r="Q127" i="3"/>
  <c r="G127" i="3"/>
  <c r="AA128" i="3" s="1"/>
  <c r="E127" i="3"/>
  <c r="R127" i="3"/>
  <c r="F128" i="4"/>
  <c r="H128" i="4" s="1"/>
  <c r="D6" i="2" l="1"/>
  <c r="N125" i="5"/>
  <c r="T125" i="5" s="1"/>
  <c r="F127" i="3"/>
  <c r="Z125" i="5"/>
  <c r="O128" i="6"/>
  <c r="H128" i="6"/>
  <c r="I128" i="6" s="1"/>
  <c r="J128" i="6" s="1"/>
  <c r="K128" i="6" s="1"/>
  <c r="W128" i="6" s="1"/>
  <c r="I128" i="4"/>
  <c r="U128" i="4" s="1"/>
  <c r="O127" i="3"/>
  <c r="H127" i="3"/>
  <c r="P127" i="3"/>
  <c r="O128" i="4"/>
  <c r="L128" i="4"/>
  <c r="J128" i="4" l="1"/>
  <c r="K128" i="4" s="1"/>
  <c r="W128" i="4" s="1"/>
  <c r="L128" i="6"/>
  <c r="D126" i="5"/>
  <c r="C126" i="5"/>
  <c r="R126" i="5"/>
  <c r="M126" i="5"/>
  <c r="P126" i="5"/>
  <c r="E6" i="8" s="1"/>
  <c r="F6" i="8" s="1"/>
  <c r="E126" i="5"/>
  <c r="AA126" i="5" s="1"/>
  <c r="Q126" i="5"/>
  <c r="G126" i="5"/>
  <c r="X125" i="5"/>
  <c r="U128" i="6"/>
  <c r="V128" i="4"/>
  <c r="N128" i="4"/>
  <c r="T128" i="4" s="1"/>
  <c r="V128" i="6"/>
  <c r="N128" i="6"/>
  <c r="T128" i="6" s="1"/>
  <c r="X128" i="4"/>
  <c r="I127" i="3"/>
  <c r="L127" i="3" s="1"/>
  <c r="AA127" i="5" l="1"/>
  <c r="D7" i="2"/>
  <c r="F126" i="5"/>
  <c r="H126" i="5" s="1"/>
  <c r="U127" i="3"/>
  <c r="J127" i="3"/>
  <c r="Q129" i="6"/>
  <c r="G129" i="6"/>
  <c r="AA130" i="6" s="1"/>
  <c r="E129" i="6"/>
  <c r="D129" i="6"/>
  <c r="C129" i="6"/>
  <c r="F129" i="6" s="1"/>
  <c r="O129" i="6" s="1"/>
  <c r="R129" i="6"/>
  <c r="M129" i="6"/>
  <c r="Z128" i="4"/>
  <c r="E129" i="4"/>
  <c r="P129" i="4"/>
  <c r="R129" i="4"/>
  <c r="D129" i="4"/>
  <c r="Q129" i="4"/>
  <c r="C129" i="4"/>
  <c r="G129" i="4"/>
  <c r="AA130" i="4" s="1"/>
  <c r="M129" i="4"/>
  <c r="Z128" i="6"/>
  <c r="V127" i="3"/>
  <c r="N127" i="3"/>
  <c r="X128" i="6"/>
  <c r="I126" i="5" l="1"/>
  <c r="U126" i="5" s="1"/>
  <c r="L126" i="5"/>
  <c r="F129" i="4"/>
  <c r="H129" i="4" s="1"/>
  <c r="O126" i="5"/>
  <c r="J126" i="5"/>
  <c r="K126" i="5" s="1"/>
  <c r="W126" i="5" s="1"/>
  <c r="P129" i="6"/>
  <c r="O129" i="4"/>
  <c r="I129" i="4"/>
  <c r="K127" i="3"/>
  <c r="W127" i="3" s="1"/>
  <c r="X127" i="3"/>
  <c r="H129" i="6"/>
  <c r="V126" i="5" l="1"/>
  <c r="N126" i="5"/>
  <c r="T127" i="3"/>
  <c r="D128" i="3" s="1"/>
  <c r="Z127" i="3"/>
  <c r="U129" i="4"/>
  <c r="J129" i="4"/>
  <c r="Q128" i="3"/>
  <c r="G128" i="3"/>
  <c r="AA129" i="3" s="1"/>
  <c r="E128" i="3"/>
  <c r="L129" i="4"/>
  <c r="I129" i="6"/>
  <c r="L129" i="6" s="1"/>
  <c r="P128" i="3" l="1"/>
  <c r="C128" i="3"/>
  <c r="T126" i="5"/>
  <c r="Z126" i="5"/>
  <c r="R128" i="3"/>
  <c r="X126" i="5"/>
  <c r="F128" i="3"/>
  <c r="O128" i="3"/>
  <c r="V129" i="4"/>
  <c r="N129" i="4"/>
  <c r="V129" i="6"/>
  <c r="N129" i="6"/>
  <c r="U129" i="6"/>
  <c r="J129" i="6"/>
  <c r="K129" i="4"/>
  <c r="H128" i="3"/>
  <c r="I128" i="3" s="1"/>
  <c r="U128" i="3" s="1"/>
  <c r="D127" i="5" l="1"/>
  <c r="Q127" i="5"/>
  <c r="R127" i="5"/>
  <c r="G127" i="5"/>
  <c r="AA128" i="5" s="1"/>
  <c r="E127" i="5"/>
  <c r="M127" i="5"/>
  <c r="C127" i="5"/>
  <c r="F127" i="5"/>
  <c r="O127" i="5" s="1"/>
  <c r="P127" i="5"/>
  <c r="T129" i="4"/>
  <c r="Q130" i="4" s="1"/>
  <c r="W129" i="4"/>
  <c r="X129" i="4"/>
  <c r="L128" i="3"/>
  <c r="K129" i="6"/>
  <c r="W129" i="6" s="1"/>
  <c r="X129" i="6"/>
  <c r="T129" i="6"/>
  <c r="J128" i="3"/>
  <c r="D130" i="4" l="1"/>
  <c r="E130" i="4"/>
  <c r="G130" i="4"/>
  <c r="AA131" i="4" s="1"/>
  <c r="H127" i="5"/>
  <c r="I127" i="5" s="1"/>
  <c r="R130" i="4"/>
  <c r="Z129" i="4"/>
  <c r="C130" i="4"/>
  <c r="F130" i="4" s="1"/>
  <c r="H130" i="4" s="1"/>
  <c r="M130" i="4"/>
  <c r="V128" i="3"/>
  <c r="N128" i="3"/>
  <c r="Z129" i="6"/>
  <c r="K128" i="3"/>
  <c r="W128" i="3" s="1"/>
  <c r="Q130" i="6"/>
  <c r="E130" i="6"/>
  <c r="D130" i="6"/>
  <c r="R130" i="6"/>
  <c r="G130" i="6"/>
  <c r="AA131" i="6" s="1"/>
  <c r="M130" i="6"/>
  <c r="C130" i="6"/>
  <c r="J127" i="5" l="1"/>
  <c r="K127" i="5" s="1"/>
  <c r="W127" i="5" s="1"/>
  <c r="U127" i="5"/>
  <c r="L127" i="5"/>
  <c r="P130" i="4"/>
  <c r="O130" i="4"/>
  <c r="V127" i="5"/>
  <c r="N127" i="5"/>
  <c r="T128" i="3"/>
  <c r="Z128" i="3" s="1"/>
  <c r="F130" i="6"/>
  <c r="X128" i="3"/>
  <c r="P130" i="6"/>
  <c r="I130" i="4"/>
  <c r="U130" i="4" s="1"/>
  <c r="T127" i="5" l="1"/>
  <c r="X127" i="5"/>
  <c r="O130" i="6"/>
  <c r="Z127" i="5"/>
  <c r="J130" i="4"/>
  <c r="K130" i="4" s="1"/>
  <c r="W130" i="4" s="1"/>
  <c r="L130" i="4"/>
  <c r="R129" i="3"/>
  <c r="C129" i="3"/>
  <c r="D129" i="3"/>
  <c r="Q129" i="3"/>
  <c r="G129" i="3"/>
  <c r="AA130" i="3" s="1"/>
  <c r="E129" i="3"/>
  <c r="H130" i="6"/>
  <c r="P129" i="3" l="1"/>
  <c r="F129" i="3"/>
  <c r="V130" i="4"/>
  <c r="N130" i="4"/>
  <c r="T130" i="4" s="1"/>
  <c r="H129" i="3"/>
  <c r="I130" i="6"/>
  <c r="L130" i="6" s="1"/>
  <c r="E128" i="5"/>
  <c r="P128" i="5" s="1"/>
  <c r="D128" i="5"/>
  <c r="Q128" i="5"/>
  <c r="G128" i="5"/>
  <c r="AA129" i="5" s="1"/>
  <c r="C128" i="5"/>
  <c r="R128" i="5"/>
  <c r="M128" i="5"/>
  <c r="V130" i="6" l="1"/>
  <c r="N130" i="6"/>
  <c r="Z130" i="4"/>
  <c r="F128" i="5"/>
  <c r="G131" i="4"/>
  <c r="AA132" i="4" s="1"/>
  <c r="R131" i="4"/>
  <c r="Q131" i="4"/>
  <c r="M131" i="4"/>
  <c r="E131" i="4"/>
  <c r="D131" i="4"/>
  <c r="C131" i="4"/>
  <c r="O129" i="3"/>
  <c r="X130" i="4"/>
  <c r="U130" i="6"/>
  <c r="J130" i="6"/>
  <c r="I129" i="3"/>
  <c r="U129" i="3" s="1"/>
  <c r="L129" i="3" l="1"/>
  <c r="J129" i="3"/>
  <c r="K129" i="3" s="1"/>
  <c r="W129" i="3" s="1"/>
  <c r="P131" i="4"/>
  <c r="V129" i="3"/>
  <c r="N129" i="3"/>
  <c r="K130" i="6"/>
  <c r="T130" i="6" s="1"/>
  <c r="F131" i="4"/>
  <c r="H131" i="4" s="1"/>
  <c r="O128" i="5"/>
  <c r="H128" i="5"/>
  <c r="T129" i="3" l="1"/>
  <c r="C130" i="3" s="1"/>
  <c r="Q130" i="3"/>
  <c r="R130" i="3"/>
  <c r="D130" i="3"/>
  <c r="G130" i="3"/>
  <c r="AA131" i="3" s="1"/>
  <c r="E130" i="3"/>
  <c r="Z129" i="3"/>
  <c r="W130" i="6"/>
  <c r="Z130" i="6"/>
  <c r="I128" i="5"/>
  <c r="I131" i="4"/>
  <c r="U131" i="4" s="1"/>
  <c r="M131" i="6"/>
  <c r="C131" i="6"/>
  <c r="E131" i="6"/>
  <c r="D131" i="6"/>
  <c r="R131" i="6"/>
  <c r="Q131" i="6"/>
  <c r="P131" i="6"/>
  <c r="G131" i="6"/>
  <c r="AA132" i="6" s="1"/>
  <c r="X129" i="3"/>
  <c r="O131" i="4"/>
  <c r="X130" i="6"/>
  <c r="P130" i="3" l="1"/>
  <c r="F131" i="6"/>
  <c r="O131" i="6"/>
  <c r="F130" i="3"/>
  <c r="U128" i="5"/>
  <c r="J128" i="5"/>
  <c r="L128" i="5"/>
  <c r="L131" i="4"/>
  <c r="J131" i="4"/>
  <c r="K131" i="4" s="1"/>
  <c r="W131" i="4" s="1"/>
  <c r="H131" i="6"/>
  <c r="K128" i="5" l="1"/>
  <c r="W128" i="5" s="1"/>
  <c r="O130" i="3"/>
  <c r="H130" i="3"/>
  <c r="I130" i="3" s="1"/>
  <c r="U130" i="3" s="1"/>
  <c r="V131" i="4"/>
  <c r="N131" i="4"/>
  <c r="V128" i="5"/>
  <c r="N128" i="5"/>
  <c r="T128" i="5" s="1"/>
  <c r="I131" i="6"/>
  <c r="L131" i="6" s="1"/>
  <c r="V131" i="6" l="1"/>
  <c r="N131" i="6"/>
  <c r="R129" i="5"/>
  <c r="Q129" i="5"/>
  <c r="G129" i="5"/>
  <c r="AA130" i="5" s="1"/>
  <c r="E129" i="5"/>
  <c r="F129" i="5" s="1"/>
  <c r="P129" i="5"/>
  <c r="M129" i="5"/>
  <c r="D129" i="5"/>
  <c r="C129" i="5"/>
  <c r="T131" i="4"/>
  <c r="X131" i="4"/>
  <c r="Z128" i="5"/>
  <c r="J130" i="3"/>
  <c r="K130" i="3" s="1"/>
  <c r="W130" i="3" s="1"/>
  <c r="U131" i="6"/>
  <c r="J131" i="6"/>
  <c r="K131" i="6" s="1"/>
  <c r="W131" i="6" s="1"/>
  <c r="X128" i="5"/>
  <c r="L130" i="3"/>
  <c r="H129" i="5" l="1"/>
  <c r="I129" i="5"/>
  <c r="U129" i="5" s="1"/>
  <c r="O129" i="5"/>
  <c r="D132" i="4"/>
  <c r="E132" i="4"/>
  <c r="G132" i="4"/>
  <c r="AA133" i="4" s="1"/>
  <c r="R132" i="4"/>
  <c r="M132" i="4"/>
  <c r="C132" i="4"/>
  <c r="Q132" i="4"/>
  <c r="X131" i="6"/>
  <c r="T131" i="6"/>
  <c r="Z131" i="6"/>
  <c r="Z131" i="4"/>
  <c r="V130" i="3"/>
  <c r="N130" i="3"/>
  <c r="T130" i="3" s="1"/>
  <c r="F132" i="4" l="1"/>
  <c r="X130" i="3"/>
  <c r="Z130" i="3"/>
  <c r="O132" i="4"/>
  <c r="P132" i="4"/>
  <c r="P132" i="6"/>
  <c r="R132" i="6"/>
  <c r="G132" i="6"/>
  <c r="AA133" i="6" s="1"/>
  <c r="Q132" i="6"/>
  <c r="E132" i="6"/>
  <c r="M132" i="6"/>
  <c r="D132" i="6"/>
  <c r="C132" i="6"/>
  <c r="F132" i="6" s="1"/>
  <c r="J129" i="5"/>
  <c r="L129" i="5"/>
  <c r="E131" i="3"/>
  <c r="P131" i="3" s="1"/>
  <c r="D131" i="3"/>
  <c r="G131" i="3"/>
  <c r="AA132" i="3" s="1"/>
  <c r="R131" i="3"/>
  <c r="C131" i="3"/>
  <c r="Q131" i="3"/>
  <c r="H132" i="4"/>
  <c r="I132" i="4" s="1"/>
  <c r="U132" i="4" s="1"/>
  <c r="F131" i="3" l="1"/>
  <c r="H132" i="6"/>
  <c r="V129" i="5"/>
  <c r="N129" i="5"/>
  <c r="I132" i="6"/>
  <c r="K129" i="5"/>
  <c r="W129" i="5" s="1"/>
  <c r="L132" i="4"/>
  <c r="J132" i="4"/>
  <c r="O132" i="6"/>
  <c r="H131" i="3" l="1"/>
  <c r="I131" i="3" s="1"/>
  <c r="O131" i="3"/>
  <c r="T129" i="5"/>
  <c r="Q130" i="5" s="1"/>
  <c r="U132" i="6"/>
  <c r="J132" i="6"/>
  <c r="K132" i="6" s="1"/>
  <c r="W132" i="6" s="1"/>
  <c r="V132" i="4"/>
  <c r="N132" i="4"/>
  <c r="L132" i="6"/>
  <c r="M130" i="5"/>
  <c r="C130" i="5"/>
  <c r="F130" i="5" s="1"/>
  <c r="R130" i="5"/>
  <c r="E130" i="5"/>
  <c r="D130" i="5"/>
  <c r="K132" i="4"/>
  <c r="Z129" i="5"/>
  <c r="X129" i="5"/>
  <c r="U131" i="3"/>
  <c r="L131" i="3"/>
  <c r="J131" i="3"/>
  <c r="G130" i="5" l="1"/>
  <c r="AA131" i="5" s="1"/>
  <c r="P130" i="5"/>
  <c r="T132" i="4"/>
  <c r="C133" i="4" s="1"/>
  <c r="H130" i="5"/>
  <c r="V131" i="3"/>
  <c r="N131" i="3"/>
  <c r="V132" i="6"/>
  <c r="N132" i="6"/>
  <c r="I130" i="5"/>
  <c r="U130" i="5" s="1"/>
  <c r="Q133" i="4"/>
  <c r="M133" i="4"/>
  <c r="Z132" i="4"/>
  <c r="W132" i="4"/>
  <c r="X132" i="4"/>
  <c r="O130" i="5"/>
  <c r="K131" i="3"/>
  <c r="W131" i="3" s="1"/>
  <c r="D133" i="4" l="1"/>
  <c r="R133" i="4"/>
  <c r="G133" i="4"/>
  <c r="AA134" i="4" s="1"/>
  <c r="T131" i="3"/>
  <c r="Z131" i="3" s="1"/>
  <c r="E133" i="4"/>
  <c r="P133" i="4" s="1"/>
  <c r="J130" i="5"/>
  <c r="K130" i="5" s="1"/>
  <c r="W130" i="5" s="1"/>
  <c r="T132" i="6"/>
  <c r="Z132" i="6" s="1"/>
  <c r="X132" i="6"/>
  <c r="R132" i="3"/>
  <c r="Q132" i="3"/>
  <c r="L130" i="5"/>
  <c r="X131" i="3"/>
  <c r="G132" i="3" l="1"/>
  <c r="AA133" i="3" s="1"/>
  <c r="C132" i="3"/>
  <c r="D132" i="3"/>
  <c r="E132" i="3"/>
  <c r="P132" i="3" s="1"/>
  <c r="F133" i="4"/>
  <c r="F132" i="3"/>
  <c r="V130" i="5"/>
  <c r="N130" i="5"/>
  <c r="X130" i="5" s="1"/>
  <c r="C133" i="6"/>
  <c r="M133" i="6"/>
  <c r="D133" i="6"/>
  <c r="R133" i="6"/>
  <c r="Q133" i="6"/>
  <c r="G133" i="6"/>
  <c r="AA134" i="6" s="1"/>
  <c r="E133" i="6"/>
  <c r="P133" i="6" s="1"/>
  <c r="F133" i="6" l="1"/>
  <c r="O133" i="6" s="1"/>
  <c r="O133" i="4"/>
  <c r="H133" i="4"/>
  <c r="T130" i="5"/>
  <c r="Z130" i="5"/>
  <c r="O132" i="3"/>
  <c r="H133" i="6"/>
  <c r="H132" i="3"/>
  <c r="I132" i="3" s="1"/>
  <c r="I133" i="4" l="1"/>
  <c r="L133" i="4"/>
  <c r="U132" i="3"/>
  <c r="J132" i="3"/>
  <c r="K132" i="3" s="1"/>
  <c r="W132" i="3" s="1"/>
  <c r="L132" i="3"/>
  <c r="E131" i="5"/>
  <c r="P131" i="5" s="1"/>
  <c r="D131" i="5"/>
  <c r="M131" i="5"/>
  <c r="C131" i="5"/>
  <c r="F131" i="5" s="1"/>
  <c r="O131" i="5" s="1"/>
  <c r="R131" i="5"/>
  <c r="G131" i="5"/>
  <c r="AA132" i="5" s="1"/>
  <c r="Q131" i="5"/>
  <c r="I133" i="6"/>
  <c r="L133" i="6" s="1"/>
  <c r="H131" i="5" l="1"/>
  <c r="V133" i="4"/>
  <c r="N133" i="4"/>
  <c r="U133" i="4"/>
  <c r="J133" i="4"/>
  <c r="V133" i="6"/>
  <c r="N133" i="6"/>
  <c r="I131" i="5"/>
  <c r="U131" i="5" s="1"/>
  <c r="V132" i="3"/>
  <c r="N132" i="3"/>
  <c r="T132" i="3" s="1"/>
  <c r="U133" i="6"/>
  <c r="J133" i="6"/>
  <c r="K133" i="6" s="1"/>
  <c r="W133" i="6" s="1"/>
  <c r="X132" i="3" l="1"/>
  <c r="X133" i="6"/>
  <c r="K133" i="4"/>
  <c r="W133" i="4" s="1"/>
  <c r="X133" i="4"/>
  <c r="T133" i="4"/>
  <c r="T133" i="6"/>
  <c r="Z133" i="6"/>
  <c r="J131" i="5"/>
  <c r="K131" i="5" s="1"/>
  <c r="W131" i="5" s="1"/>
  <c r="L131" i="5"/>
  <c r="Z132" i="3"/>
  <c r="E133" i="3"/>
  <c r="R133" i="3"/>
  <c r="G133" i="3"/>
  <c r="AA134" i="3" s="1"/>
  <c r="Q133" i="3"/>
  <c r="D133" i="3"/>
  <c r="C133" i="3"/>
  <c r="G134" i="4" l="1"/>
  <c r="AA135" i="4" s="1"/>
  <c r="E134" i="4"/>
  <c r="D134" i="4"/>
  <c r="C134" i="4"/>
  <c r="Q134" i="4"/>
  <c r="R134" i="4"/>
  <c r="M134" i="4"/>
  <c r="Z133" i="4"/>
  <c r="P133" i="3"/>
  <c r="R134" i="6"/>
  <c r="G134" i="6"/>
  <c r="AA135" i="6" s="1"/>
  <c r="E134" i="6"/>
  <c r="D134" i="6"/>
  <c r="M134" i="6"/>
  <c r="C134" i="6"/>
  <c r="P134" i="6" s="1"/>
  <c r="Q134" i="6"/>
  <c r="V131" i="5"/>
  <c r="N131" i="5"/>
  <c r="T131" i="5" s="1"/>
  <c r="Z131" i="5"/>
  <c r="F133" i="3"/>
  <c r="P134" i="4" l="1"/>
  <c r="F134" i="6"/>
  <c r="H134" i="6" s="1"/>
  <c r="I134" i="6" s="1"/>
  <c r="U134" i="6" s="1"/>
  <c r="F134" i="4"/>
  <c r="O134" i="6"/>
  <c r="O133" i="3"/>
  <c r="H133" i="3"/>
  <c r="I133" i="3" s="1"/>
  <c r="U133" i="3" s="1"/>
  <c r="X131" i="5"/>
  <c r="R132" i="5"/>
  <c r="Q132" i="5"/>
  <c r="G132" i="5"/>
  <c r="AA133" i="5" s="1"/>
  <c r="E132" i="5"/>
  <c r="P132" i="5" s="1"/>
  <c r="D132" i="5"/>
  <c r="C132" i="5"/>
  <c r="M132" i="5"/>
  <c r="O134" i="4" l="1"/>
  <c r="H134" i="4"/>
  <c r="I134" i="4" s="1"/>
  <c r="U134" i="4" s="1"/>
  <c r="J134" i="6"/>
  <c r="K134" i="6" s="1"/>
  <c r="W134" i="6" s="1"/>
  <c r="F132" i="5"/>
  <c r="L133" i="3"/>
  <c r="J133" i="3"/>
  <c r="K133" i="3" s="1"/>
  <c r="W133" i="3" s="1"/>
  <c r="L134" i="6"/>
  <c r="L134" i="4" l="1"/>
  <c r="J134" i="4"/>
  <c r="O132" i="5"/>
  <c r="V134" i="6"/>
  <c r="N134" i="6"/>
  <c r="V133" i="3"/>
  <c r="N133" i="3"/>
  <c r="H132" i="5"/>
  <c r="K134" i="4" l="1"/>
  <c r="V134" i="4"/>
  <c r="N134" i="4"/>
  <c r="T134" i="4" s="1"/>
  <c r="I132" i="5"/>
  <c r="T133" i="3"/>
  <c r="X133" i="3"/>
  <c r="T134" i="6"/>
  <c r="X134" i="6"/>
  <c r="Q135" i="4" l="1"/>
  <c r="C135" i="4"/>
  <c r="G135" i="4"/>
  <c r="AA136" i="4" s="1"/>
  <c r="M135" i="4"/>
  <c r="R135" i="4"/>
  <c r="D135" i="4"/>
  <c r="E135" i="4"/>
  <c r="F135" i="4" s="1"/>
  <c r="X134" i="4"/>
  <c r="W134" i="4"/>
  <c r="Z134" i="4"/>
  <c r="E134" i="3"/>
  <c r="D134" i="3"/>
  <c r="C134" i="3"/>
  <c r="F134" i="3" s="1"/>
  <c r="R134" i="3"/>
  <c r="Q134" i="3"/>
  <c r="G134" i="3"/>
  <c r="AA135" i="3" s="1"/>
  <c r="Z133" i="3"/>
  <c r="E135" i="6"/>
  <c r="D135" i="6"/>
  <c r="C135" i="6"/>
  <c r="M135" i="6"/>
  <c r="Q135" i="6"/>
  <c r="R135" i="6"/>
  <c r="G135" i="6"/>
  <c r="AA136" i="6" s="1"/>
  <c r="Z134" i="6"/>
  <c r="U132" i="5"/>
  <c r="J132" i="5"/>
  <c r="K132" i="5" s="1"/>
  <c r="W132" i="5" s="1"/>
  <c r="L132" i="5"/>
  <c r="H134" i="3" l="1"/>
  <c r="O135" i="4"/>
  <c r="P135" i="4"/>
  <c r="F135" i="6"/>
  <c r="H135" i="4"/>
  <c r="H135" i="6"/>
  <c r="O135" i="6"/>
  <c r="V132" i="5"/>
  <c r="N132" i="5"/>
  <c r="P135" i="6"/>
  <c r="P134" i="3"/>
  <c r="I134" i="3"/>
  <c r="J134" i="3"/>
  <c r="K134" i="3" s="1"/>
  <c r="W134" i="3" s="1"/>
  <c r="O134" i="3"/>
  <c r="I135" i="4" l="1"/>
  <c r="I135" i="6"/>
  <c r="L135" i="6" s="1"/>
  <c r="U134" i="3"/>
  <c r="L134" i="3"/>
  <c r="T132" i="5"/>
  <c r="Z132" i="5"/>
  <c r="X132" i="5"/>
  <c r="U135" i="4" l="1"/>
  <c r="J135" i="4"/>
  <c r="K135" i="4" s="1"/>
  <c r="W135" i="4" s="1"/>
  <c r="L135" i="4"/>
  <c r="V135" i="6"/>
  <c r="N135" i="6"/>
  <c r="M133" i="5"/>
  <c r="G133" i="5"/>
  <c r="AA134" i="5" s="1"/>
  <c r="D133" i="5"/>
  <c r="C133" i="5"/>
  <c r="E133" i="5"/>
  <c r="P133" i="5" s="1"/>
  <c r="R133" i="5"/>
  <c r="Q133" i="5"/>
  <c r="V134" i="3"/>
  <c r="N134" i="3"/>
  <c r="T134" i="3" s="1"/>
  <c r="Z134" i="3"/>
  <c r="U135" i="6"/>
  <c r="J135" i="6"/>
  <c r="V135" i="4" l="1"/>
  <c r="N135" i="4"/>
  <c r="T135" i="4" s="1"/>
  <c r="X134" i="3"/>
  <c r="R135" i="3"/>
  <c r="Q135" i="3"/>
  <c r="G135" i="3"/>
  <c r="AA136" i="3" s="1"/>
  <c r="C135" i="3"/>
  <c r="D135" i="3"/>
  <c r="E135" i="3"/>
  <c r="F133" i="5"/>
  <c r="H133" i="5" s="1"/>
  <c r="K135" i="6"/>
  <c r="X135" i="6" s="1"/>
  <c r="X135" i="4" l="1"/>
  <c r="Z135" i="4"/>
  <c r="D136" i="4"/>
  <c r="C136" i="4"/>
  <c r="Q136" i="4"/>
  <c r="F136" i="4"/>
  <c r="R136" i="4"/>
  <c r="M136" i="4"/>
  <c r="E136" i="4"/>
  <c r="P136" i="4" s="1"/>
  <c r="G136" i="4"/>
  <c r="AA137" i="4" s="1"/>
  <c r="P135" i="3"/>
  <c r="W135" i="6"/>
  <c r="O133" i="5"/>
  <c r="T135" i="6"/>
  <c r="Z135" i="6" s="1"/>
  <c r="F135" i="3"/>
  <c r="I133" i="5"/>
  <c r="U133" i="5" s="1"/>
  <c r="H136" i="4" l="1"/>
  <c r="O136" i="4"/>
  <c r="O135" i="3"/>
  <c r="J133" i="5"/>
  <c r="K133" i="5" s="1"/>
  <c r="W133" i="5" s="1"/>
  <c r="R136" i="6"/>
  <c r="E136" i="6"/>
  <c r="P136" i="6" s="1"/>
  <c r="D136" i="6"/>
  <c r="G136" i="6"/>
  <c r="AA137" i="6" s="1"/>
  <c r="Q136" i="6"/>
  <c r="M136" i="6"/>
  <c r="C136" i="6"/>
  <c r="H135" i="3"/>
  <c r="L133" i="5"/>
  <c r="I136" i="4" l="1"/>
  <c r="I135" i="3"/>
  <c r="L135" i="3" s="1"/>
  <c r="V133" i="5"/>
  <c r="N133" i="5"/>
  <c r="T133" i="5" s="1"/>
  <c r="F136" i="6"/>
  <c r="H136" i="6" s="1"/>
  <c r="X133" i="5"/>
  <c r="Z133" i="5" l="1"/>
  <c r="U136" i="4"/>
  <c r="J136" i="4"/>
  <c r="K136" i="4" s="1"/>
  <c r="W136" i="4" s="1"/>
  <c r="L136" i="4"/>
  <c r="V135" i="3"/>
  <c r="N135" i="3"/>
  <c r="D134" i="5"/>
  <c r="M134" i="5"/>
  <c r="C134" i="5"/>
  <c r="F134" i="5" s="1"/>
  <c r="E134" i="5"/>
  <c r="P134" i="5" s="1"/>
  <c r="R134" i="5"/>
  <c r="Q134" i="5"/>
  <c r="G134" i="5"/>
  <c r="AA135" i="5" s="1"/>
  <c r="I136" i="6"/>
  <c r="U136" i="6" s="1"/>
  <c r="O136" i="6"/>
  <c r="U135" i="3"/>
  <c r="J135" i="3"/>
  <c r="V136" i="4" l="1"/>
  <c r="N136" i="4"/>
  <c r="H134" i="5"/>
  <c r="I134" i="5"/>
  <c r="U134" i="5" s="1"/>
  <c r="J136" i="6"/>
  <c r="K136" i="6" s="1"/>
  <c r="W136" i="6" s="1"/>
  <c r="O134" i="5"/>
  <c r="L136" i="6"/>
  <c r="K135" i="3"/>
  <c r="T136" i="4" l="1"/>
  <c r="X136" i="4"/>
  <c r="V136" i="6"/>
  <c r="N136" i="6"/>
  <c r="T136" i="6" s="1"/>
  <c r="Z136" i="6" s="1"/>
  <c r="W135" i="3"/>
  <c r="X135" i="3"/>
  <c r="T135" i="3"/>
  <c r="L134" i="5"/>
  <c r="J134" i="5"/>
  <c r="Z136" i="4" l="1"/>
  <c r="M137" i="4"/>
  <c r="D137" i="4"/>
  <c r="C137" i="4"/>
  <c r="G137" i="4"/>
  <c r="AA138" i="4" s="1"/>
  <c r="Q137" i="4"/>
  <c r="E137" i="4"/>
  <c r="P137" i="4" s="1"/>
  <c r="R137" i="4"/>
  <c r="V134" i="5"/>
  <c r="N134" i="5"/>
  <c r="D136" i="3"/>
  <c r="G136" i="3"/>
  <c r="AA137" i="3" s="1"/>
  <c r="R136" i="3"/>
  <c r="C136" i="3"/>
  <c r="E136" i="3"/>
  <c r="P136" i="3" s="1"/>
  <c r="Q136" i="3"/>
  <c r="Z135" i="3"/>
  <c r="E137" i="6"/>
  <c r="D137" i="6"/>
  <c r="C137" i="6"/>
  <c r="Q137" i="6"/>
  <c r="R137" i="6"/>
  <c r="M137" i="6"/>
  <c r="G137" i="6"/>
  <c r="AA138" i="6" s="1"/>
  <c r="X136" i="6"/>
  <c r="K134" i="5"/>
  <c r="F137" i="6" l="1"/>
  <c r="F137" i="4"/>
  <c r="O137" i="4"/>
  <c r="H137" i="4"/>
  <c r="I137" i="4" s="1"/>
  <c r="P137" i="6"/>
  <c r="H137" i="6"/>
  <c r="I137" i="6" s="1"/>
  <c r="U137" i="6" s="1"/>
  <c r="W134" i="5"/>
  <c r="X134" i="5"/>
  <c r="O137" i="6"/>
  <c r="F136" i="3"/>
  <c r="T134" i="5"/>
  <c r="U137" i="4" l="1"/>
  <c r="J137" i="4"/>
  <c r="K137" i="4" s="1"/>
  <c r="W137" i="4" s="1"/>
  <c r="L137" i="4"/>
  <c r="Q135" i="5"/>
  <c r="G135" i="5"/>
  <c r="AA136" i="5" s="1"/>
  <c r="E135" i="5"/>
  <c r="P135" i="5" s="1"/>
  <c r="R135" i="5"/>
  <c r="D135" i="5"/>
  <c r="C135" i="5"/>
  <c r="M135" i="5"/>
  <c r="Z134" i="5"/>
  <c r="J137" i="6"/>
  <c r="K137" i="6" s="1"/>
  <c r="W137" i="6" s="1"/>
  <c r="H136" i="3"/>
  <c r="I136" i="3"/>
  <c r="U136" i="3" s="1"/>
  <c r="J136" i="3"/>
  <c r="K136" i="3" s="1"/>
  <c r="W136" i="3" s="1"/>
  <c r="O136" i="3"/>
  <c r="L137" i="6"/>
  <c r="V137" i="4" l="1"/>
  <c r="N137" i="4"/>
  <c r="V137" i="6"/>
  <c r="N137" i="6"/>
  <c r="T137" i="6" s="1"/>
  <c r="L136" i="3"/>
  <c r="F135" i="5"/>
  <c r="H135" i="5" s="1"/>
  <c r="Z137" i="6" l="1"/>
  <c r="T137" i="4"/>
  <c r="Z137" i="4"/>
  <c r="X137" i="4"/>
  <c r="D138" i="6"/>
  <c r="E138" i="6"/>
  <c r="P138" i="6" s="1"/>
  <c r="C138" i="6"/>
  <c r="R138" i="6"/>
  <c r="Q138" i="6"/>
  <c r="M138" i="6"/>
  <c r="G138" i="6"/>
  <c r="AA139" i="6" s="1"/>
  <c r="O135" i="5"/>
  <c r="V136" i="3"/>
  <c r="N136" i="3"/>
  <c r="T136" i="3" s="1"/>
  <c r="X136" i="3"/>
  <c r="I135" i="5"/>
  <c r="U135" i="5" s="1"/>
  <c r="X137" i="6"/>
  <c r="D138" i="4" l="1"/>
  <c r="C138" i="4"/>
  <c r="G138" i="4"/>
  <c r="AA139" i="4" s="1"/>
  <c r="M138" i="4"/>
  <c r="R138" i="4"/>
  <c r="Q138" i="4"/>
  <c r="E138" i="4"/>
  <c r="F138" i="4" s="1"/>
  <c r="O138" i="4" s="1"/>
  <c r="H138" i="4"/>
  <c r="D137" i="3"/>
  <c r="C137" i="3"/>
  <c r="Q137" i="3"/>
  <c r="G137" i="3"/>
  <c r="AA138" i="3" s="1"/>
  <c r="E137" i="3"/>
  <c r="P137" i="3" s="1"/>
  <c r="F137" i="3"/>
  <c r="R137" i="3"/>
  <c r="F138" i="6"/>
  <c r="L135" i="5"/>
  <c r="J135" i="5"/>
  <c r="K135" i="5" s="1"/>
  <c r="W135" i="5" s="1"/>
  <c r="Z136" i="3"/>
  <c r="H137" i="3" l="1"/>
  <c r="I138" i="4"/>
  <c r="P138" i="4"/>
  <c r="I137" i="3"/>
  <c r="U137" i="3" s="1"/>
  <c r="H138" i="6"/>
  <c r="I138" i="6" s="1"/>
  <c r="U138" i="6" s="1"/>
  <c r="O138" i="6"/>
  <c r="V135" i="5"/>
  <c r="N135" i="5"/>
  <c r="T135" i="5" s="1"/>
  <c r="O137" i="3"/>
  <c r="J137" i="3" l="1"/>
  <c r="K137" i="3" s="1"/>
  <c r="W137" i="3" s="1"/>
  <c r="Z135" i="5"/>
  <c r="U138" i="4"/>
  <c r="J138" i="4"/>
  <c r="L138" i="4"/>
  <c r="J138" i="6"/>
  <c r="K138" i="6" s="1"/>
  <c r="W138" i="6" s="1"/>
  <c r="L138" i="6"/>
  <c r="X135" i="5"/>
  <c r="R136" i="5"/>
  <c r="G136" i="5"/>
  <c r="AA137" i="5" s="1"/>
  <c r="E136" i="5"/>
  <c r="Q136" i="5"/>
  <c r="M136" i="5"/>
  <c r="D136" i="5"/>
  <c r="C136" i="5"/>
  <c r="P136" i="5" s="1"/>
  <c r="L137" i="3"/>
  <c r="F136" i="5" l="1"/>
  <c r="V138" i="4"/>
  <c r="N138" i="4"/>
  <c r="K138" i="4"/>
  <c r="W138" i="4" s="1"/>
  <c r="O136" i="5"/>
  <c r="I136" i="5"/>
  <c r="U136" i="5" s="1"/>
  <c r="V138" i="6"/>
  <c r="N138" i="6"/>
  <c r="V137" i="3"/>
  <c r="N137" i="3"/>
  <c r="T137" i="3" s="1"/>
  <c r="H136" i="5"/>
  <c r="X138" i="4" l="1"/>
  <c r="Z137" i="3"/>
  <c r="X137" i="3"/>
  <c r="T138" i="4"/>
  <c r="L136" i="5"/>
  <c r="Q138" i="3"/>
  <c r="G138" i="3"/>
  <c r="AA139" i="3" s="1"/>
  <c r="E138" i="3"/>
  <c r="P138" i="3" s="1"/>
  <c r="R138" i="3"/>
  <c r="C138" i="3"/>
  <c r="D138" i="3"/>
  <c r="J136" i="5"/>
  <c r="T138" i="6"/>
  <c r="Z138" i="6"/>
  <c r="X138" i="6"/>
  <c r="D139" i="4" l="1"/>
  <c r="E139" i="4"/>
  <c r="C139" i="4"/>
  <c r="M139" i="4"/>
  <c r="R139" i="4"/>
  <c r="G139" i="4"/>
  <c r="AA140" i="4" s="1"/>
  <c r="F139" i="4"/>
  <c r="Q139" i="4"/>
  <c r="Z138" i="4"/>
  <c r="F138" i="3"/>
  <c r="Q139" i="6"/>
  <c r="G139" i="6"/>
  <c r="AA140" i="6" s="1"/>
  <c r="R139" i="6"/>
  <c r="E139" i="6"/>
  <c r="D139" i="6"/>
  <c r="M139" i="6"/>
  <c r="C139" i="6"/>
  <c r="V136" i="5"/>
  <c r="N136" i="5"/>
  <c r="H138" i="3"/>
  <c r="K136" i="5"/>
  <c r="F139" i="6" l="1"/>
  <c r="I138" i="3"/>
  <c r="U138" i="3" s="1"/>
  <c r="P139" i="4"/>
  <c r="O139" i="4"/>
  <c r="H139" i="4"/>
  <c r="I139" i="4" s="1"/>
  <c r="O139" i="6"/>
  <c r="H139" i="6"/>
  <c r="I139" i="6" s="1"/>
  <c r="U139" i="6" s="1"/>
  <c r="W136" i="5"/>
  <c r="X136" i="5"/>
  <c r="P139" i="6"/>
  <c r="T136" i="5"/>
  <c r="J138" i="3"/>
  <c r="K138" i="3" s="1"/>
  <c r="W138" i="3" s="1"/>
  <c r="O138" i="3"/>
  <c r="L138" i="3" l="1"/>
  <c r="L139" i="4"/>
  <c r="U139" i="4"/>
  <c r="J139" i="4"/>
  <c r="K139" i="4" s="1"/>
  <c r="W139" i="4" s="1"/>
  <c r="V138" i="3"/>
  <c r="N138" i="3"/>
  <c r="J139" i="6"/>
  <c r="K139" i="6" s="1"/>
  <c r="W139" i="6" s="1"/>
  <c r="L139" i="6"/>
  <c r="M137" i="5"/>
  <c r="C137" i="5"/>
  <c r="F137" i="5" s="1"/>
  <c r="D137" i="5"/>
  <c r="R137" i="5"/>
  <c r="Q137" i="5"/>
  <c r="G137" i="5"/>
  <c r="AA138" i="5" s="1"/>
  <c r="E137" i="5"/>
  <c r="Z136" i="5"/>
  <c r="P137" i="5" l="1"/>
  <c r="V139" i="4"/>
  <c r="N139" i="4"/>
  <c r="V139" i="6"/>
  <c r="N139" i="6"/>
  <c r="T139" i="6" s="1"/>
  <c r="O137" i="5"/>
  <c r="Z139" i="6"/>
  <c r="H137" i="5"/>
  <c r="T138" i="3"/>
  <c r="X138" i="3"/>
  <c r="X139" i="6"/>
  <c r="T139" i="4" l="1"/>
  <c r="Z139" i="4"/>
  <c r="X139" i="4"/>
  <c r="R139" i="3"/>
  <c r="C139" i="3"/>
  <c r="E139" i="3"/>
  <c r="P139" i="3" s="1"/>
  <c r="Q139" i="3"/>
  <c r="D139" i="3"/>
  <c r="G139" i="3"/>
  <c r="AA140" i="3" s="1"/>
  <c r="M140" i="6"/>
  <c r="C140" i="6"/>
  <c r="E140" i="6"/>
  <c r="P140" i="6" s="1"/>
  <c r="D140" i="6"/>
  <c r="R140" i="6"/>
  <c r="Q140" i="6"/>
  <c r="G140" i="6"/>
  <c r="AA141" i="6" s="1"/>
  <c r="Z138" i="3"/>
  <c r="I137" i="5"/>
  <c r="F139" i="3" l="1"/>
  <c r="M140" i="4"/>
  <c r="C140" i="4"/>
  <c r="R140" i="4"/>
  <c r="Q140" i="4"/>
  <c r="G140" i="4"/>
  <c r="AA141" i="4" s="1"/>
  <c r="E140" i="4"/>
  <c r="P140" i="4" s="1"/>
  <c r="D140" i="4"/>
  <c r="O139" i="3"/>
  <c r="H139" i="3"/>
  <c r="U137" i="5"/>
  <c r="J137" i="5"/>
  <c r="F140" i="6"/>
  <c r="H140" i="6" s="1"/>
  <c r="L137" i="5"/>
  <c r="F140" i="4" l="1"/>
  <c r="V137" i="5"/>
  <c r="N137" i="5"/>
  <c r="I139" i="3"/>
  <c r="O140" i="6"/>
  <c r="I140" i="6"/>
  <c r="U140" i="6" s="1"/>
  <c r="K137" i="5"/>
  <c r="W137" i="5" s="1"/>
  <c r="T137" i="5" l="1"/>
  <c r="O140" i="4"/>
  <c r="H140" i="4"/>
  <c r="I140" i="4"/>
  <c r="U140" i="4" s="1"/>
  <c r="Z137" i="5"/>
  <c r="U139" i="3"/>
  <c r="J139" i="3"/>
  <c r="K139" i="3" s="1"/>
  <c r="W139" i="3" s="1"/>
  <c r="E138" i="5"/>
  <c r="F138" i="5" s="1"/>
  <c r="D138" i="5"/>
  <c r="Q138" i="5"/>
  <c r="G138" i="5"/>
  <c r="AA139" i="5" s="1"/>
  <c r="R138" i="5"/>
  <c r="C138" i="5"/>
  <c r="M138" i="5"/>
  <c r="X137" i="5"/>
  <c r="L139" i="3"/>
  <c r="J140" i="6"/>
  <c r="L140" i="6"/>
  <c r="L140" i="4" l="1"/>
  <c r="J140" i="4"/>
  <c r="O138" i="5"/>
  <c r="H138" i="5"/>
  <c r="I138" i="5" s="1"/>
  <c r="U138" i="5" s="1"/>
  <c r="V140" i="6"/>
  <c r="N140" i="6"/>
  <c r="K140" i="6"/>
  <c r="W140" i="6" s="1"/>
  <c r="V139" i="3"/>
  <c r="N139" i="3"/>
  <c r="T139" i="3" s="1"/>
  <c r="P138" i="5"/>
  <c r="T140" i="6" l="1"/>
  <c r="Z140" i="6" s="1"/>
  <c r="K140" i="4"/>
  <c r="W140" i="4" s="1"/>
  <c r="V140" i="4"/>
  <c r="N140" i="4"/>
  <c r="T140" i="4" s="1"/>
  <c r="X140" i="4"/>
  <c r="Z139" i="3"/>
  <c r="L138" i="5"/>
  <c r="C140" i="3"/>
  <c r="G140" i="3"/>
  <c r="AA141" i="3" s="1"/>
  <c r="E140" i="3"/>
  <c r="D140" i="3"/>
  <c r="R140" i="3"/>
  <c r="Q140" i="3"/>
  <c r="X139" i="3"/>
  <c r="X140" i="6"/>
  <c r="M141" i="6"/>
  <c r="C141" i="6"/>
  <c r="R141" i="6"/>
  <c r="G141" i="6"/>
  <c r="AA142" i="6" s="1"/>
  <c r="Q141" i="6"/>
  <c r="E141" i="6"/>
  <c r="D141" i="6"/>
  <c r="J138" i="5"/>
  <c r="K138" i="5" s="1"/>
  <c r="W138" i="5" s="1"/>
  <c r="F141" i="6" l="1"/>
  <c r="Z140" i="4"/>
  <c r="E141" i="4"/>
  <c r="D141" i="4"/>
  <c r="Q141" i="4"/>
  <c r="C141" i="4"/>
  <c r="P141" i="4" s="1"/>
  <c r="G141" i="4"/>
  <c r="AA142" i="4" s="1"/>
  <c r="R141" i="4"/>
  <c r="M141" i="4"/>
  <c r="P141" i="6"/>
  <c r="P140" i="3"/>
  <c r="O141" i="6"/>
  <c r="H141" i="6"/>
  <c r="I141" i="6" s="1"/>
  <c r="V138" i="5"/>
  <c r="N138" i="5"/>
  <c r="T138" i="5" s="1"/>
  <c r="X138" i="5"/>
  <c r="F140" i="3"/>
  <c r="H140" i="3" s="1"/>
  <c r="F141" i="4" l="1"/>
  <c r="U141" i="6"/>
  <c r="J141" i="6"/>
  <c r="K141" i="6" s="1"/>
  <c r="W141" i="6" s="1"/>
  <c r="O140" i="3"/>
  <c r="L141" i="6"/>
  <c r="M139" i="5"/>
  <c r="C139" i="5"/>
  <c r="G139" i="5"/>
  <c r="AA140" i="5" s="1"/>
  <c r="E139" i="5"/>
  <c r="D139" i="5"/>
  <c r="Q139" i="5"/>
  <c r="R139" i="5"/>
  <c r="I140" i="3"/>
  <c r="Z138" i="5"/>
  <c r="O141" i="4" l="1"/>
  <c r="P139" i="5"/>
  <c r="H141" i="4"/>
  <c r="V141" i="6"/>
  <c r="N141" i="6"/>
  <c r="T141" i="6" s="1"/>
  <c r="F139" i="5"/>
  <c r="L140" i="3"/>
  <c r="J140" i="3"/>
  <c r="K140" i="3" s="1"/>
  <c r="W140" i="3" s="1"/>
  <c r="U140" i="3"/>
  <c r="X141" i="6" l="1"/>
  <c r="I141" i="4"/>
  <c r="O139" i="5"/>
  <c r="V140" i="3"/>
  <c r="N140" i="3"/>
  <c r="T140" i="3" s="1"/>
  <c r="C142" i="6"/>
  <c r="M142" i="6"/>
  <c r="D142" i="6"/>
  <c r="R142" i="6"/>
  <c r="Q142" i="6"/>
  <c r="G142" i="6"/>
  <c r="AA143" i="6" s="1"/>
  <c r="E142" i="6"/>
  <c r="H139" i="5"/>
  <c r="Z141" i="6"/>
  <c r="P142" i="6" l="1"/>
  <c r="X140" i="3"/>
  <c r="U141" i="4"/>
  <c r="J141" i="4"/>
  <c r="K141" i="4" s="1"/>
  <c r="W141" i="4" s="1"/>
  <c r="L141" i="4"/>
  <c r="E141" i="3"/>
  <c r="P141" i="3" s="1"/>
  <c r="D141" i="3"/>
  <c r="Q141" i="3"/>
  <c r="G141" i="3"/>
  <c r="AA142" i="3" s="1"/>
  <c r="C141" i="3"/>
  <c r="R141" i="3"/>
  <c r="I139" i="5"/>
  <c r="F142" i="6"/>
  <c r="H142" i="6" s="1"/>
  <c r="L139" i="5"/>
  <c r="Z140" i="3"/>
  <c r="V141" i="4" l="1"/>
  <c r="N141" i="4"/>
  <c r="O142" i="6"/>
  <c r="F141" i="3"/>
  <c r="H141" i="3" s="1"/>
  <c r="V139" i="5"/>
  <c r="N139" i="5"/>
  <c r="I142" i="6"/>
  <c r="U142" i="6" s="1"/>
  <c r="U139" i="5"/>
  <c r="J139" i="5"/>
  <c r="J142" i="6" l="1"/>
  <c r="K142" i="6" s="1"/>
  <c r="W142" i="6" s="1"/>
  <c r="T141" i="4"/>
  <c r="X141" i="4"/>
  <c r="L142" i="6"/>
  <c r="K139" i="5"/>
  <c r="W139" i="5" s="1"/>
  <c r="O141" i="3"/>
  <c r="I141" i="3"/>
  <c r="U141" i="3" s="1"/>
  <c r="X139" i="5"/>
  <c r="J141" i="3" l="1"/>
  <c r="K141" i="3" s="1"/>
  <c r="W141" i="3" s="1"/>
  <c r="T139" i="5"/>
  <c r="D140" i="5" s="1"/>
  <c r="D142" i="4"/>
  <c r="E142" i="4"/>
  <c r="P142" i="4" s="1"/>
  <c r="R142" i="4"/>
  <c r="G142" i="4"/>
  <c r="AA143" i="4" s="1"/>
  <c r="Q142" i="4"/>
  <c r="C142" i="4"/>
  <c r="M142" i="4"/>
  <c r="Z141" i="4"/>
  <c r="G140" i="5"/>
  <c r="AA141" i="5" s="1"/>
  <c r="E140" i="5"/>
  <c r="M140" i="5"/>
  <c r="C140" i="5"/>
  <c r="V142" i="6"/>
  <c r="N142" i="6"/>
  <c r="Z139" i="5"/>
  <c r="L141" i="3"/>
  <c r="F142" i="4" l="1"/>
  <c r="P140" i="5"/>
  <c r="R140" i="5"/>
  <c r="O142" i="4"/>
  <c r="H142" i="4"/>
  <c r="I142" i="4"/>
  <c r="U142" i="4" s="1"/>
  <c r="Q140" i="5"/>
  <c r="V141" i="3"/>
  <c r="N141" i="3"/>
  <c r="F140" i="5"/>
  <c r="T142" i="6"/>
  <c r="X142" i="6"/>
  <c r="L142" i="4" l="1"/>
  <c r="J142" i="4"/>
  <c r="T141" i="3"/>
  <c r="Z141" i="3"/>
  <c r="X141" i="3"/>
  <c r="H140" i="5"/>
  <c r="O140" i="5"/>
  <c r="R143" i="6"/>
  <c r="G143" i="6"/>
  <c r="AA144" i="6" s="1"/>
  <c r="E143" i="6"/>
  <c r="D143" i="6"/>
  <c r="C143" i="6"/>
  <c r="Q143" i="6"/>
  <c r="P143" i="6"/>
  <c r="M143" i="6"/>
  <c r="I140" i="5"/>
  <c r="U140" i="5" s="1"/>
  <c r="Z142" i="6"/>
  <c r="J140" i="5" l="1"/>
  <c r="K140" i="5" s="1"/>
  <c r="W140" i="5" s="1"/>
  <c r="K142" i="4"/>
  <c r="W142" i="4" s="1"/>
  <c r="V142" i="4"/>
  <c r="N142" i="4"/>
  <c r="T142" i="4" s="1"/>
  <c r="R142" i="3"/>
  <c r="Q142" i="3"/>
  <c r="G142" i="3"/>
  <c r="AA143" i="3" s="1"/>
  <c r="C142" i="3"/>
  <c r="F142" i="3" s="1"/>
  <c r="H142" i="3" s="1"/>
  <c r="D142" i="3"/>
  <c r="E142" i="3"/>
  <c r="F143" i="6"/>
  <c r="L140" i="5"/>
  <c r="P142" i="3" l="1"/>
  <c r="Z142" i="4"/>
  <c r="G143" i="4"/>
  <c r="AA144" i="4" s="1"/>
  <c r="D143" i="4"/>
  <c r="R143" i="4"/>
  <c r="M143" i="4"/>
  <c r="E143" i="4"/>
  <c r="F143" i="4" s="1"/>
  <c r="Q143" i="4"/>
  <c r="C143" i="4"/>
  <c r="X142" i="4"/>
  <c r="I142" i="3"/>
  <c r="U142" i="3" s="1"/>
  <c r="V140" i="5"/>
  <c r="N140" i="5"/>
  <c r="T140" i="5" s="1"/>
  <c r="O143" i="6"/>
  <c r="H143" i="6"/>
  <c r="I143" i="6" s="1"/>
  <c r="O142" i="3"/>
  <c r="U143" i="6" l="1"/>
  <c r="J143" i="6"/>
  <c r="K143" i="6" s="1"/>
  <c r="W143" i="6" s="1"/>
  <c r="J142" i="3"/>
  <c r="K142" i="3" s="1"/>
  <c r="W142" i="3" s="1"/>
  <c r="P143" i="4"/>
  <c r="H143" i="4"/>
  <c r="O143" i="4"/>
  <c r="M141" i="5"/>
  <c r="C141" i="5"/>
  <c r="G141" i="5"/>
  <c r="AA142" i="5" s="1"/>
  <c r="E141" i="5"/>
  <c r="P141" i="5" s="1"/>
  <c r="D141" i="5"/>
  <c r="Q141" i="5"/>
  <c r="R141" i="5"/>
  <c r="Z140" i="5"/>
  <c r="L143" i="6"/>
  <c r="X140" i="5"/>
  <c r="L142" i="3"/>
  <c r="F141" i="5" l="1"/>
  <c r="I143" i="4"/>
  <c r="V142" i="3"/>
  <c r="N142" i="3"/>
  <c r="T142" i="3" s="1"/>
  <c r="X142" i="3"/>
  <c r="H141" i="5"/>
  <c r="Z142" i="3"/>
  <c r="V143" i="6"/>
  <c r="N143" i="6"/>
  <c r="O141" i="5"/>
  <c r="U143" i="4" l="1"/>
  <c r="J143" i="4"/>
  <c r="K143" i="4" s="1"/>
  <c r="W143" i="4" s="1"/>
  <c r="L143" i="4"/>
  <c r="T143" i="6"/>
  <c r="X143" i="6"/>
  <c r="Z143" i="6"/>
  <c r="E143" i="3"/>
  <c r="Q143" i="3"/>
  <c r="D143" i="3"/>
  <c r="R143" i="3"/>
  <c r="C143" i="3"/>
  <c r="G143" i="3"/>
  <c r="AA144" i="3" s="1"/>
  <c r="I141" i="5"/>
  <c r="L141" i="5" s="1"/>
  <c r="N143" i="4" l="1"/>
  <c r="T143" i="4" s="1"/>
  <c r="V143" i="4"/>
  <c r="X143" i="4"/>
  <c r="P143" i="3"/>
  <c r="V141" i="5"/>
  <c r="N141" i="5"/>
  <c r="F143" i="3"/>
  <c r="U141" i="5"/>
  <c r="J141" i="5"/>
  <c r="K141" i="5" s="1"/>
  <c r="W141" i="5" s="1"/>
  <c r="E144" i="6"/>
  <c r="D144" i="6"/>
  <c r="C144" i="6"/>
  <c r="Q144" i="6"/>
  <c r="R144" i="6"/>
  <c r="M144" i="6"/>
  <c r="G144" i="6"/>
  <c r="AA145" i="6" s="1"/>
  <c r="P144" i="6" l="1"/>
  <c r="Z143" i="4"/>
  <c r="M144" i="4"/>
  <c r="E144" i="4"/>
  <c r="P144" i="4" s="1"/>
  <c r="C144" i="4"/>
  <c r="F144" i="4" s="1"/>
  <c r="O144" i="4" s="1"/>
  <c r="D144" i="4"/>
  <c r="G144" i="4"/>
  <c r="AA145" i="4" s="1"/>
  <c r="R144" i="4"/>
  <c r="Q144" i="4"/>
  <c r="T141" i="5"/>
  <c r="Z141" i="5" s="1"/>
  <c r="O143" i="3"/>
  <c r="X141" i="5"/>
  <c r="F144" i="6"/>
  <c r="H143" i="3"/>
  <c r="H144" i="4" l="1"/>
  <c r="I144" i="4" s="1"/>
  <c r="R142" i="5"/>
  <c r="G142" i="5"/>
  <c r="AA143" i="5" s="1"/>
  <c r="Q142" i="5"/>
  <c r="M142" i="5"/>
  <c r="E142" i="5"/>
  <c r="D142" i="5"/>
  <c r="C142" i="5"/>
  <c r="I143" i="3"/>
  <c r="O144" i="6"/>
  <c r="H144" i="6"/>
  <c r="I144" i="6" s="1"/>
  <c r="P142" i="5" l="1"/>
  <c r="U144" i="4"/>
  <c r="J144" i="4"/>
  <c r="K144" i="4" s="1"/>
  <c r="W144" i="4" s="1"/>
  <c r="L144" i="4"/>
  <c r="V144" i="4" s="1"/>
  <c r="U144" i="6"/>
  <c r="J144" i="6"/>
  <c r="K144" i="6" s="1"/>
  <c r="W144" i="6" s="1"/>
  <c r="U143" i="3"/>
  <c r="J143" i="3"/>
  <c r="K143" i="3" s="1"/>
  <c r="W143" i="3" s="1"/>
  <c r="L144" i="6"/>
  <c r="F142" i="5"/>
  <c r="L143" i="3"/>
  <c r="N144" i="4" l="1"/>
  <c r="T144" i="4" s="1"/>
  <c r="V143" i="3"/>
  <c r="N143" i="3"/>
  <c r="T143" i="3" s="1"/>
  <c r="M145" i="4"/>
  <c r="C145" i="4"/>
  <c r="D145" i="4"/>
  <c r="G145" i="4"/>
  <c r="AA146" i="4" s="1"/>
  <c r="R145" i="4"/>
  <c r="Q145" i="4"/>
  <c r="E145" i="4"/>
  <c r="P145" i="4" s="1"/>
  <c r="V144" i="6"/>
  <c r="N144" i="6"/>
  <c r="T144" i="6" s="1"/>
  <c r="Z144" i="6" s="1"/>
  <c r="O142" i="5"/>
  <c r="H142" i="5"/>
  <c r="Z144" i="4"/>
  <c r="X144" i="4"/>
  <c r="Z143" i="3"/>
  <c r="X144" i="6" l="1"/>
  <c r="X143" i="3"/>
  <c r="I142" i="5"/>
  <c r="F145" i="4"/>
  <c r="H145" i="4"/>
  <c r="L142" i="5"/>
  <c r="E144" i="3"/>
  <c r="D144" i="3"/>
  <c r="C144" i="3"/>
  <c r="F144" i="3" s="1"/>
  <c r="O144" i="3" s="1"/>
  <c r="R144" i="3"/>
  <c r="G144" i="3"/>
  <c r="AA145" i="3" s="1"/>
  <c r="Q144" i="3"/>
  <c r="E145" i="6"/>
  <c r="G145" i="6"/>
  <c r="AA146" i="6" s="1"/>
  <c r="D145" i="6"/>
  <c r="C145" i="6"/>
  <c r="M145" i="6"/>
  <c r="R145" i="6"/>
  <c r="Q145" i="6"/>
  <c r="P144" i="3" l="1"/>
  <c r="P145" i="6"/>
  <c r="I145" i="4"/>
  <c r="O145" i="4"/>
  <c r="F145" i="6"/>
  <c r="V142" i="5"/>
  <c r="N142" i="5"/>
  <c r="U142" i="5"/>
  <c r="J142" i="5"/>
  <c r="H144" i="3"/>
  <c r="U145" i="4" l="1"/>
  <c r="K142" i="5"/>
  <c r="T142" i="5" s="1"/>
  <c r="X142" i="5"/>
  <c r="O145" i="6"/>
  <c r="J145" i="4"/>
  <c r="K145" i="4" s="1"/>
  <c r="W145" i="4" s="1"/>
  <c r="L145" i="4"/>
  <c r="I144" i="3"/>
  <c r="L144" i="3" s="1"/>
  <c r="H145" i="6"/>
  <c r="I145" i="6" s="1"/>
  <c r="U145" i="6" s="1"/>
  <c r="V144" i="3" l="1"/>
  <c r="N144" i="3"/>
  <c r="E143" i="5"/>
  <c r="C143" i="5"/>
  <c r="F143" i="5" s="1"/>
  <c r="M143" i="5"/>
  <c r="D143" i="5"/>
  <c r="G143" i="5"/>
  <c r="AA144" i="5" s="1"/>
  <c r="Q143" i="5"/>
  <c r="R143" i="5"/>
  <c r="L145" i="6"/>
  <c r="J145" i="6"/>
  <c r="K145" i="6" s="1"/>
  <c r="W145" i="6" s="1"/>
  <c r="U144" i="3"/>
  <c r="J144" i="3"/>
  <c r="K144" i="3" s="1"/>
  <c r="W144" i="3" s="1"/>
  <c r="X144" i="3"/>
  <c r="V145" i="4"/>
  <c r="N145" i="4"/>
  <c r="T145" i="4" s="1"/>
  <c r="W142" i="5"/>
  <c r="Z142" i="5"/>
  <c r="P143" i="5" l="1"/>
  <c r="O143" i="5"/>
  <c r="V145" i="6"/>
  <c r="N145" i="6"/>
  <c r="Z145" i="4"/>
  <c r="H143" i="5"/>
  <c r="I143" i="5" s="1"/>
  <c r="U143" i="5" s="1"/>
  <c r="T144" i="3"/>
  <c r="Q146" i="4"/>
  <c r="G146" i="4"/>
  <c r="AA147" i="4" s="1"/>
  <c r="R146" i="4"/>
  <c r="D146" i="4"/>
  <c r="M146" i="4"/>
  <c r="E146" i="4"/>
  <c r="C146" i="4"/>
  <c r="X145" i="4"/>
  <c r="P146" i="4" l="1"/>
  <c r="R145" i="3"/>
  <c r="Q145" i="3"/>
  <c r="G145" i="3"/>
  <c r="AA146" i="3" s="1"/>
  <c r="E145" i="3"/>
  <c r="D145" i="3"/>
  <c r="C145" i="3"/>
  <c r="Z144" i="3"/>
  <c r="L143" i="5"/>
  <c r="J143" i="5"/>
  <c r="K143" i="5" s="1"/>
  <c r="W143" i="5" s="1"/>
  <c r="T145" i="6"/>
  <c r="X145" i="6"/>
  <c r="F146" i="4"/>
  <c r="F145" i="3" l="1"/>
  <c r="O145" i="3" s="1"/>
  <c r="P145" i="3"/>
  <c r="O146" i="4"/>
  <c r="H146" i="4"/>
  <c r="V143" i="5"/>
  <c r="N143" i="5"/>
  <c r="H145" i="3"/>
  <c r="I145" i="3"/>
  <c r="U145" i="3" s="1"/>
  <c r="R146" i="6"/>
  <c r="Q146" i="6"/>
  <c r="E146" i="6"/>
  <c r="D146" i="6"/>
  <c r="G146" i="6"/>
  <c r="AA147" i="6" s="1"/>
  <c r="M146" i="6"/>
  <c r="C146" i="6"/>
  <c r="Z145" i="6"/>
  <c r="F146" i="6" l="1"/>
  <c r="P146" i="6"/>
  <c r="J145" i="3"/>
  <c r="K145" i="3" s="1"/>
  <c r="W145" i="3" s="1"/>
  <c r="H146" i="6"/>
  <c r="O146" i="6"/>
  <c r="I146" i="6"/>
  <c r="U146" i="6" s="1"/>
  <c r="I146" i="4"/>
  <c r="L146" i="4" s="1"/>
  <c r="T143" i="5"/>
  <c r="Z143" i="5" s="1"/>
  <c r="X143" i="5"/>
  <c r="L145" i="3"/>
  <c r="U146" i="4" l="1"/>
  <c r="J146" i="4"/>
  <c r="K146" i="4" s="1"/>
  <c r="W146" i="4" s="1"/>
  <c r="V146" i="4"/>
  <c r="N146" i="4"/>
  <c r="T146" i="4" s="1"/>
  <c r="V145" i="3"/>
  <c r="N145" i="3"/>
  <c r="X145" i="3"/>
  <c r="L146" i="6"/>
  <c r="J146" i="6"/>
  <c r="R144" i="5"/>
  <c r="G144" i="5"/>
  <c r="AA145" i="5" s="1"/>
  <c r="Q144" i="5"/>
  <c r="M144" i="5"/>
  <c r="E144" i="5"/>
  <c r="D144" i="5"/>
  <c r="C144" i="5"/>
  <c r="P144" i="5"/>
  <c r="X146" i="4" l="1"/>
  <c r="K146" i="6"/>
  <c r="Z146" i="4"/>
  <c r="C147" i="4"/>
  <c r="M147" i="4"/>
  <c r="Q147" i="4"/>
  <c r="D147" i="4"/>
  <c r="E147" i="4"/>
  <c r="P147" i="4" s="1"/>
  <c r="R147" i="4"/>
  <c r="G147" i="4"/>
  <c r="AA148" i="4" s="1"/>
  <c r="V146" i="6"/>
  <c r="N146" i="6"/>
  <c r="F144" i="5"/>
  <c r="T145" i="3"/>
  <c r="Z145" i="3"/>
  <c r="H144" i="5"/>
  <c r="T146" i="6" l="1"/>
  <c r="I144" i="5"/>
  <c r="U144" i="5" s="1"/>
  <c r="D146" i="3"/>
  <c r="Q146" i="3"/>
  <c r="E146" i="3"/>
  <c r="P146" i="3" s="1"/>
  <c r="C146" i="3"/>
  <c r="R146" i="3"/>
  <c r="G146" i="3"/>
  <c r="AA147" i="3" s="1"/>
  <c r="F146" i="3"/>
  <c r="O144" i="5"/>
  <c r="Z146" i="6"/>
  <c r="M147" i="6"/>
  <c r="E147" i="6"/>
  <c r="D147" i="6"/>
  <c r="R147" i="6"/>
  <c r="C147" i="6"/>
  <c r="P147" i="6" s="1"/>
  <c r="Q147" i="6"/>
  <c r="G147" i="6"/>
  <c r="AA148" i="6" s="1"/>
  <c r="W146" i="6"/>
  <c r="X146" i="6"/>
  <c r="F147" i="4"/>
  <c r="F147" i="6" l="1"/>
  <c r="J144" i="5"/>
  <c r="K144" i="5" s="1"/>
  <c r="W144" i="5" s="1"/>
  <c r="L144" i="5"/>
  <c r="N144" i="5" s="1"/>
  <c r="O147" i="6"/>
  <c r="H147" i="6"/>
  <c r="H146" i="3"/>
  <c r="I147" i="4"/>
  <c r="U147" i="4" s="1"/>
  <c r="O147" i="4"/>
  <c r="J147" i="4"/>
  <c r="K147" i="4" s="1"/>
  <c r="W147" i="4" s="1"/>
  <c r="V144" i="5"/>
  <c r="O146" i="3"/>
  <c r="H147" i="4"/>
  <c r="T144" i="5" l="1"/>
  <c r="Z144" i="5" s="1"/>
  <c r="X144" i="5"/>
  <c r="I146" i="3"/>
  <c r="I147" i="6"/>
  <c r="L147" i="4"/>
  <c r="U147" i="6" l="1"/>
  <c r="J147" i="6"/>
  <c r="K147" i="6" s="1"/>
  <c r="W147" i="6" s="1"/>
  <c r="L147" i="6"/>
  <c r="C145" i="5"/>
  <c r="M145" i="5"/>
  <c r="D145" i="5"/>
  <c r="R145" i="5"/>
  <c r="Q145" i="5"/>
  <c r="E145" i="5"/>
  <c r="P145" i="5" s="1"/>
  <c r="G145" i="5"/>
  <c r="AA146" i="5" s="1"/>
  <c r="U146" i="3"/>
  <c r="J146" i="3"/>
  <c r="K146" i="3" s="1"/>
  <c r="W146" i="3" s="1"/>
  <c r="L146" i="3"/>
  <c r="V147" i="4"/>
  <c r="N147" i="4"/>
  <c r="V147" i="6" l="1"/>
  <c r="N147" i="6"/>
  <c r="T147" i="4"/>
  <c r="X147" i="4"/>
  <c r="V146" i="3"/>
  <c r="N146" i="3"/>
  <c r="T146" i="3" s="1"/>
  <c r="F145" i="5"/>
  <c r="H145" i="5" s="1"/>
  <c r="M148" i="4" l="1"/>
  <c r="C148" i="4"/>
  <c r="Q148" i="4"/>
  <c r="D148" i="4"/>
  <c r="R148" i="4"/>
  <c r="E148" i="4"/>
  <c r="P148" i="4" s="1"/>
  <c r="G148" i="4"/>
  <c r="AA149" i="4" s="1"/>
  <c r="Z147" i="4"/>
  <c r="Z146" i="3"/>
  <c r="D147" i="3"/>
  <c r="C147" i="3"/>
  <c r="Q147" i="3"/>
  <c r="G147" i="3"/>
  <c r="AA148" i="3" s="1"/>
  <c r="E147" i="3"/>
  <c r="F147" i="3" s="1"/>
  <c r="R147" i="3"/>
  <c r="T147" i="6"/>
  <c r="Z147" i="6" s="1"/>
  <c r="X147" i="6"/>
  <c r="X146" i="3"/>
  <c r="I145" i="5"/>
  <c r="U145" i="5" s="1"/>
  <c r="O145" i="5"/>
  <c r="J145" i="5" l="1"/>
  <c r="K145" i="5" s="1"/>
  <c r="W145" i="5" s="1"/>
  <c r="F148" i="4"/>
  <c r="O148" i="4" s="1"/>
  <c r="H147" i="3"/>
  <c r="O147" i="3"/>
  <c r="I147" i="3"/>
  <c r="U147" i="3" s="1"/>
  <c r="P147" i="3"/>
  <c r="D148" i="6"/>
  <c r="R148" i="6"/>
  <c r="G148" i="6"/>
  <c r="AA149" i="6" s="1"/>
  <c r="Q148" i="6"/>
  <c r="E148" i="6"/>
  <c r="M148" i="6"/>
  <c r="C148" i="6"/>
  <c r="F148" i="6" s="1"/>
  <c r="H148" i="4"/>
  <c r="I148" i="4" s="1"/>
  <c r="U148" i="4" s="1"/>
  <c r="L145" i="5"/>
  <c r="H148" i="6" l="1"/>
  <c r="O148" i="6"/>
  <c r="P148" i="6"/>
  <c r="I148" i="6"/>
  <c r="U148" i="6" s="1"/>
  <c r="J148" i="4"/>
  <c r="K148" i="4" s="1"/>
  <c r="W148" i="4" s="1"/>
  <c r="L148" i="4"/>
  <c r="J147" i="3"/>
  <c r="K147" i="3" s="1"/>
  <c r="W147" i="3" s="1"/>
  <c r="V145" i="5"/>
  <c r="N145" i="5"/>
  <c r="T145" i="5" s="1"/>
  <c r="Z145" i="5" s="1"/>
  <c r="L147" i="3"/>
  <c r="X145" i="5" l="1"/>
  <c r="J148" i="6"/>
  <c r="K148" i="6" s="1"/>
  <c r="W148" i="6" s="1"/>
  <c r="V148" i="4"/>
  <c r="N148" i="4"/>
  <c r="V147" i="3"/>
  <c r="N147" i="3"/>
  <c r="D146" i="5"/>
  <c r="R146" i="5"/>
  <c r="G146" i="5"/>
  <c r="AA147" i="5" s="1"/>
  <c r="E146" i="5"/>
  <c r="P146" i="5" s="1"/>
  <c r="C146" i="5"/>
  <c r="Q146" i="5"/>
  <c r="M146" i="5"/>
  <c r="L148" i="6"/>
  <c r="F146" i="5" l="1"/>
  <c r="O146" i="5"/>
  <c r="T147" i="3"/>
  <c r="X147" i="3"/>
  <c r="T148" i="4"/>
  <c r="Z148" i="4" s="1"/>
  <c r="X148" i="4"/>
  <c r="V148" i="6"/>
  <c r="N148" i="6"/>
  <c r="T148" i="6" s="1"/>
  <c r="Z148" i="6"/>
  <c r="H146" i="5"/>
  <c r="X148" i="6" l="1"/>
  <c r="E149" i="4"/>
  <c r="R149" i="4"/>
  <c r="C149" i="4"/>
  <c r="Q149" i="4"/>
  <c r="D149" i="4"/>
  <c r="G149" i="4"/>
  <c r="AA150" i="4" s="1"/>
  <c r="M149" i="4"/>
  <c r="Q148" i="3"/>
  <c r="G148" i="3"/>
  <c r="AA149" i="3" s="1"/>
  <c r="E148" i="3"/>
  <c r="D148" i="3"/>
  <c r="C148" i="3"/>
  <c r="R148" i="3"/>
  <c r="I146" i="5"/>
  <c r="L146" i="5" s="1"/>
  <c r="Z147" i="3"/>
  <c r="Q149" i="6"/>
  <c r="G149" i="6"/>
  <c r="AA150" i="6" s="1"/>
  <c r="M149" i="6"/>
  <c r="C149" i="6"/>
  <c r="F149" i="6" s="1"/>
  <c r="E149" i="6"/>
  <c r="D149" i="6"/>
  <c r="R149" i="6"/>
  <c r="P149" i="6" l="1"/>
  <c r="P148" i="3"/>
  <c r="P149" i="4"/>
  <c r="O149" i="6"/>
  <c r="V146" i="5"/>
  <c r="N146" i="5"/>
  <c r="U146" i="5"/>
  <c r="J146" i="5"/>
  <c r="K146" i="5" s="1"/>
  <c r="W146" i="5" s="1"/>
  <c r="F149" i="4"/>
  <c r="H149" i="6"/>
  <c r="I149" i="6" s="1"/>
  <c r="U149" i="6" s="1"/>
  <c r="F148" i="3"/>
  <c r="H148" i="3" s="1"/>
  <c r="T146" i="5" l="1"/>
  <c r="Q147" i="5" s="1"/>
  <c r="G147" i="5"/>
  <c r="AA148" i="5" s="1"/>
  <c r="D147" i="5"/>
  <c r="C147" i="5"/>
  <c r="M147" i="5"/>
  <c r="E147" i="5"/>
  <c r="P147" i="5" s="1"/>
  <c r="R147" i="5"/>
  <c r="F147" i="5"/>
  <c r="L149" i="6"/>
  <c r="H149" i="4"/>
  <c r="O149" i="4"/>
  <c r="X146" i="5"/>
  <c r="Z146" i="5"/>
  <c r="O148" i="3"/>
  <c r="I148" i="3"/>
  <c r="U148" i="3" s="1"/>
  <c r="J149" i="6"/>
  <c r="J148" i="3" l="1"/>
  <c r="K148" i="3" s="1"/>
  <c r="W148" i="3" s="1"/>
  <c r="L148" i="3"/>
  <c r="V149" i="6"/>
  <c r="N149" i="6"/>
  <c r="K149" i="6"/>
  <c r="W149" i="6" s="1"/>
  <c r="X149" i="6"/>
  <c r="V148" i="3"/>
  <c r="N148" i="3"/>
  <c r="H147" i="5"/>
  <c r="O147" i="5"/>
  <c r="I149" i="4"/>
  <c r="U149" i="4" l="1"/>
  <c r="J149" i="4"/>
  <c r="K149" i="4" s="1"/>
  <c r="W149" i="4" s="1"/>
  <c r="T149" i="6"/>
  <c r="L149" i="4"/>
  <c r="T148" i="3"/>
  <c r="X148" i="3"/>
  <c r="Z148" i="3"/>
  <c r="I147" i="5"/>
  <c r="L147" i="5" s="1"/>
  <c r="V147" i="5" l="1"/>
  <c r="N147" i="5"/>
  <c r="R149" i="3"/>
  <c r="C149" i="3"/>
  <c r="E149" i="3"/>
  <c r="D149" i="3"/>
  <c r="Q149" i="3"/>
  <c r="G149" i="3"/>
  <c r="AA150" i="3" s="1"/>
  <c r="V149" i="4"/>
  <c r="N149" i="4"/>
  <c r="T149" i="4" s="1"/>
  <c r="R150" i="6"/>
  <c r="G150" i="6"/>
  <c r="AA151" i="6" s="1"/>
  <c r="Q150" i="6"/>
  <c r="M150" i="6"/>
  <c r="E150" i="6"/>
  <c r="D150" i="6"/>
  <c r="C150" i="6"/>
  <c r="Z149" i="6"/>
  <c r="U147" i="5"/>
  <c r="J147" i="5"/>
  <c r="K147" i="5" s="1"/>
  <c r="W147" i="5" s="1"/>
  <c r="F149" i="3" l="1"/>
  <c r="Z149" i="4"/>
  <c r="R150" i="4"/>
  <c r="G150" i="4"/>
  <c r="AA151" i="4" s="1"/>
  <c r="C150" i="4"/>
  <c r="Q150" i="4"/>
  <c r="D150" i="4"/>
  <c r="M150" i="4"/>
  <c r="E150" i="4"/>
  <c r="F150" i="4" s="1"/>
  <c r="X149" i="4"/>
  <c r="P150" i="6"/>
  <c r="X147" i="5"/>
  <c r="H149" i="3"/>
  <c r="I149" i="3" s="1"/>
  <c r="U149" i="3" s="1"/>
  <c r="O149" i="3"/>
  <c r="T147" i="5"/>
  <c r="Z147" i="5" s="1"/>
  <c r="F150" i="6"/>
  <c r="P149" i="3"/>
  <c r="P150" i="4" l="1"/>
  <c r="H150" i="4"/>
  <c r="O150" i="4"/>
  <c r="I150" i="4"/>
  <c r="U150" i="4" s="1"/>
  <c r="J150" i="4"/>
  <c r="I150" i="6"/>
  <c r="U150" i="6" s="1"/>
  <c r="K150" i="4"/>
  <c r="W150" i="4" s="1"/>
  <c r="J149" i="3"/>
  <c r="K149" i="3" s="1"/>
  <c r="W149" i="3" s="1"/>
  <c r="O150" i="6"/>
  <c r="E148" i="5"/>
  <c r="F148" i="5" s="1"/>
  <c r="O148" i="5" s="1"/>
  <c r="D148" i="5"/>
  <c r="R148" i="5"/>
  <c r="C148" i="5"/>
  <c r="G148" i="5"/>
  <c r="AA149" i="5" s="1"/>
  <c r="M148" i="5"/>
  <c r="Q148" i="5"/>
  <c r="P148" i="5"/>
  <c r="L149" i="3"/>
  <c r="H150" i="6"/>
  <c r="H148" i="5" l="1"/>
  <c r="I148" i="5"/>
  <c r="U148" i="5" s="1"/>
  <c r="L150" i="6"/>
  <c r="L150" i="4"/>
  <c r="J148" i="5"/>
  <c r="K148" i="5" s="1"/>
  <c r="W148" i="5" s="1"/>
  <c r="V149" i="3"/>
  <c r="N149" i="3"/>
  <c r="J150" i="6"/>
  <c r="K150" i="6" s="1"/>
  <c r="W150" i="6" s="1"/>
  <c r="V150" i="4" l="1"/>
  <c r="N150" i="4"/>
  <c r="T150" i="4" s="1"/>
  <c r="X150" i="4"/>
  <c r="V150" i="6"/>
  <c r="N150" i="6"/>
  <c r="T150" i="6" s="1"/>
  <c r="Z150" i="4"/>
  <c r="T149" i="3"/>
  <c r="X149" i="3"/>
  <c r="Z149" i="3"/>
  <c r="L148" i="5"/>
  <c r="X150" i="6" l="1"/>
  <c r="M151" i="6"/>
  <c r="C151" i="6"/>
  <c r="D151" i="6"/>
  <c r="E151" i="6"/>
  <c r="P151" i="6" s="1"/>
  <c r="R151" i="6"/>
  <c r="Q151" i="6"/>
  <c r="G151" i="6"/>
  <c r="AA152" i="6" s="1"/>
  <c r="V148" i="5"/>
  <c r="N148" i="5"/>
  <c r="Z150" i="6"/>
  <c r="D151" i="4"/>
  <c r="M151" i="4"/>
  <c r="Q151" i="4"/>
  <c r="C151" i="4"/>
  <c r="G151" i="4"/>
  <c r="AA152" i="4" s="1"/>
  <c r="E151" i="4"/>
  <c r="R151" i="4"/>
  <c r="C150" i="3"/>
  <c r="Q150" i="3"/>
  <c r="R150" i="3"/>
  <c r="D150" i="3"/>
  <c r="G150" i="3"/>
  <c r="AA151" i="3" s="1"/>
  <c r="E150" i="3"/>
  <c r="F151" i="6" l="1"/>
  <c r="P150" i="3"/>
  <c r="P151" i="4"/>
  <c r="H151" i="6"/>
  <c r="I151" i="6" s="1"/>
  <c r="U151" i="6" s="1"/>
  <c r="F151" i="4"/>
  <c r="T148" i="5"/>
  <c r="X148" i="5"/>
  <c r="Z148" i="5"/>
  <c r="F150" i="3"/>
  <c r="H151" i="4"/>
  <c r="O151" i="6"/>
  <c r="I151" i="4" l="1"/>
  <c r="U151" i="4" s="1"/>
  <c r="H150" i="3"/>
  <c r="I150" i="3" s="1"/>
  <c r="J151" i="4"/>
  <c r="K151" i="4" s="1"/>
  <c r="W151" i="4" s="1"/>
  <c r="O151" i="4"/>
  <c r="J151" i="6"/>
  <c r="K151" i="6" s="1"/>
  <c r="W151" i="6" s="1"/>
  <c r="M149" i="5"/>
  <c r="C149" i="5"/>
  <c r="Q149" i="5"/>
  <c r="E149" i="5"/>
  <c r="D149" i="5"/>
  <c r="R149" i="5"/>
  <c r="G149" i="5"/>
  <c r="AA150" i="5" s="1"/>
  <c r="L151" i="4"/>
  <c r="O150" i="3"/>
  <c r="L151" i="6"/>
  <c r="U150" i="3" l="1"/>
  <c r="J150" i="3"/>
  <c r="K150" i="3" s="1"/>
  <c r="W150" i="3" s="1"/>
  <c r="L150" i="3"/>
  <c r="V150" i="3"/>
  <c r="N150" i="3"/>
  <c r="V151" i="4"/>
  <c r="N151" i="4"/>
  <c r="T151" i="4" s="1"/>
  <c r="P149" i="5"/>
  <c r="V151" i="6"/>
  <c r="N151" i="6"/>
  <c r="F149" i="5"/>
  <c r="T150" i="3" l="1"/>
  <c r="X150" i="3"/>
  <c r="Z150" i="3"/>
  <c r="O149" i="5"/>
  <c r="X151" i="4"/>
  <c r="H149" i="5"/>
  <c r="D152" i="4"/>
  <c r="E152" i="4"/>
  <c r="P152" i="4" s="1"/>
  <c r="M152" i="4"/>
  <c r="Q152" i="4"/>
  <c r="C152" i="4"/>
  <c r="R152" i="4"/>
  <c r="G152" i="4"/>
  <c r="AA153" i="4" s="1"/>
  <c r="Z151" i="4"/>
  <c r="T151" i="6"/>
  <c r="X151" i="6"/>
  <c r="F152" i="4" l="1"/>
  <c r="H152" i="4"/>
  <c r="I149" i="5"/>
  <c r="L149" i="5"/>
  <c r="I152" i="4"/>
  <c r="U152" i="4" s="1"/>
  <c r="G152" i="6"/>
  <c r="AA153" i="6" s="1"/>
  <c r="E152" i="6"/>
  <c r="P152" i="6" s="1"/>
  <c r="D152" i="6"/>
  <c r="C152" i="6"/>
  <c r="F152" i="6" s="1"/>
  <c r="R152" i="6"/>
  <c r="Q152" i="6"/>
  <c r="M152" i="6"/>
  <c r="Z151" i="6"/>
  <c r="O152" i="4"/>
  <c r="E151" i="3"/>
  <c r="D151" i="3"/>
  <c r="G151" i="3"/>
  <c r="AA152" i="3" s="1"/>
  <c r="C151" i="3"/>
  <c r="R151" i="3"/>
  <c r="Q151" i="3"/>
  <c r="P151" i="3" l="1"/>
  <c r="O152" i="6"/>
  <c r="H152" i="6"/>
  <c r="V149" i="5"/>
  <c r="N149" i="5"/>
  <c r="U149" i="5"/>
  <c r="J149" i="5"/>
  <c r="F151" i="3"/>
  <c r="H151" i="3" s="1"/>
  <c r="J152" i="4"/>
  <c r="L152" i="4"/>
  <c r="V152" i="4" l="1"/>
  <c r="N152" i="4"/>
  <c r="K152" i="4"/>
  <c r="L152" i="6"/>
  <c r="K149" i="5"/>
  <c r="T149" i="5" s="1"/>
  <c r="I152" i="6"/>
  <c r="O151" i="3"/>
  <c r="I151" i="3"/>
  <c r="U151" i="3" s="1"/>
  <c r="X149" i="5" l="1"/>
  <c r="W149" i="5"/>
  <c r="Z149" i="5"/>
  <c r="W152" i="4"/>
  <c r="X152" i="4"/>
  <c r="M150" i="5"/>
  <c r="D150" i="5"/>
  <c r="C150" i="5"/>
  <c r="F150" i="5" s="1"/>
  <c r="O150" i="5" s="1"/>
  <c r="R150" i="5"/>
  <c r="E150" i="5"/>
  <c r="G150" i="5"/>
  <c r="AA151" i="5" s="1"/>
  <c r="Q150" i="5"/>
  <c r="V152" i="6"/>
  <c r="N152" i="6"/>
  <c r="J151" i="3"/>
  <c r="K151" i="3" s="1"/>
  <c r="W151" i="3" s="1"/>
  <c r="T152" i="4"/>
  <c r="U152" i="6"/>
  <c r="J152" i="6"/>
  <c r="L151" i="3"/>
  <c r="P150" i="5" l="1"/>
  <c r="K152" i="6"/>
  <c r="W152" i="6" s="1"/>
  <c r="X152" i="6"/>
  <c r="H150" i="5"/>
  <c r="Q153" i="4"/>
  <c r="G153" i="4"/>
  <c r="AA154" i="4" s="1"/>
  <c r="R153" i="4"/>
  <c r="M153" i="4"/>
  <c r="E153" i="4"/>
  <c r="P153" i="4" s="1"/>
  <c r="D153" i="4"/>
  <c r="C153" i="4"/>
  <c r="T152" i="6"/>
  <c r="Z152" i="4"/>
  <c r="V151" i="3"/>
  <c r="N151" i="3"/>
  <c r="T151" i="3" s="1"/>
  <c r="F153" i="4" l="1"/>
  <c r="O153" i="4" s="1"/>
  <c r="X151" i="3"/>
  <c r="R152" i="3"/>
  <c r="Q152" i="3"/>
  <c r="G152" i="3"/>
  <c r="AA153" i="3" s="1"/>
  <c r="E152" i="3"/>
  <c r="P152" i="3"/>
  <c r="D152" i="3"/>
  <c r="C152" i="3"/>
  <c r="F152" i="3" s="1"/>
  <c r="O152" i="3" s="1"/>
  <c r="Z151" i="3"/>
  <c r="E153" i="6"/>
  <c r="D153" i="6"/>
  <c r="C153" i="6"/>
  <c r="Q153" i="6"/>
  <c r="R153" i="6"/>
  <c r="M153" i="6"/>
  <c r="G153" i="6"/>
  <c r="AA154" i="6" s="1"/>
  <c r="Z152" i="6"/>
  <c r="I150" i="5"/>
  <c r="L150" i="5" s="1"/>
  <c r="H153" i="4"/>
  <c r="P153" i="6" l="1"/>
  <c r="V150" i="5"/>
  <c r="N150" i="5"/>
  <c r="H152" i="3"/>
  <c r="I152" i="3" s="1"/>
  <c r="U152" i="3" s="1"/>
  <c r="F153" i="6"/>
  <c r="H153" i="6" s="1"/>
  <c r="I153" i="4"/>
  <c r="L153" i="4" s="1"/>
  <c r="U150" i="5"/>
  <c r="J150" i="5"/>
  <c r="K150" i="5" s="1"/>
  <c r="W150" i="5" s="1"/>
  <c r="I153" i="6" l="1"/>
  <c r="U153" i="6" s="1"/>
  <c r="U153" i="4"/>
  <c r="J153" i="4"/>
  <c r="L152" i="3"/>
  <c r="X150" i="5"/>
  <c r="Z150" i="5"/>
  <c r="J153" i="6"/>
  <c r="K153" i="6" s="1"/>
  <c r="W153" i="6" s="1"/>
  <c r="O153" i="6"/>
  <c r="L153" i="6"/>
  <c r="V153" i="4"/>
  <c r="N153" i="4"/>
  <c r="J152" i="3"/>
  <c r="K152" i="3" s="1"/>
  <c r="W152" i="3" s="1"/>
  <c r="T150" i="5"/>
  <c r="V153" i="6" l="1"/>
  <c r="N153" i="6"/>
  <c r="T153" i="6" s="1"/>
  <c r="R151" i="5"/>
  <c r="G151" i="5"/>
  <c r="AA152" i="5" s="1"/>
  <c r="Q151" i="5"/>
  <c r="E151" i="5"/>
  <c r="P151" i="5" s="1"/>
  <c r="M151" i="5"/>
  <c r="C151" i="5"/>
  <c r="D151" i="5"/>
  <c r="V152" i="3"/>
  <c r="N152" i="3"/>
  <c r="K153" i="4"/>
  <c r="X153" i="4"/>
  <c r="Z153" i="6"/>
  <c r="F151" i="5" l="1"/>
  <c r="M154" i="6"/>
  <c r="G154" i="6"/>
  <c r="AA155" i="6" s="1"/>
  <c r="E154" i="6"/>
  <c r="D154" i="6"/>
  <c r="Q154" i="6"/>
  <c r="C154" i="6"/>
  <c r="R154" i="6"/>
  <c r="W153" i="4"/>
  <c r="T152" i="3"/>
  <c r="Z152" i="3" s="1"/>
  <c r="X152" i="3"/>
  <c r="H151" i="5"/>
  <c r="T153" i="4"/>
  <c r="X153" i="6"/>
  <c r="E153" i="3" l="1"/>
  <c r="R153" i="3"/>
  <c r="Q153" i="3"/>
  <c r="G153" i="3"/>
  <c r="AA154" i="3" s="1"/>
  <c r="D153" i="3"/>
  <c r="C153" i="3"/>
  <c r="P153" i="3" s="1"/>
  <c r="G154" i="4"/>
  <c r="AA155" i="4" s="1"/>
  <c r="M154" i="4"/>
  <c r="D154" i="4"/>
  <c r="C154" i="4"/>
  <c r="R154" i="4"/>
  <c r="Q154" i="4"/>
  <c r="E154" i="4"/>
  <c r="F154" i="4" s="1"/>
  <c r="P154" i="6"/>
  <c r="I151" i="5"/>
  <c r="U151" i="5" s="1"/>
  <c r="Z153" i="4"/>
  <c r="O151" i="5"/>
  <c r="F154" i="6"/>
  <c r="H154" i="6" s="1"/>
  <c r="F153" i="3" l="1"/>
  <c r="O153" i="3" s="1"/>
  <c r="J151" i="5"/>
  <c r="K151" i="5" s="1"/>
  <c r="W151" i="5" s="1"/>
  <c r="O154" i="4"/>
  <c r="I153" i="3"/>
  <c r="U153" i="3" s="1"/>
  <c r="P154" i="4"/>
  <c r="I154" i="6"/>
  <c r="U154" i="6" s="1"/>
  <c r="O154" i="6"/>
  <c r="H154" i="4"/>
  <c r="I154" i="4"/>
  <c r="U154" i="4" s="1"/>
  <c r="L151" i="5"/>
  <c r="H153" i="3"/>
  <c r="J153" i="3" l="1"/>
  <c r="K153" i="3" s="1"/>
  <c r="W153" i="3" s="1"/>
  <c r="L154" i="6"/>
  <c r="N154" i="6" s="1"/>
  <c r="V151" i="5"/>
  <c r="N151" i="5"/>
  <c r="T151" i="5" s="1"/>
  <c r="Z151" i="5"/>
  <c r="L154" i="4"/>
  <c r="J154" i="4"/>
  <c r="K154" i="4" s="1"/>
  <c r="W154" i="4" s="1"/>
  <c r="V154" i="6"/>
  <c r="J154" i="6"/>
  <c r="K154" i="6" s="1"/>
  <c r="W154" i="6" s="1"/>
  <c r="L153" i="3"/>
  <c r="X154" i="6" l="1"/>
  <c r="V153" i="3"/>
  <c r="N153" i="3"/>
  <c r="V154" i="4"/>
  <c r="N154" i="4"/>
  <c r="T154" i="4" s="1"/>
  <c r="C152" i="5"/>
  <c r="M152" i="5"/>
  <c r="D152" i="5"/>
  <c r="E152" i="5"/>
  <c r="R152" i="5"/>
  <c r="G152" i="5"/>
  <c r="AA153" i="5" s="1"/>
  <c r="Q152" i="5"/>
  <c r="T154" i="6"/>
  <c r="X151" i="5"/>
  <c r="F152" i="5" l="1"/>
  <c r="O152" i="5"/>
  <c r="P152" i="5"/>
  <c r="M155" i="4"/>
  <c r="C155" i="4"/>
  <c r="D155" i="4"/>
  <c r="R155" i="4"/>
  <c r="Q155" i="4"/>
  <c r="G155" i="4"/>
  <c r="AA156" i="4" s="1"/>
  <c r="E155" i="4"/>
  <c r="P155" i="4" s="1"/>
  <c r="E155" i="6"/>
  <c r="R155" i="6"/>
  <c r="G155" i="6"/>
  <c r="AA156" i="6" s="1"/>
  <c r="Q155" i="6"/>
  <c r="D155" i="6"/>
  <c r="M155" i="6"/>
  <c r="C155" i="6"/>
  <c r="Z154" i="6"/>
  <c r="Z154" i="4"/>
  <c r="T153" i="3"/>
  <c r="Z153" i="3" s="1"/>
  <c r="X153" i="3"/>
  <c r="H152" i="5"/>
  <c r="I152" i="5" s="1"/>
  <c r="X154" i="4"/>
  <c r="F155" i="4" l="1"/>
  <c r="P155" i="6"/>
  <c r="O155" i="4"/>
  <c r="U152" i="5"/>
  <c r="J152" i="5"/>
  <c r="K152" i="5" s="1"/>
  <c r="W152" i="5" s="1"/>
  <c r="E154" i="3"/>
  <c r="D154" i="3"/>
  <c r="C154" i="3"/>
  <c r="R154" i="3"/>
  <c r="Q154" i="3"/>
  <c r="G154" i="3"/>
  <c r="AA155" i="3" s="1"/>
  <c r="L152" i="5"/>
  <c r="H155" i="4"/>
  <c r="F155" i="6"/>
  <c r="F154" i="3" l="1"/>
  <c r="P154" i="3"/>
  <c r="H154" i="3"/>
  <c r="O154" i="3"/>
  <c r="H155" i="6"/>
  <c r="I155" i="6" s="1"/>
  <c r="O155" i="6"/>
  <c r="I155" i="4"/>
  <c r="L155" i="4" s="1"/>
  <c r="V152" i="5"/>
  <c r="N152" i="5"/>
  <c r="T152" i="5" s="1"/>
  <c r="Z152" i="5" s="1"/>
  <c r="X152" i="5" l="1"/>
  <c r="U155" i="6"/>
  <c r="J155" i="6"/>
  <c r="K155" i="6" s="1"/>
  <c r="W155" i="6" s="1"/>
  <c r="E153" i="5"/>
  <c r="R153" i="5"/>
  <c r="G153" i="5"/>
  <c r="AA154" i="5" s="1"/>
  <c r="M153" i="5"/>
  <c r="C153" i="5"/>
  <c r="F153" i="5" s="1"/>
  <c r="Q153" i="5"/>
  <c r="D153" i="5"/>
  <c r="I154" i="3"/>
  <c r="V155" i="4"/>
  <c r="N155" i="4"/>
  <c r="U155" i="4"/>
  <c r="J155" i="4"/>
  <c r="L155" i="6"/>
  <c r="P153" i="5" l="1"/>
  <c r="O153" i="5"/>
  <c r="U154" i="3"/>
  <c r="J154" i="3"/>
  <c r="L154" i="3"/>
  <c r="K155" i="4"/>
  <c r="W155" i="4" s="1"/>
  <c r="X155" i="4"/>
  <c r="V155" i="6"/>
  <c r="N155" i="6"/>
  <c r="T155" i="6" s="1"/>
  <c r="Z155" i="6"/>
  <c r="H153" i="5"/>
  <c r="I153" i="5" s="1"/>
  <c r="U153" i="5" s="1"/>
  <c r="X155" i="6" l="1"/>
  <c r="T155" i="4"/>
  <c r="K154" i="3"/>
  <c r="Q156" i="4"/>
  <c r="G156" i="4"/>
  <c r="AA157" i="4" s="1"/>
  <c r="C156" i="4"/>
  <c r="M156" i="4"/>
  <c r="R156" i="4"/>
  <c r="E156" i="4"/>
  <c r="P156" i="4" s="1"/>
  <c r="D156" i="4"/>
  <c r="J153" i="5"/>
  <c r="V154" i="3"/>
  <c r="N154" i="3"/>
  <c r="T154" i="3" s="1"/>
  <c r="L153" i="5"/>
  <c r="R156" i="6"/>
  <c r="M156" i="6"/>
  <c r="C156" i="6"/>
  <c r="G156" i="6"/>
  <c r="AA157" i="6" s="1"/>
  <c r="E156" i="6"/>
  <c r="F156" i="6" s="1"/>
  <c r="D156" i="6"/>
  <c r="H156" i="6" s="1"/>
  <c r="Q156" i="6"/>
  <c r="Z155" i="4"/>
  <c r="I156" i="6" l="1"/>
  <c r="U156" i="6" s="1"/>
  <c r="O156" i="6"/>
  <c r="J156" i="6"/>
  <c r="K156" i="6" s="1"/>
  <c r="L156" i="6"/>
  <c r="V156" i="6" s="1"/>
  <c r="N156" i="6"/>
  <c r="V153" i="5"/>
  <c r="N153" i="5"/>
  <c r="P156" i="6"/>
  <c r="F156" i="4"/>
  <c r="R155" i="3"/>
  <c r="Q155" i="3"/>
  <c r="G155" i="3"/>
  <c r="AA156" i="3" s="1"/>
  <c r="C155" i="3"/>
  <c r="D155" i="3"/>
  <c r="E155" i="3"/>
  <c r="P155" i="3" s="1"/>
  <c r="X154" i="3"/>
  <c r="W154" i="3"/>
  <c r="Z154" i="3"/>
  <c r="K153" i="5"/>
  <c r="W153" i="5" s="1"/>
  <c r="X153" i="5"/>
  <c r="W156" i="6" l="1"/>
  <c r="T153" i="5"/>
  <c r="H156" i="4"/>
  <c r="T156" i="6"/>
  <c r="O156" i="4"/>
  <c r="F155" i="3"/>
  <c r="H155" i="3" s="1"/>
  <c r="X156" i="6"/>
  <c r="R157" i="6" l="1"/>
  <c r="G157" i="6"/>
  <c r="AA158" i="6" s="1"/>
  <c r="Q157" i="6"/>
  <c r="E157" i="6"/>
  <c r="M157" i="6"/>
  <c r="D157" i="6"/>
  <c r="C157" i="6"/>
  <c r="P157" i="6" s="1"/>
  <c r="R154" i="5"/>
  <c r="C154" i="5"/>
  <c r="F154" i="5" s="1"/>
  <c r="O154" i="5" s="1"/>
  <c r="M154" i="5"/>
  <c r="D154" i="5"/>
  <c r="Q154" i="5"/>
  <c r="E154" i="5"/>
  <c r="G154" i="5"/>
  <c r="AA155" i="5" s="1"/>
  <c r="Z153" i="5"/>
  <c r="O155" i="3"/>
  <c r="I156" i="4"/>
  <c r="L156" i="4" s="1"/>
  <c r="Z156" i="6"/>
  <c r="I155" i="3"/>
  <c r="J155" i="3" s="1"/>
  <c r="K155" i="3" s="1"/>
  <c r="W155" i="3" s="1"/>
  <c r="P154" i="5" l="1"/>
  <c r="L155" i="3"/>
  <c r="V156" i="4"/>
  <c r="N156" i="4"/>
  <c r="V155" i="3"/>
  <c r="N155" i="3"/>
  <c r="T155" i="3" s="1"/>
  <c r="F157" i="6"/>
  <c r="U155" i="3"/>
  <c r="U156" i="4"/>
  <c r="J156" i="4"/>
  <c r="H154" i="5"/>
  <c r="Z155" i="3" l="1"/>
  <c r="X155" i="3"/>
  <c r="D156" i="3"/>
  <c r="G156" i="3"/>
  <c r="AA157" i="3" s="1"/>
  <c r="C156" i="3"/>
  <c r="E156" i="3"/>
  <c r="R156" i="3"/>
  <c r="Q156" i="3"/>
  <c r="O157" i="6"/>
  <c r="I154" i="5"/>
  <c r="K156" i="4"/>
  <c r="W156" i="4" s="1"/>
  <c r="X156" i="4"/>
  <c r="H157" i="6"/>
  <c r="F156" i="3" l="1"/>
  <c r="O156" i="3"/>
  <c r="P156" i="3"/>
  <c r="U154" i="5"/>
  <c r="J154" i="5"/>
  <c r="I157" i="6"/>
  <c r="H156" i="3"/>
  <c r="I156" i="3" s="1"/>
  <c r="L154" i="5"/>
  <c r="T156" i="4"/>
  <c r="U156" i="3" l="1"/>
  <c r="J156" i="3"/>
  <c r="K156" i="3" s="1"/>
  <c r="W156" i="3" s="1"/>
  <c r="C157" i="4"/>
  <c r="M157" i="4"/>
  <c r="Q157" i="4"/>
  <c r="D157" i="4"/>
  <c r="R157" i="4"/>
  <c r="G157" i="4"/>
  <c r="AA158" i="4" s="1"/>
  <c r="E157" i="4"/>
  <c r="P157" i="4" s="1"/>
  <c r="Z156" i="4"/>
  <c r="V154" i="5"/>
  <c r="N154" i="5"/>
  <c r="L156" i="3"/>
  <c r="U157" i="6"/>
  <c r="J157" i="6"/>
  <c r="K157" i="6" s="1"/>
  <c r="W157" i="6" s="1"/>
  <c r="L157" i="6"/>
  <c r="K154" i="5"/>
  <c r="W154" i="5" s="1"/>
  <c r="X154" i="5"/>
  <c r="T154" i="5" l="1"/>
  <c r="Z154" i="5"/>
  <c r="V156" i="3"/>
  <c r="N156" i="3"/>
  <c r="V157" i="6"/>
  <c r="N157" i="6"/>
  <c r="T157" i="6" s="1"/>
  <c r="F157" i="4"/>
  <c r="H157" i="4"/>
  <c r="X157" i="6" l="1"/>
  <c r="T156" i="3"/>
  <c r="Z156" i="3"/>
  <c r="X156" i="3"/>
  <c r="O157" i="4"/>
  <c r="J157" i="4"/>
  <c r="K157" i="4" s="1"/>
  <c r="W157" i="4" s="1"/>
  <c r="R155" i="5"/>
  <c r="G155" i="5"/>
  <c r="AA156" i="5" s="1"/>
  <c r="Q155" i="5"/>
  <c r="E155" i="5"/>
  <c r="D155" i="5"/>
  <c r="C155" i="5"/>
  <c r="M155" i="5"/>
  <c r="I157" i="4"/>
  <c r="D158" i="6"/>
  <c r="M158" i="6"/>
  <c r="C158" i="6"/>
  <c r="E158" i="6"/>
  <c r="F158" i="6" s="1"/>
  <c r="R158" i="6"/>
  <c r="G158" i="6"/>
  <c r="AA159" i="6" s="1"/>
  <c r="Q158" i="6"/>
  <c r="Z157" i="6"/>
  <c r="O158" i="6" l="1"/>
  <c r="P155" i="5"/>
  <c r="P158" i="6"/>
  <c r="F155" i="5"/>
  <c r="H155" i="5" s="1"/>
  <c r="H158" i="6"/>
  <c r="I158" i="6" s="1"/>
  <c r="U158" i="6" s="1"/>
  <c r="U157" i="4"/>
  <c r="L157" i="4"/>
  <c r="D157" i="3"/>
  <c r="C157" i="3"/>
  <c r="Q157" i="3"/>
  <c r="G157" i="3"/>
  <c r="AA158" i="3" s="1"/>
  <c r="R157" i="3"/>
  <c r="E157" i="3"/>
  <c r="F157" i="3" l="1"/>
  <c r="O157" i="3" s="1"/>
  <c r="P157" i="3"/>
  <c r="H157" i="3"/>
  <c r="V157" i="4"/>
  <c r="N157" i="4"/>
  <c r="T157" i="4" s="1"/>
  <c r="Z157" i="4" s="1"/>
  <c r="J158" i="6"/>
  <c r="K158" i="6" s="1"/>
  <c r="W158" i="6" s="1"/>
  <c r="L158" i="6"/>
  <c r="I157" i="3"/>
  <c r="L157" i="3" s="1"/>
  <c r="O155" i="5"/>
  <c r="I155" i="5"/>
  <c r="U155" i="5" s="1"/>
  <c r="J155" i="5" l="1"/>
  <c r="K155" i="5" s="1"/>
  <c r="W155" i="5" s="1"/>
  <c r="V157" i="3"/>
  <c r="N157" i="3"/>
  <c r="V158" i="6"/>
  <c r="N158" i="6"/>
  <c r="T158" i="6" s="1"/>
  <c r="X157" i="4"/>
  <c r="L155" i="5"/>
  <c r="M158" i="4"/>
  <c r="C158" i="4"/>
  <c r="Q158" i="4"/>
  <c r="D158" i="4"/>
  <c r="R158" i="4"/>
  <c r="E158" i="4"/>
  <c r="G158" i="4"/>
  <c r="AA159" i="4" s="1"/>
  <c r="U157" i="3"/>
  <c r="J157" i="3"/>
  <c r="X158" i="6"/>
  <c r="Z158" i="6"/>
  <c r="P158" i="4" l="1"/>
  <c r="V155" i="5"/>
  <c r="N155" i="5"/>
  <c r="T155" i="5" s="1"/>
  <c r="X155" i="5"/>
  <c r="K157" i="3"/>
  <c r="W157" i="3" s="1"/>
  <c r="Q159" i="6"/>
  <c r="G159" i="6"/>
  <c r="AA160" i="6" s="1"/>
  <c r="R159" i="6"/>
  <c r="M159" i="6"/>
  <c r="E159" i="6"/>
  <c r="P159" i="6" s="1"/>
  <c r="D159" i="6"/>
  <c r="C159" i="6"/>
  <c r="F158" i="4"/>
  <c r="H158" i="4"/>
  <c r="X157" i="3" l="1"/>
  <c r="T157" i="3"/>
  <c r="Q158" i="3" s="1"/>
  <c r="G158" i="3"/>
  <c r="AA159" i="3" s="1"/>
  <c r="E158" i="3"/>
  <c r="P158" i="3" s="1"/>
  <c r="R158" i="3"/>
  <c r="C158" i="3"/>
  <c r="D158" i="3"/>
  <c r="J158" i="4"/>
  <c r="K158" i="4" s="1"/>
  <c r="W158" i="4" s="1"/>
  <c r="I158" i="4"/>
  <c r="U158" i="4" s="1"/>
  <c r="O158" i="4"/>
  <c r="F159" i="6"/>
  <c r="Z155" i="5"/>
  <c r="D156" i="5"/>
  <c r="C156" i="5"/>
  <c r="M156" i="5"/>
  <c r="E156" i="5"/>
  <c r="P156" i="5" s="1"/>
  <c r="Q156" i="5"/>
  <c r="R156" i="5"/>
  <c r="G156" i="5"/>
  <c r="AA157" i="5" s="1"/>
  <c r="Z157" i="3" l="1"/>
  <c r="L158" i="4"/>
  <c r="V158" i="4" s="1"/>
  <c r="F158" i="3"/>
  <c r="N158" i="4"/>
  <c r="T158" i="4" s="1"/>
  <c r="H159" i="6"/>
  <c r="I159" i="6" s="1"/>
  <c r="U159" i="6" s="1"/>
  <c r="O159" i="6"/>
  <c r="F156" i="5"/>
  <c r="H156" i="5"/>
  <c r="L159" i="6" l="1"/>
  <c r="E159" i="4"/>
  <c r="R159" i="4"/>
  <c r="Q159" i="4"/>
  <c r="M159" i="4"/>
  <c r="C159" i="4"/>
  <c r="P159" i="4" s="1"/>
  <c r="G159" i="4"/>
  <c r="AA160" i="4" s="1"/>
  <c r="D159" i="4"/>
  <c r="O156" i="5"/>
  <c r="O158" i="3"/>
  <c r="Z158" i="4"/>
  <c r="X158" i="4"/>
  <c r="H158" i="3"/>
  <c r="J159" i="6"/>
  <c r="K159" i="6" s="1"/>
  <c r="W159" i="6" s="1"/>
  <c r="I156" i="5"/>
  <c r="J156" i="5" s="1"/>
  <c r="K156" i="5" s="1"/>
  <c r="W156" i="5" s="1"/>
  <c r="F159" i="4" l="1"/>
  <c r="I158" i="3"/>
  <c r="L158" i="3" s="1"/>
  <c r="O159" i="4"/>
  <c r="L156" i="5"/>
  <c r="H159" i="4"/>
  <c r="I159" i="4" s="1"/>
  <c r="U156" i="5"/>
  <c r="V159" i="6"/>
  <c r="N159" i="6"/>
  <c r="U159" i="4" l="1"/>
  <c r="J159" i="4"/>
  <c r="K159" i="4" s="1"/>
  <c r="W159" i="4" s="1"/>
  <c r="V158" i="3"/>
  <c r="N158" i="3"/>
  <c r="T158" i="3" s="1"/>
  <c r="Z158" i="3" s="1"/>
  <c r="L159" i="4"/>
  <c r="V156" i="5"/>
  <c r="N156" i="5"/>
  <c r="T156" i="5" s="1"/>
  <c r="T159" i="6"/>
  <c r="X159" i="6"/>
  <c r="U158" i="3"/>
  <c r="J158" i="3"/>
  <c r="K158" i="3" s="1"/>
  <c r="W158" i="3" s="1"/>
  <c r="X158" i="3"/>
  <c r="X156" i="5" l="1"/>
  <c r="D160" i="6"/>
  <c r="C160" i="6"/>
  <c r="M160" i="6"/>
  <c r="E160" i="6"/>
  <c r="P160" i="6" s="1"/>
  <c r="G160" i="6"/>
  <c r="AA161" i="6" s="1"/>
  <c r="Q160" i="6"/>
  <c r="R160" i="6"/>
  <c r="Z159" i="6"/>
  <c r="Q157" i="5"/>
  <c r="G157" i="5"/>
  <c r="AA158" i="5" s="1"/>
  <c r="D157" i="5"/>
  <c r="C157" i="5"/>
  <c r="R157" i="5"/>
  <c r="E157" i="5"/>
  <c r="M157" i="5"/>
  <c r="F157" i="5"/>
  <c r="V159" i="4"/>
  <c r="N159" i="4"/>
  <c r="T159" i="4" s="1"/>
  <c r="R159" i="3"/>
  <c r="C159" i="3"/>
  <c r="F159" i="3" s="1"/>
  <c r="E159" i="3"/>
  <c r="Q159" i="3"/>
  <c r="D159" i="3"/>
  <c r="G159" i="3"/>
  <c r="AA160" i="3" s="1"/>
  <c r="Z156" i="5"/>
  <c r="P159" i="3" l="1"/>
  <c r="O159" i="3"/>
  <c r="H159" i="3"/>
  <c r="R160" i="4"/>
  <c r="Q160" i="4"/>
  <c r="G160" i="4"/>
  <c r="AA161" i="4" s="1"/>
  <c r="D160" i="4"/>
  <c r="C160" i="4"/>
  <c r="E160" i="4"/>
  <c r="M160" i="4"/>
  <c r="H157" i="5"/>
  <c r="X159" i="4"/>
  <c r="P157" i="5"/>
  <c r="I157" i="5"/>
  <c r="U157" i="5" s="1"/>
  <c r="O157" i="5"/>
  <c r="F160" i="6"/>
  <c r="Z159" i="4"/>
  <c r="F160" i="4" l="1"/>
  <c r="O160" i="4" s="1"/>
  <c r="P160" i="4"/>
  <c r="J157" i="5"/>
  <c r="K157" i="5" s="1"/>
  <c r="W157" i="5" s="1"/>
  <c r="I159" i="3"/>
  <c r="L157" i="5"/>
  <c r="H160" i="4"/>
  <c r="I160" i="4" s="1"/>
  <c r="O160" i="6"/>
  <c r="L159" i="3"/>
  <c r="H160" i="6"/>
  <c r="U160" i="4" l="1"/>
  <c r="J160" i="4"/>
  <c r="V157" i="5"/>
  <c r="N157" i="5"/>
  <c r="T157" i="5" s="1"/>
  <c r="K160" i="4"/>
  <c r="W160" i="4" s="1"/>
  <c r="Z157" i="5"/>
  <c r="V159" i="3"/>
  <c r="N159" i="3"/>
  <c r="U159" i="3"/>
  <c r="J159" i="3"/>
  <c r="K159" i="3" s="1"/>
  <c r="W159" i="3" s="1"/>
  <c r="L160" i="4"/>
  <c r="I160" i="6"/>
  <c r="T159" i="3" l="1"/>
  <c r="X157" i="5"/>
  <c r="X159" i="3"/>
  <c r="C160" i="3"/>
  <c r="G160" i="3"/>
  <c r="AA161" i="3" s="1"/>
  <c r="E160" i="3"/>
  <c r="F160" i="3" s="1"/>
  <c r="D160" i="3"/>
  <c r="R160" i="3"/>
  <c r="Q160" i="3"/>
  <c r="U160" i="6"/>
  <c r="J160" i="6"/>
  <c r="V160" i="4"/>
  <c r="N160" i="4"/>
  <c r="T160" i="4" s="1"/>
  <c r="L160" i="6"/>
  <c r="Z159" i="3"/>
  <c r="E158" i="5"/>
  <c r="D158" i="5"/>
  <c r="C158" i="5"/>
  <c r="Q158" i="5"/>
  <c r="M158" i="5"/>
  <c r="R158" i="5"/>
  <c r="G158" i="5"/>
  <c r="AA159" i="5" s="1"/>
  <c r="F158" i="5" l="1"/>
  <c r="O158" i="5" s="1"/>
  <c r="O160" i="3"/>
  <c r="H160" i="3"/>
  <c r="E161" i="4"/>
  <c r="R161" i="4"/>
  <c r="D161" i="4"/>
  <c r="G161" i="4"/>
  <c r="AA162" i="4" s="1"/>
  <c r="C161" i="4"/>
  <c r="Q161" i="4"/>
  <c r="M161" i="4"/>
  <c r="K160" i="6"/>
  <c r="W160" i="6" s="1"/>
  <c r="P160" i="3"/>
  <c r="P158" i="5"/>
  <c r="X160" i="4"/>
  <c r="V160" i="6"/>
  <c r="N160" i="6"/>
  <c r="H158" i="5"/>
  <c r="Z160" i="4"/>
  <c r="F161" i="4" l="1"/>
  <c r="O161" i="4" s="1"/>
  <c r="I160" i="3"/>
  <c r="H161" i="4"/>
  <c r="P161" i="4"/>
  <c r="T160" i="6"/>
  <c r="X160" i="6"/>
  <c r="I158" i="5"/>
  <c r="U158" i="5" l="1"/>
  <c r="J158" i="5"/>
  <c r="K158" i="5" s="1"/>
  <c r="W158" i="5" s="1"/>
  <c r="I161" i="4"/>
  <c r="U160" i="3"/>
  <c r="J160" i="3"/>
  <c r="K160" i="3" s="1"/>
  <c r="W160" i="3" s="1"/>
  <c r="M161" i="6"/>
  <c r="C161" i="6"/>
  <c r="P161" i="6"/>
  <c r="Q161" i="6"/>
  <c r="R161" i="6"/>
  <c r="G161" i="6"/>
  <c r="AA162" i="6" s="1"/>
  <c r="E161" i="6"/>
  <c r="D161" i="6"/>
  <c r="Z160" i="6"/>
  <c r="L158" i="5"/>
  <c r="L160" i="3"/>
  <c r="F161" i="6" l="1"/>
  <c r="O161" i="6"/>
  <c r="V158" i="5"/>
  <c r="N158" i="5"/>
  <c r="T158" i="5" s="1"/>
  <c r="Z158" i="5"/>
  <c r="X158" i="5"/>
  <c r="H161" i="6"/>
  <c r="U161" i="4"/>
  <c r="J161" i="4"/>
  <c r="V160" i="3"/>
  <c r="N160" i="3"/>
  <c r="X160" i="3"/>
  <c r="L161" i="4"/>
  <c r="V161" i="4" l="1"/>
  <c r="N161" i="4"/>
  <c r="T160" i="3"/>
  <c r="Z160" i="3"/>
  <c r="M159" i="5"/>
  <c r="C159" i="5"/>
  <c r="D159" i="5"/>
  <c r="R159" i="5"/>
  <c r="Q159" i="5"/>
  <c r="E159" i="5"/>
  <c r="P159" i="5" s="1"/>
  <c r="G159" i="5"/>
  <c r="AA160" i="5" s="1"/>
  <c r="K161" i="4"/>
  <c r="I161" i="6"/>
  <c r="U161" i="6" l="1"/>
  <c r="J161" i="6"/>
  <c r="K161" i="6" s="1"/>
  <c r="W161" i="6" s="1"/>
  <c r="E161" i="3"/>
  <c r="D161" i="3"/>
  <c r="Q161" i="3"/>
  <c r="R161" i="3"/>
  <c r="G161" i="3"/>
  <c r="AA162" i="3" s="1"/>
  <c r="C161" i="3"/>
  <c r="T161" i="4"/>
  <c r="F159" i="5"/>
  <c r="W161" i="4"/>
  <c r="X161" i="4"/>
  <c r="L161" i="6"/>
  <c r="P161" i="3" l="1"/>
  <c r="V161" i="6"/>
  <c r="N161" i="6"/>
  <c r="T161" i="6" s="1"/>
  <c r="F161" i="3"/>
  <c r="Z161" i="6"/>
  <c r="X161" i="6"/>
  <c r="H159" i="5"/>
  <c r="O159" i="5"/>
  <c r="D162" i="4"/>
  <c r="M162" i="4"/>
  <c r="C162" i="4"/>
  <c r="E162" i="4"/>
  <c r="R162" i="4"/>
  <c r="Q162" i="4"/>
  <c r="P162" i="4"/>
  <c r="G162" i="4"/>
  <c r="AA163" i="4" s="1"/>
  <c r="F162" i="4"/>
  <c r="Z161" i="4"/>
  <c r="I159" i="5"/>
  <c r="U159" i="5" s="1"/>
  <c r="H162" i="4" l="1"/>
  <c r="I162" i="4" s="1"/>
  <c r="J162" i="4" s="1"/>
  <c r="K162" i="4" s="1"/>
  <c r="W162" i="4" s="1"/>
  <c r="L162" i="4"/>
  <c r="L159" i="5"/>
  <c r="O162" i="4"/>
  <c r="O161" i="3"/>
  <c r="H161" i="3"/>
  <c r="I161" i="3" s="1"/>
  <c r="U161" i="3" s="1"/>
  <c r="J159" i="5"/>
  <c r="K159" i="5" s="1"/>
  <c r="W159" i="5" s="1"/>
  <c r="Q162" i="6"/>
  <c r="E162" i="6"/>
  <c r="D162" i="6"/>
  <c r="C162" i="6"/>
  <c r="R162" i="6"/>
  <c r="G162" i="6"/>
  <c r="AA163" i="6" s="1"/>
  <c r="M162" i="6"/>
  <c r="U162" i="4" l="1"/>
  <c r="F162" i="6"/>
  <c r="O162" i="6"/>
  <c r="L161" i="3"/>
  <c r="H162" i="6"/>
  <c r="I162" i="6" s="1"/>
  <c r="P162" i="6"/>
  <c r="V162" i="4"/>
  <c r="N162" i="4"/>
  <c r="J161" i="3"/>
  <c r="K161" i="3" s="1"/>
  <c r="W161" i="3" s="1"/>
  <c r="V159" i="5"/>
  <c r="N159" i="5"/>
  <c r="U162" i="6" l="1"/>
  <c r="J162" i="6"/>
  <c r="K162" i="6" s="1"/>
  <c r="W162" i="6" s="1"/>
  <c r="T159" i="5"/>
  <c r="X159" i="5"/>
  <c r="L162" i="6"/>
  <c r="V161" i="3"/>
  <c r="N161" i="3"/>
  <c r="X161" i="3" s="1"/>
  <c r="T162" i="4"/>
  <c r="Z162" i="4"/>
  <c r="X162" i="4"/>
  <c r="T161" i="3" l="1"/>
  <c r="Z161" i="3"/>
  <c r="R160" i="5"/>
  <c r="G160" i="5"/>
  <c r="AA161" i="5" s="1"/>
  <c r="Q160" i="5"/>
  <c r="E160" i="5"/>
  <c r="D160" i="5"/>
  <c r="M160" i="5"/>
  <c r="C160" i="5"/>
  <c r="V162" i="6"/>
  <c r="N162" i="6"/>
  <c r="T162" i="6" s="1"/>
  <c r="Z159" i="5"/>
  <c r="Q163" i="4"/>
  <c r="G163" i="4"/>
  <c r="AA164" i="4" s="1"/>
  <c r="R163" i="4"/>
  <c r="M163" i="4"/>
  <c r="E163" i="4"/>
  <c r="P163" i="4" s="1"/>
  <c r="D163" i="4"/>
  <c r="C163" i="4"/>
  <c r="F163" i="4" l="1"/>
  <c r="O163" i="4" s="1"/>
  <c r="P160" i="5"/>
  <c r="H163" i="4"/>
  <c r="F160" i="5"/>
  <c r="M163" i="6"/>
  <c r="G163" i="6"/>
  <c r="AA164" i="6" s="1"/>
  <c r="R163" i="6"/>
  <c r="Q163" i="6"/>
  <c r="E163" i="6"/>
  <c r="D163" i="6"/>
  <c r="C163" i="6"/>
  <c r="Z162" i="6"/>
  <c r="R162" i="3"/>
  <c r="Q162" i="3"/>
  <c r="G162" i="3"/>
  <c r="AA163" i="3" s="1"/>
  <c r="C162" i="3"/>
  <c r="D162" i="3"/>
  <c r="E162" i="3"/>
  <c r="P162" i="3" s="1"/>
  <c r="X162" i="6"/>
  <c r="P163" i="6" l="1"/>
  <c r="O160" i="5"/>
  <c r="H160" i="5"/>
  <c r="I163" i="4"/>
  <c r="L163" i="4" s="1"/>
  <c r="F162" i="3"/>
  <c r="F163" i="6"/>
  <c r="H163" i="6" s="1"/>
  <c r="V163" i="4" l="1"/>
  <c r="N163" i="4"/>
  <c r="I160" i="5"/>
  <c r="O163" i="6"/>
  <c r="I163" i="6"/>
  <c r="U163" i="6" s="1"/>
  <c r="O162" i="3"/>
  <c r="H162" i="3"/>
  <c r="I162" i="3" s="1"/>
  <c r="U162" i="3" s="1"/>
  <c r="U163" i="4"/>
  <c r="J163" i="4"/>
  <c r="K163" i="4" s="1"/>
  <c r="W163" i="4" s="1"/>
  <c r="L163" i="6" l="1"/>
  <c r="J163" i="6"/>
  <c r="K163" i="6" s="1"/>
  <c r="W163" i="6" s="1"/>
  <c r="U160" i="5"/>
  <c r="J160" i="5"/>
  <c r="L160" i="5"/>
  <c r="J162" i="3"/>
  <c r="K162" i="3" s="1"/>
  <c r="W162" i="3" s="1"/>
  <c r="T163" i="4"/>
  <c r="L162" i="3"/>
  <c r="V163" i="6"/>
  <c r="N163" i="6"/>
  <c r="X163" i="4"/>
  <c r="T163" i="6" l="1"/>
  <c r="Z163" i="6" s="1"/>
  <c r="V160" i="5"/>
  <c r="N160" i="5"/>
  <c r="V162" i="3"/>
  <c r="N162" i="3"/>
  <c r="Q164" i="4"/>
  <c r="C164" i="4"/>
  <c r="G164" i="4"/>
  <c r="AA165" i="4" s="1"/>
  <c r="E164" i="4"/>
  <c r="D164" i="4"/>
  <c r="R164" i="4"/>
  <c r="M164" i="4"/>
  <c r="Z163" i="4"/>
  <c r="K160" i="5"/>
  <c r="W160" i="5" s="1"/>
  <c r="X160" i="5"/>
  <c r="X162" i="3"/>
  <c r="R164" i="6"/>
  <c r="G164" i="6"/>
  <c r="AA165" i="6" s="1"/>
  <c r="Q164" i="6"/>
  <c r="E164" i="6"/>
  <c r="P164" i="6" s="1"/>
  <c r="D164" i="6"/>
  <c r="C164" i="6"/>
  <c r="M164" i="6"/>
  <c r="X163" i="6"/>
  <c r="F164" i="4" l="1"/>
  <c r="F164" i="6"/>
  <c r="H164" i="6" s="1"/>
  <c r="I164" i="6" s="1"/>
  <c r="U164" i="6" s="1"/>
  <c r="O164" i="4"/>
  <c r="H164" i="4"/>
  <c r="P164" i="4"/>
  <c r="O164" i="6"/>
  <c r="T162" i="3"/>
  <c r="Z162" i="3"/>
  <c r="T160" i="5"/>
  <c r="L164" i="6" l="1"/>
  <c r="J164" i="6"/>
  <c r="M161" i="5"/>
  <c r="C161" i="5"/>
  <c r="D161" i="5"/>
  <c r="R161" i="5"/>
  <c r="Q161" i="5"/>
  <c r="E161" i="5"/>
  <c r="P161" i="5"/>
  <c r="G161" i="5"/>
  <c r="AA162" i="5" s="1"/>
  <c r="Z160" i="5"/>
  <c r="E163" i="3"/>
  <c r="D163" i="3"/>
  <c r="R163" i="3"/>
  <c r="C163" i="3"/>
  <c r="F163" i="3" s="1"/>
  <c r="G163" i="3"/>
  <c r="AA164" i="3" s="1"/>
  <c r="Q163" i="3"/>
  <c r="I164" i="4"/>
  <c r="P163" i="3" l="1"/>
  <c r="U164" i="4"/>
  <c r="J164" i="4"/>
  <c r="K164" i="4" s="1"/>
  <c r="W164" i="4" s="1"/>
  <c r="K164" i="6"/>
  <c r="L164" i="4"/>
  <c r="O163" i="3"/>
  <c r="H163" i="3"/>
  <c r="F161" i="5"/>
  <c r="V164" i="6"/>
  <c r="N164" i="6"/>
  <c r="X164" i="6" l="1"/>
  <c r="T164" i="6"/>
  <c r="W164" i="6"/>
  <c r="Z164" i="6"/>
  <c r="H161" i="5"/>
  <c r="O161" i="5"/>
  <c r="V164" i="4"/>
  <c r="N164" i="4"/>
  <c r="T164" i="4" s="1"/>
  <c r="I163" i="3"/>
  <c r="M165" i="4" l="1"/>
  <c r="C165" i="4"/>
  <c r="D165" i="4"/>
  <c r="E165" i="4"/>
  <c r="R165" i="4"/>
  <c r="Q165" i="4"/>
  <c r="G165" i="4"/>
  <c r="AA166" i="4" s="1"/>
  <c r="P165" i="4"/>
  <c r="U163" i="3"/>
  <c r="J163" i="3"/>
  <c r="K163" i="3" s="1"/>
  <c r="W163" i="3" s="1"/>
  <c r="L163" i="3"/>
  <c r="Z164" i="4"/>
  <c r="I161" i="5"/>
  <c r="L161" i="5" s="1"/>
  <c r="X164" i="4"/>
  <c r="E165" i="6"/>
  <c r="P165" i="6" s="1"/>
  <c r="M165" i="6"/>
  <c r="C165" i="6"/>
  <c r="Q165" i="6"/>
  <c r="D165" i="6"/>
  <c r="R165" i="6"/>
  <c r="G165" i="6"/>
  <c r="AA166" i="6" s="1"/>
  <c r="U161" i="5" l="1"/>
  <c r="J161" i="5"/>
  <c r="V161" i="5"/>
  <c r="N161" i="5"/>
  <c r="V163" i="3"/>
  <c r="N163" i="3"/>
  <c r="T163" i="3" s="1"/>
  <c r="F165" i="6"/>
  <c r="X163" i="3"/>
  <c r="F165" i="4"/>
  <c r="Z163" i="3" l="1"/>
  <c r="H165" i="6"/>
  <c r="I165" i="6"/>
  <c r="U165" i="6" s="1"/>
  <c r="J165" i="6"/>
  <c r="K165" i="6" s="1"/>
  <c r="W165" i="6" s="1"/>
  <c r="O165" i="6"/>
  <c r="K161" i="5"/>
  <c r="O165" i="4"/>
  <c r="E164" i="3"/>
  <c r="P164" i="3" s="1"/>
  <c r="D164" i="3"/>
  <c r="C164" i="3"/>
  <c r="R164" i="3"/>
  <c r="G164" i="3"/>
  <c r="AA165" i="3" s="1"/>
  <c r="Q164" i="3"/>
  <c r="H165" i="4"/>
  <c r="F164" i="3" l="1"/>
  <c r="O164" i="3" s="1"/>
  <c r="H164" i="3"/>
  <c r="I164" i="3" s="1"/>
  <c r="U164" i="3" s="1"/>
  <c r="W161" i="5"/>
  <c r="X161" i="5"/>
  <c r="L165" i="6"/>
  <c r="T161" i="5"/>
  <c r="I165" i="4"/>
  <c r="U165" i="4" l="1"/>
  <c r="J165" i="4"/>
  <c r="K165" i="4" s="1"/>
  <c r="W165" i="4" s="1"/>
  <c r="J164" i="3"/>
  <c r="K164" i="3" s="1"/>
  <c r="W164" i="3" s="1"/>
  <c r="L165" i="4"/>
  <c r="R162" i="5"/>
  <c r="G162" i="5"/>
  <c r="AA163" i="5" s="1"/>
  <c r="Q162" i="5"/>
  <c r="E162" i="5"/>
  <c r="P162" i="5" s="1"/>
  <c r="M162" i="5"/>
  <c r="D162" i="5"/>
  <c r="C162" i="5"/>
  <c r="Z161" i="5"/>
  <c r="L164" i="3"/>
  <c r="V165" i="6"/>
  <c r="N165" i="6"/>
  <c r="T165" i="6" l="1"/>
  <c r="Z165" i="6"/>
  <c r="X165" i="6"/>
  <c r="V165" i="4"/>
  <c r="N165" i="4"/>
  <c r="T165" i="4" s="1"/>
  <c r="X165" i="4"/>
  <c r="F162" i="5"/>
  <c r="V164" i="3"/>
  <c r="N164" i="3"/>
  <c r="O162" i="5" l="1"/>
  <c r="E166" i="4"/>
  <c r="Q166" i="4"/>
  <c r="G166" i="4"/>
  <c r="AA167" i="4" s="1"/>
  <c r="M166" i="4"/>
  <c r="D166" i="4"/>
  <c r="C166" i="4"/>
  <c r="R166" i="4"/>
  <c r="Z165" i="4"/>
  <c r="R166" i="6"/>
  <c r="G166" i="6"/>
  <c r="AA167" i="6" s="1"/>
  <c r="Q166" i="6"/>
  <c r="D166" i="6"/>
  <c r="C166" i="6"/>
  <c r="E166" i="6"/>
  <c r="P166" i="6" s="1"/>
  <c r="M166" i="6"/>
  <c r="T164" i="3"/>
  <c r="X164" i="3"/>
  <c r="H162" i="5"/>
  <c r="I162" i="5" s="1"/>
  <c r="U162" i="5" s="1"/>
  <c r="F166" i="6" l="1"/>
  <c r="O166" i="6" s="1"/>
  <c r="P166" i="4"/>
  <c r="F166" i="4"/>
  <c r="H166" i="4"/>
  <c r="J162" i="5"/>
  <c r="K162" i="5" s="1"/>
  <c r="W162" i="5" s="1"/>
  <c r="H166" i="6"/>
  <c r="L162" i="5"/>
  <c r="R165" i="3"/>
  <c r="Q165" i="3"/>
  <c r="G165" i="3"/>
  <c r="AA166" i="3" s="1"/>
  <c r="E165" i="3"/>
  <c r="P165" i="3" s="1"/>
  <c r="D165" i="3"/>
  <c r="C165" i="3"/>
  <c r="F165" i="3" s="1"/>
  <c r="O165" i="3" s="1"/>
  <c r="Z164" i="3"/>
  <c r="V162" i="5" l="1"/>
  <c r="N162" i="5"/>
  <c r="T162" i="5" s="1"/>
  <c r="O166" i="4"/>
  <c r="I166" i="6"/>
  <c r="L166" i="6" s="1"/>
  <c r="H165" i="3"/>
  <c r="I166" i="4"/>
  <c r="U166" i="4" s="1"/>
  <c r="X162" i="5"/>
  <c r="Z162" i="5"/>
  <c r="J166" i="4" l="1"/>
  <c r="K166" i="4" s="1"/>
  <c r="W166" i="4" s="1"/>
  <c r="L166" i="4"/>
  <c r="U166" i="6"/>
  <c r="J166" i="6"/>
  <c r="I165" i="3"/>
  <c r="V166" i="6"/>
  <c r="N166" i="6"/>
  <c r="E163" i="5"/>
  <c r="P163" i="5" s="1"/>
  <c r="C163" i="5"/>
  <c r="F163" i="5" s="1"/>
  <c r="M163" i="5"/>
  <c r="D163" i="5"/>
  <c r="R163" i="5"/>
  <c r="Q163" i="5"/>
  <c r="G163" i="5"/>
  <c r="AA164" i="5" s="1"/>
  <c r="K166" i="6" l="1"/>
  <c r="X166" i="6"/>
  <c r="O163" i="5"/>
  <c r="H163" i="5"/>
  <c r="I163" i="5" s="1"/>
  <c r="T166" i="6"/>
  <c r="U165" i="3"/>
  <c r="J165" i="3"/>
  <c r="L165" i="3"/>
  <c r="V166" i="4"/>
  <c r="N166" i="4"/>
  <c r="U163" i="5" l="1"/>
  <c r="J163" i="5"/>
  <c r="K163" i="5" s="1"/>
  <c r="W163" i="5" s="1"/>
  <c r="C167" i="6"/>
  <c r="M167" i="6"/>
  <c r="D167" i="6"/>
  <c r="G167" i="6"/>
  <c r="AA168" i="6" s="1"/>
  <c r="R167" i="6"/>
  <c r="Q167" i="6"/>
  <c r="E167" i="6"/>
  <c r="P167" i="6" s="1"/>
  <c r="T166" i="4"/>
  <c r="Z166" i="4" s="1"/>
  <c r="X166" i="4"/>
  <c r="L163" i="5"/>
  <c r="V165" i="3"/>
  <c r="N165" i="3"/>
  <c r="W166" i="6"/>
  <c r="Z166" i="6"/>
  <c r="K165" i="3"/>
  <c r="V163" i="5" l="1"/>
  <c r="N163" i="5"/>
  <c r="T165" i="3"/>
  <c r="W165" i="3"/>
  <c r="Z165" i="3"/>
  <c r="F167" i="6"/>
  <c r="X165" i="3"/>
  <c r="R167" i="4"/>
  <c r="G167" i="4"/>
  <c r="AA168" i="4" s="1"/>
  <c r="C167" i="4"/>
  <c r="F167" i="4" s="1"/>
  <c r="Q167" i="4"/>
  <c r="M167" i="4"/>
  <c r="E167" i="4"/>
  <c r="D167" i="4"/>
  <c r="P167" i="4" l="1"/>
  <c r="O167" i="4"/>
  <c r="O167" i="6"/>
  <c r="H167" i="4"/>
  <c r="D166" i="3"/>
  <c r="Q166" i="3"/>
  <c r="E166" i="3"/>
  <c r="C166" i="3"/>
  <c r="R166" i="3"/>
  <c r="G166" i="3"/>
  <c r="AA167" i="3" s="1"/>
  <c r="T163" i="5"/>
  <c r="X163" i="5"/>
  <c r="H167" i="6"/>
  <c r="P166" i="3" l="1"/>
  <c r="R164" i="5"/>
  <c r="G164" i="5"/>
  <c r="AA165" i="5" s="1"/>
  <c r="Q164" i="5"/>
  <c r="E164" i="5"/>
  <c r="D164" i="5"/>
  <c r="C164" i="5"/>
  <c r="F164" i="5" s="1"/>
  <c r="P164" i="5"/>
  <c r="M164" i="5"/>
  <c r="Z163" i="5"/>
  <c r="F166" i="3"/>
  <c r="H166" i="3"/>
  <c r="I167" i="4"/>
  <c r="I167" i="6"/>
  <c r="L167" i="6" s="1"/>
  <c r="V167" i="6" l="1"/>
  <c r="N167" i="6"/>
  <c r="O164" i="5"/>
  <c r="U167" i="6"/>
  <c r="J167" i="6"/>
  <c r="K167" i="6" s="1"/>
  <c r="W167" i="6" s="1"/>
  <c r="U167" i="4"/>
  <c r="J167" i="4"/>
  <c r="H164" i="5"/>
  <c r="I164" i="5" s="1"/>
  <c r="O166" i="3"/>
  <c r="L167" i="4"/>
  <c r="I166" i="3"/>
  <c r="L166" i="3" s="1"/>
  <c r="V166" i="3" l="1"/>
  <c r="N166" i="3"/>
  <c r="K167" i="4"/>
  <c r="W167" i="4" s="1"/>
  <c r="X167" i="4"/>
  <c r="X167" i="6"/>
  <c r="U166" i="3"/>
  <c r="U164" i="5"/>
  <c r="J164" i="5"/>
  <c r="K164" i="5" s="1"/>
  <c r="W164" i="5" s="1"/>
  <c r="T167" i="6"/>
  <c r="Z167" i="6" s="1"/>
  <c r="V167" i="4"/>
  <c r="N167" i="4"/>
  <c r="J166" i="3"/>
  <c r="K166" i="3" s="1"/>
  <c r="W166" i="3" s="1"/>
  <c r="X166" i="3"/>
  <c r="L164" i="5"/>
  <c r="T167" i="4" l="1"/>
  <c r="Z167" i="4" s="1"/>
  <c r="V164" i="5"/>
  <c r="N164" i="5"/>
  <c r="T164" i="5" s="1"/>
  <c r="T166" i="3"/>
  <c r="M168" i="4"/>
  <c r="C168" i="4"/>
  <c r="R168" i="4"/>
  <c r="Q168" i="4"/>
  <c r="G168" i="4"/>
  <c r="AA169" i="4" s="1"/>
  <c r="E168" i="4"/>
  <c r="P168" i="4" s="1"/>
  <c r="D168" i="4"/>
  <c r="D168" i="6"/>
  <c r="R168" i="6"/>
  <c r="G168" i="6"/>
  <c r="AA169" i="6" s="1"/>
  <c r="Q168" i="6"/>
  <c r="M168" i="6"/>
  <c r="E168" i="6"/>
  <c r="P168" i="6" s="1"/>
  <c r="C168" i="6"/>
  <c r="Z164" i="5"/>
  <c r="X164" i="5"/>
  <c r="F168" i="4" l="1"/>
  <c r="O168" i="4"/>
  <c r="C165" i="5"/>
  <c r="M165" i="5"/>
  <c r="D165" i="5"/>
  <c r="R165" i="5"/>
  <c r="Q165" i="5"/>
  <c r="G165" i="5"/>
  <c r="AA166" i="5" s="1"/>
  <c r="E165" i="5"/>
  <c r="P165" i="5" s="1"/>
  <c r="H168" i="4"/>
  <c r="F168" i="6"/>
  <c r="H168" i="6"/>
  <c r="D167" i="3"/>
  <c r="C167" i="3"/>
  <c r="Q167" i="3"/>
  <c r="G167" i="3"/>
  <c r="AA168" i="3" s="1"/>
  <c r="E167" i="3"/>
  <c r="P167" i="3" s="1"/>
  <c r="R167" i="3"/>
  <c r="Z166" i="3"/>
  <c r="F167" i="3" l="1"/>
  <c r="O168" i="6"/>
  <c r="I168" i="6"/>
  <c r="U168" i="6" s="1"/>
  <c r="J168" i="6"/>
  <c r="K168" i="6" s="1"/>
  <c r="W168" i="6" s="1"/>
  <c r="F165" i="5"/>
  <c r="I168" i="4"/>
  <c r="L168" i="6" l="1"/>
  <c r="U168" i="4"/>
  <c r="J168" i="4"/>
  <c r="K168" i="4" s="1"/>
  <c r="W168" i="4" s="1"/>
  <c r="L168" i="4"/>
  <c r="H165" i="5"/>
  <c r="O165" i="5"/>
  <c r="O167" i="3"/>
  <c r="H167" i="3"/>
  <c r="V168" i="4" l="1"/>
  <c r="N168" i="4"/>
  <c r="T168" i="4" s="1"/>
  <c r="Z168" i="4" s="1"/>
  <c r="I167" i="3"/>
  <c r="V168" i="6"/>
  <c r="N168" i="6"/>
  <c r="I165" i="5"/>
  <c r="X168" i="6"/>
  <c r="T168" i="6" l="1"/>
  <c r="Z168" i="6"/>
  <c r="L165" i="5"/>
  <c r="U167" i="3"/>
  <c r="J167" i="3"/>
  <c r="K167" i="3" s="1"/>
  <c r="W167" i="3" s="1"/>
  <c r="L167" i="3"/>
  <c r="E169" i="4"/>
  <c r="D169" i="4"/>
  <c r="Q169" i="4"/>
  <c r="R169" i="4"/>
  <c r="M169" i="4"/>
  <c r="G169" i="4"/>
  <c r="AA170" i="4" s="1"/>
  <c r="C169" i="4"/>
  <c r="U165" i="5"/>
  <c r="J165" i="5"/>
  <c r="K165" i="5" s="1"/>
  <c r="W165" i="5" s="1"/>
  <c r="X168" i="4"/>
  <c r="F169" i="4" l="1"/>
  <c r="P169" i="4"/>
  <c r="Q169" i="6"/>
  <c r="G169" i="6"/>
  <c r="AA170" i="6" s="1"/>
  <c r="D169" i="6"/>
  <c r="C169" i="6"/>
  <c r="F169" i="6" s="1"/>
  <c r="O169" i="6" s="1"/>
  <c r="M169" i="6"/>
  <c r="E169" i="6"/>
  <c r="P169" i="6" s="1"/>
  <c r="R169" i="6"/>
  <c r="V167" i="3"/>
  <c r="N167" i="3"/>
  <c r="T167" i="3" s="1"/>
  <c r="V165" i="5"/>
  <c r="N165" i="5"/>
  <c r="T165" i="5" s="1"/>
  <c r="H169" i="4"/>
  <c r="D166" i="5" l="1"/>
  <c r="R166" i="5"/>
  <c r="G166" i="5"/>
  <c r="AA167" i="5" s="1"/>
  <c r="Q166" i="5"/>
  <c r="C166" i="5"/>
  <c r="M166" i="5"/>
  <c r="E166" i="5"/>
  <c r="P166" i="5" s="1"/>
  <c r="H169" i="6"/>
  <c r="Z165" i="5"/>
  <c r="Q168" i="3"/>
  <c r="G168" i="3"/>
  <c r="AA169" i="3" s="1"/>
  <c r="E168" i="3"/>
  <c r="P168" i="3" s="1"/>
  <c r="D168" i="3"/>
  <c r="C168" i="3"/>
  <c r="F168" i="3" s="1"/>
  <c r="R168" i="3"/>
  <c r="Z167" i="3"/>
  <c r="O169" i="4"/>
  <c r="I169" i="4"/>
  <c r="U169" i="4" s="1"/>
  <c r="X167" i="3"/>
  <c r="X165" i="5"/>
  <c r="L169" i="4" l="1"/>
  <c r="O168" i="3"/>
  <c r="V169" i="4"/>
  <c r="N169" i="4"/>
  <c r="J169" i="4"/>
  <c r="F166" i="5"/>
  <c r="H168" i="3"/>
  <c r="I169" i="6"/>
  <c r="L169" i="6" s="1"/>
  <c r="K169" i="4" l="1"/>
  <c r="W169" i="4" s="1"/>
  <c r="V169" i="6"/>
  <c r="N169" i="6"/>
  <c r="U169" i="6"/>
  <c r="J169" i="6"/>
  <c r="X169" i="4"/>
  <c r="H166" i="5"/>
  <c r="O166" i="5"/>
  <c r="T169" i="4"/>
  <c r="I168" i="3"/>
  <c r="L168" i="3" s="1"/>
  <c r="V168" i="3" l="1"/>
  <c r="N168" i="3"/>
  <c r="U168" i="3"/>
  <c r="J168" i="3"/>
  <c r="K168" i="3" s="1"/>
  <c r="W168" i="3" s="1"/>
  <c r="R170" i="4"/>
  <c r="Q170" i="4"/>
  <c r="G170" i="4"/>
  <c r="AA171" i="4" s="1"/>
  <c r="D170" i="4"/>
  <c r="C170" i="4"/>
  <c r="E170" i="4"/>
  <c r="P170" i="4" s="1"/>
  <c r="M170" i="4"/>
  <c r="Z169" i="4"/>
  <c r="K169" i="6"/>
  <c r="T169" i="6"/>
  <c r="I166" i="5"/>
  <c r="L166" i="5" s="1"/>
  <c r="X168" i="3" l="1"/>
  <c r="Z169" i="6"/>
  <c r="Q170" i="6"/>
  <c r="R170" i="6"/>
  <c r="C170" i="6"/>
  <c r="M170" i="6"/>
  <c r="G170" i="6"/>
  <c r="AA171" i="6" s="1"/>
  <c r="E170" i="6"/>
  <c r="F170" i="6" s="1"/>
  <c r="D170" i="6"/>
  <c r="V166" i="5"/>
  <c r="N166" i="5"/>
  <c r="W169" i="6"/>
  <c r="X169" i="6"/>
  <c r="F170" i="4"/>
  <c r="T168" i="3"/>
  <c r="U166" i="5"/>
  <c r="J166" i="5"/>
  <c r="H170" i="4"/>
  <c r="O170" i="6" l="1"/>
  <c r="K166" i="5"/>
  <c r="W166" i="5" s="1"/>
  <c r="P170" i="6"/>
  <c r="R169" i="3"/>
  <c r="C169" i="3"/>
  <c r="E169" i="3"/>
  <c r="D169" i="3"/>
  <c r="Q169" i="3"/>
  <c r="P169" i="3"/>
  <c r="G169" i="3"/>
  <c r="AA170" i="3" s="1"/>
  <c r="Z168" i="3"/>
  <c r="H170" i="6"/>
  <c r="O170" i="4"/>
  <c r="I170" i="4"/>
  <c r="U170" i="4" s="1"/>
  <c r="J170" i="4" l="1"/>
  <c r="K170" i="4" s="1"/>
  <c r="W170" i="4" s="1"/>
  <c r="X166" i="5"/>
  <c r="L170" i="4"/>
  <c r="I170" i="6"/>
  <c r="T166" i="5"/>
  <c r="F169" i="3"/>
  <c r="H169" i="3" s="1"/>
  <c r="Q167" i="5" l="1"/>
  <c r="G167" i="5"/>
  <c r="AA168" i="5" s="1"/>
  <c r="D167" i="5"/>
  <c r="C167" i="5"/>
  <c r="M167" i="5"/>
  <c r="E167" i="5"/>
  <c r="P167" i="5" s="1"/>
  <c r="R167" i="5"/>
  <c r="F167" i="5"/>
  <c r="H167" i="5" s="1"/>
  <c r="Z166" i="5"/>
  <c r="U170" i="6"/>
  <c r="J170" i="6"/>
  <c r="K170" i="6" s="1"/>
  <c r="W170" i="6" s="1"/>
  <c r="V170" i="4"/>
  <c r="N170" i="4"/>
  <c r="I169" i="3"/>
  <c r="U169" i="3" s="1"/>
  <c r="O169" i="3"/>
  <c r="L170" i="6"/>
  <c r="O167" i="5" l="1"/>
  <c r="L169" i="3"/>
  <c r="J169" i="3"/>
  <c r="T170" i="4"/>
  <c r="X170" i="4"/>
  <c r="I167" i="5"/>
  <c r="U167" i="5" s="1"/>
  <c r="V170" i="6"/>
  <c r="N170" i="6"/>
  <c r="J167" i="5" l="1"/>
  <c r="K167" i="5" s="1"/>
  <c r="W167" i="5" s="1"/>
  <c r="E171" i="4"/>
  <c r="D171" i="4"/>
  <c r="G171" i="4"/>
  <c r="AA172" i="4" s="1"/>
  <c r="M171" i="4"/>
  <c r="C171" i="4"/>
  <c r="R171" i="4"/>
  <c r="Q171" i="4"/>
  <c r="Z170" i="4"/>
  <c r="V169" i="3"/>
  <c r="N169" i="3"/>
  <c r="K169" i="3"/>
  <c r="W169" i="3" s="1"/>
  <c r="X169" i="3"/>
  <c r="T170" i="6"/>
  <c r="Z170" i="6"/>
  <c r="X170" i="6"/>
  <c r="L167" i="5"/>
  <c r="P171" i="4" l="1"/>
  <c r="V167" i="5"/>
  <c r="N167" i="5"/>
  <c r="T167" i="5" s="1"/>
  <c r="F171" i="4"/>
  <c r="M171" i="6"/>
  <c r="C171" i="6"/>
  <c r="Q171" i="6"/>
  <c r="P171" i="6"/>
  <c r="E171" i="6"/>
  <c r="D171" i="6"/>
  <c r="R171" i="6"/>
  <c r="G171" i="6"/>
  <c r="AA172" i="6" s="1"/>
  <c r="Z167" i="5"/>
  <c r="X167" i="5"/>
  <c r="H171" i="4"/>
  <c r="T169" i="3"/>
  <c r="F171" i="6" l="1"/>
  <c r="O171" i="4"/>
  <c r="C170" i="3"/>
  <c r="Q170" i="3"/>
  <c r="R170" i="3"/>
  <c r="D170" i="3"/>
  <c r="E170" i="3"/>
  <c r="P170" i="3" s="1"/>
  <c r="G170" i="3"/>
  <c r="AA171" i="3" s="1"/>
  <c r="Z169" i="3"/>
  <c r="H171" i="6"/>
  <c r="I171" i="6" s="1"/>
  <c r="Q168" i="5"/>
  <c r="R168" i="5"/>
  <c r="C168" i="5"/>
  <c r="G168" i="5"/>
  <c r="AA169" i="5" s="1"/>
  <c r="E168" i="5"/>
  <c r="D168" i="5"/>
  <c r="M168" i="5"/>
  <c r="I171" i="4"/>
  <c r="U171" i="4" s="1"/>
  <c r="O171" i="6"/>
  <c r="U171" i="6" l="1"/>
  <c r="J171" i="6"/>
  <c r="K171" i="6" s="1"/>
  <c r="W171" i="6" s="1"/>
  <c r="F168" i="5"/>
  <c r="O168" i="5"/>
  <c r="P168" i="5"/>
  <c r="L171" i="4"/>
  <c r="F170" i="3"/>
  <c r="H170" i="3" s="1"/>
  <c r="H168" i="5"/>
  <c r="J171" i="4"/>
  <c r="L171" i="6"/>
  <c r="I170" i="3" l="1"/>
  <c r="U170" i="3" s="1"/>
  <c r="K171" i="4"/>
  <c r="L170" i="3"/>
  <c r="I168" i="5"/>
  <c r="V171" i="6"/>
  <c r="N171" i="6"/>
  <c r="T171" i="6" s="1"/>
  <c r="J170" i="3"/>
  <c r="O170" i="3"/>
  <c r="V171" i="4"/>
  <c r="N171" i="4"/>
  <c r="T171" i="4" s="1"/>
  <c r="X171" i="6" l="1"/>
  <c r="M172" i="6"/>
  <c r="Q172" i="6"/>
  <c r="R172" i="6"/>
  <c r="C172" i="6"/>
  <c r="G172" i="6"/>
  <c r="AA173" i="6" s="1"/>
  <c r="E172" i="6"/>
  <c r="P172" i="6" s="1"/>
  <c r="D172" i="6"/>
  <c r="Z171" i="4"/>
  <c r="D172" i="4"/>
  <c r="M172" i="4"/>
  <c r="C172" i="4"/>
  <c r="E172" i="4"/>
  <c r="Q172" i="4"/>
  <c r="R172" i="4"/>
  <c r="P172" i="4"/>
  <c r="G172" i="4"/>
  <c r="AA173" i="4" s="1"/>
  <c r="W171" i="4"/>
  <c r="X171" i="4"/>
  <c r="U168" i="5"/>
  <c r="J168" i="5"/>
  <c r="K168" i="5" s="1"/>
  <c r="W168" i="5" s="1"/>
  <c r="L168" i="5"/>
  <c r="V170" i="3"/>
  <c r="N170" i="3"/>
  <c r="K170" i="3"/>
  <c r="Z171" i="6"/>
  <c r="W170" i="3" l="1"/>
  <c r="X170" i="3"/>
  <c r="F172" i="6"/>
  <c r="T170" i="3"/>
  <c r="V168" i="5"/>
  <c r="N168" i="5"/>
  <c r="T168" i="5" s="1"/>
  <c r="Z168" i="5" s="1"/>
  <c r="F172" i="4"/>
  <c r="X168" i="5"/>
  <c r="H172" i="6" l="1"/>
  <c r="C171" i="3"/>
  <c r="Q171" i="3"/>
  <c r="G171" i="3"/>
  <c r="AA172" i="3" s="1"/>
  <c r="E171" i="3"/>
  <c r="D171" i="3"/>
  <c r="R171" i="3"/>
  <c r="Z170" i="3"/>
  <c r="O172" i="4"/>
  <c r="H172" i="4"/>
  <c r="O172" i="6"/>
  <c r="M169" i="5"/>
  <c r="C169" i="5"/>
  <c r="Q169" i="5"/>
  <c r="E169" i="5"/>
  <c r="D169" i="5"/>
  <c r="R169" i="5"/>
  <c r="G169" i="5"/>
  <c r="AA170" i="5" s="1"/>
  <c r="I172" i="6"/>
  <c r="U172" i="6" s="1"/>
  <c r="F171" i="3" l="1"/>
  <c r="J172" i="6"/>
  <c r="K172" i="6" s="1"/>
  <c r="W172" i="6" s="1"/>
  <c r="H171" i="3"/>
  <c r="O171" i="3"/>
  <c r="P171" i="3"/>
  <c r="P169" i="5"/>
  <c r="L172" i="6"/>
  <c r="F169" i="5"/>
  <c r="H169" i="5" s="1"/>
  <c r="I172" i="4"/>
  <c r="V172" i="6" l="1"/>
  <c r="N172" i="6"/>
  <c r="U172" i="4"/>
  <c r="J172" i="4"/>
  <c r="K172" i="4" s="1"/>
  <c r="W172" i="4" s="1"/>
  <c r="I169" i="5"/>
  <c r="U169" i="5" s="1"/>
  <c r="O169" i="5"/>
  <c r="I171" i="3"/>
  <c r="L171" i="3" s="1"/>
  <c r="L172" i="4"/>
  <c r="V171" i="3" l="1"/>
  <c r="N171" i="3"/>
  <c r="J169" i="5"/>
  <c r="K169" i="5" s="1"/>
  <c r="W169" i="5" s="1"/>
  <c r="V172" i="4"/>
  <c r="N172" i="4"/>
  <c r="T172" i="4" s="1"/>
  <c r="T172" i="6"/>
  <c r="Z172" i="6"/>
  <c r="X172" i="6"/>
  <c r="U171" i="3"/>
  <c r="J171" i="3"/>
  <c r="L169" i="5"/>
  <c r="Z172" i="4" l="1"/>
  <c r="Q173" i="4"/>
  <c r="G173" i="4"/>
  <c r="AA174" i="4" s="1"/>
  <c r="R173" i="4"/>
  <c r="C173" i="4"/>
  <c r="D173" i="4"/>
  <c r="M173" i="4"/>
  <c r="E173" i="4"/>
  <c r="P173" i="4" s="1"/>
  <c r="V169" i="5"/>
  <c r="N169" i="5"/>
  <c r="K171" i="3"/>
  <c r="W171" i="3" s="1"/>
  <c r="X172" i="4"/>
  <c r="R173" i="6"/>
  <c r="G173" i="6"/>
  <c r="AA174" i="6" s="1"/>
  <c r="Q173" i="6"/>
  <c r="E173" i="6"/>
  <c r="D173" i="6"/>
  <c r="C173" i="6"/>
  <c r="M173" i="6"/>
  <c r="F173" i="6" l="1"/>
  <c r="O173" i="6"/>
  <c r="P173" i="6"/>
  <c r="T169" i="5"/>
  <c r="X169" i="5"/>
  <c r="F173" i="4"/>
  <c r="H173" i="6"/>
  <c r="X171" i="3"/>
  <c r="T171" i="3"/>
  <c r="Z171" i="3"/>
  <c r="M170" i="5" l="1"/>
  <c r="Q170" i="5"/>
  <c r="R170" i="5"/>
  <c r="E170" i="5"/>
  <c r="P170" i="5" s="1"/>
  <c r="D170" i="5"/>
  <c r="C170" i="5"/>
  <c r="F170" i="5" s="1"/>
  <c r="G170" i="5"/>
  <c r="AA171" i="5" s="1"/>
  <c r="H173" i="4"/>
  <c r="O173" i="4"/>
  <c r="Z169" i="5"/>
  <c r="D172" i="3"/>
  <c r="Q172" i="3"/>
  <c r="C172" i="3"/>
  <c r="R172" i="3"/>
  <c r="G172" i="3"/>
  <c r="AA173" i="3" s="1"/>
  <c r="E172" i="3"/>
  <c r="I173" i="6"/>
  <c r="F172" i="3" l="1"/>
  <c r="H172" i="3" s="1"/>
  <c r="H170" i="5"/>
  <c r="I170" i="5" s="1"/>
  <c r="U170" i="5" s="1"/>
  <c r="O170" i="5"/>
  <c r="U173" i="6"/>
  <c r="J173" i="6"/>
  <c r="K173" i="6" s="1"/>
  <c r="W173" i="6" s="1"/>
  <c r="O172" i="3"/>
  <c r="I173" i="4"/>
  <c r="L173" i="4" s="1"/>
  <c r="P172" i="3"/>
  <c r="I172" i="3"/>
  <c r="U172" i="3" s="1"/>
  <c r="L173" i="6"/>
  <c r="V173" i="4" l="1"/>
  <c r="N173" i="4"/>
  <c r="L172" i="3"/>
  <c r="J172" i="3"/>
  <c r="K172" i="3" s="1"/>
  <c r="W172" i="3" s="1"/>
  <c r="L170" i="5"/>
  <c r="V173" i="6"/>
  <c r="N173" i="6"/>
  <c r="U173" i="4"/>
  <c r="J173" i="4"/>
  <c r="J170" i="5"/>
  <c r="K170" i="5" s="1"/>
  <c r="W170" i="5" s="1"/>
  <c r="V170" i="5" l="1"/>
  <c r="N170" i="5"/>
  <c r="T170" i="5" s="1"/>
  <c r="T173" i="4"/>
  <c r="Z170" i="5"/>
  <c r="T173" i="6"/>
  <c r="Z173" i="6"/>
  <c r="X173" i="6"/>
  <c r="V172" i="3"/>
  <c r="N172" i="3"/>
  <c r="X170" i="5"/>
  <c r="K173" i="4"/>
  <c r="M174" i="4" l="1"/>
  <c r="C174" i="4"/>
  <c r="E174" i="4"/>
  <c r="F174" i="4" s="1"/>
  <c r="D174" i="4"/>
  <c r="G174" i="4"/>
  <c r="AA175" i="4" s="1"/>
  <c r="R174" i="4"/>
  <c r="Q174" i="4"/>
  <c r="T172" i="3"/>
  <c r="C174" i="6"/>
  <c r="M174" i="6"/>
  <c r="D174" i="6"/>
  <c r="Q174" i="6"/>
  <c r="R174" i="6"/>
  <c r="G174" i="6"/>
  <c r="AA175" i="6" s="1"/>
  <c r="E174" i="6"/>
  <c r="F174" i="6" s="1"/>
  <c r="X172" i="3"/>
  <c r="Z173" i="4"/>
  <c r="R171" i="5"/>
  <c r="G171" i="5"/>
  <c r="AA172" i="5" s="1"/>
  <c r="Q171" i="5"/>
  <c r="E171" i="5"/>
  <c r="D171" i="5"/>
  <c r="C171" i="5"/>
  <c r="M171" i="5"/>
  <c r="W173" i="4"/>
  <c r="X173" i="4"/>
  <c r="P174" i="6" l="1"/>
  <c r="P174" i="4"/>
  <c r="P171" i="5"/>
  <c r="O174" i="6"/>
  <c r="H174" i="6"/>
  <c r="I174" i="6" s="1"/>
  <c r="R173" i="3"/>
  <c r="G173" i="3"/>
  <c r="AA174" i="3" s="1"/>
  <c r="Q173" i="3"/>
  <c r="E173" i="3"/>
  <c r="P173" i="3" s="1"/>
  <c r="D173" i="3"/>
  <c r="C173" i="3"/>
  <c r="Z172" i="3"/>
  <c r="H174" i="4"/>
  <c r="O174" i="4"/>
  <c r="F171" i="5"/>
  <c r="U174" i="6" l="1"/>
  <c r="J174" i="6"/>
  <c r="K174" i="6" s="1"/>
  <c r="W174" i="6" s="1"/>
  <c r="L174" i="6"/>
  <c r="O171" i="5"/>
  <c r="H171" i="5"/>
  <c r="F173" i="3"/>
  <c r="I174" i="4"/>
  <c r="U174" i="4" l="1"/>
  <c r="J174" i="4"/>
  <c r="K174" i="4" s="1"/>
  <c r="W174" i="4" s="1"/>
  <c r="H173" i="3"/>
  <c r="O173" i="3"/>
  <c r="L174" i="4"/>
  <c r="V174" i="6"/>
  <c r="N174" i="6"/>
  <c r="I171" i="5"/>
  <c r="I173" i="3" l="1"/>
  <c r="T174" i="6"/>
  <c r="X174" i="6"/>
  <c r="Z174" i="6"/>
  <c r="U171" i="5"/>
  <c r="J171" i="5"/>
  <c r="K171" i="5" s="1"/>
  <c r="W171" i="5" s="1"/>
  <c r="L171" i="5"/>
  <c r="V174" i="4"/>
  <c r="N174" i="4"/>
  <c r="T174" i="4" l="1"/>
  <c r="X174" i="4"/>
  <c r="Z174" i="4"/>
  <c r="E175" i="6"/>
  <c r="R175" i="6"/>
  <c r="G175" i="6"/>
  <c r="AA176" i="6" s="1"/>
  <c r="D175" i="6"/>
  <c r="C175" i="6"/>
  <c r="P175" i="6" s="1"/>
  <c r="Q175" i="6"/>
  <c r="M175" i="6"/>
  <c r="U173" i="3"/>
  <c r="J173" i="3"/>
  <c r="V171" i="5"/>
  <c r="N171" i="5"/>
  <c r="L173" i="3"/>
  <c r="V173" i="3" l="1"/>
  <c r="N173" i="3"/>
  <c r="T171" i="5"/>
  <c r="X171" i="5"/>
  <c r="Z171" i="5"/>
  <c r="K173" i="3"/>
  <c r="W173" i="3" s="1"/>
  <c r="F175" i="6"/>
  <c r="M175" i="4"/>
  <c r="C175" i="4"/>
  <c r="P175" i="4" s="1"/>
  <c r="D175" i="4"/>
  <c r="R175" i="4"/>
  <c r="E175" i="4"/>
  <c r="Q175" i="4"/>
  <c r="G175" i="4"/>
  <c r="AA176" i="4" s="1"/>
  <c r="F175" i="4" l="1"/>
  <c r="H175" i="4" s="1"/>
  <c r="I175" i="4" s="1"/>
  <c r="U175" i="4" s="1"/>
  <c r="O175" i="4"/>
  <c r="O175" i="6"/>
  <c r="H175" i="6"/>
  <c r="I175" i="6" s="1"/>
  <c r="U175" i="6" s="1"/>
  <c r="X173" i="3"/>
  <c r="C172" i="5"/>
  <c r="M172" i="5"/>
  <c r="D172" i="5"/>
  <c r="Q172" i="5"/>
  <c r="R172" i="5"/>
  <c r="G172" i="5"/>
  <c r="AA173" i="5" s="1"/>
  <c r="E172" i="5"/>
  <c r="T173" i="3"/>
  <c r="P172" i="5" l="1"/>
  <c r="F172" i="5"/>
  <c r="O172" i="5" s="1"/>
  <c r="L175" i="6"/>
  <c r="L175" i="4"/>
  <c r="H172" i="5"/>
  <c r="J175" i="4"/>
  <c r="K175" i="4" s="1"/>
  <c r="W175" i="4" s="1"/>
  <c r="C174" i="3"/>
  <c r="F174" i="3" s="1"/>
  <c r="Q174" i="3"/>
  <c r="G174" i="3"/>
  <c r="AA175" i="3" s="1"/>
  <c r="E174" i="3"/>
  <c r="D174" i="3"/>
  <c r="R174" i="3"/>
  <c r="P174" i="3"/>
  <c r="Z173" i="3"/>
  <c r="J175" i="6"/>
  <c r="H174" i="3" l="1"/>
  <c r="I174" i="3"/>
  <c r="U174" i="3" s="1"/>
  <c r="V175" i="4"/>
  <c r="N175" i="4"/>
  <c r="T175" i="4" s="1"/>
  <c r="K175" i="6"/>
  <c r="V175" i="6"/>
  <c r="N175" i="6"/>
  <c r="O174" i="3"/>
  <c r="I172" i="5"/>
  <c r="T175" i="6" l="1"/>
  <c r="L174" i="3"/>
  <c r="X175" i="4"/>
  <c r="J174" i="3"/>
  <c r="K174" i="3" s="1"/>
  <c r="W174" i="3" s="1"/>
  <c r="R176" i="6"/>
  <c r="D176" i="6"/>
  <c r="C176" i="6"/>
  <c r="P176" i="6" s="1"/>
  <c r="M176" i="6"/>
  <c r="E176" i="6"/>
  <c r="Q176" i="6"/>
  <c r="G176" i="6"/>
  <c r="AA177" i="6" s="1"/>
  <c r="Z175" i="6"/>
  <c r="E176" i="4"/>
  <c r="Q176" i="4"/>
  <c r="G176" i="4"/>
  <c r="AA177" i="4" s="1"/>
  <c r="D176" i="4"/>
  <c r="C176" i="4"/>
  <c r="R176" i="4"/>
  <c r="M176" i="4"/>
  <c r="U172" i="5"/>
  <c r="J172" i="5"/>
  <c r="W175" i="6"/>
  <c r="X175" i="6"/>
  <c r="Z175" i="4"/>
  <c r="L172" i="5"/>
  <c r="F176" i="4" l="1"/>
  <c r="P176" i="4"/>
  <c r="V174" i="3"/>
  <c r="N174" i="3"/>
  <c r="X174" i="3" s="1"/>
  <c r="F176" i="6"/>
  <c r="O176" i="6" s="1"/>
  <c r="V172" i="5"/>
  <c r="N172" i="5"/>
  <c r="T172" i="5" s="1"/>
  <c r="H176" i="4"/>
  <c r="I176" i="4" s="1"/>
  <c r="U176" i="4" s="1"/>
  <c r="K172" i="5"/>
  <c r="W172" i="5" s="1"/>
  <c r="O176" i="4"/>
  <c r="T174" i="3" l="1"/>
  <c r="Z174" i="3"/>
  <c r="H176" i="6"/>
  <c r="I176" i="6" s="1"/>
  <c r="U176" i="6"/>
  <c r="J176" i="6"/>
  <c r="K176" i="6" s="1"/>
  <c r="W176" i="6" s="1"/>
  <c r="Z172" i="5"/>
  <c r="X172" i="5"/>
  <c r="L176" i="4"/>
  <c r="E173" i="5"/>
  <c r="G173" i="5"/>
  <c r="AA174" i="5" s="1"/>
  <c r="D173" i="5"/>
  <c r="C173" i="5"/>
  <c r="R173" i="5"/>
  <c r="Q173" i="5"/>
  <c r="M173" i="5"/>
  <c r="L176" i="6"/>
  <c r="J176" i="4"/>
  <c r="P173" i="5" l="1"/>
  <c r="G175" i="3"/>
  <c r="AA176" i="3" s="1"/>
  <c r="Q175" i="3"/>
  <c r="C175" i="3"/>
  <c r="D175" i="3"/>
  <c r="P175" i="3"/>
  <c r="E175" i="3"/>
  <c r="F175" i="3" s="1"/>
  <c r="R175" i="3"/>
  <c r="F173" i="5"/>
  <c r="V176" i="4"/>
  <c r="N176" i="4"/>
  <c r="K176" i="4"/>
  <c r="W176" i="4" s="1"/>
  <c r="V176" i="6"/>
  <c r="N176" i="6"/>
  <c r="T176" i="6" s="1"/>
  <c r="H173" i="5"/>
  <c r="I173" i="5" s="1"/>
  <c r="U173" i="5" s="1"/>
  <c r="O175" i="3" l="1"/>
  <c r="H175" i="3"/>
  <c r="X176" i="6"/>
  <c r="I175" i="3"/>
  <c r="U175" i="3" s="1"/>
  <c r="L173" i="5"/>
  <c r="M177" i="6"/>
  <c r="F177" i="6"/>
  <c r="E177" i="6"/>
  <c r="P177" i="6" s="1"/>
  <c r="D177" i="6"/>
  <c r="C177" i="6"/>
  <c r="G177" i="6"/>
  <c r="AA178" i="6" s="1"/>
  <c r="R177" i="6"/>
  <c r="Q177" i="6"/>
  <c r="X176" i="4"/>
  <c r="T176" i="4"/>
  <c r="O173" i="5"/>
  <c r="J173" i="5"/>
  <c r="K173" i="5" s="1"/>
  <c r="W173" i="5" s="1"/>
  <c r="Z176" i="6"/>
  <c r="L175" i="3" l="1"/>
  <c r="J175" i="3"/>
  <c r="K175" i="3" s="1"/>
  <c r="W175" i="3" s="1"/>
  <c r="O177" i="6"/>
  <c r="R177" i="4"/>
  <c r="E177" i="4"/>
  <c r="G177" i="4"/>
  <c r="AA178" i="4" s="1"/>
  <c r="M177" i="4"/>
  <c r="Q177" i="4"/>
  <c r="D177" i="4"/>
  <c r="C177" i="4"/>
  <c r="H177" i="6"/>
  <c r="I177" i="6" s="1"/>
  <c r="Z176" i="4"/>
  <c r="V173" i="5"/>
  <c r="N173" i="5"/>
  <c r="X173" i="5" s="1"/>
  <c r="P177" i="4" l="1"/>
  <c r="N175" i="3"/>
  <c r="V175" i="3"/>
  <c r="U177" i="6"/>
  <c r="J177" i="6"/>
  <c r="K177" i="6" s="1"/>
  <c r="W177" i="6" s="1"/>
  <c r="T173" i="5"/>
  <c r="Z173" i="5"/>
  <c r="F177" i="4"/>
  <c r="H177" i="4" s="1"/>
  <c r="L177" i="6"/>
  <c r="T175" i="3" l="1"/>
  <c r="Z175" i="3"/>
  <c r="X175" i="3"/>
  <c r="V177" i="6"/>
  <c r="N177" i="6"/>
  <c r="O177" i="4"/>
  <c r="I177" i="4"/>
  <c r="U177" i="4" s="1"/>
  <c r="R174" i="5"/>
  <c r="Q174" i="5"/>
  <c r="G174" i="5"/>
  <c r="AA175" i="5" s="1"/>
  <c r="E174" i="5"/>
  <c r="D174" i="5"/>
  <c r="C174" i="5"/>
  <c r="F174" i="5" s="1"/>
  <c r="M174" i="5"/>
  <c r="L177" i="4" l="1"/>
  <c r="P174" i="5"/>
  <c r="E176" i="3"/>
  <c r="G176" i="3"/>
  <c r="AA177" i="3" s="1"/>
  <c r="R176" i="3"/>
  <c r="D176" i="3"/>
  <c r="C176" i="3"/>
  <c r="P176" i="3" s="1"/>
  <c r="Q176" i="3"/>
  <c r="O174" i="5"/>
  <c r="H174" i="5"/>
  <c r="I174" i="5" s="1"/>
  <c r="U174" i="5" s="1"/>
  <c r="V177" i="4"/>
  <c r="N177" i="4"/>
  <c r="T177" i="6"/>
  <c r="Z177" i="6" s="1"/>
  <c r="X177" i="6"/>
  <c r="J177" i="4"/>
  <c r="F176" i="3" l="1"/>
  <c r="D178" i="6"/>
  <c r="M178" i="6"/>
  <c r="C178" i="6"/>
  <c r="R178" i="6"/>
  <c r="Q178" i="6"/>
  <c r="G178" i="6"/>
  <c r="AA179" i="6" s="1"/>
  <c r="E178" i="6"/>
  <c r="P178" i="6"/>
  <c r="K177" i="4"/>
  <c r="W177" i="4" s="1"/>
  <c r="J174" i="5"/>
  <c r="L174" i="5"/>
  <c r="X177" i="4" l="1"/>
  <c r="F178" i="6"/>
  <c r="O176" i="3"/>
  <c r="H176" i="3"/>
  <c r="I176" i="3" s="1"/>
  <c r="U176" i="3" s="1"/>
  <c r="O178" i="6"/>
  <c r="K174" i="5"/>
  <c r="V174" i="5"/>
  <c r="N174" i="5"/>
  <c r="H178" i="6"/>
  <c r="T177" i="4"/>
  <c r="J176" i="3" l="1"/>
  <c r="L176" i="3"/>
  <c r="T174" i="5"/>
  <c r="Z174" i="5" s="1"/>
  <c r="C175" i="5"/>
  <c r="M175" i="5"/>
  <c r="D175" i="5"/>
  <c r="G175" i="5"/>
  <c r="AA176" i="5" s="1"/>
  <c r="E175" i="5"/>
  <c r="P175" i="5" s="1"/>
  <c r="W174" i="5"/>
  <c r="X174" i="5"/>
  <c r="I178" i="6"/>
  <c r="M178" i="4"/>
  <c r="C178" i="4"/>
  <c r="Q178" i="4"/>
  <c r="R178" i="4"/>
  <c r="G178" i="4"/>
  <c r="AA179" i="4" s="1"/>
  <c r="E178" i="4"/>
  <c r="P178" i="4" s="1"/>
  <c r="D178" i="4"/>
  <c r="Z177" i="4"/>
  <c r="V176" i="3" l="1"/>
  <c r="N176" i="3"/>
  <c r="R175" i="5"/>
  <c r="K176" i="3"/>
  <c r="Q175" i="5"/>
  <c r="F178" i="4"/>
  <c r="H178" i="4" s="1"/>
  <c r="F175" i="5"/>
  <c r="L178" i="6"/>
  <c r="U178" i="6"/>
  <c r="J178" i="6"/>
  <c r="W176" i="3" l="1"/>
  <c r="X176" i="3"/>
  <c r="T176" i="3"/>
  <c r="V178" i="6"/>
  <c r="N178" i="6"/>
  <c r="K178" i="6"/>
  <c r="W178" i="6" s="1"/>
  <c r="H175" i="5"/>
  <c r="O175" i="5"/>
  <c r="O178" i="4"/>
  <c r="I178" i="4"/>
  <c r="U178" i="4" s="1"/>
  <c r="X178" i="6" l="1"/>
  <c r="C177" i="3"/>
  <c r="R177" i="3"/>
  <c r="D177" i="3"/>
  <c r="G177" i="3"/>
  <c r="AA178" i="3" s="1"/>
  <c r="Q177" i="3"/>
  <c r="E177" i="3"/>
  <c r="F177" i="3" s="1"/>
  <c r="O177" i="3" s="1"/>
  <c r="P177" i="3"/>
  <c r="Z176" i="3"/>
  <c r="J178" i="4"/>
  <c r="K178" i="4" s="1"/>
  <c r="W178" i="4" s="1"/>
  <c r="L178" i="4"/>
  <c r="T178" i="6"/>
  <c r="I175" i="5"/>
  <c r="H177" i="3" l="1"/>
  <c r="I177" i="3"/>
  <c r="U177" i="3" s="1"/>
  <c r="J177" i="3"/>
  <c r="K177" i="3" s="1"/>
  <c r="W177" i="3" s="1"/>
  <c r="U175" i="5"/>
  <c r="J175" i="5"/>
  <c r="Q179" i="6"/>
  <c r="G179" i="6"/>
  <c r="AA180" i="6" s="1"/>
  <c r="E179" i="6"/>
  <c r="M179" i="6"/>
  <c r="R179" i="6"/>
  <c r="D179" i="6"/>
  <c r="C179" i="6"/>
  <c r="Z178" i="6"/>
  <c r="V178" i="4"/>
  <c r="N178" i="4"/>
  <c r="L175" i="5"/>
  <c r="F179" i="6" l="1"/>
  <c r="L177" i="3"/>
  <c r="O179" i="6"/>
  <c r="V175" i="5"/>
  <c r="N175" i="5"/>
  <c r="H179" i="6"/>
  <c r="K175" i="5"/>
  <c r="T178" i="4"/>
  <c r="Z178" i="4" s="1"/>
  <c r="X178" i="4"/>
  <c r="P179" i="6"/>
  <c r="V177" i="3" l="1"/>
  <c r="N177" i="3"/>
  <c r="T175" i="5"/>
  <c r="C176" i="5" s="1"/>
  <c r="I179" i="6"/>
  <c r="E179" i="4"/>
  <c r="D179" i="4"/>
  <c r="R179" i="4"/>
  <c r="G179" i="4"/>
  <c r="AA180" i="4" s="1"/>
  <c r="C179" i="4"/>
  <c r="Q179" i="4"/>
  <c r="M179" i="4"/>
  <c r="Z175" i="5"/>
  <c r="W175" i="5"/>
  <c r="X175" i="5"/>
  <c r="F179" i="4" l="1"/>
  <c r="T177" i="3"/>
  <c r="X177" i="3"/>
  <c r="D176" i="5"/>
  <c r="M176" i="5"/>
  <c r="E176" i="5"/>
  <c r="P176" i="5" s="1"/>
  <c r="Q176" i="5"/>
  <c r="G176" i="5"/>
  <c r="AA177" i="5" s="1"/>
  <c r="R176" i="5"/>
  <c r="P179" i="4"/>
  <c r="O179" i="4"/>
  <c r="L179" i="6"/>
  <c r="U179" i="6"/>
  <c r="J179" i="6"/>
  <c r="K179" i="6" s="1"/>
  <c r="W179" i="6" s="1"/>
  <c r="H179" i="4"/>
  <c r="I179" i="4" s="1"/>
  <c r="F176" i="5"/>
  <c r="R178" i="3" l="1"/>
  <c r="E178" i="3"/>
  <c r="P178" i="3" s="1"/>
  <c r="C178" i="3"/>
  <c r="F178" i="3" s="1"/>
  <c r="O178" i="3" s="1"/>
  <c r="Q178" i="3"/>
  <c r="G178" i="3"/>
  <c r="AA179" i="3" s="1"/>
  <c r="D178" i="3"/>
  <c r="H178" i="3" s="1"/>
  <c r="Z177" i="3"/>
  <c r="H176" i="5"/>
  <c r="U179" i="4"/>
  <c r="J179" i="4"/>
  <c r="K179" i="4" s="1"/>
  <c r="W179" i="4" s="1"/>
  <c r="V179" i="6"/>
  <c r="N179" i="6"/>
  <c r="T179" i="6" s="1"/>
  <c r="I176" i="5"/>
  <c r="U176" i="5" s="1"/>
  <c r="O176" i="5"/>
  <c r="L179" i="4"/>
  <c r="I178" i="3" l="1"/>
  <c r="Z179" i="6"/>
  <c r="X179" i="6"/>
  <c r="L176" i="5"/>
  <c r="J176" i="5"/>
  <c r="V179" i="4"/>
  <c r="N179" i="4"/>
  <c r="R180" i="6"/>
  <c r="M180" i="6"/>
  <c r="G180" i="6"/>
  <c r="AA181" i="6" s="1"/>
  <c r="E180" i="6"/>
  <c r="Q180" i="6"/>
  <c r="D180" i="6"/>
  <c r="C180" i="6"/>
  <c r="U178" i="3" l="1"/>
  <c r="J178" i="3"/>
  <c r="L178" i="3"/>
  <c r="K176" i="5"/>
  <c r="V176" i="5"/>
  <c r="N176" i="5"/>
  <c r="T176" i="5" s="1"/>
  <c r="F180" i="6"/>
  <c r="T179" i="4"/>
  <c r="X179" i="4"/>
  <c r="P180" i="6"/>
  <c r="V178" i="3" l="1"/>
  <c r="N178" i="3"/>
  <c r="K178" i="3"/>
  <c r="O180" i="6"/>
  <c r="Q177" i="5"/>
  <c r="G177" i="5"/>
  <c r="AA178" i="5" s="1"/>
  <c r="E177" i="5"/>
  <c r="D177" i="5"/>
  <c r="M177" i="5"/>
  <c r="R177" i="5"/>
  <c r="C177" i="5"/>
  <c r="P177" i="5" s="1"/>
  <c r="Z176" i="5"/>
  <c r="W176" i="5"/>
  <c r="X176" i="5"/>
  <c r="R180" i="4"/>
  <c r="Q180" i="4"/>
  <c r="G180" i="4"/>
  <c r="AA181" i="4" s="1"/>
  <c r="C180" i="4"/>
  <c r="F180" i="4"/>
  <c r="O180" i="4" s="1"/>
  <c r="M180" i="4"/>
  <c r="E180" i="4"/>
  <c r="D180" i="4"/>
  <c r="Z179" i="4"/>
  <c r="H180" i="6"/>
  <c r="H180" i="4" l="1"/>
  <c r="W178" i="3"/>
  <c r="X178" i="3"/>
  <c r="T178" i="3"/>
  <c r="P180" i="4"/>
  <c r="F177" i="5"/>
  <c r="O177" i="5" s="1"/>
  <c r="H177" i="5"/>
  <c r="I180" i="6"/>
  <c r="L180" i="6" s="1"/>
  <c r="I180" i="4"/>
  <c r="U180" i="4" s="1"/>
  <c r="E179" i="3" l="1"/>
  <c r="P179" i="3" s="1"/>
  <c r="R179" i="3"/>
  <c r="C179" i="3"/>
  <c r="G179" i="3"/>
  <c r="AA180" i="3" s="1"/>
  <c r="D179" i="3"/>
  <c r="Q179" i="3"/>
  <c r="Z178" i="3"/>
  <c r="F179" i="3"/>
  <c r="O179" i="3" s="1"/>
  <c r="V180" i="6"/>
  <c r="N180" i="6"/>
  <c r="U180" i="6"/>
  <c r="J180" i="6"/>
  <c r="J180" i="4"/>
  <c r="K180" i="4" s="1"/>
  <c r="W180" i="4" s="1"/>
  <c r="L180" i="4"/>
  <c r="I177" i="5"/>
  <c r="H179" i="3" l="1"/>
  <c r="I179" i="3" s="1"/>
  <c r="U177" i="5"/>
  <c r="J177" i="5"/>
  <c r="K177" i="5" s="1"/>
  <c r="W177" i="5" s="1"/>
  <c r="K180" i="6"/>
  <c r="W180" i="6" s="1"/>
  <c r="L177" i="5"/>
  <c r="V180" i="4"/>
  <c r="N180" i="4"/>
  <c r="T180" i="4" s="1"/>
  <c r="L179" i="3" l="1"/>
  <c r="U179" i="3"/>
  <c r="J179" i="3"/>
  <c r="K179" i="3" s="1"/>
  <c r="W179" i="3" s="1"/>
  <c r="T180" i="6"/>
  <c r="E181" i="6" s="1"/>
  <c r="P181" i="6" s="1"/>
  <c r="Z180" i="4"/>
  <c r="X180" i="6"/>
  <c r="X180" i="4"/>
  <c r="C181" i="6"/>
  <c r="V177" i="5"/>
  <c r="N177" i="5"/>
  <c r="T177" i="5" s="1"/>
  <c r="C181" i="4"/>
  <c r="D181" i="4"/>
  <c r="R181" i="4"/>
  <c r="Q181" i="4"/>
  <c r="E181" i="4"/>
  <c r="M181" i="4"/>
  <c r="G181" i="4"/>
  <c r="AA182" i="4" s="1"/>
  <c r="F181" i="6" l="1"/>
  <c r="Z180" i="6"/>
  <c r="M181" i="6"/>
  <c r="R181" i="6"/>
  <c r="Q181" i="6"/>
  <c r="D181" i="6"/>
  <c r="H181" i="6" s="1"/>
  <c r="I181" i="6" s="1"/>
  <c r="G181" i="6"/>
  <c r="AA182" i="6" s="1"/>
  <c r="N179" i="3"/>
  <c r="V179" i="3"/>
  <c r="P181" i="4"/>
  <c r="G178" i="5"/>
  <c r="AA179" i="5" s="1"/>
  <c r="R178" i="5"/>
  <c r="C178" i="5"/>
  <c r="Q178" i="5"/>
  <c r="D178" i="5"/>
  <c r="M178" i="5"/>
  <c r="E178" i="5"/>
  <c r="P178" i="5" s="1"/>
  <c r="X177" i="5"/>
  <c r="Z177" i="5"/>
  <c r="O181" i="6"/>
  <c r="F181" i="4"/>
  <c r="X179" i="3" l="1"/>
  <c r="T179" i="3"/>
  <c r="F178" i="5"/>
  <c r="O181" i="4"/>
  <c r="H181" i="4"/>
  <c r="U181" i="6"/>
  <c r="J181" i="6"/>
  <c r="K181" i="6" s="1"/>
  <c r="W181" i="6" s="1"/>
  <c r="L181" i="6"/>
  <c r="D180" i="3" l="1"/>
  <c r="G180" i="3"/>
  <c r="AA181" i="3" s="1"/>
  <c r="E180" i="3"/>
  <c r="P180" i="3" s="1"/>
  <c r="C180" i="3"/>
  <c r="R180" i="3"/>
  <c r="F180" i="3"/>
  <c r="O180" i="3" s="1"/>
  <c r="Q180" i="3"/>
  <c r="Z179" i="3"/>
  <c r="V181" i="6"/>
  <c r="N181" i="6"/>
  <c r="T181" i="6" s="1"/>
  <c r="O178" i="5"/>
  <c r="H178" i="5"/>
  <c r="I181" i="4"/>
  <c r="L181" i="4" s="1"/>
  <c r="H180" i="3" l="1"/>
  <c r="I180" i="3"/>
  <c r="X181" i="6"/>
  <c r="U181" i="4"/>
  <c r="J181" i="4"/>
  <c r="K181" i="4" s="1"/>
  <c r="W181" i="4" s="1"/>
  <c r="E182" i="6"/>
  <c r="P182" i="6" s="1"/>
  <c r="D182" i="6"/>
  <c r="Q182" i="6"/>
  <c r="M182" i="6"/>
  <c r="R182" i="6"/>
  <c r="G182" i="6"/>
  <c r="AA183" i="6" s="1"/>
  <c r="C182" i="6"/>
  <c r="Z181" i="6"/>
  <c r="V181" i="4"/>
  <c r="N181" i="4"/>
  <c r="I178" i="5"/>
  <c r="L178" i="5" s="1"/>
  <c r="F182" i="6" l="1"/>
  <c r="O182" i="6" s="1"/>
  <c r="J180" i="3"/>
  <c r="U180" i="3"/>
  <c r="L180" i="3"/>
  <c r="V178" i="5"/>
  <c r="N178" i="5"/>
  <c r="X181" i="4"/>
  <c r="T181" i="4"/>
  <c r="U178" i="5"/>
  <c r="J178" i="5"/>
  <c r="H182" i="6"/>
  <c r="K180" i="3" l="1"/>
  <c r="V180" i="3"/>
  <c r="N180" i="3"/>
  <c r="T180" i="3" s="1"/>
  <c r="K178" i="5"/>
  <c r="W178" i="5" s="1"/>
  <c r="X178" i="5"/>
  <c r="I182" i="6"/>
  <c r="L182" i="6" s="1"/>
  <c r="D182" i="4"/>
  <c r="M182" i="4"/>
  <c r="C182" i="4"/>
  <c r="F182" i="4" s="1"/>
  <c r="E182" i="4"/>
  <c r="R182" i="4"/>
  <c r="G182" i="4"/>
  <c r="AA183" i="4" s="1"/>
  <c r="Q182" i="4"/>
  <c r="Z181" i="4"/>
  <c r="T178" i="5"/>
  <c r="E181" i="3" l="1"/>
  <c r="R181" i="3"/>
  <c r="G181" i="3"/>
  <c r="AA182" i="3" s="1"/>
  <c r="C181" i="3"/>
  <c r="F181" i="3" s="1"/>
  <c r="D181" i="3"/>
  <c r="Q181" i="3"/>
  <c r="X180" i="3"/>
  <c r="P182" i="4"/>
  <c r="W180" i="3"/>
  <c r="Z180" i="3"/>
  <c r="H182" i="4"/>
  <c r="V182" i="6"/>
  <c r="N182" i="6"/>
  <c r="M179" i="5"/>
  <c r="C179" i="5"/>
  <c r="G179" i="5"/>
  <c r="AA180" i="5" s="1"/>
  <c r="R179" i="5"/>
  <c r="Q179" i="5"/>
  <c r="E179" i="5"/>
  <c r="P179" i="5" s="1"/>
  <c r="D179" i="5"/>
  <c r="I182" i="4"/>
  <c r="U182" i="6"/>
  <c r="J182" i="6"/>
  <c r="Z178" i="5"/>
  <c r="O182" i="4"/>
  <c r="H181" i="3" l="1"/>
  <c r="I181" i="3" s="1"/>
  <c r="U181" i="3" s="1"/>
  <c r="O181" i="3"/>
  <c r="J181" i="3"/>
  <c r="K181" i="3" s="1"/>
  <c r="W181" i="3" s="1"/>
  <c r="P181" i="3"/>
  <c r="F179" i="5"/>
  <c r="K182" i="6"/>
  <c r="W182" i="6" s="1"/>
  <c r="T182" i="6"/>
  <c r="U182" i="4"/>
  <c r="J182" i="4"/>
  <c r="L182" i="4"/>
  <c r="L181" i="3"/>
  <c r="K182" i="4" l="1"/>
  <c r="W182" i="4" s="1"/>
  <c r="V182" i="4"/>
  <c r="N182" i="4"/>
  <c r="T182" i="4" s="1"/>
  <c r="R183" i="6"/>
  <c r="Q183" i="6"/>
  <c r="G183" i="6"/>
  <c r="AA184" i="6" s="1"/>
  <c r="C183" i="6"/>
  <c r="F183" i="6" s="1"/>
  <c r="O183" i="6" s="1"/>
  <c r="D183" i="6"/>
  <c r="M183" i="6"/>
  <c r="E183" i="6"/>
  <c r="X182" i="6"/>
  <c r="Z182" i="6"/>
  <c r="V181" i="3"/>
  <c r="N181" i="3"/>
  <c r="T181" i="3" s="1"/>
  <c r="Z181" i="3" s="1"/>
  <c r="O179" i="5"/>
  <c r="H179" i="5"/>
  <c r="P183" i="6" l="1"/>
  <c r="X182" i="4"/>
  <c r="Q182" i="3"/>
  <c r="E182" i="3"/>
  <c r="P182" i="3" s="1"/>
  <c r="D182" i="3"/>
  <c r="C182" i="3"/>
  <c r="G182" i="3"/>
  <c r="AA183" i="3" s="1"/>
  <c r="R182" i="3"/>
  <c r="Q183" i="4"/>
  <c r="G183" i="4"/>
  <c r="AA184" i="4" s="1"/>
  <c r="R183" i="4"/>
  <c r="C183" i="4"/>
  <c r="M183" i="4"/>
  <c r="E183" i="4"/>
  <c r="P183" i="4" s="1"/>
  <c r="D183" i="4"/>
  <c r="Z182" i="4"/>
  <c r="H183" i="6"/>
  <c r="X181" i="3"/>
  <c r="I179" i="5"/>
  <c r="L179" i="5" s="1"/>
  <c r="F183" i="4" l="1"/>
  <c r="H183" i="4" s="1"/>
  <c r="V179" i="5"/>
  <c r="N179" i="5"/>
  <c r="L183" i="6"/>
  <c r="O183" i="4"/>
  <c r="F182" i="3"/>
  <c r="U179" i="5"/>
  <c r="J179" i="5"/>
  <c r="K179" i="5" s="1"/>
  <c r="W179" i="5" s="1"/>
  <c r="I183" i="6"/>
  <c r="I183" i="4" l="1"/>
  <c r="U183" i="4" s="1"/>
  <c r="X179" i="5"/>
  <c r="U183" i="6"/>
  <c r="J183" i="6"/>
  <c r="V183" i="6"/>
  <c r="N183" i="6"/>
  <c r="T179" i="5"/>
  <c r="O182" i="3"/>
  <c r="H182" i="3"/>
  <c r="I182" i="3" s="1"/>
  <c r="U182" i="3" s="1"/>
  <c r="J183" i="4"/>
  <c r="L183" i="4" l="1"/>
  <c r="E180" i="5"/>
  <c r="R180" i="5"/>
  <c r="D180" i="5"/>
  <c r="Q180" i="5"/>
  <c r="C180" i="5"/>
  <c r="F180" i="5" s="1"/>
  <c r="O180" i="5" s="1"/>
  <c r="G180" i="5"/>
  <c r="AA181" i="5" s="1"/>
  <c r="M180" i="5"/>
  <c r="K183" i="4"/>
  <c r="W183" i="4" s="1"/>
  <c r="K183" i="6"/>
  <c r="W183" i="6" s="1"/>
  <c r="J182" i="3"/>
  <c r="K182" i="3" s="1"/>
  <c r="W182" i="3" s="1"/>
  <c r="Z179" i="5"/>
  <c r="L182" i="3"/>
  <c r="X183" i="6" l="1"/>
  <c r="P180" i="5"/>
  <c r="V183" i="4"/>
  <c r="N183" i="4"/>
  <c r="T183" i="4" s="1"/>
  <c r="M184" i="4" s="1"/>
  <c r="Q184" i="4"/>
  <c r="D184" i="4"/>
  <c r="G184" i="4"/>
  <c r="AA185" i="4" s="1"/>
  <c r="E184" i="4"/>
  <c r="V182" i="3"/>
  <c r="N182" i="3"/>
  <c r="T182" i="3" s="1"/>
  <c r="H180" i="5"/>
  <c r="I180" i="5"/>
  <c r="U180" i="5" s="1"/>
  <c r="X183" i="4"/>
  <c r="T183" i="6"/>
  <c r="Z183" i="4"/>
  <c r="R184" i="4" l="1"/>
  <c r="C184" i="4"/>
  <c r="P184" i="4"/>
  <c r="J180" i="5"/>
  <c r="K180" i="5" s="1"/>
  <c r="W180" i="5" s="1"/>
  <c r="L180" i="5"/>
  <c r="Q184" i="6"/>
  <c r="D184" i="6"/>
  <c r="C184" i="6"/>
  <c r="R184" i="6"/>
  <c r="E184" i="6"/>
  <c r="G184" i="6"/>
  <c r="AA185" i="6" s="1"/>
  <c r="M184" i="6"/>
  <c r="Z183" i="6"/>
  <c r="D183" i="3"/>
  <c r="Q183" i="3"/>
  <c r="R183" i="3"/>
  <c r="C183" i="3"/>
  <c r="G183" i="3"/>
  <c r="AA184" i="3" s="1"/>
  <c r="E183" i="3"/>
  <c r="Z182" i="3"/>
  <c r="F184" i="4"/>
  <c r="H184" i="4" s="1"/>
  <c r="X182" i="3"/>
  <c r="P184" i="6" l="1"/>
  <c r="P183" i="3"/>
  <c r="F183" i="3"/>
  <c r="V180" i="5"/>
  <c r="N180" i="5"/>
  <c r="F184" i="6"/>
  <c r="H184" i="6" s="1"/>
  <c r="O184" i="4"/>
  <c r="I184" i="4"/>
  <c r="U184" i="4" s="1"/>
  <c r="H183" i="3" l="1"/>
  <c r="I183" i="3"/>
  <c r="U183" i="3" s="1"/>
  <c r="O183" i="3"/>
  <c r="T180" i="5"/>
  <c r="Z180" i="5"/>
  <c r="X180" i="5"/>
  <c r="L184" i="4"/>
  <c r="J184" i="4"/>
  <c r="K184" i="4" s="1"/>
  <c r="W184" i="4" s="1"/>
  <c r="O184" i="6"/>
  <c r="I184" i="6"/>
  <c r="U184" i="6" s="1"/>
  <c r="J184" i="6" l="1"/>
  <c r="K184" i="6" s="1"/>
  <c r="W184" i="6" s="1"/>
  <c r="R181" i="5"/>
  <c r="M181" i="5"/>
  <c r="C181" i="5"/>
  <c r="D181" i="5"/>
  <c r="E181" i="5"/>
  <c r="Q181" i="5"/>
  <c r="G181" i="5"/>
  <c r="AA182" i="5" s="1"/>
  <c r="V184" i="4"/>
  <c r="N184" i="4"/>
  <c r="J183" i="3"/>
  <c r="K183" i="3" s="1"/>
  <c r="W183" i="3" s="1"/>
  <c r="L183" i="3"/>
  <c r="L184" i="6"/>
  <c r="P181" i="5" l="1"/>
  <c r="V184" i="6"/>
  <c r="N184" i="6"/>
  <c r="T184" i="4"/>
  <c r="F181" i="5"/>
  <c r="X184" i="4"/>
  <c r="V183" i="3"/>
  <c r="N183" i="3"/>
  <c r="O181" i="5" l="1"/>
  <c r="M185" i="4"/>
  <c r="C185" i="4"/>
  <c r="D185" i="4"/>
  <c r="Q185" i="4"/>
  <c r="R185" i="4"/>
  <c r="G185" i="4"/>
  <c r="E185" i="4"/>
  <c r="T184" i="6"/>
  <c r="Z184" i="6"/>
  <c r="X184" i="6"/>
  <c r="T183" i="3"/>
  <c r="Z183" i="3"/>
  <c r="X183" i="3"/>
  <c r="H181" i="5"/>
  <c r="Z184" i="4"/>
  <c r="F185" i="4" l="1"/>
  <c r="O185" i="4"/>
  <c r="I181" i="5"/>
  <c r="L181" i="5" s="1"/>
  <c r="H185" i="4"/>
  <c r="R184" i="3"/>
  <c r="G184" i="3"/>
  <c r="AA185" i="3" s="1"/>
  <c r="Q184" i="3"/>
  <c r="E184" i="3"/>
  <c r="P184" i="3" s="1"/>
  <c r="D184" i="3"/>
  <c r="C184" i="3"/>
  <c r="P185" i="4"/>
  <c r="E185" i="6"/>
  <c r="D185" i="6"/>
  <c r="M185" i="6"/>
  <c r="C185" i="6"/>
  <c r="R185" i="6"/>
  <c r="Q185" i="6"/>
  <c r="G185" i="6"/>
  <c r="F185" i="6" l="1"/>
  <c r="O185" i="6" s="1"/>
  <c r="P185" i="6"/>
  <c r="V181" i="5"/>
  <c r="N181" i="5"/>
  <c r="F184" i="3"/>
  <c r="H184" i="3" s="1"/>
  <c r="I185" i="4"/>
  <c r="U181" i="5"/>
  <c r="J181" i="5"/>
  <c r="K181" i="5" s="1"/>
  <c r="W181" i="5" s="1"/>
  <c r="H185" i="6" l="1"/>
  <c r="O184" i="3"/>
  <c r="U185" i="4"/>
  <c r="J185" i="4"/>
  <c r="K185" i="4" s="1"/>
  <c r="W185" i="4" s="1"/>
  <c r="T181" i="5"/>
  <c r="Z181" i="5"/>
  <c r="I185" i="6"/>
  <c r="L185" i="6" s="1"/>
  <c r="X181" i="5"/>
  <c r="L185" i="4"/>
  <c r="I184" i="3"/>
  <c r="U184" i="3" s="1"/>
  <c r="V185" i="4" l="1"/>
  <c r="N185" i="4"/>
  <c r="L184" i="3"/>
  <c r="V185" i="6"/>
  <c r="N185" i="6"/>
  <c r="U185" i="6"/>
  <c r="J185" i="6"/>
  <c r="J184" i="3"/>
  <c r="K184" i="3" s="1"/>
  <c r="W184" i="3" s="1"/>
  <c r="M182" i="5"/>
  <c r="G182" i="5"/>
  <c r="AA183" i="5" s="1"/>
  <c r="C182" i="5"/>
  <c r="R182" i="5"/>
  <c r="Q182" i="5"/>
  <c r="E182" i="5"/>
  <c r="P182" i="5" s="1"/>
  <c r="D182" i="5"/>
  <c r="F182" i="5" l="1"/>
  <c r="T185" i="4"/>
  <c r="X185" i="4"/>
  <c r="K185" i="6"/>
  <c r="W185" i="6" s="1"/>
  <c r="H182" i="5"/>
  <c r="V184" i="3"/>
  <c r="N184" i="3"/>
  <c r="T184" i="3" s="1"/>
  <c r="X184" i="3"/>
  <c r="E186" i="4" l="1"/>
  <c r="Q186" i="4"/>
  <c r="D186" i="4"/>
  <c r="C186" i="4"/>
  <c r="G186" i="4" s="1"/>
  <c r="AA187" i="4" s="1"/>
  <c r="R186" i="4"/>
  <c r="M186" i="4"/>
  <c r="Z185" i="4"/>
  <c r="I182" i="5"/>
  <c r="U182" i="5" s="1"/>
  <c r="O182" i="5"/>
  <c r="Z184" i="3"/>
  <c r="X185" i="6"/>
  <c r="E185" i="3"/>
  <c r="Q185" i="3"/>
  <c r="D185" i="3"/>
  <c r="C185" i="3"/>
  <c r="R185" i="3"/>
  <c r="G185" i="3"/>
  <c r="T185" i="6"/>
  <c r="P185" i="3" l="1"/>
  <c r="AA186" i="4"/>
  <c r="R186" i="6"/>
  <c r="Q186" i="6"/>
  <c r="E186" i="6"/>
  <c r="G186" i="6" s="1"/>
  <c r="AA187" i="6" s="1"/>
  <c r="D186" i="6"/>
  <c r="C186" i="6"/>
  <c r="M186" i="6"/>
  <c r="Z185" i="6"/>
  <c r="J182" i="5"/>
  <c r="K182" i="5" s="1"/>
  <c r="W182" i="5" s="1"/>
  <c r="F186" i="4"/>
  <c r="P186" i="4"/>
  <c r="F185" i="3"/>
  <c r="L182" i="5"/>
  <c r="P186" i="6" l="1"/>
  <c r="O185" i="3"/>
  <c r="O186" i="4"/>
  <c r="H185" i="3"/>
  <c r="I185" i="3" s="1"/>
  <c r="U185" i="3" s="1"/>
  <c r="H186" i="4"/>
  <c r="I186" i="4"/>
  <c r="U186" i="4" s="1"/>
  <c r="V182" i="5"/>
  <c r="N182" i="5"/>
  <c r="X182" i="5" s="1"/>
  <c r="AA186" i="6"/>
  <c r="F186" i="6"/>
  <c r="J186" i="4" l="1"/>
  <c r="K186" i="4" s="1"/>
  <c r="W186" i="4" s="1"/>
  <c r="L185" i="3"/>
  <c r="H186" i="6"/>
  <c r="I186" i="6" s="1"/>
  <c r="U186" i="6" s="1"/>
  <c r="O186" i="6"/>
  <c r="T182" i="5"/>
  <c r="J185" i="3"/>
  <c r="K185" i="3" s="1"/>
  <c r="W185" i="3" s="1"/>
  <c r="L186" i="4"/>
  <c r="E183" i="5" l="1"/>
  <c r="D183" i="5"/>
  <c r="G183" i="5"/>
  <c r="AA184" i="5" s="1"/>
  <c r="C183" i="5"/>
  <c r="R183" i="5"/>
  <c r="Q183" i="5"/>
  <c r="P183" i="5"/>
  <c r="M183" i="5"/>
  <c r="V186" i="4"/>
  <c r="N186" i="4"/>
  <c r="J186" i="6"/>
  <c r="K186" i="6" s="1"/>
  <c r="W186" i="6" s="1"/>
  <c r="Z182" i="5"/>
  <c r="L186" i="6"/>
  <c r="V185" i="3"/>
  <c r="N185" i="3"/>
  <c r="F183" i="5" l="1"/>
  <c r="O183" i="5"/>
  <c r="H183" i="5"/>
  <c r="T186" i="4"/>
  <c r="X186" i="4"/>
  <c r="Z186" i="4"/>
  <c r="V186" i="6"/>
  <c r="N186" i="6"/>
  <c r="T185" i="3"/>
  <c r="Z185" i="3"/>
  <c r="X185" i="3"/>
  <c r="T186" i="6" l="1"/>
  <c r="Z186" i="6" s="1"/>
  <c r="I183" i="5"/>
  <c r="L183" i="5" s="1"/>
  <c r="R187" i="4"/>
  <c r="M187" i="4"/>
  <c r="G187" i="4"/>
  <c r="AA188" i="4" s="1"/>
  <c r="E187" i="4"/>
  <c r="F187" i="4" s="1"/>
  <c r="Q187" i="4"/>
  <c r="D187" i="4"/>
  <c r="C187" i="4"/>
  <c r="X186" i="6"/>
  <c r="R186" i="3"/>
  <c r="Q186" i="3"/>
  <c r="E186" i="3"/>
  <c r="AA186" i="3" s="1"/>
  <c r="C186" i="3"/>
  <c r="D186" i="3"/>
  <c r="P186" i="3" l="1"/>
  <c r="H187" i="4"/>
  <c r="P187" i="4"/>
  <c r="V183" i="5"/>
  <c r="N183" i="5"/>
  <c r="I187" i="4"/>
  <c r="F186" i="3"/>
  <c r="U183" i="5"/>
  <c r="J183" i="5"/>
  <c r="O187" i="4"/>
  <c r="G186" i="3"/>
  <c r="AA187" i="3" s="1"/>
  <c r="R187" i="6"/>
  <c r="E187" i="6"/>
  <c r="Q187" i="6"/>
  <c r="D187" i="6"/>
  <c r="G187" i="6"/>
  <c r="AA188" i="6" s="1"/>
  <c r="M187" i="6"/>
  <c r="C187" i="6"/>
  <c r="H186" i="3" l="1"/>
  <c r="P187" i="6"/>
  <c r="I186" i="3"/>
  <c r="U186" i="3" s="1"/>
  <c r="O186" i="3"/>
  <c r="U187" i="4"/>
  <c r="J187" i="4"/>
  <c r="K183" i="5"/>
  <c r="T183" i="5" s="1"/>
  <c r="X183" i="5"/>
  <c r="L187" i="4"/>
  <c r="F187" i="6"/>
  <c r="O187" i="6" l="1"/>
  <c r="J186" i="3"/>
  <c r="K187" i="4"/>
  <c r="R184" i="5"/>
  <c r="Q184" i="5"/>
  <c r="G184" i="5"/>
  <c r="AA185" i="5" s="1"/>
  <c r="E184" i="5"/>
  <c r="D184" i="5"/>
  <c r="C184" i="5"/>
  <c r="P184" i="5" s="1"/>
  <c r="M184" i="5"/>
  <c r="H187" i="6"/>
  <c r="V187" i="4"/>
  <c r="N187" i="4"/>
  <c r="T187" i="4" s="1"/>
  <c r="I187" i="6"/>
  <c r="U187" i="6" s="1"/>
  <c r="W183" i="5"/>
  <c r="Z183" i="5"/>
  <c r="L186" i="3"/>
  <c r="F184" i="5" l="1"/>
  <c r="J187" i="6"/>
  <c r="K187" i="6" s="1"/>
  <c r="W187" i="6" s="1"/>
  <c r="M188" i="4"/>
  <c r="C188" i="4"/>
  <c r="G188" i="4"/>
  <c r="AA189" i="4" s="1"/>
  <c r="R188" i="4"/>
  <c r="Q188" i="4"/>
  <c r="D188" i="4"/>
  <c r="E188" i="4"/>
  <c r="Z187" i="4"/>
  <c r="W187" i="4"/>
  <c r="X187" i="4"/>
  <c r="V186" i="3"/>
  <c r="N186" i="3"/>
  <c r="L187" i="6"/>
  <c r="O184" i="5"/>
  <c r="K186" i="3"/>
  <c r="T186" i="3" l="1"/>
  <c r="P188" i="4"/>
  <c r="H184" i="5"/>
  <c r="V187" i="6"/>
  <c r="N187" i="6"/>
  <c r="E187" i="3"/>
  <c r="G187" i="3"/>
  <c r="AA188" i="3" s="1"/>
  <c r="D187" i="3"/>
  <c r="Q187" i="3"/>
  <c r="C187" i="3"/>
  <c r="R187" i="3"/>
  <c r="F188" i="4"/>
  <c r="Z186" i="3"/>
  <c r="W186" i="3"/>
  <c r="X186" i="3"/>
  <c r="F187" i="3" l="1"/>
  <c r="I184" i="5"/>
  <c r="O187" i="3"/>
  <c r="H187" i="3"/>
  <c r="I187" i="3" s="1"/>
  <c r="P187" i="3"/>
  <c r="T187" i="6"/>
  <c r="Z187" i="6"/>
  <c r="X187" i="6"/>
  <c r="O188" i="4"/>
  <c r="H188" i="4"/>
  <c r="I188" i="4" s="1"/>
  <c r="U184" i="5" l="1"/>
  <c r="J184" i="5"/>
  <c r="L184" i="5"/>
  <c r="U188" i="4"/>
  <c r="J188" i="4"/>
  <c r="K188" i="4" s="1"/>
  <c r="W188" i="4" s="1"/>
  <c r="U187" i="3"/>
  <c r="J187" i="3"/>
  <c r="K187" i="3" s="1"/>
  <c r="W187" i="3" s="1"/>
  <c r="D188" i="6"/>
  <c r="M188" i="6"/>
  <c r="C188" i="6"/>
  <c r="F188" i="6" s="1"/>
  <c r="G188" i="6"/>
  <c r="AA189" i="6" s="1"/>
  <c r="E188" i="6"/>
  <c r="P188" i="6" s="1"/>
  <c r="R188" i="6"/>
  <c r="Q188" i="6"/>
  <c r="L188" i="4"/>
  <c r="L187" i="3"/>
  <c r="V184" i="5" l="1"/>
  <c r="N184" i="5"/>
  <c r="T184" i="5" s="1"/>
  <c r="K184" i="5"/>
  <c r="X184" i="5"/>
  <c r="O188" i="6"/>
  <c r="X187" i="3"/>
  <c r="V187" i="3"/>
  <c r="N187" i="3"/>
  <c r="V188" i="4"/>
  <c r="N188" i="4"/>
  <c r="T188" i="4" s="1"/>
  <c r="H188" i="6"/>
  <c r="W184" i="5" l="1"/>
  <c r="Z184" i="5"/>
  <c r="R185" i="5"/>
  <c r="Q185" i="5"/>
  <c r="C185" i="5"/>
  <c r="G185" i="5"/>
  <c r="M185" i="5"/>
  <c r="E185" i="5"/>
  <c r="P185" i="5" s="1"/>
  <c r="D185" i="5"/>
  <c r="Z188" i="4"/>
  <c r="E189" i="4"/>
  <c r="D189" i="4"/>
  <c r="G189" i="4"/>
  <c r="AA190" i="4" s="1"/>
  <c r="C189" i="4"/>
  <c r="F189" i="4" s="1"/>
  <c r="R189" i="4"/>
  <c r="Q189" i="4"/>
  <c r="M189" i="4"/>
  <c r="X188" i="4"/>
  <c r="I188" i="6"/>
  <c r="T187" i="3"/>
  <c r="P189" i="4" l="1"/>
  <c r="F185" i="5"/>
  <c r="O185" i="5" s="1"/>
  <c r="H185" i="5"/>
  <c r="O189" i="4"/>
  <c r="D188" i="3"/>
  <c r="R188" i="3"/>
  <c r="G188" i="3"/>
  <c r="AA189" i="3" s="1"/>
  <c r="Q188" i="3"/>
  <c r="E188" i="3"/>
  <c r="C188" i="3"/>
  <c r="Z187" i="3"/>
  <c r="U188" i="6"/>
  <c r="J188" i="6"/>
  <c r="K188" i="6" s="1"/>
  <c r="W188" i="6" s="1"/>
  <c r="H189" i="4"/>
  <c r="I185" i="5"/>
  <c r="L188" i="6"/>
  <c r="P188" i="3" l="1"/>
  <c r="U185" i="5"/>
  <c r="J185" i="5"/>
  <c r="K185" i="5" s="1"/>
  <c r="W185" i="5" s="1"/>
  <c r="V188" i="6"/>
  <c r="N188" i="6"/>
  <c r="I189" i="4"/>
  <c r="L189" i="4" s="1"/>
  <c r="L185" i="5"/>
  <c r="X188" i="6"/>
  <c r="F188" i="3"/>
  <c r="H188" i="3" s="1"/>
  <c r="O188" i="3" l="1"/>
  <c r="I188" i="3"/>
  <c r="U188" i="3" s="1"/>
  <c r="V185" i="5"/>
  <c r="N185" i="5"/>
  <c r="T185" i="5" s="1"/>
  <c r="Z185" i="5" s="1"/>
  <c r="T188" i="6"/>
  <c r="V189" i="4"/>
  <c r="N189" i="4"/>
  <c r="U189" i="4"/>
  <c r="J189" i="4"/>
  <c r="M189" i="6" l="1"/>
  <c r="C189" i="6"/>
  <c r="R189" i="6"/>
  <c r="G189" i="6"/>
  <c r="AA190" i="6" s="1"/>
  <c r="Q189" i="6"/>
  <c r="E189" i="6"/>
  <c r="F189" i="6" s="1"/>
  <c r="D189" i="6"/>
  <c r="P189" i="6"/>
  <c r="Z188" i="6"/>
  <c r="J188" i="3"/>
  <c r="K188" i="3" s="1"/>
  <c r="W188" i="3" s="1"/>
  <c r="D186" i="5"/>
  <c r="M186" i="5"/>
  <c r="C186" i="5"/>
  <c r="R186" i="5"/>
  <c r="Q186" i="5"/>
  <c r="P186" i="5"/>
  <c r="E186" i="5"/>
  <c r="G186" i="5"/>
  <c r="AA187" i="5" s="1"/>
  <c r="K189" i="4"/>
  <c r="W189" i="4" s="1"/>
  <c r="X189" i="4"/>
  <c r="X185" i="5"/>
  <c r="L188" i="3"/>
  <c r="H189" i="6" l="1"/>
  <c r="O189" i="6"/>
  <c r="I189" i="6"/>
  <c r="T189" i="4"/>
  <c r="AA186" i="5"/>
  <c r="V188" i="3"/>
  <c r="N188" i="3"/>
  <c r="T188" i="3" s="1"/>
  <c r="F186" i="5"/>
  <c r="X188" i="3" l="1"/>
  <c r="Q189" i="3"/>
  <c r="G189" i="3"/>
  <c r="AA190" i="3" s="1"/>
  <c r="C189" i="3"/>
  <c r="R189" i="3"/>
  <c r="E189" i="3"/>
  <c r="F189" i="3" s="1"/>
  <c r="D189" i="3"/>
  <c r="H189" i="3" s="1"/>
  <c r="I189" i="3" s="1"/>
  <c r="P189" i="3"/>
  <c r="R190" i="4"/>
  <c r="Q190" i="4"/>
  <c r="G190" i="4"/>
  <c r="AA191" i="4" s="1"/>
  <c r="M190" i="4"/>
  <c r="C190" i="4"/>
  <c r="E190" i="4"/>
  <c r="P190" i="4" s="1"/>
  <c r="D190" i="4"/>
  <c r="Z189" i="4"/>
  <c r="U189" i="6"/>
  <c r="J189" i="6"/>
  <c r="O186" i="5"/>
  <c r="H186" i="5"/>
  <c r="I186" i="5" s="1"/>
  <c r="Z188" i="3"/>
  <c r="L189" i="6"/>
  <c r="U186" i="5" l="1"/>
  <c r="J186" i="5"/>
  <c r="K186" i="5" s="1"/>
  <c r="W186" i="5" s="1"/>
  <c r="F190" i="4"/>
  <c r="O190" i="4" s="1"/>
  <c r="U189" i="3"/>
  <c r="J189" i="3"/>
  <c r="K189" i="3" s="1"/>
  <c r="W189" i="3" s="1"/>
  <c r="L189" i="3"/>
  <c r="O189" i="3"/>
  <c r="V189" i="6"/>
  <c r="N189" i="6"/>
  <c r="L186" i="5"/>
  <c r="K189" i="6"/>
  <c r="W189" i="6" s="1"/>
  <c r="X189" i="6"/>
  <c r="H190" i="4" l="1"/>
  <c r="V189" i="3"/>
  <c r="N189" i="3"/>
  <c r="T189" i="3" s="1"/>
  <c r="X189" i="3"/>
  <c r="V186" i="5"/>
  <c r="N186" i="5"/>
  <c r="T189" i="6"/>
  <c r="Z189" i="3"/>
  <c r="I190" i="4"/>
  <c r="U190" i="4" l="1"/>
  <c r="J190" i="4"/>
  <c r="K190" i="4" s="1"/>
  <c r="W190" i="4" s="1"/>
  <c r="C190" i="6"/>
  <c r="M190" i="6"/>
  <c r="Q190" i="6"/>
  <c r="G190" i="6"/>
  <c r="AA191" i="6" s="1"/>
  <c r="E190" i="6"/>
  <c r="P190" i="6" s="1"/>
  <c r="D190" i="6"/>
  <c r="R190" i="6"/>
  <c r="Z189" i="6"/>
  <c r="T186" i="5"/>
  <c r="Z186" i="5" s="1"/>
  <c r="X186" i="5"/>
  <c r="L190" i="4"/>
  <c r="R190" i="3"/>
  <c r="G190" i="3"/>
  <c r="AA191" i="3" s="1"/>
  <c r="E190" i="3"/>
  <c r="Q190" i="3"/>
  <c r="C190" i="3"/>
  <c r="P190" i="3"/>
  <c r="D190" i="3"/>
  <c r="F190" i="3" l="1"/>
  <c r="Q187" i="5"/>
  <c r="G187" i="5"/>
  <c r="AA188" i="5" s="1"/>
  <c r="E187" i="5"/>
  <c r="D187" i="5"/>
  <c r="M187" i="5"/>
  <c r="C187" i="5"/>
  <c r="R187" i="5"/>
  <c r="V190" i="4"/>
  <c r="N190" i="4"/>
  <c r="T190" i="4" s="1"/>
  <c r="F190" i="6"/>
  <c r="X190" i="4" l="1"/>
  <c r="O190" i="3"/>
  <c r="O190" i="6"/>
  <c r="H190" i="6"/>
  <c r="I190" i="6" s="1"/>
  <c r="G191" i="4"/>
  <c r="AA192" i="4" s="1"/>
  <c r="M191" i="4"/>
  <c r="E191" i="4"/>
  <c r="P191" i="4" s="1"/>
  <c r="D191" i="4"/>
  <c r="R191" i="4"/>
  <c r="C191" i="4"/>
  <c r="Q191" i="4"/>
  <c r="H190" i="3"/>
  <c r="I190" i="3" s="1"/>
  <c r="U190" i="3" s="1"/>
  <c r="F187" i="5"/>
  <c r="P187" i="5"/>
  <c r="H187" i="5"/>
  <c r="Z190" i="4"/>
  <c r="F191" i="4" l="1"/>
  <c r="U190" i="6"/>
  <c r="J190" i="6"/>
  <c r="K190" i="6" s="1"/>
  <c r="W190" i="6" s="1"/>
  <c r="H191" i="4"/>
  <c r="J190" i="3"/>
  <c r="L190" i="6"/>
  <c r="O191" i="4"/>
  <c r="O187" i="5"/>
  <c r="L190" i="3"/>
  <c r="I187" i="5"/>
  <c r="U187" i="5" l="1"/>
  <c r="L187" i="5"/>
  <c r="I191" i="4"/>
  <c r="J187" i="5"/>
  <c r="K187" i="5" s="1"/>
  <c r="W187" i="5" s="1"/>
  <c r="V190" i="3"/>
  <c r="N190" i="3"/>
  <c r="K190" i="3"/>
  <c r="W190" i="3" s="1"/>
  <c r="V190" i="6"/>
  <c r="N190" i="6"/>
  <c r="T190" i="6" s="1"/>
  <c r="T190" i="3" l="1"/>
  <c r="Z190" i="6"/>
  <c r="V187" i="5"/>
  <c r="N187" i="5"/>
  <c r="T187" i="5" s="1"/>
  <c r="C191" i="3"/>
  <c r="E191" i="3"/>
  <c r="P191" i="3" s="1"/>
  <c r="D191" i="3"/>
  <c r="R191" i="3"/>
  <c r="Q191" i="3"/>
  <c r="G191" i="3"/>
  <c r="AA192" i="3" s="1"/>
  <c r="Z190" i="3"/>
  <c r="R191" i="6"/>
  <c r="G191" i="6"/>
  <c r="AA192" i="6" s="1"/>
  <c r="Q191" i="6"/>
  <c r="C191" i="6"/>
  <c r="D191" i="6"/>
  <c r="E191" i="6"/>
  <c r="P191" i="6" s="1"/>
  <c r="M191" i="6"/>
  <c r="U191" i="4"/>
  <c r="J191" i="4"/>
  <c r="K191" i="4" s="1"/>
  <c r="W191" i="4" s="1"/>
  <c r="L191" i="4"/>
  <c r="X190" i="6"/>
  <c r="X190" i="3"/>
  <c r="F191" i="3" l="1"/>
  <c r="H191" i="3" s="1"/>
  <c r="Z187" i="5"/>
  <c r="X187" i="5"/>
  <c r="V191" i="4"/>
  <c r="N191" i="4"/>
  <c r="T191" i="4" s="1"/>
  <c r="Z191" i="4"/>
  <c r="I191" i="3"/>
  <c r="U191" i="3" s="1"/>
  <c r="O191" i="3"/>
  <c r="F191" i="6"/>
  <c r="H191" i="6" s="1"/>
  <c r="G188" i="5"/>
  <c r="AA189" i="5" s="1"/>
  <c r="R188" i="5"/>
  <c r="C188" i="5"/>
  <c r="Q188" i="5"/>
  <c r="D188" i="5"/>
  <c r="M188" i="5"/>
  <c r="E188" i="5"/>
  <c r="D192" i="4" l="1"/>
  <c r="M192" i="4"/>
  <c r="C192" i="4"/>
  <c r="E192" i="4"/>
  <c r="P192" i="4" s="1"/>
  <c r="G192" i="4"/>
  <c r="AA193" i="4" s="1"/>
  <c r="Q192" i="4"/>
  <c r="R192" i="4"/>
  <c r="F192" i="4"/>
  <c r="F188" i="5"/>
  <c r="H188" i="5" s="1"/>
  <c r="X191" i="4"/>
  <c r="O191" i="6"/>
  <c r="P188" i="5"/>
  <c r="I191" i="6"/>
  <c r="U191" i="6" s="1"/>
  <c r="J191" i="3"/>
  <c r="L191" i="3"/>
  <c r="K191" i="3" l="1"/>
  <c r="W191" i="3" s="1"/>
  <c r="O192" i="4"/>
  <c r="O188" i="5"/>
  <c r="I188" i="5"/>
  <c r="L188" i="5" s="1"/>
  <c r="L191" i="6"/>
  <c r="H192" i="4"/>
  <c r="J191" i="6"/>
  <c r="K191" i="6" s="1"/>
  <c r="W191" i="6" s="1"/>
  <c r="V191" i="3"/>
  <c r="N191" i="3"/>
  <c r="T191" i="3" s="1"/>
  <c r="X191" i="3" l="1"/>
  <c r="Z191" i="3"/>
  <c r="V191" i="6"/>
  <c r="N191" i="6"/>
  <c r="T191" i="6" s="1"/>
  <c r="U188" i="5"/>
  <c r="G192" i="3"/>
  <c r="AA193" i="3" s="1"/>
  <c r="E192" i="3"/>
  <c r="P192" i="3" s="1"/>
  <c r="C192" i="3"/>
  <c r="D192" i="3"/>
  <c r="R192" i="3"/>
  <c r="Q192" i="3"/>
  <c r="I192" i="4"/>
  <c r="V188" i="5"/>
  <c r="N188" i="5"/>
  <c r="J188" i="5"/>
  <c r="K188" i="5" s="1"/>
  <c r="W188" i="5" s="1"/>
  <c r="T188" i="5" l="1"/>
  <c r="F192" i="3"/>
  <c r="Z188" i="5"/>
  <c r="U192" i="4"/>
  <c r="J192" i="4"/>
  <c r="K192" i="4" s="1"/>
  <c r="W192" i="4" s="1"/>
  <c r="E192" i="6"/>
  <c r="D192" i="6"/>
  <c r="C192" i="6"/>
  <c r="G192" i="6"/>
  <c r="AA193" i="6" s="1"/>
  <c r="R192" i="6"/>
  <c r="Q192" i="6"/>
  <c r="M192" i="6"/>
  <c r="Z191" i="6"/>
  <c r="L192" i="4"/>
  <c r="M189" i="5"/>
  <c r="C189" i="5"/>
  <c r="G189" i="5"/>
  <c r="AA190" i="5" s="1"/>
  <c r="R189" i="5"/>
  <c r="Q189" i="5"/>
  <c r="E189" i="5"/>
  <c r="P189" i="5" s="1"/>
  <c r="D189" i="5"/>
  <c r="H192" i="3"/>
  <c r="X191" i="6"/>
  <c r="X188" i="5"/>
  <c r="F192" i="6" l="1"/>
  <c r="H192" i="6"/>
  <c r="I192" i="6"/>
  <c r="U192" i="6" s="1"/>
  <c r="O192" i="6"/>
  <c r="P192" i="6"/>
  <c r="H189" i="5"/>
  <c r="V192" i="4"/>
  <c r="N192" i="4"/>
  <c r="J192" i="3"/>
  <c r="K192" i="3" s="1"/>
  <c r="W192" i="3" s="1"/>
  <c r="O192" i="3"/>
  <c r="F189" i="5"/>
  <c r="I192" i="3"/>
  <c r="U192" i="3" s="1"/>
  <c r="O189" i="5" l="1"/>
  <c r="I189" i="5"/>
  <c r="U189" i="5" s="1"/>
  <c r="T192" i="4"/>
  <c r="X192" i="4"/>
  <c r="J192" i="6"/>
  <c r="L192" i="3"/>
  <c r="L192" i="6"/>
  <c r="L189" i="5" l="1"/>
  <c r="V192" i="3"/>
  <c r="N192" i="3"/>
  <c r="T192" i="3" s="1"/>
  <c r="K192" i="6"/>
  <c r="W192" i="6" s="1"/>
  <c r="Q193" i="4"/>
  <c r="G193" i="4"/>
  <c r="AA194" i="4" s="1"/>
  <c r="P193" i="4"/>
  <c r="F193" i="4"/>
  <c r="H193" i="4" s="1"/>
  <c r="R193" i="4"/>
  <c r="M193" i="4"/>
  <c r="C193" i="4"/>
  <c r="D193" i="4"/>
  <c r="E193" i="4"/>
  <c r="Z192" i="4"/>
  <c r="V192" i="6"/>
  <c r="N192" i="6"/>
  <c r="J189" i="5"/>
  <c r="V189" i="5"/>
  <c r="N189" i="5"/>
  <c r="Z192" i="3"/>
  <c r="X192" i="3"/>
  <c r="I193" i="4" l="1"/>
  <c r="U193" i="4" s="1"/>
  <c r="T192" i="6"/>
  <c r="Q193" i="6" s="1"/>
  <c r="K189" i="5"/>
  <c r="W189" i="5" s="1"/>
  <c r="Z192" i="6"/>
  <c r="T189" i="5"/>
  <c r="E193" i="3"/>
  <c r="P193" i="3" s="1"/>
  <c r="D193" i="3"/>
  <c r="C193" i="3"/>
  <c r="Q193" i="3"/>
  <c r="G193" i="3"/>
  <c r="AA194" i="3" s="1"/>
  <c r="R193" i="3"/>
  <c r="E193" i="6"/>
  <c r="M193" i="6"/>
  <c r="R193" i="6"/>
  <c r="C193" i="6"/>
  <c r="F193" i="6" s="1"/>
  <c r="D193" i="6"/>
  <c r="O193" i="4"/>
  <c r="X192" i="6"/>
  <c r="X189" i="5"/>
  <c r="J193" i="4"/>
  <c r="K193" i="4" s="1"/>
  <c r="W193" i="4" s="1"/>
  <c r="P193" i="6" l="1"/>
  <c r="G193" i="6"/>
  <c r="AA194" i="6" s="1"/>
  <c r="L193" i="4"/>
  <c r="H193" i="6"/>
  <c r="I193" i="6" s="1"/>
  <c r="F193" i="3"/>
  <c r="P190" i="5"/>
  <c r="E190" i="5"/>
  <c r="F190" i="5" s="1"/>
  <c r="O190" i="5" s="1"/>
  <c r="R190" i="5"/>
  <c r="D190" i="5"/>
  <c r="Q190" i="5"/>
  <c r="C190" i="5"/>
  <c r="G190" i="5"/>
  <c r="AA191" i="5" s="1"/>
  <c r="M190" i="5"/>
  <c r="O193" i="6"/>
  <c r="Z189" i="5"/>
  <c r="V193" i="4" l="1"/>
  <c r="N193" i="4"/>
  <c r="X193" i="4"/>
  <c r="U193" i="6"/>
  <c r="J193" i="6"/>
  <c r="K193" i="6" s="1"/>
  <c r="W193" i="6" s="1"/>
  <c r="O193" i="3"/>
  <c r="H193" i="3"/>
  <c r="L193" i="6"/>
  <c r="H190" i="5"/>
  <c r="T193" i="4" l="1"/>
  <c r="I193" i="3"/>
  <c r="V193" i="6"/>
  <c r="N193" i="6"/>
  <c r="L193" i="3"/>
  <c r="I190" i="5"/>
  <c r="Q194" i="4" l="1"/>
  <c r="M194" i="4"/>
  <c r="G194" i="4"/>
  <c r="AA195" i="4" s="1"/>
  <c r="E194" i="4"/>
  <c r="P194" i="4" s="1"/>
  <c r="C194" i="4"/>
  <c r="D194" i="4"/>
  <c r="R194" i="4"/>
  <c r="Z193" i="4"/>
  <c r="V193" i="3"/>
  <c r="N193" i="3"/>
  <c r="U190" i="5"/>
  <c r="J190" i="5"/>
  <c r="K190" i="5" s="1"/>
  <c r="W190" i="5" s="1"/>
  <c r="U193" i="3"/>
  <c r="J193" i="3"/>
  <c r="K193" i="3" s="1"/>
  <c r="W193" i="3" s="1"/>
  <c r="L190" i="5"/>
  <c r="T193" i="6"/>
  <c r="Z193" i="6" s="1"/>
  <c r="X193" i="6"/>
  <c r="F194" i="4" l="1"/>
  <c r="V190" i="5"/>
  <c r="N190" i="5"/>
  <c r="R194" i="6"/>
  <c r="Q194" i="6"/>
  <c r="E194" i="6"/>
  <c r="F194" i="6" s="1"/>
  <c r="D194" i="6"/>
  <c r="M194" i="6"/>
  <c r="G194" i="6"/>
  <c r="AA195" i="6" s="1"/>
  <c r="C194" i="6"/>
  <c r="T193" i="3"/>
  <c r="X193" i="3"/>
  <c r="H194" i="4" l="1"/>
  <c r="I194" i="4" s="1"/>
  <c r="O194" i="4"/>
  <c r="P194" i="6"/>
  <c r="U194" i="4"/>
  <c r="J194" i="4"/>
  <c r="K194" i="4" s="1"/>
  <c r="W194" i="4" s="1"/>
  <c r="H194" i="6"/>
  <c r="I194" i="6" s="1"/>
  <c r="D194" i="3"/>
  <c r="E194" i="3"/>
  <c r="R194" i="3"/>
  <c r="C194" i="3"/>
  <c r="Q194" i="3"/>
  <c r="G194" i="3"/>
  <c r="AA195" i="3" s="1"/>
  <c r="Z193" i="3"/>
  <c r="L194" i="4"/>
  <c r="O194" i="6"/>
  <c r="T190" i="5"/>
  <c r="Z190" i="5" s="1"/>
  <c r="X190" i="5"/>
  <c r="U194" i="6" l="1"/>
  <c r="J194" i="6"/>
  <c r="K194" i="6" s="1"/>
  <c r="W194" i="6" s="1"/>
  <c r="F194" i="3"/>
  <c r="H194" i="3" s="1"/>
  <c r="O194" i="3"/>
  <c r="L194" i="6"/>
  <c r="V194" i="4"/>
  <c r="N194" i="4"/>
  <c r="T194" i="4" s="1"/>
  <c r="P194" i="3"/>
  <c r="X194" i="4"/>
  <c r="R191" i="5"/>
  <c r="M191" i="5"/>
  <c r="C191" i="5"/>
  <c r="D191" i="5"/>
  <c r="E191" i="5"/>
  <c r="Q191" i="5"/>
  <c r="P191" i="5"/>
  <c r="G191" i="5"/>
  <c r="AA192" i="5" s="1"/>
  <c r="V194" i="6" l="1"/>
  <c r="N194" i="6"/>
  <c r="T194" i="6" s="1"/>
  <c r="Z194" i="4"/>
  <c r="M195" i="4"/>
  <c r="C195" i="4"/>
  <c r="D195" i="4"/>
  <c r="R195" i="4"/>
  <c r="Q195" i="4"/>
  <c r="G195" i="4"/>
  <c r="AA196" i="4" s="1"/>
  <c r="E195" i="4"/>
  <c r="F191" i="5"/>
  <c r="X194" i="6"/>
  <c r="I194" i="3"/>
  <c r="Z194" i="6" l="1"/>
  <c r="U194" i="3"/>
  <c r="J194" i="3"/>
  <c r="K194" i="3" s="1"/>
  <c r="W194" i="3" s="1"/>
  <c r="R195" i="6"/>
  <c r="D195" i="6"/>
  <c r="Q195" i="6"/>
  <c r="C195" i="6"/>
  <c r="F195" i="6" s="1"/>
  <c r="E195" i="6"/>
  <c r="P195" i="6" s="1"/>
  <c r="M195" i="6"/>
  <c r="G195" i="6"/>
  <c r="AA196" i="6" s="1"/>
  <c r="O191" i="5"/>
  <c r="H191" i="5"/>
  <c r="P195" i="4"/>
  <c r="L194" i="3"/>
  <c r="F195" i="4"/>
  <c r="O195" i="4" l="1"/>
  <c r="H195" i="4"/>
  <c r="I195" i="4" s="1"/>
  <c r="V194" i="3"/>
  <c r="N194" i="3"/>
  <c r="T194" i="3" s="1"/>
  <c r="X194" i="3"/>
  <c r="H195" i="6"/>
  <c r="I195" i="6"/>
  <c r="U195" i="6" s="1"/>
  <c r="O195" i="6"/>
  <c r="I191" i="5"/>
  <c r="J195" i="6" l="1"/>
  <c r="K195" i="6" s="1"/>
  <c r="W195" i="6"/>
  <c r="U195" i="4"/>
  <c r="J195" i="4"/>
  <c r="K195" i="4" s="1"/>
  <c r="W195" i="4" s="1"/>
  <c r="U191" i="5"/>
  <c r="J191" i="5"/>
  <c r="E195" i="3"/>
  <c r="F195" i="3" s="1"/>
  <c r="R195" i="3"/>
  <c r="G195" i="3"/>
  <c r="AA196" i="3" s="1"/>
  <c r="Q195" i="3"/>
  <c r="D195" i="3"/>
  <c r="C195" i="3"/>
  <c r="Z194" i="3"/>
  <c r="L195" i="4"/>
  <c r="L191" i="5"/>
  <c r="L195" i="6"/>
  <c r="O195" i="3" l="1"/>
  <c r="V195" i="6"/>
  <c r="N195" i="6"/>
  <c r="T195" i="6" s="1"/>
  <c r="V191" i="5"/>
  <c r="N191" i="5"/>
  <c r="V195" i="4"/>
  <c r="N195" i="4"/>
  <c r="K191" i="5"/>
  <c r="P195" i="3"/>
  <c r="H195" i="3"/>
  <c r="T191" i="5" l="1"/>
  <c r="D196" i="6"/>
  <c r="R196" i="6"/>
  <c r="G196" i="6"/>
  <c r="AA197" i="6" s="1"/>
  <c r="Q196" i="6"/>
  <c r="E196" i="6"/>
  <c r="C196" i="6"/>
  <c r="M196" i="6"/>
  <c r="X191" i="5"/>
  <c r="M192" i="5"/>
  <c r="G192" i="5"/>
  <c r="AA193" i="5" s="1"/>
  <c r="R192" i="5"/>
  <c r="Q192" i="5"/>
  <c r="E192" i="5"/>
  <c r="D192" i="5"/>
  <c r="C192" i="5"/>
  <c r="P192" i="5" s="1"/>
  <c r="X195" i="6"/>
  <c r="W191" i="5"/>
  <c r="Z191" i="5"/>
  <c r="Z195" i="6"/>
  <c r="T195" i="4"/>
  <c r="X195" i="4"/>
  <c r="Z195" i="4"/>
  <c r="I195" i="3"/>
  <c r="L195" i="3" s="1"/>
  <c r="F196" i="6" l="1"/>
  <c r="O196" i="6"/>
  <c r="H196" i="6"/>
  <c r="I196" i="6"/>
  <c r="U196" i="6" s="1"/>
  <c r="P196" i="6"/>
  <c r="U195" i="3"/>
  <c r="J195" i="3"/>
  <c r="E196" i="4"/>
  <c r="P196" i="4" s="1"/>
  <c r="Q196" i="4"/>
  <c r="G196" i="4"/>
  <c r="AA197" i="4" s="1"/>
  <c r="R196" i="4"/>
  <c r="D196" i="4"/>
  <c r="C196" i="4"/>
  <c r="M196" i="4"/>
  <c r="V195" i="3"/>
  <c r="N195" i="3"/>
  <c r="F192" i="5"/>
  <c r="K195" i="3" l="1"/>
  <c r="W195" i="3" s="1"/>
  <c r="X195" i="3"/>
  <c r="J196" i="6"/>
  <c r="K196" i="6" s="1"/>
  <c r="W196" i="6" s="1"/>
  <c r="O192" i="5"/>
  <c r="L196" i="6"/>
  <c r="H192" i="5"/>
  <c r="F196" i="4"/>
  <c r="O196" i="4" l="1"/>
  <c r="T195" i="3"/>
  <c r="H196" i="4"/>
  <c r="I196" i="4" s="1"/>
  <c r="I192" i="5"/>
  <c r="V196" i="6"/>
  <c r="N196" i="6"/>
  <c r="X196" i="6" s="1"/>
  <c r="U196" i="4" l="1"/>
  <c r="J196" i="4"/>
  <c r="K196" i="4" s="1"/>
  <c r="W196" i="4" s="1"/>
  <c r="U192" i="5"/>
  <c r="J192" i="5"/>
  <c r="K192" i="5" s="1"/>
  <c r="W192" i="5" s="1"/>
  <c r="L192" i="5"/>
  <c r="R196" i="3"/>
  <c r="D196" i="3"/>
  <c r="E196" i="3"/>
  <c r="P196" i="3" s="1"/>
  <c r="C196" i="3"/>
  <c r="Q196" i="3"/>
  <c r="G196" i="3"/>
  <c r="AA197" i="3" s="1"/>
  <c r="Z195" i="3"/>
  <c r="T196" i="6"/>
  <c r="Z196" i="6"/>
  <c r="L196" i="4"/>
  <c r="Q197" i="6" l="1"/>
  <c r="G197" i="6"/>
  <c r="AA198" i="6" s="1"/>
  <c r="M197" i="6"/>
  <c r="E197" i="6"/>
  <c r="R197" i="6"/>
  <c r="D197" i="6"/>
  <c r="C197" i="6"/>
  <c r="V192" i="5"/>
  <c r="N192" i="5"/>
  <c r="X192" i="5" s="1"/>
  <c r="V196" i="4"/>
  <c r="N196" i="4"/>
  <c r="F196" i="3"/>
  <c r="P197" i="6" l="1"/>
  <c r="F197" i="6"/>
  <c r="T192" i="5"/>
  <c r="Z192" i="5"/>
  <c r="O196" i="3"/>
  <c r="H196" i="3"/>
  <c r="T196" i="4"/>
  <c r="X196" i="4"/>
  <c r="H197" i="6"/>
  <c r="R197" i="4" l="1"/>
  <c r="M197" i="4"/>
  <c r="C197" i="4"/>
  <c r="G197" i="4"/>
  <c r="AA198" i="4" s="1"/>
  <c r="E197" i="4"/>
  <c r="D197" i="4"/>
  <c r="Q197" i="4"/>
  <c r="Z196" i="4"/>
  <c r="L196" i="3"/>
  <c r="E193" i="5"/>
  <c r="F193" i="5" s="1"/>
  <c r="D193" i="5"/>
  <c r="G193" i="5"/>
  <c r="AA194" i="5" s="1"/>
  <c r="C193" i="5"/>
  <c r="R193" i="5"/>
  <c r="Q193" i="5"/>
  <c r="P193" i="5"/>
  <c r="M193" i="5"/>
  <c r="J197" i="6"/>
  <c r="K197" i="6" s="1"/>
  <c r="W197" i="6" s="1"/>
  <c r="O197" i="6"/>
  <c r="I197" i="6"/>
  <c r="U197" i="6" s="1"/>
  <c r="I196" i="3"/>
  <c r="V196" i="3" l="1"/>
  <c r="N196" i="3"/>
  <c r="H193" i="5"/>
  <c r="U196" i="3"/>
  <c r="J196" i="3"/>
  <c r="K196" i="3" s="1"/>
  <c r="W196" i="3" s="1"/>
  <c r="X196" i="3"/>
  <c r="F197" i="4"/>
  <c r="O193" i="5"/>
  <c r="P197" i="4"/>
  <c r="L197" i="6"/>
  <c r="O197" i="4" l="1"/>
  <c r="T196" i="3"/>
  <c r="H197" i="4"/>
  <c r="I197" i="4" s="1"/>
  <c r="V197" i="6"/>
  <c r="N197" i="6"/>
  <c r="T197" i="6" s="1"/>
  <c r="X197" i="6"/>
  <c r="I193" i="5"/>
  <c r="L193" i="5" s="1"/>
  <c r="V193" i="5" l="1"/>
  <c r="N193" i="5"/>
  <c r="U197" i="4"/>
  <c r="J197" i="4"/>
  <c r="K197" i="4" s="1"/>
  <c r="W197" i="4" s="1"/>
  <c r="Q197" i="3"/>
  <c r="E197" i="3"/>
  <c r="D197" i="3"/>
  <c r="G197" i="3"/>
  <c r="AA198" i="3" s="1"/>
  <c r="C197" i="3"/>
  <c r="R197" i="3"/>
  <c r="Z196" i="3"/>
  <c r="R198" i="6"/>
  <c r="G198" i="6"/>
  <c r="AA199" i="6" s="1"/>
  <c r="Q198" i="6"/>
  <c r="M198" i="6"/>
  <c r="E198" i="6"/>
  <c r="P198" i="6" s="1"/>
  <c r="D198" i="6"/>
  <c r="C198" i="6"/>
  <c r="F198" i="6" s="1"/>
  <c r="O198" i="6" s="1"/>
  <c r="U193" i="5"/>
  <c r="J193" i="5"/>
  <c r="K193" i="5" s="1"/>
  <c r="W193" i="5" s="1"/>
  <c r="L197" i="4"/>
  <c r="Z197" i="6"/>
  <c r="X193" i="5"/>
  <c r="P197" i="3" l="1"/>
  <c r="F197" i="3"/>
  <c r="H197" i="3"/>
  <c r="T193" i="5"/>
  <c r="H198" i="6"/>
  <c r="V197" i="4"/>
  <c r="N197" i="4"/>
  <c r="R194" i="5" l="1"/>
  <c r="Q194" i="5"/>
  <c r="G194" i="5"/>
  <c r="AA195" i="5" s="1"/>
  <c r="E194" i="5"/>
  <c r="D194" i="5"/>
  <c r="C194" i="5"/>
  <c r="M194" i="5"/>
  <c r="Z193" i="5"/>
  <c r="I197" i="3"/>
  <c r="U197" i="3" s="1"/>
  <c r="O197" i="3"/>
  <c r="T197" i="4"/>
  <c r="Z197" i="4"/>
  <c r="X197" i="4"/>
  <c r="I198" i="6"/>
  <c r="P194" i="5" l="1"/>
  <c r="J197" i="3"/>
  <c r="K197" i="3" s="1"/>
  <c r="W197" i="3" s="1"/>
  <c r="U198" i="6"/>
  <c r="J198" i="6"/>
  <c r="K198" i="6" s="1"/>
  <c r="W198" i="6" s="1"/>
  <c r="L198" i="6"/>
  <c r="M198" i="4"/>
  <c r="C198" i="4"/>
  <c r="P198" i="4" s="1"/>
  <c r="Q198" i="4"/>
  <c r="D198" i="4"/>
  <c r="E198" i="4"/>
  <c r="R198" i="4"/>
  <c r="G198" i="4"/>
  <c r="AA199" i="4" s="1"/>
  <c r="F194" i="5"/>
  <c r="L197" i="3"/>
  <c r="H194" i="5" l="1"/>
  <c r="I194" i="5" s="1"/>
  <c r="F198" i="4"/>
  <c r="H198" i="4" s="1"/>
  <c r="I198" i="4" s="1"/>
  <c r="U198" i="4" s="1"/>
  <c r="O198" i="4"/>
  <c r="O194" i="5"/>
  <c r="V198" i="6"/>
  <c r="N198" i="6"/>
  <c r="T198" i="6" s="1"/>
  <c r="X198" i="6"/>
  <c r="V197" i="3"/>
  <c r="N197" i="3"/>
  <c r="T197" i="3" s="1"/>
  <c r="U194" i="5" l="1"/>
  <c r="L194" i="5"/>
  <c r="J194" i="5"/>
  <c r="K194" i="5" s="1"/>
  <c r="W194" i="5" s="1"/>
  <c r="Z197" i="3"/>
  <c r="V194" i="5"/>
  <c r="N194" i="5"/>
  <c r="X194" i="5" s="1"/>
  <c r="X197" i="3"/>
  <c r="M199" i="6"/>
  <c r="C199" i="6"/>
  <c r="D199" i="6"/>
  <c r="E199" i="6"/>
  <c r="R199" i="6"/>
  <c r="Q199" i="6"/>
  <c r="G199" i="6"/>
  <c r="AA200" i="6" s="1"/>
  <c r="D198" i="3"/>
  <c r="E198" i="3"/>
  <c r="C198" i="3"/>
  <c r="F198" i="3" s="1"/>
  <c r="R198" i="3"/>
  <c r="Q198" i="3"/>
  <c r="G198" i="3"/>
  <c r="AA199" i="3" s="1"/>
  <c r="J198" i="4"/>
  <c r="L198" i="4"/>
  <c r="Z198" i="6"/>
  <c r="P199" i="6" l="1"/>
  <c r="P198" i="3"/>
  <c r="V198" i="4"/>
  <c r="N198" i="4"/>
  <c r="K198" i="4"/>
  <c r="W198" i="4" s="1"/>
  <c r="H198" i="3"/>
  <c r="F199" i="6"/>
  <c r="H199" i="6" s="1"/>
  <c r="O198" i="3"/>
  <c r="T194" i="5"/>
  <c r="Z194" i="5"/>
  <c r="I199" i="6" l="1"/>
  <c r="U199" i="6" s="1"/>
  <c r="X198" i="4"/>
  <c r="L199" i="6"/>
  <c r="C195" i="5"/>
  <c r="M195" i="5"/>
  <c r="D195" i="5"/>
  <c r="G195" i="5"/>
  <c r="AA196" i="5" s="1"/>
  <c r="E195" i="5"/>
  <c r="P195" i="5" s="1"/>
  <c r="R195" i="5"/>
  <c r="Q195" i="5"/>
  <c r="T198" i="4"/>
  <c r="J199" i="6"/>
  <c r="K199" i="6" s="1"/>
  <c r="W199" i="6" s="1"/>
  <c r="O199" i="6"/>
  <c r="I198" i="3"/>
  <c r="F195" i="5" l="1"/>
  <c r="O195" i="5" s="1"/>
  <c r="U198" i="3"/>
  <c r="J198" i="3"/>
  <c r="K198" i="3" s="1"/>
  <c r="W198" i="3" s="1"/>
  <c r="H195" i="5"/>
  <c r="V199" i="6"/>
  <c r="N199" i="6"/>
  <c r="X199" i="6" s="1"/>
  <c r="E199" i="4"/>
  <c r="P199" i="4" s="1"/>
  <c r="D199" i="4"/>
  <c r="M199" i="4"/>
  <c r="C199" i="4"/>
  <c r="G199" i="4"/>
  <c r="AA200" i="4" s="1"/>
  <c r="R199" i="4"/>
  <c r="Q199" i="4"/>
  <c r="Z198" i="4"/>
  <c r="L198" i="3"/>
  <c r="F199" i="4" l="1"/>
  <c r="O199" i="4" s="1"/>
  <c r="T199" i="6"/>
  <c r="V198" i="3"/>
  <c r="N198" i="3"/>
  <c r="T198" i="3" s="1"/>
  <c r="I195" i="5"/>
  <c r="L195" i="5" s="1"/>
  <c r="X198" i="3"/>
  <c r="H199" i="4" l="1"/>
  <c r="Z198" i="3"/>
  <c r="G200" i="6"/>
  <c r="AA201" i="6" s="1"/>
  <c r="E200" i="6"/>
  <c r="M200" i="6"/>
  <c r="C200" i="6"/>
  <c r="D200" i="6"/>
  <c r="R200" i="6"/>
  <c r="Q200" i="6"/>
  <c r="Z199" i="6"/>
  <c r="V195" i="5"/>
  <c r="N195" i="5"/>
  <c r="U195" i="5"/>
  <c r="J195" i="5"/>
  <c r="Q199" i="3"/>
  <c r="G199" i="3"/>
  <c r="AA200" i="3" s="1"/>
  <c r="R199" i="3"/>
  <c r="F199" i="3"/>
  <c r="E199" i="3"/>
  <c r="P199" i="3" s="1"/>
  <c r="D199" i="3"/>
  <c r="C199" i="3"/>
  <c r="I199" i="4"/>
  <c r="H199" i="3" l="1"/>
  <c r="O199" i="3"/>
  <c r="F200" i="6"/>
  <c r="I199" i="3"/>
  <c r="U199" i="3" s="1"/>
  <c r="U199" i="4"/>
  <c r="J199" i="4"/>
  <c r="K199" i="4" s="1"/>
  <c r="W199" i="4" s="1"/>
  <c r="P200" i="6"/>
  <c r="K195" i="5"/>
  <c r="W195" i="5" s="1"/>
  <c r="L199" i="4"/>
  <c r="V199" i="4" l="1"/>
  <c r="N199" i="4"/>
  <c r="H200" i="6"/>
  <c r="O200" i="6"/>
  <c r="T195" i="5"/>
  <c r="L199" i="3"/>
  <c r="J199" i="3"/>
  <c r="X195" i="5"/>
  <c r="I200" i="6" l="1"/>
  <c r="D196" i="5"/>
  <c r="M196" i="5"/>
  <c r="C196" i="5"/>
  <c r="R196" i="5"/>
  <c r="Q196" i="5"/>
  <c r="G196" i="5"/>
  <c r="AA197" i="5" s="1"/>
  <c r="E196" i="5"/>
  <c r="P196" i="5" s="1"/>
  <c r="T199" i="4"/>
  <c r="X199" i="4"/>
  <c r="K199" i="3"/>
  <c r="W199" i="3" s="1"/>
  <c r="V199" i="3"/>
  <c r="N199" i="3"/>
  <c r="T199" i="3" s="1"/>
  <c r="Z195" i="5"/>
  <c r="R200" i="4" l="1"/>
  <c r="Q200" i="4"/>
  <c r="G200" i="4"/>
  <c r="AA201" i="4" s="1"/>
  <c r="D200" i="4"/>
  <c r="M200" i="4"/>
  <c r="E200" i="4"/>
  <c r="P200" i="4" s="1"/>
  <c r="C200" i="4"/>
  <c r="C200" i="3"/>
  <c r="F200" i="3" s="1"/>
  <c r="O200" i="3" s="1"/>
  <c r="Q200" i="3"/>
  <c r="D200" i="3"/>
  <c r="R200" i="3"/>
  <c r="G200" i="3"/>
  <c r="AA201" i="3" s="1"/>
  <c r="E200" i="3"/>
  <c r="F196" i="5"/>
  <c r="Z199" i="4"/>
  <c r="U200" i="6"/>
  <c r="J200" i="6"/>
  <c r="K200" i="6" s="1"/>
  <c r="W200" i="6" s="1"/>
  <c r="Z199" i="3"/>
  <c r="X199" i="3"/>
  <c r="L200" i="6"/>
  <c r="P200" i="3" l="1"/>
  <c r="F200" i="4"/>
  <c r="V200" i="6"/>
  <c r="N200" i="6"/>
  <c r="T200" i="6" s="1"/>
  <c r="H200" i="4"/>
  <c r="X200" i="6"/>
  <c r="I200" i="4"/>
  <c r="U200" i="4" s="1"/>
  <c r="O196" i="5"/>
  <c r="H196" i="5"/>
  <c r="H200" i="3"/>
  <c r="E201" i="6" l="1"/>
  <c r="D201" i="6"/>
  <c r="C201" i="6"/>
  <c r="P201" i="6" s="1"/>
  <c r="Q201" i="6"/>
  <c r="F201" i="6"/>
  <c r="R201" i="6"/>
  <c r="G201" i="6"/>
  <c r="AA202" i="6" s="1"/>
  <c r="M201" i="6"/>
  <c r="Z200" i="6"/>
  <c r="L200" i="4"/>
  <c r="O200" i="4"/>
  <c r="J200" i="4"/>
  <c r="K200" i="4" s="1"/>
  <c r="W200" i="4" s="1"/>
  <c r="I196" i="5"/>
  <c r="I200" i="3"/>
  <c r="U196" i="5" l="1"/>
  <c r="J196" i="5"/>
  <c r="U200" i="3"/>
  <c r="J200" i="3"/>
  <c r="O201" i="6"/>
  <c r="H201" i="6"/>
  <c r="L196" i="5"/>
  <c r="V200" i="4"/>
  <c r="N200" i="4"/>
  <c r="L200" i="3"/>
  <c r="K200" i="3" l="1"/>
  <c r="W200" i="3" s="1"/>
  <c r="T200" i="4"/>
  <c r="Z200" i="4"/>
  <c r="L201" i="6"/>
  <c r="V200" i="3"/>
  <c r="N200" i="3"/>
  <c r="T200" i="3" s="1"/>
  <c r="V196" i="5"/>
  <c r="N196" i="5"/>
  <c r="K196" i="5"/>
  <c r="X200" i="4"/>
  <c r="I201" i="6"/>
  <c r="X196" i="5" l="1"/>
  <c r="C201" i="3"/>
  <c r="R201" i="3"/>
  <c r="Q201" i="3"/>
  <c r="G201" i="3"/>
  <c r="AA202" i="3" s="1"/>
  <c r="E201" i="3"/>
  <c r="P201" i="3" s="1"/>
  <c r="D201" i="3"/>
  <c r="U201" i="6"/>
  <c r="J201" i="6"/>
  <c r="Q201" i="4"/>
  <c r="D201" i="4"/>
  <c r="E201" i="4"/>
  <c r="C201" i="4"/>
  <c r="R201" i="4"/>
  <c r="M201" i="4"/>
  <c r="G201" i="4"/>
  <c r="AA202" i="4" s="1"/>
  <c r="V201" i="6"/>
  <c r="N201" i="6"/>
  <c r="Z200" i="3"/>
  <c r="W196" i="5"/>
  <c r="X200" i="3"/>
  <c r="T196" i="5"/>
  <c r="P201" i="4" l="1"/>
  <c r="K201" i="6"/>
  <c r="X201" i="6"/>
  <c r="T201" i="6"/>
  <c r="F201" i="3"/>
  <c r="F201" i="4"/>
  <c r="H201" i="4"/>
  <c r="Q197" i="5"/>
  <c r="G197" i="5"/>
  <c r="AA198" i="5" s="1"/>
  <c r="E197" i="5"/>
  <c r="D197" i="5"/>
  <c r="C197" i="5"/>
  <c r="M197" i="5"/>
  <c r="R197" i="5"/>
  <c r="Z196" i="5"/>
  <c r="O201" i="3" l="1"/>
  <c r="M202" i="6"/>
  <c r="G202" i="6"/>
  <c r="AA203" i="6" s="1"/>
  <c r="E202" i="6"/>
  <c r="D202" i="6"/>
  <c r="C202" i="6"/>
  <c r="R202" i="6"/>
  <c r="Q202" i="6"/>
  <c r="O201" i="4"/>
  <c r="F197" i="5"/>
  <c r="H197" i="5" s="1"/>
  <c r="P197" i="5"/>
  <c r="W201" i="6"/>
  <c r="Z201" i="6"/>
  <c r="H201" i="3"/>
  <c r="I201" i="3"/>
  <c r="U201" i="3" s="1"/>
  <c r="I201" i="4"/>
  <c r="U201" i="4" s="1"/>
  <c r="P202" i="6" l="1"/>
  <c r="L201" i="4"/>
  <c r="J201" i="3"/>
  <c r="L201" i="3"/>
  <c r="F202" i="6"/>
  <c r="O197" i="5"/>
  <c r="J201" i="4"/>
  <c r="I197" i="5"/>
  <c r="U197" i="5" s="1"/>
  <c r="O202" i="6" l="1"/>
  <c r="V201" i="3"/>
  <c r="N201" i="3"/>
  <c r="J197" i="5"/>
  <c r="K197" i="5" s="1"/>
  <c r="W197" i="5" s="1"/>
  <c r="K201" i="3"/>
  <c r="W201" i="3" s="1"/>
  <c r="K201" i="4"/>
  <c r="V201" i="4"/>
  <c r="N201" i="4"/>
  <c r="T201" i="4" s="1"/>
  <c r="H202" i="6"/>
  <c r="L197" i="5"/>
  <c r="X201" i="3" l="1"/>
  <c r="W201" i="4"/>
  <c r="X201" i="4"/>
  <c r="D202" i="4"/>
  <c r="M202" i="4"/>
  <c r="C202" i="4"/>
  <c r="E202" i="4"/>
  <c r="P202" i="4" s="1"/>
  <c r="G202" i="4"/>
  <c r="AA203" i="4" s="1"/>
  <c r="R202" i="4"/>
  <c r="Q202" i="4"/>
  <c r="I202" i="6"/>
  <c r="L202" i="6" s="1"/>
  <c r="V197" i="5"/>
  <c r="N197" i="5"/>
  <c r="T197" i="5" s="1"/>
  <c r="T201" i="3"/>
  <c r="Z201" i="4"/>
  <c r="V202" i="6" l="1"/>
  <c r="N202" i="6"/>
  <c r="Z197" i="5"/>
  <c r="F202" i="4"/>
  <c r="G198" i="5"/>
  <c r="AA199" i="5" s="1"/>
  <c r="R198" i="5"/>
  <c r="C198" i="5"/>
  <c r="P198" i="5" s="1"/>
  <c r="Q198" i="5"/>
  <c r="D198" i="5"/>
  <c r="M198" i="5"/>
  <c r="E198" i="5"/>
  <c r="X197" i="5"/>
  <c r="C202" i="3"/>
  <c r="R202" i="3"/>
  <c r="G202" i="3"/>
  <c r="AA203" i="3" s="1"/>
  <c r="E202" i="3"/>
  <c r="P202" i="3" s="1"/>
  <c r="D202" i="3"/>
  <c r="Q202" i="3"/>
  <c r="U202" i="6"/>
  <c r="J202" i="6"/>
  <c r="Z201" i="3"/>
  <c r="H202" i="4" l="1"/>
  <c r="I202" i="4" s="1"/>
  <c r="O202" i="4"/>
  <c r="F202" i="3"/>
  <c r="H202" i="3" s="1"/>
  <c r="F198" i="5"/>
  <c r="K202" i="6"/>
  <c r="W202" i="6" s="1"/>
  <c r="U202" i="4" l="1"/>
  <c r="J202" i="4"/>
  <c r="K202" i="4" s="1"/>
  <c r="W202" i="4" s="1"/>
  <c r="T202" i="6"/>
  <c r="I202" i="3"/>
  <c r="U202" i="3" s="1"/>
  <c r="X202" i="6"/>
  <c r="L202" i="4"/>
  <c r="E203" i="6"/>
  <c r="R203" i="6"/>
  <c r="C203" i="6"/>
  <c r="M203" i="6"/>
  <c r="O198" i="5"/>
  <c r="H198" i="5"/>
  <c r="I198" i="5" s="1"/>
  <c r="U198" i="5" s="1"/>
  <c r="O202" i="3"/>
  <c r="F203" i="6" l="1"/>
  <c r="Z202" i="6"/>
  <c r="J202" i="3"/>
  <c r="K202" i="3" s="1"/>
  <c r="W202" i="3" s="1"/>
  <c r="Q203" i="6"/>
  <c r="L202" i="3"/>
  <c r="N202" i="3" s="1"/>
  <c r="T202" i="3" s="1"/>
  <c r="G203" i="6"/>
  <c r="AA204" i="6" s="1"/>
  <c r="D203" i="6"/>
  <c r="P203" i="6"/>
  <c r="J198" i="5"/>
  <c r="V202" i="3"/>
  <c r="L198" i="5"/>
  <c r="O203" i="6"/>
  <c r="V202" i="4"/>
  <c r="N202" i="4"/>
  <c r="H203" i="6" l="1"/>
  <c r="I203" i="6" s="1"/>
  <c r="V198" i="5"/>
  <c r="N198" i="5"/>
  <c r="K198" i="5"/>
  <c r="W198" i="5" s="1"/>
  <c r="T202" i="4"/>
  <c r="X202" i="4"/>
  <c r="Z202" i="3"/>
  <c r="R203" i="3"/>
  <c r="G203" i="3"/>
  <c r="AA204" i="3" s="1"/>
  <c r="Q203" i="3"/>
  <c r="C203" i="3"/>
  <c r="E203" i="3"/>
  <c r="P203" i="3" s="1"/>
  <c r="D203" i="3"/>
  <c r="X202" i="3"/>
  <c r="U203" i="6" l="1"/>
  <c r="J203" i="6"/>
  <c r="L203" i="6"/>
  <c r="T198" i="5"/>
  <c r="M199" i="5" s="1"/>
  <c r="X198" i="5"/>
  <c r="Z198" i="5"/>
  <c r="V203" i="6"/>
  <c r="N203" i="6"/>
  <c r="T203" i="6" s="1"/>
  <c r="K203" i="6"/>
  <c r="W203" i="6" s="1"/>
  <c r="F203" i="3"/>
  <c r="Q203" i="4"/>
  <c r="G203" i="4"/>
  <c r="AA204" i="4" s="1"/>
  <c r="R203" i="4"/>
  <c r="D203" i="4"/>
  <c r="M203" i="4"/>
  <c r="E203" i="4"/>
  <c r="C203" i="4"/>
  <c r="Z202" i="4"/>
  <c r="E199" i="5" l="1"/>
  <c r="D199" i="5"/>
  <c r="Q199" i="5"/>
  <c r="G199" i="5"/>
  <c r="AA200" i="5" s="1"/>
  <c r="R199" i="5"/>
  <c r="C199" i="5"/>
  <c r="P199" i="5" s="1"/>
  <c r="P203" i="4"/>
  <c r="O203" i="3"/>
  <c r="Z203" i="6"/>
  <c r="X203" i="6"/>
  <c r="R204" i="6"/>
  <c r="M204" i="6"/>
  <c r="C204" i="6"/>
  <c r="G204" i="6"/>
  <c r="AA205" i="6" s="1"/>
  <c r="E204" i="6"/>
  <c r="F204" i="6" s="1"/>
  <c r="D204" i="6"/>
  <c r="P204" i="6"/>
  <c r="Q204" i="6"/>
  <c r="H203" i="3"/>
  <c r="F203" i="4"/>
  <c r="H204" i="6" l="1"/>
  <c r="F199" i="5"/>
  <c r="O204" i="6"/>
  <c r="H203" i="4"/>
  <c r="I204" i="6"/>
  <c r="U204" i="6" s="1"/>
  <c r="O203" i="4"/>
  <c r="I203" i="3"/>
  <c r="O199" i="5" l="1"/>
  <c r="H199" i="5"/>
  <c r="J204" i="6"/>
  <c r="K204" i="6" s="1"/>
  <c r="W204" i="6" s="1"/>
  <c r="I203" i="4"/>
  <c r="U203" i="3"/>
  <c r="J203" i="3"/>
  <c r="L203" i="3"/>
  <c r="L204" i="6"/>
  <c r="I199" i="5" l="1"/>
  <c r="L199" i="5"/>
  <c r="V203" i="3"/>
  <c r="N203" i="3"/>
  <c r="L203" i="4"/>
  <c r="K203" i="3"/>
  <c r="W203" i="3" s="1"/>
  <c r="U203" i="4"/>
  <c r="J203" i="4"/>
  <c r="K203" i="4" s="1"/>
  <c r="W203" i="4" s="1"/>
  <c r="V204" i="6"/>
  <c r="N204" i="6"/>
  <c r="T203" i="3" l="1"/>
  <c r="V199" i="5"/>
  <c r="N199" i="5"/>
  <c r="U199" i="5"/>
  <c r="J199" i="5"/>
  <c r="Z203" i="3"/>
  <c r="V203" i="4"/>
  <c r="N203" i="4"/>
  <c r="E204" i="3"/>
  <c r="P204" i="3" s="1"/>
  <c r="D204" i="3"/>
  <c r="C204" i="3"/>
  <c r="G204" i="3"/>
  <c r="AA205" i="3" s="1"/>
  <c r="R204" i="3"/>
  <c r="Q204" i="3"/>
  <c r="T204" i="6"/>
  <c r="X204" i="6"/>
  <c r="X203" i="3"/>
  <c r="K199" i="5" l="1"/>
  <c r="W199" i="5" s="1"/>
  <c r="X199" i="5"/>
  <c r="R205" i="6"/>
  <c r="G205" i="6"/>
  <c r="AA206" i="6" s="1"/>
  <c r="Q205" i="6"/>
  <c r="E205" i="6"/>
  <c r="M205" i="6"/>
  <c r="D205" i="6"/>
  <c r="C205" i="6"/>
  <c r="Z204" i="6"/>
  <c r="T203" i="4"/>
  <c r="Z203" i="4"/>
  <c r="F204" i="3"/>
  <c r="H204" i="3" s="1"/>
  <c r="X203" i="4"/>
  <c r="F205" i="6" l="1"/>
  <c r="T199" i="5"/>
  <c r="O205" i="6"/>
  <c r="R204" i="4"/>
  <c r="E204" i="4"/>
  <c r="D204" i="4"/>
  <c r="C204" i="4"/>
  <c r="Q204" i="4"/>
  <c r="M204" i="4"/>
  <c r="G204" i="4"/>
  <c r="AA205" i="4" s="1"/>
  <c r="I204" i="3"/>
  <c r="H205" i="6"/>
  <c r="P205" i="6"/>
  <c r="O204" i="3"/>
  <c r="D200" i="5" l="1"/>
  <c r="Q200" i="5"/>
  <c r="C200" i="5"/>
  <c r="H200" i="5" s="1"/>
  <c r="G200" i="5"/>
  <c r="AA201" i="5" s="1"/>
  <c r="E200" i="5"/>
  <c r="F200" i="5" s="1"/>
  <c r="O200" i="5" s="1"/>
  <c r="R200" i="5"/>
  <c r="M200" i="5"/>
  <c r="Z199" i="5"/>
  <c r="P204" i="4"/>
  <c r="U204" i="3"/>
  <c r="L204" i="3"/>
  <c r="F204" i="4"/>
  <c r="J204" i="3"/>
  <c r="I205" i="6"/>
  <c r="P200" i="5" l="1"/>
  <c r="I200" i="5"/>
  <c r="U200" i="5" s="1"/>
  <c r="V204" i="3"/>
  <c r="N204" i="3"/>
  <c r="U205" i="6"/>
  <c r="J205" i="6"/>
  <c r="K204" i="3"/>
  <c r="O204" i="4"/>
  <c r="H204" i="4"/>
  <c r="I204" i="4" s="1"/>
  <c r="L205" i="6"/>
  <c r="X204" i="3" l="1"/>
  <c r="J200" i="5"/>
  <c r="K200" i="5" s="1"/>
  <c r="W200" i="5" s="1"/>
  <c r="L200" i="5"/>
  <c r="U204" i="4"/>
  <c r="J204" i="4"/>
  <c r="K204" i="4" s="1"/>
  <c r="W204" i="4" s="1"/>
  <c r="W204" i="3"/>
  <c r="V205" i="6"/>
  <c r="N205" i="6"/>
  <c r="K205" i="6"/>
  <c r="L204" i="4"/>
  <c r="T204" i="3"/>
  <c r="Z204" i="3" s="1"/>
  <c r="V200" i="5" l="1"/>
  <c r="N200" i="5"/>
  <c r="X200" i="5"/>
  <c r="W205" i="6"/>
  <c r="X205" i="6"/>
  <c r="T205" i="6"/>
  <c r="V204" i="4"/>
  <c r="N204" i="4"/>
  <c r="E205" i="3"/>
  <c r="P205" i="3" s="1"/>
  <c r="C205" i="3"/>
  <c r="R205" i="3"/>
  <c r="Q205" i="3"/>
  <c r="G205" i="3"/>
  <c r="AA206" i="3" s="1"/>
  <c r="D205" i="3"/>
  <c r="T200" i="5" l="1"/>
  <c r="Z200" i="5"/>
  <c r="F205" i="3"/>
  <c r="O205" i="3"/>
  <c r="T204" i="4"/>
  <c r="Z204" i="4" s="1"/>
  <c r="X204" i="4"/>
  <c r="D206" i="6"/>
  <c r="M206" i="6"/>
  <c r="C206" i="6"/>
  <c r="F206" i="6" s="1"/>
  <c r="G206" i="6"/>
  <c r="AA207" i="6" s="1"/>
  <c r="E206" i="6"/>
  <c r="R206" i="6"/>
  <c r="Q206" i="6"/>
  <c r="P206" i="6"/>
  <c r="Z205" i="6"/>
  <c r="H205" i="3"/>
  <c r="M201" i="5" l="1"/>
  <c r="C201" i="5"/>
  <c r="D201" i="5"/>
  <c r="Q201" i="5"/>
  <c r="E201" i="5"/>
  <c r="P201" i="5" s="1"/>
  <c r="G201" i="5"/>
  <c r="AA202" i="5" s="1"/>
  <c r="R201" i="5"/>
  <c r="F201" i="5"/>
  <c r="O201" i="5" s="1"/>
  <c r="O206" i="6"/>
  <c r="I205" i="3"/>
  <c r="M205" i="4"/>
  <c r="C205" i="4"/>
  <c r="D205" i="4"/>
  <c r="Q205" i="4"/>
  <c r="G205" i="4"/>
  <c r="AA206" i="4" s="1"/>
  <c r="E205" i="4"/>
  <c r="P205" i="4" s="1"/>
  <c r="R205" i="4"/>
  <c r="H206" i="6"/>
  <c r="I206" i="6" s="1"/>
  <c r="F205" i="4" l="1"/>
  <c r="H201" i="5"/>
  <c r="I201" i="5"/>
  <c r="U206" i="6"/>
  <c r="J206" i="6"/>
  <c r="K206" i="6" s="1"/>
  <c r="W206" i="6" s="1"/>
  <c r="U205" i="3"/>
  <c r="J205" i="3"/>
  <c r="K205" i="3" s="1"/>
  <c r="W205" i="3" s="1"/>
  <c r="H205" i="4"/>
  <c r="U201" i="5"/>
  <c r="J201" i="5"/>
  <c r="K201" i="5" s="1"/>
  <c r="W201" i="5" s="1"/>
  <c r="O205" i="4"/>
  <c r="L206" i="6"/>
  <c r="L205" i="3"/>
  <c r="L201" i="5"/>
  <c r="V205" i="3" l="1"/>
  <c r="N205" i="3"/>
  <c r="T205" i="3" s="1"/>
  <c r="V201" i="5"/>
  <c r="N201" i="5"/>
  <c r="T201" i="5" s="1"/>
  <c r="X205" i="3"/>
  <c r="Z205" i="3"/>
  <c r="I205" i="4"/>
  <c r="L205" i="4" s="1"/>
  <c r="V206" i="6"/>
  <c r="N206" i="6"/>
  <c r="V205" i="4" l="1"/>
  <c r="N205" i="4"/>
  <c r="X201" i="5"/>
  <c r="T206" i="6"/>
  <c r="Z206" i="6"/>
  <c r="U205" i="4"/>
  <c r="J205" i="4"/>
  <c r="K205" i="4" s="1"/>
  <c r="W205" i="4" s="1"/>
  <c r="M202" i="5"/>
  <c r="G202" i="5"/>
  <c r="AA203" i="5" s="1"/>
  <c r="R202" i="5"/>
  <c r="Q202" i="5"/>
  <c r="E202" i="5"/>
  <c r="D202" i="5"/>
  <c r="C202" i="5"/>
  <c r="P202" i="5" s="1"/>
  <c r="R206" i="3"/>
  <c r="E206" i="3"/>
  <c r="D206" i="3"/>
  <c r="C206" i="3"/>
  <c r="G206" i="3"/>
  <c r="AA207" i="3" s="1"/>
  <c r="Q206" i="3"/>
  <c r="Z201" i="5"/>
  <c r="X206" i="6"/>
  <c r="F206" i="3" l="1"/>
  <c r="H206" i="3" s="1"/>
  <c r="P206" i="3"/>
  <c r="F202" i="5"/>
  <c r="O202" i="5" s="1"/>
  <c r="O206" i="3"/>
  <c r="X205" i="4"/>
  <c r="Q207" i="6"/>
  <c r="G207" i="6"/>
  <c r="AA208" i="6" s="1"/>
  <c r="R207" i="6"/>
  <c r="M207" i="6"/>
  <c r="E207" i="6"/>
  <c r="F207" i="6" s="1"/>
  <c r="O207" i="6" s="1"/>
  <c r="D207" i="6"/>
  <c r="C207" i="6"/>
  <c r="I206" i="3"/>
  <c r="U206" i="3" s="1"/>
  <c r="T205" i="4"/>
  <c r="Z205" i="4" s="1"/>
  <c r="H202" i="5" l="1"/>
  <c r="H207" i="6"/>
  <c r="J206" i="3"/>
  <c r="K206" i="3" s="1"/>
  <c r="W206" i="3" s="1"/>
  <c r="L206" i="3"/>
  <c r="E206" i="4"/>
  <c r="Q206" i="4"/>
  <c r="G206" i="4"/>
  <c r="AA207" i="4" s="1"/>
  <c r="C206" i="4"/>
  <c r="R206" i="4"/>
  <c r="M206" i="4"/>
  <c r="D206" i="4"/>
  <c r="P207" i="6"/>
  <c r="P206" i="4" l="1"/>
  <c r="I202" i="5"/>
  <c r="L202" i="5" s="1"/>
  <c r="V206" i="3"/>
  <c r="N206" i="3"/>
  <c r="F206" i="4"/>
  <c r="I207" i="6"/>
  <c r="N202" i="5" l="1"/>
  <c r="V202" i="5"/>
  <c r="U202" i="5"/>
  <c r="J202" i="5"/>
  <c r="K202" i="5" s="1"/>
  <c r="W202" i="5" s="1"/>
  <c r="X202" i="5"/>
  <c r="U207" i="6"/>
  <c r="J207" i="6"/>
  <c r="O206" i="4"/>
  <c r="T206" i="3"/>
  <c r="X206" i="3"/>
  <c r="L207" i="6"/>
  <c r="H206" i="4"/>
  <c r="T202" i="5" l="1"/>
  <c r="C207" i="3"/>
  <c r="G207" i="3"/>
  <c r="AA208" i="3" s="1"/>
  <c r="E207" i="3"/>
  <c r="D207" i="3"/>
  <c r="R207" i="3"/>
  <c r="Q207" i="3"/>
  <c r="P207" i="3"/>
  <c r="I206" i="4"/>
  <c r="K207" i="6"/>
  <c r="V207" i="6"/>
  <c r="N207" i="6"/>
  <c r="Z206" i="3"/>
  <c r="T207" i="6" l="1"/>
  <c r="C203" i="5"/>
  <c r="R203" i="5"/>
  <c r="M203" i="5"/>
  <c r="Q203" i="5"/>
  <c r="E203" i="5"/>
  <c r="P203" i="5" s="1"/>
  <c r="D203" i="5"/>
  <c r="G203" i="5"/>
  <c r="AA204" i="5" s="1"/>
  <c r="Z202" i="5"/>
  <c r="D208" i="6"/>
  <c r="C208" i="6"/>
  <c r="M208" i="6"/>
  <c r="E208" i="6"/>
  <c r="G208" i="6"/>
  <c r="AA209" i="6" s="1"/>
  <c r="Q208" i="6"/>
  <c r="R208" i="6"/>
  <c r="U206" i="4"/>
  <c r="J206" i="4"/>
  <c r="K206" i="4" s="1"/>
  <c r="W206" i="4" s="1"/>
  <c r="L206" i="4"/>
  <c r="W207" i="6"/>
  <c r="X207" i="6"/>
  <c r="Z207" i="6"/>
  <c r="F207" i="3"/>
  <c r="F203" i="5" l="1"/>
  <c r="O203" i="5" s="1"/>
  <c r="H203" i="5"/>
  <c r="P208" i="6"/>
  <c r="H207" i="3"/>
  <c r="F208" i="6"/>
  <c r="H208" i="6" s="1"/>
  <c r="V206" i="4"/>
  <c r="N206" i="4"/>
  <c r="T206" i="4" s="1"/>
  <c r="O207" i="3"/>
  <c r="X206" i="4"/>
  <c r="Z206" i="4"/>
  <c r="I203" i="5" l="1"/>
  <c r="I207" i="3"/>
  <c r="R207" i="4"/>
  <c r="Q207" i="4"/>
  <c r="D207" i="4"/>
  <c r="G207" i="4"/>
  <c r="AA208" i="4" s="1"/>
  <c r="E207" i="4"/>
  <c r="P207" i="4" s="1"/>
  <c r="C207" i="4"/>
  <c r="M207" i="4"/>
  <c r="I208" i="6"/>
  <c r="U208" i="6" s="1"/>
  <c r="O208" i="6"/>
  <c r="J203" i="5" l="1"/>
  <c r="K203" i="5" s="1"/>
  <c r="W203" i="5" s="1"/>
  <c r="U203" i="5"/>
  <c r="L203" i="5"/>
  <c r="J208" i="6"/>
  <c r="K208" i="6" s="1"/>
  <c r="W208" i="6" s="1"/>
  <c r="F207" i="4"/>
  <c r="H207" i="4" s="1"/>
  <c r="U207" i="3"/>
  <c r="J207" i="3"/>
  <c r="L207" i="3"/>
  <c r="L208" i="6"/>
  <c r="N203" i="5" l="1"/>
  <c r="T203" i="5" s="1"/>
  <c r="C204" i="5" s="1"/>
  <c r="V203" i="5"/>
  <c r="X203" i="5"/>
  <c r="R204" i="5"/>
  <c r="Q204" i="5"/>
  <c r="G204" i="5"/>
  <c r="AA205" i="5" s="1"/>
  <c r="E204" i="5"/>
  <c r="P204" i="5" s="1"/>
  <c r="D204" i="5"/>
  <c r="M204" i="5"/>
  <c r="V208" i="6"/>
  <c r="N208" i="6"/>
  <c r="T208" i="6" s="1"/>
  <c r="O207" i="4"/>
  <c r="V207" i="3"/>
  <c r="N207" i="3"/>
  <c r="X208" i="6"/>
  <c r="K207" i="3"/>
  <c r="W207" i="3" s="1"/>
  <c r="I207" i="4"/>
  <c r="U207" i="4" s="1"/>
  <c r="L207" i="4" l="1"/>
  <c r="Z208" i="6"/>
  <c r="X207" i="3"/>
  <c r="Z203" i="5"/>
  <c r="M209" i="6"/>
  <c r="C209" i="6"/>
  <c r="F209" i="6" s="1"/>
  <c r="Q209" i="6"/>
  <c r="R209" i="6"/>
  <c r="G209" i="6"/>
  <c r="AA210" i="6" s="1"/>
  <c r="E209" i="6"/>
  <c r="P209" i="6" s="1"/>
  <c r="D209" i="6"/>
  <c r="V207" i="4"/>
  <c r="N207" i="4"/>
  <c r="T207" i="3"/>
  <c r="Z207" i="3"/>
  <c r="J207" i="4"/>
  <c r="F204" i="5"/>
  <c r="H204" i="5" s="1"/>
  <c r="O204" i="5" l="1"/>
  <c r="D208" i="3"/>
  <c r="Q208" i="3"/>
  <c r="E208" i="3"/>
  <c r="P208" i="3" s="1"/>
  <c r="C208" i="3"/>
  <c r="R208" i="3"/>
  <c r="G208" i="3"/>
  <c r="AA209" i="3" s="1"/>
  <c r="K207" i="4"/>
  <c r="W207" i="4" s="1"/>
  <c r="X207" i="4"/>
  <c r="O209" i="6"/>
  <c r="H209" i="6"/>
  <c r="I204" i="5"/>
  <c r="U204" i="5" s="1"/>
  <c r="J204" i="5" l="1"/>
  <c r="K204" i="5" s="1"/>
  <c r="W204" i="5" s="1"/>
  <c r="F208" i="3"/>
  <c r="L204" i="5"/>
  <c r="T207" i="4"/>
  <c r="I209" i="6"/>
  <c r="L209" i="6" s="1"/>
  <c r="C208" i="4" l="1"/>
  <c r="M208" i="4"/>
  <c r="D208" i="4"/>
  <c r="G208" i="4"/>
  <c r="AA209" i="4" s="1"/>
  <c r="R208" i="4"/>
  <c r="Q208" i="4"/>
  <c r="E208" i="4"/>
  <c r="P208" i="4" s="1"/>
  <c r="Z207" i="4"/>
  <c r="V204" i="5"/>
  <c r="N204" i="5"/>
  <c r="T204" i="5" s="1"/>
  <c r="O208" i="3"/>
  <c r="V209" i="6"/>
  <c r="N209" i="6"/>
  <c r="U209" i="6"/>
  <c r="J209" i="6"/>
  <c r="K209" i="6" s="1"/>
  <c r="W209" i="6" s="1"/>
  <c r="H208" i="3"/>
  <c r="I208" i="3" s="1"/>
  <c r="Z204" i="5" l="1"/>
  <c r="T209" i="6"/>
  <c r="U208" i="3"/>
  <c r="J208" i="3"/>
  <c r="K208" i="3" s="1"/>
  <c r="W208" i="3" s="1"/>
  <c r="X204" i="5"/>
  <c r="X209" i="6"/>
  <c r="C205" i="5"/>
  <c r="M205" i="5"/>
  <c r="D205" i="5"/>
  <c r="G205" i="5"/>
  <c r="AA206" i="5" s="1"/>
  <c r="E205" i="5"/>
  <c r="R205" i="5"/>
  <c r="Q205" i="5"/>
  <c r="Q210" i="6"/>
  <c r="E210" i="6"/>
  <c r="D210" i="6"/>
  <c r="C210" i="6"/>
  <c r="F210" i="6" s="1"/>
  <c r="R210" i="6"/>
  <c r="G210" i="6"/>
  <c r="AA211" i="6" s="1"/>
  <c r="M210" i="6"/>
  <c r="Z209" i="6"/>
  <c r="F208" i="4"/>
  <c r="L208" i="3"/>
  <c r="P210" i="6" l="1"/>
  <c r="P205" i="5"/>
  <c r="O210" i="6"/>
  <c r="O208" i="4"/>
  <c r="H208" i="4"/>
  <c r="I208" i="4" s="1"/>
  <c r="F205" i="5"/>
  <c r="H210" i="6"/>
  <c r="I210" i="6" s="1"/>
  <c r="U210" i="6" s="1"/>
  <c r="V208" i="3"/>
  <c r="N208" i="3"/>
  <c r="U208" i="4" l="1"/>
  <c r="J208" i="4"/>
  <c r="K208" i="4" s="1"/>
  <c r="W208" i="4" s="1"/>
  <c r="L210" i="6"/>
  <c r="J210" i="6"/>
  <c r="K210" i="6" s="1"/>
  <c r="W210" i="6" s="1"/>
  <c r="T208" i="3"/>
  <c r="Z208" i="3" s="1"/>
  <c r="X208" i="3"/>
  <c r="O205" i="5"/>
  <c r="H205" i="5"/>
  <c r="L208" i="4"/>
  <c r="Q209" i="3" l="1"/>
  <c r="G209" i="3"/>
  <c r="AA210" i="3" s="1"/>
  <c r="D209" i="3"/>
  <c r="E209" i="3"/>
  <c r="C209" i="3"/>
  <c r="R209" i="3"/>
  <c r="P209" i="3"/>
  <c r="V210" i="6"/>
  <c r="N210" i="6"/>
  <c r="V208" i="4"/>
  <c r="N208" i="4"/>
  <c r="I205" i="5"/>
  <c r="F209" i="3" l="1"/>
  <c r="H209" i="3" s="1"/>
  <c r="I209" i="3" s="1"/>
  <c r="T208" i="4"/>
  <c r="Z208" i="4"/>
  <c r="U205" i="5"/>
  <c r="J205" i="5"/>
  <c r="K205" i="5" s="1"/>
  <c r="W205" i="5" s="1"/>
  <c r="T210" i="6"/>
  <c r="Z210" i="6" s="1"/>
  <c r="X210" i="6"/>
  <c r="X208" i="4"/>
  <c r="L205" i="5"/>
  <c r="O209" i="3" l="1"/>
  <c r="U209" i="3"/>
  <c r="J209" i="3"/>
  <c r="K209" i="3" s="1"/>
  <c r="W209" i="3" s="1"/>
  <c r="V205" i="5"/>
  <c r="N205" i="5"/>
  <c r="T205" i="5" s="1"/>
  <c r="Z205" i="5" s="1"/>
  <c r="X205" i="5"/>
  <c r="G209" i="4"/>
  <c r="AA210" i="4" s="1"/>
  <c r="Q209" i="4"/>
  <c r="M209" i="4"/>
  <c r="E209" i="4"/>
  <c r="P209" i="4" s="1"/>
  <c r="D209" i="4"/>
  <c r="C209" i="4"/>
  <c r="R209" i="4"/>
  <c r="M211" i="6"/>
  <c r="Q211" i="6"/>
  <c r="E211" i="6"/>
  <c r="D211" i="6"/>
  <c r="C211" i="6"/>
  <c r="G211" i="6"/>
  <c r="AA212" i="6" s="1"/>
  <c r="R211" i="6"/>
  <c r="L209" i="3"/>
  <c r="P211" i="6" l="1"/>
  <c r="F209" i="4"/>
  <c r="O209" i="4" s="1"/>
  <c r="H209" i="4"/>
  <c r="D206" i="5"/>
  <c r="M206" i="5"/>
  <c r="C206" i="5"/>
  <c r="R206" i="5"/>
  <c r="Q206" i="5"/>
  <c r="G206" i="5"/>
  <c r="AA207" i="5" s="1"/>
  <c r="E206" i="5"/>
  <c r="P206" i="5" s="1"/>
  <c r="F211" i="6"/>
  <c r="V209" i="3"/>
  <c r="N209" i="3"/>
  <c r="T209" i="3" l="1"/>
  <c r="X209" i="3"/>
  <c r="O211" i="6"/>
  <c r="H211" i="6"/>
  <c r="F206" i="5"/>
  <c r="I209" i="4"/>
  <c r="R210" i="3" l="1"/>
  <c r="G210" i="3"/>
  <c r="AA211" i="3" s="1"/>
  <c r="Q210" i="3"/>
  <c r="E210" i="3"/>
  <c r="P210" i="3" s="1"/>
  <c r="C210" i="3"/>
  <c r="F210" i="3" s="1"/>
  <c r="D210" i="3"/>
  <c r="U209" i="4"/>
  <c r="J209" i="4"/>
  <c r="K209" i="4" s="1"/>
  <c r="W209" i="4" s="1"/>
  <c r="O206" i="5"/>
  <c r="H206" i="5"/>
  <c r="I206" i="5" s="1"/>
  <c r="U206" i="5" s="1"/>
  <c r="Z209" i="3"/>
  <c r="L209" i="4"/>
  <c r="I211" i="6"/>
  <c r="L211" i="6" s="1"/>
  <c r="H210" i="3" l="1"/>
  <c r="I210" i="3"/>
  <c r="U210" i="3" s="1"/>
  <c r="V209" i="4"/>
  <c r="N209" i="4"/>
  <c r="T209" i="4" s="1"/>
  <c r="L206" i="5"/>
  <c r="V211" i="6"/>
  <c r="N211" i="6"/>
  <c r="J206" i="5"/>
  <c r="K206" i="5" s="1"/>
  <c r="W206" i="5" s="1"/>
  <c r="O210" i="3"/>
  <c r="U211" i="6"/>
  <c r="J211" i="6"/>
  <c r="J210" i="3" l="1"/>
  <c r="K210" i="3" s="1"/>
  <c r="W210" i="3" s="1"/>
  <c r="E210" i="4"/>
  <c r="D210" i="4"/>
  <c r="Q210" i="4"/>
  <c r="M210" i="4"/>
  <c r="C210" i="4"/>
  <c r="P210" i="4" s="1"/>
  <c r="G210" i="4"/>
  <c r="AA211" i="4" s="1"/>
  <c r="R210" i="4"/>
  <c r="X209" i="4"/>
  <c r="K211" i="6"/>
  <c r="W211" i="6" s="1"/>
  <c r="V206" i="5"/>
  <c r="N206" i="5"/>
  <c r="T206" i="5" s="1"/>
  <c r="Z209" i="4"/>
  <c r="X206" i="5"/>
  <c r="L210" i="3"/>
  <c r="F210" i="4" l="1"/>
  <c r="O210" i="4" s="1"/>
  <c r="Q207" i="5"/>
  <c r="G207" i="5"/>
  <c r="AA208" i="5" s="1"/>
  <c r="P207" i="5"/>
  <c r="E207" i="5"/>
  <c r="D207" i="5"/>
  <c r="C207" i="5"/>
  <c r="F207" i="5" s="1"/>
  <c r="M207" i="5"/>
  <c r="R207" i="5"/>
  <c r="Z206" i="5"/>
  <c r="V210" i="3"/>
  <c r="N210" i="3"/>
  <c r="T210" i="3" s="1"/>
  <c r="H210" i="4"/>
  <c r="T211" i="6"/>
  <c r="X211" i="6"/>
  <c r="Z210" i="3" l="1"/>
  <c r="H207" i="5"/>
  <c r="X210" i="3"/>
  <c r="I207" i="5"/>
  <c r="U207" i="5" s="1"/>
  <c r="J207" i="5"/>
  <c r="K207" i="5" s="1"/>
  <c r="W207" i="5" s="1"/>
  <c r="O207" i="5"/>
  <c r="R212" i="6"/>
  <c r="G212" i="6"/>
  <c r="AA213" i="6" s="1"/>
  <c r="Q212" i="6"/>
  <c r="E212" i="6"/>
  <c r="D212" i="6"/>
  <c r="C212" i="6"/>
  <c r="M212" i="6"/>
  <c r="Z211" i="6"/>
  <c r="C211" i="3"/>
  <c r="P211" i="3"/>
  <c r="E211" i="3"/>
  <c r="F211" i="3" s="1"/>
  <c r="G211" i="3"/>
  <c r="AA212" i="3" s="1"/>
  <c r="R211" i="3"/>
  <c r="D211" i="3"/>
  <c r="Q211" i="3"/>
  <c r="I210" i="4"/>
  <c r="F212" i="6" l="1"/>
  <c r="O212" i="6"/>
  <c r="U210" i="4"/>
  <c r="J210" i="4"/>
  <c r="K210" i="4" s="1"/>
  <c r="W210" i="4" s="1"/>
  <c r="L210" i="4"/>
  <c r="H211" i="3"/>
  <c r="P212" i="6"/>
  <c r="O211" i="3"/>
  <c r="H212" i="6"/>
  <c r="L207" i="5"/>
  <c r="V210" i="4" l="1"/>
  <c r="N210" i="4"/>
  <c r="T210" i="4" s="1"/>
  <c r="I212" i="6"/>
  <c r="X210" i="4"/>
  <c r="V207" i="5"/>
  <c r="N207" i="5"/>
  <c r="I211" i="3"/>
  <c r="U212" i="6" l="1"/>
  <c r="J212" i="6"/>
  <c r="K212" i="6" s="1"/>
  <c r="W212" i="6" s="1"/>
  <c r="T207" i="5"/>
  <c r="Z207" i="5" s="1"/>
  <c r="X207" i="5"/>
  <c r="U211" i="3"/>
  <c r="J211" i="3"/>
  <c r="K211" i="3" s="1"/>
  <c r="W211" i="3" s="1"/>
  <c r="E211" i="4"/>
  <c r="R211" i="4"/>
  <c r="C211" i="4"/>
  <c r="Q211" i="4"/>
  <c r="G211" i="4"/>
  <c r="AA212" i="4" s="1"/>
  <c r="D211" i="4"/>
  <c r="M211" i="4"/>
  <c r="Z210" i="4"/>
  <c r="L211" i="3"/>
  <c r="L212" i="6"/>
  <c r="V212" i="6" l="1"/>
  <c r="N212" i="6"/>
  <c r="T212" i="6" s="1"/>
  <c r="V211" i="3"/>
  <c r="N211" i="3"/>
  <c r="T211" i="3" s="1"/>
  <c r="F211" i="4"/>
  <c r="G208" i="5"/>
  <c r="AA209" i="5" s="1"/>
  <c r="R208" i="5"/>
  <c r="C208" i="5"/>
  <c r="Q208" i="5"/>
  <c r="D208" i="5"/>
  <c r="M208" i="5"/>
  <c r="E208" i="5"/>
  <c r="Z212" i="6"/>
  <c r="P211" i="4"/>
  <c r="X212" i="6"/>
  <c r="X211" i="3"/>
  <c r="F208" i="5" l="1"/>
  <c r="O208" i="5"/>
  <c r="P208" i="5"/>
  <c r="O211" i="4"/>
  <c r="H211" i="4"/>
  <c r="E213" i="6"/>
  <c r="M213" i="6"/>
  <c r="C213" i="6"/>
  <c r="Q213" i="6"/>
  <c r="R213" i="6"/>
  <c r="G213" i="6"/>
  <c r="AA214" i="6" s="1"/>
  <c r="D213" i="6"/>
  <c r="R212" i="3"/>
  <c r="G212" i="3"/>
  <c r="AA213" i="3" s="1"/>
  <c r="Q212" i="3"/>
  <c r="E212" i="3"/>
  <c r="P212" i="3" s="1"/>
  <c r="D212" i="3"/>
  <c r="C212" i="3"/>
  <c r="H208" i="5"/>
  <c r="I208" i="5" s="1"/>
  <c r="Z211" i="3"/>
  <c r="F212" i="3" l="1"/>
  <c r="O212" i="3" s="1"/>
  <c r="P213" i="6"/>
  <c r="U208" i="5"/>
  <c r="J208" i="5"/>
  <c r="K208" i="5" s="1"/>
  <c r="W208" i="5" s="1"/>
  <c r="L208" i="5"/>
  <c r="F213" i="6"/>
  <c r="H213" i="6"/>
  <c r="H212" i="3"/>
  <c r="I211" i="4"/>
  <c r="I213" i="6" l="1"/>
  <c r="U213" i="6" s="1"/>
  <c r="U211" i="4"/>
  <c r="J211" i="4"/>
  <c r="K211" i="4" s="1"/>
  <c r="W211" i="4" s="1"/>
  <c r="L213" i="6"/>
  <c r="L211" i="4"/>
  <c r="J213" i="6"/>
  <c r="O213" i="6"/>
  <c r="V208" i="5"/>
  <c r="N208" i="5"/>
  <c r="I212" i="3"/>
  <c r="L212" i="3" s="1"/>
  <c r="V211" i="4" l="1"/>
  <c r="N211" i="4"/>
  <c r="T211" i="4" s="1"/>
  <c r="K213" i="6"/>
  <c r="V212" i="3"/>
  <c r="N212" i="3"/>
  <c r="U212" i="3"/>
  <c r="J212" i="3"/>
  <c r="K212" i="3" s="1"/>
  <c r="W212" i="3" s="1"/>
  <c r="T208" i="5"/>
  <c r="Z208" i="5"/>
  <c r="X208" i="5"/>
  <c r="V213" i="6"/>
  <c r="N213" i="6"/>
  <c r="T213" i="6" l="1"/>
  <c r="X211" i="4"/>
  <c r="R214" i="6"/>
  <c r="G214" i="6"/>
  <c r="AA215" i="6" s="1"/>
  <c r="Q214" i="6"/>
  <c r="E214" i="6"/>
  <c r="D214" i="6"/>
  <c r="C214" i="6"/>
  <c r="F214" i="6" s="1"/>
  <c r="M214" i="6"/>
  <c r="X212" i="3"/>
  <c r="T212" i="3"/>
  <c r="W213" i="6"/>
  <c r="X213" i="6"/>
  <c r="Z213" i="6"/>
  <c r="M209" i="5"/>
  <c r="C209" i="5"/>
  <c r="G209" i="5"/>
  <c r="AA210" i="5" s="1"/>
  <c r="R209" i="5"/>
  <c r="Q209" i="5"/>
  <c r="E209" i="5"/>
  <c r="D209" i="5"/>
  <c r="R212" i="4"/>
  <c r="E212" i="4"/>
  <c r="D212" i="4"/>
  <c r="Q212" i="4"/>
  <c r="G212" i="4"/>
  <c r="AA213" i="4" s="1"/>
  <c r="C212" i="4"/>
  <c r="M212" i="4"/>
  <c r="Z211" i="4"/>
  <c r="F209" i="5" l="1"/>
  <c r="P212" i="4"/>
  <c r="P214" i="6"/>
  <c r="F212" i="4"/>
  <c r="H214" i="6"/>
  <c r="I214" i="6" s="1"/>
  <c r="O209" i="5"/>
  <c r="I209" i="5"/>
  <c r="U209" i="5" s="1"/>
  <c r="C213" i="3"/>
  <c r="Q213" i="3"/>
  <c r="G213" i="3"/>
  <c r="AA214" i="3" s="1"/>
  <c r="E213" i="3"/>
  <c r="R213" i="3"/>
  <c r="D213" i="3"/>
  <c r="Z212" i="3"/>
  <c r="O212" i="4"/>
  <c r="H209" i="5"/>
  <c r="O214" i="6"/>
  <c r="H212" i="4"/>
  <c r="I212" i="4"/>
  <c r="U212" i="4" s="1"/>
  <c r="P209" i="5"/>
  <c r="P213" i="3" l="1"/>
  <c r="F213" i="3"/>
  <c r="L212" i="4"/>
  <c r="U214" i="6"/>
  <c r="J214" i="6"/>
  <c r="L214" i="6"/>
  <c r="J209" i="5"/>
  <c r="L209" i="5"/>
  <c r="J212" i="4"/>
  <c r="K214" i="6" l="1"/>
  <c r="W214" i="6" s="1"/>
  <c r="V214" i="6"/>
  <c r="N214" i="6"/>
  <c r="T214" i="6" s="1"/>
  <c r="X214" i="6"/>
  <c r="K212" i="4"/>
  <c r="W212" i="4" s="1"/>
  <c r="V212" i="4"/>
  <c r="N212" i="4"/>
  <c r="O213" i="3"/>
  <c r="H213" i="3"/>
  <c r="V209" i="5"/>
  <c r="N209" i="5"/>
  <c r="K209" i="5"/>
  <c r="X209" i="5"/>
  <c r="I213" i="3"/>
  <c r="U213" i="3" s="1"/>
  <c r="T212" i="4" l="1"/>
  <c r="X212" i="4"/>
  <c r="Z212" i="4"/>
  <c r="G213" i="4"/>
  <c r="AA214" i="4" s="1"/>
  <c r="M213" i="4"/>
  <c r="E213" i="4"/>
  <c r="P213" i="4" s="1"/>
  <c r="D213" i="4"/>
  <c r="C213" i="4"/>
  <c r="F213" i="4" s="1"/>
  <c r="R213" i="4"/>
  <c r="Q213" i="4"/>
  <c r="T209" i="5"/>
  <c r="Z209" i="5" s="1"/>
  <c r="C215" i="6"/>
  <c r="M215" i="6"/>
  <c r="D215" i="6"/>
  <c r="R215" i="6"/>
  <c r="Q215" i="6"/>
  <c r="G215" i="6"/>
  <c r="AA216" i="6" s="1"/>
  <c r="E215" i="6"/>
  <c r="F215" i="6" s="1"/>
  <c r="W209" i="5"/>
  <c r="J213" i="3"/>
  <c r="K213" i="3" s="1"/>
  <c r="W213" i="3" s="1"/>
  <c r="L213" i="3"/>
  <c r="Z214" i="6"/>
  <c r="O215" i="6" l="1"/>
  <c r="H215" i="6"/>
  <c r="I215" i="6" s="1"/>
  <c r="H213" i="4"/>
  <c r="V213" i="3"/>
  <c r="N213" i="3"/>
  <c r="T213" i="3" s="1"/>
  <c r="P215" i="6"/>
  <c r="I213" i="4"/>
  <c r="U213" i="4" s="1"/>
  <c r="O213" i="4"/>
  <c r="E210" i="5"/>
  <c r="Q210" i="5"/>
  <c r="G210" i="5"/>
  <c r="AA211" i="5" s="1"/>
  <c r="D210" i="5"/>
  <c r="C210" i="5"/>
  <c r="R210" i="5"/>
  <c r="M210" i="5"/>
  <c r="F210" i="5" l="1"/>
  <c r="X213" i="3"/>
  <c r="J213" i="4"/>
  <c r="P210" i="5"/>
  <c r="O210" i="5"/>
  <c r="H210" i="5"/>
  <c r="U215" i="6"/>
  <c r="J215" i="6"/>
  <c r="K215" i="6" s="1"/>
  <c r="W215" i="6" s="1"/>
  <c r="K213" i="4"/>
  <c r="W213" i="4" s="1"/>
  <c r="L213" i="4"/>
  <c r="Z213" i="3"/>
  <c r="R214" i="3"/>
  <c r="G214" i="3"/>
  <c r="AA215" i="3" s="1"/>
  <c r="E214" i="3"/>
  <c r="D214" i="3"/>
  <c r="Q214" i="3"/>
  <c r="C214" i="3"/>
  <c r="L215" i="6"/>
  <c r="F214" i="3" l="1"/>
  <c r="H214" i="3"/>
  <c r="O214" i="3"/>
  <c r="I214" i="3"/>
  <c r="U214" i="3" s="1"/>
  <c r="P214" i="3"/>
  <c r="V213" i="4"/>
  <c r="N213" i="4"/>
  <c r="T213" i="4" s="1"/>
  <c r="X213" i="4"/>
  <c r="V215" i="6"/>
  <c r="N215" i="6"/>
  <c r="I210" i="5"/>
  <c r="L210" i="5" s="1"/>
  <c r="Z213" i="4" l="1"/>
  <c r="V210" i="5"/>
  <c r="N210" i="5"/>
  <c r="T215" i="6"/>
  <c r="X215" i="6"/>
  <c r="U210" i="5"/>
  <c r="J210" i="5"/>
  <c r="K210" i="5" s="1"/>
  <c r="W210" i="5" s="1"/>
  <c r="J214" i="3"/>
  <c r="D214" i="4"/>
  <c r="Q214" i="4"/>
  <c r="E214" i="4"/>
  <c r="R214" i="4"/>
  <c r="G214" i="4"/>
  <c r="AA215" i="4" s="1"/>
  <c r="M214" i="4"/>
  <c r="C214" i="4"/>
  <c r="L214" i="3"/>
  <c r="X210" i="5" l="1"/>
  <c r="P214" i="4"/>
  <c r="K214" i="3"/>
  <c r="W214" i="3" s="1"/>
  <c r="V214" i="3"/>
  <c r="N214" i="3"/>
  <c r="T214" i="3" s="1"/>
  <c r="D216" i="6"/>
  <c r="R216" i="6"/>
  <c r="G216" i="6"/>
  <c r="AA217" i="6" s="1"/>
  <c r="Q216" i="6"/>
  <c r="C216" i="6"/>
  <c r="P216" i="6" s="1"/>
  <c r="M216" i="6"/>
  <c r="E216" i="6"/>
  <c r="Z215" i="6"/>
  <c r="T210" i="5"/>
  <c r="F214" i="4"/>
  <c r="X214" i="3" l="1"/>
  <c r="F216" i="6"/>
  <c r="H216" i="6"/>
  <c r="I216" i="6" s="1"/>
  <c r="E215" i="3"/>
  <c r="D215" i="3"/>
  <c r="R215" i="3"/>
  <c r="Q215" i="3"/>
  <c r="C215" i="3"/>
  <c r="G215" i="3"/>
  <c r="AA216" i="3" s="1"/>
  <c r="H214" i="4"/>
  <c r="O214" i="4"/>
  <c r="R211" i="5"/>
  <c r="E211" i="5"/>
  <c r="Q211" i="5"/>
  <c r="D211" i="5"/>
  <c r="C211" i="5"/>
  <c r="F211" i="5" s="1"/>
  <c r="G211" i="5"/>
  <c r="AA212" i="5" s="1"/>
  <c r="M211" i="5"/>
  <c r="Z210" i="5"/>
  <c r="Z214" i="3"/>
  <c r="O216" i="6"/>
  <c r="P215" i="3" l="1"/>
  <c r="U216" i="6"/>
  <c r="J216" i="6"/>
  <c r="K216" i="6" s="1"/>
  <c r="W216" i="6" s="1"/>
  <c r="H211" i="5"/>
  <c r="I211" i="5" s="1"/>
  <c r="P211" i="5"/>
  <c r="F215" i="3"/>
  <c r="I214" i="4"/>
  <c r="O211" i="5"/>
  <c r="L216" i="6"/>
  <c r="U211" i="5" l="1"/>
  <c r="J211" i="5"/>
  <c r="K211" i="5" s="1"/>
  <c r="W211" i="5" s="1"/>
  <c r="U214" i="4"/>
  <c r="J214" i="4"/>
  <c r="O215" i="3"/>
  <c r="H215" i="3"/>
  <c r="V216" i="6"/>
  <c r="N216" i="6"/>
  <c r="T216" i="6" s="1"/>
  <c r="L214" i="4"/>
  <c r="L211" i="5"/>
  <c r="V211" i="5" l="1"/>
  <c r="N211" i="5"/>
  <c r="T211" i="5" s="1"/>
  <c r="Q217" i="6"/>
  <c r="G217" i="6"/>
  <c r="AA218" i="6" s="1"/>
  <c r="D217" i="6"/>
  <c r="C217" i="6"/>
  <c r="M217" i="6"/>
  <c r="E217" i="6"/>
  <c r="R217" i="6"/>
  <c r="K214" i="4"/>
  <c r="W214" i="4" s="1"/>
  <c r="V214" i="4"/>
  <c r="N214" i="4"/>
  <c r="Z216" i="6"/>
  <c r="X211" i="5"/>
  <c r="Z211" i="5"/>
  <c r="I215" i="3"/>
  <c r="L215" i="3" s="1"/>
  <c r="X216" i="6"/>
  <c r="F217" i="6" l="1"/>
  <c r="O217" i="6" s="1"/>
  <c r="T214" i="4"/>
  <c r="E215" i="4" s="1"/>
  <c r="P215" i="4" s="1"/>
  <c r="U215" i="3"/>
  <c r="J215" i="3"/>
  <c r="K215" i="3" s="1"/>
  <c r="W215" i="3" s="1"/>
  <c r="H217" i="6"/>
  <c r="M212" i="5"/>
  <c r="C212" i="5"/>
  <c r="R212" i="5"/>
  <c r="E212" i="5"/>
  <c r="P212" i="5" s="1"/>
  <c r="Q212" i="5"/>
  <c r="D212" i="5"/>
  <c r="G212" i="5"/>
  <c r="AA213" i="5" s="1"/>
  <c r="V215" i="3"/>
  <c r="N215" i="3"/>
  <c r="T215" i="3" s="1"/>
  <c r="X214" i="4"/>
  <c r="Q215" i="4"/>
  <c r="G215" i="4"/>
  <c r="AA216" i="4" s="1"/>
  <c r="M215" i="4"/>
  <c r="D215" i="4"/>
  <c r="C215" i="4"/>
  <c r="R215" i="4"/>
  <c r="P217" i="6"/>
  <c r="Z214" i="4"/>
  <c r="R216" i="3" l="1"/>
  <c r="Q216" i="3"/>
  <c r="G216" i="3"/>
  <c r="AA217" i="3" s="1"/>
  <c r="E216" i="3"/>
  <c r="D216" i="3"/>
  <c r="C216" i="3"/>
  <c r="P216" i="3"/>
  <c r="X215" i="3"/>
  <c r="Z215" i="3"/>
  <c r="F212" i="5"/>
  <c r="H212" i="5" s="1"/>
  <c r="F215" i="4"/>
  <c r="I217" i="6"/>
  <c r="U217" i="6" l="1"/>
  <c r="J217" i="6"/>
  <c r="O215" i="4"/>
  <c r="H215" i="4"/>
  <c r="I215" i="4" s="1"/>
  <c r="U215" i="4" s="1"/>
  <c r="L217" i="6"/>
  <c r="O212" i="5"/>
  <c r="F216" i="3"/>
  <c r="I212" i="5"/>
  <c r="U212" i="5" s="1"/>
  <c r="J212" i="5" l="1"/>
  <c r="K212" i="5" s="1"/>
  <c r="W212" i="5" s="1"/>
  <c r="O216" i="3"/>
  <c r="J215" i="4"/>
  <c r="K215" i="4" s="1"/>
  <c r="W215" i="4" s="1"/>
  <c r="K217" i="6"/>
  <c r="V217" i="6"/>
  <c r="N217" i="6"/>
  <c r="X217" i="6" s="1"/>
  <c r="H216" i="3"/>
  <c r="I216" i="3" s="1"/>
  <c r="U216" i="3" s="1"/>
  <c r="L215" i="4"/>
  <c r="L212" i="5"/>
  <c r="L216" i="3" l="1"/>
  <c r="V212" i="5"/>
  <c r="N212" i="5"/>
  <c r="T212" i="5" s="1"/>
  <c r="W217" i="6"/>
  <c r="V215" i="4"/>
  <c r="N215" i="4"/>
  <c r="T217" i="6"/>
  <c r="Z217" i="6" s="1"/>
  <c r="J216" i="3"/>
  <c r="K216" i="3" s="1"/>
  <c r="W216" i="3" s="1"/>
  <c r="X212" i="5" l="1"/>
  <c r="T215" i="4"/>
  <c r="Z215" i="4"/>
  <c r="X215" i="4"/>
  <c r="E213" i="5"/>
  <c r="D213" i="5"/>
  <c r="G213" i="5"/>
  <c r="AA214" i="5" s="1"/>
  <c r="C213" i="5"/>
  <c r="R213" i="5"/>
  <c r="Q213" i="5"/>
  <c r="M213" i="5"/>
  <c r="V216" i="3"/>
  <c r="N216" i="3"/>
  <c r="T216" i="3" s="1"/>
  <c r="R218" i="6"/>
  <c r="C218" i="6"/>
  <c r="Q218" i="6"/>
  <c r="D218" i="6"/>
  <c r="M218" i="6"/>
  <c r="G218" i="6"/>
  <c r="AA219" i="6" s="1"/>
  <c r="E218" i="6"/>
  <c r="P218" i="6" s="1"/>
  <c r="Z212" i="5"/>
  <c r="F213" i="5" l="1"/>
  <c r="P213" i="5"/>
  <c r="F218" i="6"/>
  <c r="H213" i="5"/>
  <c r="C217" i="3"/>
  <c r="P217" i="3" s="1"/>
  <c r="R217" i="3"/>
  <c r="Q217" i="3"/>
  <c r="G217" i="3"/>
  <c r="AA218" i="3" s="1"/>
  <c r="E217" i="3"/>
  <c r="D217" i="3"/>
  <c r="X216" i="3"/>
  <c r="Z216" i="3"/>
  <c r="R216" i="4"/>
  <c r="G216" i="4"/>
  <c r="AA217" i="4" s="1"/>
  <c r="Q216" i="4"/>
  <c r="C216" i="4"/>
  <c r="E216" i="4"/>
  <c r="P216" i="4" s="1"/>
  <c r="D216" i="4"/>
  <c r="M216" i="4"/>
  <c r="F216" i="4" l="1"/>
  <c r="O216" i="4" s="1"/>
  <c r="O213" i="5"/>
  <c r="H216" i="4"/>
  <c r="I216" i="4" s="1"/>
  <c r="I213" i="5"/>
  <c r="U213" i="5" s="1"/>
  <c r="O218" i="6"/>
  <c r="I218" i="6"/>
  <c r="U218" i="6" s="1"/>
  <c r="H218" i="6"/>
  <c r="F217" i="3"/>
  <c r="J213" i="5" l="1"/>
  <c r="K213" i="5" s="1"/>
  <c r="W213" i="5" s="1"/>
  <c r="L213" i="5"/>
  <c r="U216" i="4"/>
  <c r="J216" i="4"/>
  <c r="K216" i="4" s="1"/>
  <c r="W216" i="4" s="1"/>
  <c r="L218" i="6"/>
  <c r="V213" i="5"/>
  <c r="N213" i="5"/>
  <c r="T213" i="5" s="1"/>
  <c r="Z213" i="5" s="1"/>
  <c r="O217" i="3"/>
  <c r="H217" i="3"/>
  <c r="J218" i="6"/>
  <c r="K218" i="6" s="1"/>
  <c r="W218" i="6" s="1"/>
  <c r="L216" i="4"/>
  <c r="V216" i="4" l="1"/>
  <c r="N216" i="4"/>
  <c r="T216" i="4" s="1"/>
  <c r="R214" i="5"/>
  <c r="Q214" i="5"/>
  <c r="G214" i="5"/>
  <c r="AA215" i="5" s="1"/>
  <c r="E214" i="5"/>
  <c r="D214" i="5"/>
  <c r="P214" i="5"/>
  <c r="M214" i="5"/>
  <c r="C214" i="5"/>
  <c r="I217" i="3"/>
  <c r="X213" i="5"/>
  <c r="V218" i="6"/>
  <c r="N218" i="6"/>
  <c r="X216" i="4"/>
  <c r="U217" i="3" l="1"/>
  <c r="J217" i="3"/>
  <c r="K217" i="3" s="1"/>
  <c r="W217" i="3" s="1"/>
  <c r="M217" i="4"/>
  <c r="C217" i="4"/>
  <c r="D217" i="4"/>
  <c r="G217" i="4"/>
  <c r="AA218" i="4" s="1"/>
  <c r="E217" i="4"/>
  <c r="P217" i="4" s="1"/>
  <c r="R217" i="4"/>
  <c r="Q217" i="4"/>
  <c r="T218" i="6"/>
  <c r="Z218" i="6" s="1"/>
  <c r="X218" i="6"/>
  <c r="Z216" i="4"/>
  <c r="F214" i="5"/>
  <c r="L217" i="3"/>
  <c r="F217" i="4" l="1"/>
  <c r="H217" i="4"/>
  <c r="O217" i="4"/>
  <c r="H214" i="5"/>
  <c r="O214" i="5"/>
  <c r="V217" i="3"/>
  <c r="N217" i="3"/>
  <c r="T217" i="3" s="1"/>
  <c r="M219" i="6"/>
  <c r="C219" i="6"/>
  <c r="F219" i="6" s="1"/>
  <c r="Q219" i="6"/>
  <c r="E219" i="6"/>
  <c r="D219" i="6"/>
  <c r="R219" i="6"/>
  <c r="G219" i="6"/>
  <c r="AA220" i="6" s="1"/>
  <c r="P219" i="6" l="1"/>
  <c r="X217" i="3"/>
  <c r="O219" i="6"/>
  <c r="H219" i="6"/>
  <c r="I219" i="6" s="1"/>
  <c r="U219" i="6" s="1"/>
  <c r="L214" i="5"/>
  <c r="I214" i="5"/>
  <c r="I217" i="4"/>
  <c r="L217" i="4" s="1"/>
  <c r="D218" i="3"/>
  <c r="C218" i="3"/>
  <c r="R218" i="3"/>
  <c r="G218" i="3"/>
  <c r="AA219" i="3" s="1"/>
  <c r="E218" i="3"/>
  <c r="Q218" i="3"/>
  <c r="Z217" i="3"/>
  <c r="P218" i="3" l="1"/>
  <c r="V217" i="4"/>
  <c r="N217" i="4"/>
  <c r="U217" i="4"/>
  <c r="J217" i="4"/>
  <c r="K217" i="4" s="1"/>
  <c r="W217" i="4" s="1"/>
  <c r="J219" i="6"/>
  <c r="K219" i="6" s="1"/>
  <c r="W219" i="6" s="1"/>
  <c r="U214" i="5"/>
  <c r="J214" i="5"/>
  <c r="V214" i="5"/>
  <c r="N214" i="5"/>
  <c r="L219" i="6"/>
  <c r="F218" i="3"/>
  <c r="X217" i="4" l="1"/>
  <c r="V219" i="6"/>
  <c r="N219" i="6"/>
  <c r="O218" i="3"/>
  <c r="T217" i="4"/>
  <c r="Z217" i="4" s="1"/>
  <c r="K214" i="5"/>
  <c r="W214" i="5" s="1"/>
  <c r="X214" i="5"/>
  <c r="H218" i="3"/>
  <c r="I218" i="3" s="1"/>
  <c r="U218" i="3" l="1"/>
  <c r="J218" i="3"/>
  <c r="K218" i="3" s="1"/>
  <c r="W218" i="3" s="1"/>
  <c r="T219" i="6"/>
  <c r="Z219" i="6" s="1"/>
  <c r="X219" i="6"/>
  <c r="T214" i="5"/>
  <c r="L218" i="3"/>
  <c r="G218" i="4"/>
  <c r="AA219" i="4" s="1"/>
  <c r="R218" i="4"/>
  <c r="Q218" i="4"/>
  <c r="M218" i="4"/>
  <c r="E218" i="4"/>
  <c r="D218" i="4"/>
  <c r="C218" i="4"/>
  <c r="P218" i="4" s="1"/>
  <c r="F218" i="4" l="1"/>
  <c r="O218" i="4" s="1"/>
  <c r="V218" i="3"/>
  <c r="N218" i="3"/>
  <c r="T218" i="3" s="1"/>
  <c r="M220" i="6"/>
  <c r="R220" i="6"/>
  <c r="Q220" i="6"/>
  <c r="C220" i="6"/>
  <c r="F220" i="6" s="1"/>
  <c r="O220" i="6" s="1"/>
  <c r="G220" i="6"/>
  <c r="AA221" i="6" s="1"/>
  <c r="E220" i="6"/>
  <c r="P220" i="6" s="1"/>
  <c r="D220" i="6"/>
  <c r="R215" i="5"/>
  <c r="E215" i="5"/>
  <c r="Q215" i="5"/>
  <c r="D215" i="5"/>
  <c r="G215" i="5"/>
  <c r="AA216" i="5" s="1"/>
  <c r="M215" i="5"/>
  <c r="C215" i="5"/>
  <c r="Z214" i="5"/>
  <c r="H218" i="4"/>
  <c r="Z218" i="3" l="1"/>
  <c r="X218" i="3"/>
  <c r="P215" i="5"/>
  <c r="I218" i="4"/>
  <c r="L218" i="4" s="1"/>
  <c r="H220" i="6"/>
  <c r="Q219" i="3"/>
  <c r="G219" i="3"/>
  <c r="AA220" i="3" s="1"/>
  <c r="E219" i="3"/>
  <c r="R219" i="3"/>
  <c r="D219" i="3"/>
  <c r="C219" i="3"/>
  <c r="F215" i="5"/>
  <c r="P219" i="3" l="1"/>
  <c r="O215" i="5"/>
  <c r="F219" i="3"/>
  <c r="H219" i="3" s="1"/>
  <c r="U218" i="4"/>
  <c r="J218" i="4"/>
  <c r="V218" i="4"/>
  <c r="N218" i="4"/>
  <c r="H215" i="5"/>
  <c r="I220" i="6"/>
  <c r="U220" i="6" l="1"/>
  <c r="J220" i="6"/>
  <c r="K220" i="6" s="1"/>
  <c r="W220" i="6" s="1"/>
  <c r="O219" i="3"/>
  <c r="K218" i="4"/>
  <c r="W218" i="4" s="1"/>
  <c r="I219" i="3"/>
  <c r="U219" i="3" s="1"/>
  <c r="L220" i="6"/>
  <c r="I215" i="5"/>
  <c r="J219" i="3" l="1"/>
  <c r="K219" i="3" s="1"/>
  <c r="W219" i="3" s="1"/>
  <c r="T218" i="4"/>
  <c r="V220" i="6"/>
  <c r="N220" i="6"/>
  <c r="T220" i="6" s="1"/>
  <c r="X220" i="6"/>
  <c r="L215" i="5"/>
  <c r="X218" i="4"/>
  <c r="Z218" i="4"/>
  <c r="U215" i="5"/>
  <c r="J215" i="5"/>
  <c r="K215" i="5" s="1"/>
  <c r="W215" i="5" s="1"/>
  <c r="L219" i="3"/>
  <c r="V215" i="5" l="1"/>
  <c r="N215" i="5"/>
  <c r="T215" i="5" s="1"/>
  <c r="V219" i="3"/>
  <c r="N219" i="3"/>
  <c r="T219" i="3" s="1"/>
  <c r="X215" i="5"/>
  <c r="R221" i="6"/>
  <c r="G221" i="6"/>
  <c r="AA222" i="6" s="1"/>
  <c r="Q221" i="6"/>
  <c r="E221" i="6"/>
  <c r="P221" i="6" s="1"/>
  <c r="D221" i="6"/>
  <c r="C221" i="6"/>
  <c r="M221" i="6"/>
  <c r="Z220" i="6"/>
  <c r="D219" i="4"/>
  <c r="C219" i="4"/>
  <c r="E219" i="4"/>
  <c r="P219" i="4" s="1"/>
  <c r="M219" i="4"/>
  <c r="Q219" i="4"/>
  <c r="G219" i="4"/>
  <c r="AA220" i="4" s="1"/>
  <c r="R219" i="4"/>
  <c r="Z215" i="5" l="1"/>
  <c r="D216" i="5"/>
  <c r="M216" i="5"/>
  <c r="C216" i="5"/>
  <c r="E216" i="5"/>
  <c r="F216" i="5" s="1"/>
  <c r="G216" i="5"/>
  <c r="AA217" i="5" s="1"/>
  <c r="R216" i="5"/>
  <c r="Q216" i="5"/>
  <c r="P216" i="5"/>
  <c r="F221" i="6"/>
  <c r="X219" i="3"/>
  <c r="D220" i="3"/>
  <c r="C220" i="3"/>
  <c r="G220" i="3"/>
  <c r="AA221" i="3" s="1"/>
  <c r="R220" i="3"/>
  <c r="Q220" i="3"/>
  <c r="E220" i="3"/>
  <c r="P220" i="3" s="1"/>
  <c r="F219" i="4"/>
  <c r="Z219" i="3"/>
  <c r="H216" i="5" l="1"/>
  <c r="O216" i="5"/>
  <c r="I216" i="5"/>
  <c r="U216" i="5" s="1"/>
  <c r="H221" i="6"/>
  <c r="O221" i="6"/>
  <c r="F220" i="3"/>
  <c r="O219" i="4"/>
  <c r="H219" i="4"/>
  <c r="I219" i="4" l="1"/>
  <c r="O220" i="3"/>
  <c r="L216" i="5"/>
  <c r="J216" i="5"/>
  <c r="K216" i="5" s="1"/>
  <c r="W216" i="5" s="1"/>
  <c r="I221" i="6"/>
  <c r="L221" i="6" s="1"/>
  <c r="H220" i="3"/>
  <c r="V221" i="6" l="1"/>
  <c r="N221" i="6"/>
  <c r="V216" i="5"/>
  <c r="N216" i="5"/>
  <c r="T216" i="5" s="1"/>
  <c r="I220" i="3"/>
  <c r="L220" i="3" s="1"/>
  <c r="U221" i="6"/>
  <c r="J221" i="6"/>
  <c r="U219" i="4"/>
  <c r="J219" i="4"/>
  <c r="L219" i="4"/>
  <c r="X216" i="5" l="1"/>
  <c r="V220" i="3"/>
  <c r="N220" i="3"/>
  <c r="U220" i="3"/>
  <c r="J220" i="3"/>
  <c r="K220" i="3" s="1"/>
  <c r="W220" i="3" s="1"/>
  <c r="V219" i="4"/>
  <c r="N219" i="4"/>
  <c r="K221" i="6"/>
  <c r="W221" i="6" s="1"/>
  <c r="Q217" i="5"/>
  <c r="G217" i="5"/>
  <c r="AA218" i="5" s="1"/>
  <c r="R217" i="5"/>
  <c r="E217" i="5"/>
  <c r="D217" i="5"/>
  <c r="C217" i="5"/>
  <c r="M217" i="5"/>
  <c r="K219" i="4"/>
  <c r="Z216" i="5"/>
  <c r="P217" i="5" l="1"/>
  <c r="X221" i="6"/>
  <c r="W219" i="4"/>
  <c r="X219" i="4"/>
  <c r="T219" i="4"/>
  <c r="F217" i="5"/>
  <c r="T220" i="3"/>
  <c r="T221" i="6"/>
  <c r="X220" i="3"/>
  <c r="Z221" i="6"/>
  <c r="C221" i="3" l="1"/>
  <c r="Q221" i="3"/>
  <c r="E221" i="3"/>
  <c r="F221" i="3" s="1"/>
  <c r="O221" i="3" s="1"/>
  <c r="G221" i="3"/>
  <c r="AA222" i="3" s="1"/>
  <c r="D221" i="3"/>
  <c r="R221" i="3"/>
  <c r="P221" i="3"/>
  <c r="Z220" i="3"/>
  <c r="Q220" i="4"/>
  <c r="C220" i="4"/>
  <c r="G220" i="4"/>
  <c r="AA221" i="4" s="1"/>
  <c r="E220" i="4"/>
  <c r="D220" i="4"/>
  <c r="R220" i="4"/>
  <c r="M220" i="4"/>
  <c r="Z219" i="4"/>
  <c r="C222" i="6"/>
  <c r="M222" i="6"/>
  <c r="D222" i="6"/>
  <c r="R222" i="6"/>
  <c r="Q222" i="6"/>
  <c r="E222" i="6"/>
  <c r="G222" i="6"/>
  <c r="AA223" i="6" s="1"/>
  <c r="O217" i="5"/>
  <c r="H217" i="5"/>
  <c r="I217" i="5" s="1"/>
  <c r="P222" i="6" l="1"/>
  <c r="F220" i="4"/>
  <c r="H221" i="3"/>
  <c r="P220" i="4"/>
  <c r="U217" i="5"/>
  <c r="J217" i="5"/>
  <c r="K217" i="5" s="1"/>
  <c r="W217" i="5" s="1"/>
  <c r="O220" i="4"/>
  <c r="F222" i="6"/>
  <c r="H222" i="6" s="1"/>
  <c r="I221" i="3"/>
  <c r="L221" i="3" s="1"/>
  <c r="L217" i="5"/>
  <c r="H220" i="4"/>
  <c r="O222" i="6" l="1"/>
  <c r="I222" i="6"/>
  <c r="U222" i="6" s="1"/>
  <c r="V221" i="3"/>
  <c r="N221" i="3"/>
  <c r="V217" i="5"/>
  <c r="N217" i="5"/>
  <c r="U221" i="3"/>
  <c r="J221" i="3"/>
  <c r="I220" i="4"/>
  <c r="L220" i="4" s="1"/>
  <c r="V220" i="4" l="1"/>
  <c r="N220" i="4"/>
  <c r="J222" i="6"/>
  <c r="U220" i="4"/>
  <c r="J220" i="4"/>
  <c r="K221" i="3"/>
  <c r="W221" i="3" s="1"/>
  <c r="X221" i="3"/>
  <c r="T217" i="5"/>
  <c r="Z217" i="5" s="1"/>
  <c r="X217" i="5"/>
  <c r="L222" i="6"/>
  <c r="T221" i="3" l="1"/>
  <c r="V222" i="6"/>
  <c r="N222" i="6"/>
  <c r="K222" i="6"/>
  <c r="E222" i="3"/>
  <c r="R222" i="3"/>
  <c r="Q222" i="3"/>
  <c r="G222" i="3"/>
  <c r="AA223" i="3" s="1"/>
  <c r="D222" i="3"/>
  <c r="C222" i="3"/>
  <c r="Z221" i="3"/>
  <c r="K220" i="4"/>
  <c r="G218" i="5"/>
  <c r="AA219" i="5" s="1"/>
  <c r="R218" i="5"/>
  <c r="E218" i="5"/>
  <c r="Q218" i="5"/>
  <c r="C218" i="5"/>
  <c r="M218" i="5"/>
  <c r="D218" i="5"/>
  <c r="F222" i="3" l="1"/>
  <c r="O222" i="3" s="1"/>
  <c r="P222" i="3"/>
  <c r="H222" i="3"/>
  <c r="F218" i="5"/>
  <c r="P218" i="5"/>
  <c r="W222" i="6"/>
  <c r="X222" i="6"/>
  <c r="W220" i="4"/>
  <c r="X220" i="4"/>
  <c r="T222" i="6"/>
  <c r="T220" i="4"/>
  <c r="O218" i="5" l="1"/>
  <c r="I222" i="3"/>
  <c r="L222" i="3" s="1"/>
  <c r="E221" i="4"/>
  <c r="Q221" i="4"/>
  <c r="D221" i="4"/>
  <c r="R221" i="4"/>
  <c r="G221" i="4"/>
  <c r="AA222" i="4" s="1"/>
  <c r="C221" i="4"/>
  <c r="M221" i="4"/>
  <c r="Z220" i="4"/>
  <c r="E223" i="6"/>
  <c r="R223" i="6"/>
  <c r="G223" i="6"/>
  <c r="AA224" i="6" s="1"/>
  <c r="D223" i="6"/>
  <c r="M223" i="6"/>
  <c r="C223" i="6"/>
  <c r="Q223" i="6"/>
  <c r="Z222" i="6"/>
  <c r="H218" i="5"/>
  <c r="I218" i="5" s="1"/>
  <c r="F223" i="6" l="1"/>
  <c r="P221" i="4"/>
  <c r="P223" i="6"/>
  <c r="U218" i="5"/>
  <c r="J218" i="5"/>
  <c r="K218" i="5" s="1"/>
  <c r="W218" i="5" s="1"/>
  <c r="V222" i="3"/>
  <c r="N222" i="3"/>
  <c r="X222" i="3" s="1"/>
  <c r="H223" i="6"/>
  <c r="I223" i="6" s="1"/>
  <c r="O223" i="6"/>
  <c r="U222" i="3"/>
  <c r="J222" i="3"/>
  <c r="K222" i="3" s="1"/>
  <c r="W222" i="3" s="1"/>
  <c r="L218" i="5"/>
  <c r="F221" i="4"/>
  <c r="T222" i="3" l="1"/>
  <c r="U223" i="6"/>
  <c r="J223" i="6"/>
  <c r="K223" i="6" s="1"/>
  <c r="W223" i="6" s="1"/>
  <c r="R223" i="3"/>
  <c r="G223" i="3"/>
  <c r="AA224" i="3" s="1"/>
  <c r="Q223" i="3"/>
  <c r="E223" i="3"/>
  <c r="P223" i="3" s="1"/>
  <c r="D223" i="3"/>
  <c r="C223" i="3"/>
  <c r="L223" i="6"/>
  <c r="V218" i="5"/>
  <c r="N218" i="5"/>
  <c r="T218" i="5" s="1"/>
  <c r="Z222" i="3"/>
  <c r="Z218" i="5"/>
  <c r="O221" i="4"/>
  <c r="H221" i="4"/>
  <c r="I221" i="4" s="1"/>
  <c r="U221" i="4" l="1"/>
  <c r="J221" i="4"/>
  <c r="K221" i="4" s="1"/>
  <c r="W221" i="4" s="1"/>
  <c r="F223" i="3"/>
  <c r="O223" i="3" s="1"/>
  <c r="H223" i="3"/>
  <c r="M219" i="5"/>
  <c r="C219" i="5"/>
  <c r="D219" i="5"/>
  <c r="G219" i="5"/>
  <c r="AA220" i="5" s="1"/>
  <c r="R219" i="5"/>
  <c r="Q219" i="5"/>
  <c r="E219" i="5"/>
  <c r="V223" i="6"/>
  <c r="N223" i="6"/>
  <c r="L221" i="4"/>
  <c r="X218" i="5"/>
  <c r="P219" i="5" l="1"/>
  <c r="V221" i="4"/>
  <c r="N221" i="4"/>
  <c r="T223" i="6"/>
  <c r="X223" i="6"/>
  <c r="I223" i="3"/>
  <c r="F219" i="5"/>
  <c r="U223" i="3" l="1"/>
  <c r="J223" i="3"/>
  <c r="K223" i="3" s="1"/>
  <c r="W223" i="3" s="1"/>
  <c r="L223" i="3"/>
  <c r="R224" i="6"/>
  <c r="D224" i="6"/>
  <c r="C224" i="6"/>
  <c r="M224" i="6"/>
  <c r="E224" i="6"/>
  <c r="P224" i="6" s="1"/>
  <c r="F224" i="6"/>
  <c r="O224" i="6" s="1"/>
  <c r="G224" i="6"/>
  <c r="AA225" i="6" s="1"/>
  <c r="Q224" i="6"/>
  <c r="Z223" i="6"/>
  <c r="T221" i="4"/>
  <c r="O219" i="5"/>
  <c r="X221" i="4"/>
  <c r="H219" i="5"/>
  <c r="I219" i="5" s="1"/>
  <c r="U219" i="5" l="1"/>
  <c r="J219" i="5"/>
  <c r="K219" i="5" s="1"/>
  <c r="W219" i="5" s="1"/>
  <c r="R222" i="4"/>
  <c r="G222" i="4"/>
  <c r="AA223" i="4" s="1"/>
  <c r="M222" i="4"/>
  <c r="E222" i="4"/>
  <c r="P222" i="4" s="1"/>
  <c r="D222" i="4"/>
  <c r="C222" i="4"/>
  <c r="F222" i="4" s="1"/>
  <c r="Q222" i="4"/>
  <c r="H224" i="6"/>
  <c r="Z221" i="4"/>
  <c r="V223" i="3"/>
  <c r="N223" i="3"/>
  <c r="L219" i="5"/>
  <c r="V219" i="5" l="1"/>
  <c r="N219" i="5"/>
  <c r="X219" i="5"/>
  <c r="I224" i="6"/>
  <c r="H222" i="4"/>
  <c r="I222" i="4" s="1"/>
  <c r="U222" i="4" s="1"/>
  <c r="T223" i="3"/>
  <c r="X223" i="3"/>
  <c r="O222" i="4"/>
  <c r="U224" i="6" l="1"/>
  <c r="J224" i="6"/>
  <c r="K224" i="6" s="1"/>
  <c r="W224" i="6" s="1"/>
  <c r="Q224" i="3"/>
  <c r="E224" i="3"/>
  <c r="D224" i="3"/>
  <c r="C224" i="3"/>
  <c r="P224" i="3" s="1"/>
  <c r="R224" i="3"/>
  <c r="G224" i="3"/>
  <c r="AA225" i="3" s="1"/>
  <c r="Z223" i="3"/>
  <c r="L224" i="6"/>
  <c r="T219" i="5"/>
  <c r="L222" i="4"/>
  <c r="J222" i="4"/>
  <c r="F224" i="3" l="1"/>
  <c r="H224" i="3" s="1"/>
  <c r="I224" i="3" s="1"/>
  <c r="U224" i="3" s="1"/>
  <c r="O224" i="3"/>
  <c r="E220" i="5"/>
  <c r="Q220" i="5"/>
  <c r="G220" i="5"/>
  <c r="AA221" i="5" s="1"/>
  <c r="R220" i="5"/>
  <c r="M220" i="5"/>
  <c r="C220" i="5"/>
  <c r="D220" i="5"/>
  <c r="K222" i="4"/>
  <c r="W222" i="4" s="1"/>
  <c r="V222" i="4"/>
  <c r="N222" i="4"/>
  <c r="V224" i="6"/>
  <c r="N224" i="6"/>
  <c r="T224" i="6" s="1"/>
  <c r="Z219" i="5"/>
  <c r="F220" i="5" l="1"/>
  <c r="T222" i="4"/>
  <c r="R223" i="4" s="1"/>
  <c r="O220" i="5"/>
  <c r="H220" i="5"/>
  <c r="I220" i="5" s="1"/>
  <c r="U220" i="5" s="1"/>
  <c r="P220" i="5"/>
  <c r="J224" i="3"/>
  <c r="E223" i="4"/>
  <c r="F223" i="4" s="1"/>
  <c r="D223" i="4"/>
  <c r="Q223" i="4"/>
  <c r="G223" i="4"/>
  <c r="AA224" i="4" s="1"/>
  <c r="C223" i="4"/>
  <c r="M223" i="4"/>
  <c r="Z222" i="4"/>
  <c r="R225" i="6"/>
  <c r="G225" i="6"/>
  <c r="AA226" i="6" s="1"/>
  <c r="C225" i="6"/>
  <c r="P225" i="6"/>
  <c r="M225" i="6"/>
  <c r="Q225" i="6"/>
  <c r="E225" i="6"/>
  <c r="D225" i="6"/>
  <c r="X222" i="4"/>
  <c r="Z224" i="6"/>
  <c r="X224" i="6"/>
  <c r="L224" i="3"/>
  <c r="K224" i="3" l="1"/>
  <c r="W224" i="3" s="1"/>
  <c r="P223" i="4"/>
  <c r="V224" i="3"/>
  <c r="N224" i="3"/>
  <c r="T224" i="3" s="1"/>
  <c r="L220" i="5"/>
  <c r="O223" i="4"/>
  <c r="H223" i="4"/>
  <c r="I223" i="4" s="1"/>
  <c r="J220" i="5"/>
  <c r="F225" i="6"/>
  <c r="U223" i="4" l="1"/>
  <c r="J223" i="4"/>
  <c r="K223" i="4" s="1"/>
  <c r="W223" i="4" s="1"/>
  <c r="H225" i="6"/>
  <c r="L223" i="4"/>
  <c r="E225" i="3"/>
  <c r="D225" i="3"/>
  <c r="P225" i="3"/>
  <c r="G225" i="3"/>
  <c r="AA226" i="3" s="1"/>
  <c r="C225" i="3"/>
  <c r="R225" i="3"/>
  <c r="Q225" i="3"/>
  <c r="O225" i="6"/>
  <c r="I225" i="6"/>
  <c r="U225" i="6" s="1"/>
  <c r="K220" i="5"/>
  <c r="W220" i="5" s="1"/>
  <c r="X224" i="3"/>
  <c r="Z224" i="3"/>
  <c r="V220" i="5"/>
  <c r="N220" i="5"/>
  <c r="X220" i="5" s="1"/>
  <c r="F225" i="3" l="1"/>
  <c r="T220" i="5"/>
  <c r="J225" i="6"/>
  <c r="K225" i="6" s="1"/>
  <c r="W225" i="6" s="1"/>
  <c r="L225" i="6"/>
  <c r="V223" i="4"/>
  <c r="N223" i="4"/>
  <c r="T223" i="4" l="1"/>
  <c r="X223" i="4"/>
  <c r="R221" i="5"/>
  <c r="G221" i="5"/>
  <c r="AA222" i="5" s="1"/>
  <c r="M221" i="5"/>
  <c r="E221" i="5"/>
  <c r="D221" i="5"/>
  <c r="C221" i="5"/>
  <c r="Q221" i="5"/>
  <c r="Z220" i="5"/>
  <c r="V225" i="6"/>
  <c r="N225" i="6"/>
  <c r="O225" i="3"/>
  <c r="Z223" i="4"/>
  <c r="H225" i="3"/>
  <c r="I225" i="3" s="1"/>
  <c r="U225" i="3" s="1"/>
  <c r="P221" i="5" l="1"/>
  <c r="J225" i="3"/>
  <c r="K225" i="3" s="1"/>
  <c r="W225" i="3" s="1"/>
  <c r="L225" i="3"/>
  <c r="F221" i="5"/>
  <c r="T225" i="6"/>
  <c r="X225" i="6"/>
  <c r="D224" i="4"/>
  <c r="E224" i="4"/>
  <c r="R224" i="4"/>
  <c r="Q224" i="4"/>
  <c r="M224" i="4"/>
  <c r="G224" i="4"/>
  <c r="AA225" i="4" s="1"/>
  <c r="C224" i="4"/>
  <c r="F224" i="4" l="1"/>
  <c r="P224" i="4"/>
  <c r="O224" i="4"/>
  <c r="D226" i="6"/>
  <c r="E226" i="6"/>
  <c r="P226" i="6" s="1"/>
  <c r="C226" i="6"/>
  <c r="M226" i="6"/>
  <c r="Q226" i="6"/>
  <c r="G226" i="6"/>
  <c r="AA227" i="6" s="1"/>
  <c r="R226" i="6"/>
  <c r="O221" i="5"/>
  <c r="H221" i="5"/>
  <c r="Z225" i="6"/>
  <c r="H224" i="4"/>
  <c r="V225" i="3"/>
  <c r="N225" i="3"/>
  <c r="X225" i="3"/>
  <c r="F226" i="6" l="1"/>
  <c r="I224" i="4"/>
  <c r="I221" i="5"/>
  <c r="L221" i="5" s="1"/>
  <c r="T225" i="3"/>
  <c r="Z225" i="3"/>
  <c r="O226" i="6" l="1"/>
  <c r="H226" i="6"/>
  <c r="V221" i="5"/>
  <c r="N221" i="5"/>
  <c r="U224" i="4"/>
  <c r="J224" i="4"/>
  <c r="L224" i="4"/>
  <c r="R226" i="3"/>
  <c r="Q226" i="3"/>
  <c r="G226" i="3"/>
  <c r="AA227" i="3" s="1"/>
  <c r="C226" i="3"/>
  <c r="D226" i="3"/>
  <c r="E226" i="3"/>
  <c r="P226" i="3" s="1"/>
  <c r="U221" i="5"/>
  <c r="J221" i="5"/>
  <c r="K224" i="4" l="1"/>
  <c r="W224" i="4" s="1"/>
  <c r="K221" i="5"/>
  <c r="X221" i="5"/>
  <c r="T221" i="5"/>
  <c r="F226" i="3"/>
  <c r="I226" i="6"/>
  <c r="L226" i="6" s="1"/>
  <c r="V224" i="4"/>
  <c r="N224" i="4"/>
  <c r="T224" i="4" s="1"/>
  <c r="X224" i="4"/>
  <c r="V226" i="6" l="1"/>
  <c r="N226" i="6"/>
  <c r="O226" i="3"/>
  <c r="Z224" i="4"/>
  <c r="W221" i="5"/>
  <c r="Z221" i="5"/>
  <c r="U226" i="6"/>
  <c r="J226" i="6"/>
  <c r="K226" i="6" s="1"/>
  <c r="W226" i="6" s="1"/>
  <c r="M222" i="5"/>
  <c r="C222" i="5"/>
  <c r="F222" i="5" s="1"/>
  <c r="D222" i="5"/>
  <c r="R222" i="5"/>
  <c r="E222" i="5"/>
  <c r="Q222" i="5"/>
  <c r="G222" i="5"/>
  <c r="AA223" i="5" s="1"/>
  <c r="Q225" i="4"/>
  <c r="G225" i="4"/>
  <c r="AA226" i="4" s="1"/>
  <c r="R225" i="4"/>
  <c r="E225" i="4"/>
  <c r="C225" i="4"/>
  <c r="M225" i="4"/>
  <c r="D225" i="4"/>
  <c r="H226" i="3"/>
  <c r="P222" i="5" l="1"/>
  <c r="X226" i="6"/>
  <c r="P225" i="4"/>
  <c r="H222" i="5"/>
  <c r="I222" i="5"/>
  <c r="U222" i="5" s="1"/>
  <c r="J222" i="5"/>
  <c r="K222" i="5" s="1"/>
  <c r="W222" i="5" s="1"/>
  <c r="F225" i="4"/>
  <c r="H225" i="4" s="1"/>
  <c r="T226" i="6"/>
  <c r="Z226" i="6" s="1"/>
  <c r="O222" i="5"/>
  <c r="I226" i="3"/>
  <c r="L226" i="3" s="1"/>
  <c r="V226" i="3" l="1"/>
  <c r="N226" i="3"/>
  <c r="L222" i="5"/>
  <c r="O225" i="4"/>
  <c r="I225" i="4"/>
  <c r="U226" i="3"/>
  <c r="J226" i="3"/>
  <c r="Q227" i="6"/>
  <c r="G227" i="6"/>
  <c r="AA228" i="6" s="1"/>
  <c r="C227" i="6"/>
  <c r="F227" i="6" s="1"/>
  <c r="D227" i="6"/>
  <c r="R227" i="6"/>
  <c r="E227" i="6"/>
  <c r="M227" i="6"/>
  <c r="P227" i="6" l="1"/>
  <c r="H227" i="6"/>
  <c r="O227" i="6"/>
  <c r="I227" i="6"/>
  <c r="U227" i="6" s="1"/>
  <c r="U225" i="4"/>
  <c r="J225" i="4"/>
  <c r="V222" i="5"/>
  <c r="N222" i="5"/>
  <c r="T222" i="5" s="1"/>
  <c r="J227" i="6"/>
  <c r="K227" i="6" s="1"/>
  <c r="W227" i="6" s="1"/>
  <c r="L225" i="4"/>
  <c r="K226" i="3"/>
  <c r="L227" i="6" l="1"/>
  <c r="Z222" i="5"/>
  <c r="E223" i="5"/>
  <c r="D223" i="5"/>
  <c r="M223" i="5"/>
  <c r="R223" i="5"/>
  <c r="Q223" i="5"/>
  <c r="G223" i="5"/>
  <c r="AA224" i="5" s="1"/>
  <c r="C223" i="5"/>
  <c r="W226" i="3"/>
  <c r="X226" i="3"/>
  <c r="V227" i="6"/>
  <c r="N227" i="6"/>
  <c r="T227" i="6" s="1"/>
  <c r="V225" i="4"/>
  <c r="N225" i="4"/>
  <c r="K225" i="4"/>
  <c r="W225" i="4" s="1"/>
  <c r="X225" i="4"/>
  <c r="X222" i="5"/>
  <c r="T226" i="3"/>
  <c r="T225" i="4" l="1"/>
  <c r="Z225" i="4" s="1"/>
  <c r="Z227" i="6"/>
  <c r="M226" i="4"/>
  <c r="C226" i="4"/>
  <c r="G226" i="4"/>
  <c r="AA227" i="4" s="1"/>
  <c r="E226" i="4"/>
  <c r="D226" i="4"/>
  <c r="R226" i="4"/>
  <c r="Q226" i="4"/>
  <c r="Q228" i="6"/>
  <c r="E228" i="6"/>
  <c r="D228" i="6"/>
  <c r="R228" i="6"/>
  <c r="G228" i="6"/>
  <c r="AA229" i="6" s="1"/>
  <c r="M228" i="6"/>
  <c r="C228" i="6"/>
  <c r="G227" i="3"/>
  <c r="AA228" i="3" s="1"/>
  <c r="R227" i="3"/>
  <c r="E227" i="3"/>
  <c r="P227" i="3" s="1"/>
  <c r="D227" i="3"/>
  <c r="C227" i="3"/>
  <c r="Q227" i="3"/>
  <c r="Z226" i="3"/>
  <c r="F223" i="5"/>
  <c r="H223" i="5" s="1"/>
  <c r="P223" i="5"/>
  <c r="X227" i="6"/>
  <c r="F226" i="4" l="1"/>
  <c r="O226" i="4"/>
  <c r="P226" i="4"/>
  <c r="F227" i="3"/>
  <c r="H227" i="3" s="1"/>
  <c r="F228" i="6"/>
  <c r="O223" i="5"/>
  <c r="I223" i="5"/>
  <c r="U223" i="5" s="1"/>
  <c r="P228" i="6"/>
  <c r="H226" i="4"/>
  <c r="L223" i="5" l="1"/>
  <c r="O228" i="6"/>
  <c r="O227" i="3"/>
  <c r="I227" i="3"/>
  <c r="U227" i="3" s="1"/>
  <c r="J227" i="3"/>
  <c r="K227" i="3" s="1"/>
  <c r="W227" i="3" s="1"/>
  <c r="I226" i="4"/>
  <c r="L226" i="4" s="1"/>
  <c r="H228" i="6"/>
  <c r="J223" i="5"/>
  <c r="K223" i="5" s="1"/>
  <c r="W223" i="5" s="1"/>
  <c r="I228" i="6"/>
  <c r="U228" i="6" s="1"/>
  <c r="V226" i="4" l="1"/>
  <c r="N226" i="4"/>
  <c r="L228" i="6"/>
  <c r="V223" i="5"/>
  <c r="N223" i="5"/>
  <c r="T223" i="5" s="1"/>
  <c r="J228" i="6"/>
  <c r="K228" i="6" s="1"/>
  <c r="W228" i="6" s="1"/>
  <c r="U226" i="4"/>
  <c r="J226" i="4"/>
  <c r="L227" i="3"/>
  <c r="R224" i="5" l="1"/>
  <c r="Q224" i="5"/>
  <c r="G224" i="5"/>
  <c r="AA225" i="5" s="1"/>
  <c r="M224" i="5"/>
  <c r="E224" i="5"/>
  <c r="D224" i="5"/>
  <c r="C224" i="5"/>
  <c r="P224" i="5"/>
  <c r="K226" i="4"/>
  <c r="W226" i="4" s="1"/>
  <c r="X226" i="4"/>
  <c r="V227" i="3"/>
  <c r="N227" i="3"/>
  <c r="V228" i="6"/>
  <c r="N228" i="6"/>
  <c r="T228" i="6" s="1"/>
  <c r="X223" i="5"/>
  <c r="T226" i="4"/>
  <c r="Z223" i="5"/>
  <c r="M227" i="4" l="1"/>
  <c r="C227" i="4"/>
  <c r="R227" i="4"/>
  <c r="G227" i="4"/>
  <c r="AA228" i="4" s="1"/>
  <c r="Q227" i="4"/>
  <c r="D227" i="4"/>
  <c r="E227" i="4"/>
  <c r="F227" i="4" s="1"/>
  <c r="T227" i="3"/>
  <c r="X227" i="3"/>
  <c r="M229" i="6"/>
  <c r="C229" i="6"/>
  <c r="R229" i="6"/>
  <c r="E229" i="6"/>
  <c r="P229" i="6" s="1"/>
  <c r="D229" i="6"/>
  <c r="G229" i="6"/>
  <c r="AA230" i="6" s="1"/>
  <c r="Q229" i="6"/>
  <c r="Z226" i="4"/>
  <c r="F224" i="5"/>
  <c r="X228" i="6"/>
  <c r="Z228" i="6"/>
  <c r="O227" i="4" l="1"/>
  <c r="F229" i="6"/>
  <c r="H227" i="4"/>
  <c r="O224" i="5"/>
  <c r="D228" i="3"/>
  <c r="C228" i="3"/>
  <c r="P228" i="3" s="1"/>
  <c r="R228" i="3"/>
  <c r="G228" i="3"/>
  <c r="AA229" i="3" s="1"/>
  <c r="Q228" i="3"/>
  <c r="E228" i="3"/>
  <c r="Z227" i="3"/>
  <c r="P227" i="4"/>
  <c r="H224" i="5"/>
  <c r="I224" i="5" s="1"/>
  <c r="U224" i="5" s="1"/>
  <c r="F228" i="3" l="1"/>
  <c r="O228" i="3"/>
  <c r="H228" i="3"/>
  <c r="I228" i="3" s="1"/>
  <c r="U228" i="3" s="1"/>
  <c r="J224" i="5"/>
  <c r="K224" i="5" s="1"/>
  <c r="W224" i="5" s="1"/>
  <c r="O229" i="6"/>
  <c r="H229" i="6"/>
  <c r="I227" i="4"/>
  <c r="L224" i="5"/>
  <c r="U227" i="4" l="1"/>
  <c r="J227" i="4"/>
  <c r="J228" i="3"/>
  <c r="I229" i="6"/>
  <c r="V224" i="5"/>
  <c r="N224" i="5"/>
  <c r="L227" i="4"/>
  <c r="L228" i="3"/>
  <c r="T224" i="5" l="1"/>
  <c r="Z224" i="5" s="1"/>
  <c r="U229" i="6"/>
  <c r="J229" i="6"/>
  <c r="K229" i="6" s="1"/>
  <c r="W229" i="6" s="1"/>
  <c r="K227" i="4"/>
  <c r="W227" i="4" s="1"/>
  <c r="L229" i="6"/>
  <c r="V227" i="4"/>
  <c r="N227" i="4"/>
  <c r="X227" i="4" s="1"/>
  <c r="K228" i="3"/>
  <c r="W228" i="3" s="1"/>
  <c r="V228" i="3"/>
  <c r="N228" i="3"/>
  <c r="X224" i="5"/>
  <c r="T228" i="3" l="1"/>
  <c r="V229" i="6"/>
  <c r="N229" i="6"/>
  <c r="Q229" i="3"/>
  <c r="G229" i="3"/>
  <c r="AA230" i="3" s="1"/>
  <c r="C229" i="3"/>
  <c r="E229" i="3"/>
  <c r="P229" i="3" s="1"/>
  <c r="D229" i="3"/>
  <c r="R229" i="3"/>
  <c r="T227" i="4"/>
  <c r="Z228" i="3"/>
  <c r="M225" i="5"/>
  <c r="C225" i="5"/>
  <c r="R225" i="5"/>
  <c r="Q225" i="5"/>
  <c r="D225" i="5"/>
  <c r="E225" i="5"/>
  <c r="F225" i="5" s="1"/>
  <c r="G225" i="5"/>
  <c r="AA226" i="5" s="1"/>
  <c r="X228" i="3"/>
  <c r="P225" i="5" l="1"/>
  <c r="O225" i="5"/>
  <c r="H225" i="5"/>
  <c r="P228" i="4"/>
  <c r="C228" i="4"/>
  <c r="M228" i="4"/>
  <c r="D228" i="4"/>
  <c r="Q228" i="4"/>
  <c r="E228" i="4"/>
  <c r="R228" i="4"/>
  <c r="G228" i="4"/>
  <c r="AA229" i="4" s="1"/>
  <c r="Z227" i="4"/>
  <c r="F229" i="3"/>
  <c r="T229" i="6"/>
  <c r="X229" i="6"/>
  <c r="F228" i="4" l="1"/>
  <c r="H228" i="4"/>
  <c r="O228" i="4"/>
  <c r="R230" i="6"/>
  <c r="G230" i="6"/>
  <c r="AA231" i="6" s="1"/>
  <c r="Q230" i="6"/>
  <c r="E230" i="6"/>
  <c r="P230" i="6" s="1"/>
  <c r="M230" i="6"/>
  <c r="C230" i="6"/>
  <c r="D230" i="6"/>
  <c r="Z229" i="6"/>
  <c r="O229" i="3"/>
  <c r="I225" i="5"/>
  <c r="H229" i="3"/>
  <c r="I229" i="3" s="1"/>
  <c r="I228" i="4"/>
  <c r="U228" i="4" s="1"/>
  <c r="F230" i="6" l="1"/>
  <c r="O230" i="6" s="1"/>
  <c r="H230" i="6"/>
  <c r="J228" i="4"/>
  <c r="K228" i="4" s="1"/>
  <c r="W228" i="4" s="1"/>
  <c r="U229" i="3"/>
  <c r="J229" i="3"/>
  <c r="K229" i="3" s="1"/>
  <c r="W229" i="3" s="1"/>
  <c r="L229" i="3"/>
  <c r="U225" i="5"/>
  <c r="J225" i="5"/>
  <c r="K225" i="5" s="1"/>
  <c r="W225" i="5" s="1"/>
  <c r="L225" i="5"/>
  <c r="I230" i="6"/>
  <c r="J230" i="6" s="1"/>
  <c r="K230" i="6" s="1"/>
  <c r="W230" i="6" s="1"/>
  <c r="L228" i="4"/>
  <c r="V229" i="3" l="1"/>
  <c r="N229" i="3"/>
  <c r="V225" i="5"/>
  <c r="N225" i="5"/>
  <c r="V228" i="4"/>
  <c r="N228" i="4"/>
  <c r="T228" i="4" s="1"/>
  <c r="Z228" i="4" s="1"/>
  <c r="X225" i="5"/>
  <c r="U230" i="6"/>
  <c r="L230" i="6"/>
  <c r="Q229" i="4" l="1"/>
  <c r="C229" i="4"/>
  <c r="M229" i="4"/>
  <c r="G229" i="4"/>
  <c r="AA230" i="4" s="1"/>
  <c r="E229" i="4"/>
  <c r="D229" i="4"/>
  <c r="R229" i="4"/>
  <c r="T225" i="5"/>
  <c r="Z225" i="5"/>
  <c r="T229" i="3"/>
  <c r="X229" i="3"/>
  <c r="V230" i="6"/>
  <c r="N230" i="6"/>
  <c r="X228" i="4"/>
  <c r="F229" i="4" l="1"/>
  <c r="D226" i="5"/>
  <c r="M226" i="5"/>
  <c r="C226" i="5"/>
  <c r="E226" i="5"/>
  <c r="P226" i="5" s="1"/>
  <c r="R226" i="5"/>
  <c r="Q226" i="5"/>
  <c r="G226" i="5"/>
  <c r="AA227" i="5" s="1"/>
  <c r="P229" i="4"/>
  <c r="T230" i="6"/>
  <c r="Z230" i="6" s="1"/>
  <c r="X230" i="6"/>
  <c r="Q230" i="3"/>
  <c r="E230" i="3"/>
  <c r="C230" i="3"/>
  <c r="R230" i="3"/>
  <c r="P230" i="3"/>
  <c r="G230" i="3"/>
  <c r="AA231" i="3" s="1"/>
  <c r="F230" i="3"/>
  <c r="O230" i="3" s="1"/>
  <c r="D230" i="3"/>
  <c r="Z229" i="3"/>
  <c r="F226" i="5" l="1"/>
  <c r="C231" i="6"/>
  <c r="M231" i="6"/>
  <c r="D231" i="6"/>
  <c r="G231" i="6"/>
  <c r="AA232" i="6" s="1"/>
  <c r="E231" i="6"/>
  <c r="P231" i="6" s="1"/>
  <c r="R231" i="6"/>
  <c r="Q231" i="6"/>
  <c r="O229" i="4"/>
  <c r="H229" i="4"/>
  <c r="H230" i="3"/>
  <c r="I230" i="3" s="1"/>
  <c r="U230" i="3" l="1"/>
  <c r="J230" i="3"/>
  <c r="K230" i="3" s="1"/>
  <c r="W230" i="3" s="1"/>
  <c r="L230" i="3"/>
  <c r="O226" i="5"/>
  <c r="H226" i="5"/>
  <c r="F231" i="6"/>
  <c r="I229" i="4"/>
  <c r="U229" i="4" l="1"/>
  <c r="J229" i="4"/>
  <c r="L229" i="4"/>
  <c r="V230" i="3"/>
  <c r="N230" i="3"/>
  <c r="X230" i="3" s="1"/>
  <c r="O231" i="6"/>
  <c r="H231" i="6"/>
  <c r="I231" i="6" s="1"/>
  <c r="U231" i="6" s="1"/>
  <c r="I226" i="5"/>
  <c r="L226" i="5" s="1"/>
  <c r="V226" i="5" l="1"/>
  <c r="N226" i="5"/>
  <c r="J231" i="6"/>
  <c r="K231" i="6" s="1"/>
  <c r="W231" i="6" s="1"/>
  <c r="T230" i="3"/>
  <c r="Z230" i="3"/>
  <c r="U226" i="5"/>
  <c r="J226" i="5"/>
  <c r="K226" i="5" s="1"/>
  <c r="W226" i="5" s="1"/>
  <c r="V229" i="4"/>
  <c r="N229" i="4"/>
  <c r="X229" i="4" s="1"/>
  <c r="L231" i="6"/>
  <c r="K229" i="4"/>
  <c r="W229" i="4" s="1"/>
  <c r="X226" i="5" l="1"/>
  <c r="V231" i="6"/>
  <c r="N231" i="6"/>
  <c r="Z226" i="5"/>
  <c r="T229" i="4"/>
  <c r="C231" i="3"/>
  <c r="D231" i="3"/>
  <c r="G231" i="3"/>
  <c r="AA232" i="3" s="1"/>
  <c r="E231" i="3"/>
  <c r="P231" i="3" s="1"/>
  <c r="R231" i="3"/>
  <c r="Q231" i="3"/>
  <c r="T226" i="5"/>
  <c r="F231" i="3" l="1"/>
  <c r="T231" i="6"/>
  <c r="X231" i="6"/>
  <c r="Z231" i="6"/>
  <c r="E230" i="4"/>
  <c r="P230" i="4" s="1"/>
  <c r="D230" i="4"/>
  <c r="Q230" i="4"/>
  <c r="G230" i="4"/>
  <c r="AA231" i="4" s="1"/>
  <c r="C230" i="4"/>
  <c r="R230" i="4"/>
  <c r="M230" i="4"/>
  <c r="Z229" i="4"/>
  <c r="Q227" i="5"/>
  <c r="G227" i="5"/>
  <c r="AA228" i="5" s="1"/>
  <c r="R227" i="5"/>
  <c r="M227" i="5"/>
  <c r="E227" i="5"/>
  <c r="P227" i="5" s="1"/>
  <c r="D227" i="5"/>
  <c r="C227" i="5"/>
  <c r="F227" i="5" l="1"/>
  <c r="O227" i="5" s="1"/>
  <c r="H227" i="5"/>
  <c r="F230" i="4"/>
  <c r="H230" i="4" s="1"/>
  <c r="R232" i="6"/>
  <c r="G232" i="6"/>
  <c r="AA233" i="6" s="1"/>
  <c r="E232" i="6"/>
  <c r="Q232" i="6"/>
  <c r="P232" i="6"/>
  <c r="C232" i="6"/>
  <c r="D232" i="6"/>
  <c r="M232" i="6"/>
  <c r="O231" i="3"/>
  <c r="H231" i="3"/>
  <c r="F232" i="6" l="1"/>
  <c r="O232" i="6" s="1"/>
  <c r="I230" i="4"/>
  <c r="U230" i="4" s="1"/>
  <c r="O230" i="4"/>
  <c r="H232" i="6"/>
  <c r="I231" i="3"/>
  <c r="I227" i="5"/>
  <c r="L227" i="5" s="1"/>
  <c r="J230" i="4" l="1"/>
  <c r="K230" i="4" s="1"/>
  <c r="W230" i="4" s="1"/>
  <c r="V227" i="5"/>
  <c r="N227" i="5"/>
  <c r="U231" i="3"/>
  <c r="J231" i="3"/>
  <c r="K231" i="3" s="1"/>
  <c r="W231" i="3" s="1"/>
  <c r="U227" i="5"/>
  <c r="J227" i="5"/>
  <c r="K227" i="5" s="1"/>
  <c r="W227" i="5" s="1"/>
  <c r="L231" i="3"/>
  <c r="L230" i="4"/>
  <c r="I232" i="6"/>
  <c r="U232" i="6" l="1"/>
  <c r="J232" i="6"/>
  <c r="K232" i="6" s="1"/>
  <c r="W232" i="6" s="1"/>
  <c r="V230" i="4"/>
  <c r="N230" i="4"/>
  <c r="T230" i="4" s="1"/>
  <c r="V231" i="3"/>
  <c r="N231" i="3"/>
  <c r="L232" i="6"/>
  <c r="X230" i="4"/>
  <c r="T227" i="5"/>
  <c r="X227" i="5"/>
  <c r="V232" i="6" l="1"/>
  <c r="N232" i="6"/>
  <c r="T232" i="6" s="1"/>
  <c r="T231" i="3"/>
  <c r="Z231" i="3" s="1"/>
  <c r="X231" i="3"/>
  <c r="X232" i="6"/>
  <c r="E231" i="4"/>
  <c r="P231" i="4" s="1"/>
  <c r="R231" i="4"/>
  <c r="Q231" i="4"/>
  <c r="M231" i="4"/>
  <c r="G231" i="4"/>
  <c r="AA232" i="4" s="1"/>
  <c r="C231" i="4"/>
  <c r="D231" i="4"/>
  <c r="Z232" i="6"/>
  <c r="Z230" i="4"/>
  <c r="M228" i="5"/>
  <c r="R228" i="5"/>
  <c r="Q228" i="5"/>
  <c r="C228" i="5"/>
  <c r="P228" i="5" s="1"/>
  <c r="G228" i="5"/>
  <c r="AA229" i="5" s="1"/>
  <c r="E228" i="5"/>
  <c r="D228" i="5"/>
  <c r="Z227" i="5"/>
  <c r="F228" i="5" l="1"/>
  <c r="E232" i="3"/>
  <c r="G232" i="3"/>
  <c r="AA233" i="3" s="1"/>
  <c r="C232" i="3"/>
  <c r="R232" i="3"/>
  <c r="Q232" i="3"/>
  <c r="D232" i="3"/>
  <c r="E233" i="6"/>
  <c r="D233" i="6"/>
  <c r="C233" i="6"/>
  <c r="M233" i="6"/>
  <c r="Q233" i="6"/>
  <c r="R233" i="6"/>
  <c r="G233" i="6"/>
  <c r="AA234" i="6" s="1"/>
  <c r="F231" i="4"/>
  <c r="H231" i="4" s="1"/>
  <c r="F232" i="3" l="1"/>
  <c r="O232" i="3"/>
  <c r="P233" i="6"/>
  <c r="O228" i="5"/>
  <c r="H228" i="5"/>
  <c r="I228" i="5" s="1"/>
  <c r="P232" i="3"/>
  <c r="O231" i="4"/>
  <c r="I231" i="4"/>
  <c r="U231" i="4" s="1"/>
  <c r="F233" i="6"/>
  <c r="H232" i="3"/>
  <c r="I232" i="3" l="1"/>
  <c r="U228" i="5"/>
  <c r="J228" i="5"/>
  <c r="K228" i="5" s="1"/>
  <c r="W228" i="5" s="1"/>
  <c r="J231" i="4"/>
  <c r="K231" i="4" s="1"/>
  <c r="W231" i="4" s="1"/>
  <c r="L231" i="4"/>
  <c r="L228" i="5"/>
  <c r="H233" i="6"/>
  <c r="O233" i="6"/>
  <c r="U232" i="3" l="1"/>
  <c r="J232" i="3"/>
  <c r="L232" i="3"/>
  <c r="V228" i="5"/>
  <c r="N228" i="5"/>
  <c r="T228" i="5" s="1"/>
  <c r="V231" i="4"/>
  <c r="N231" i="4"/>
  <c r="I233" i="6"/>
  <c r="L233" i="6" s="1"/>
  <c r="V232" i="3" l="1"/>
  <c r="N232" i="3"/>
  <c r="K232" i="3"/>
  <c r="W232" i="3" s="1"/>
  <c r="X232" i="3"/>
  <c r="Z228" i="5"/>
  <c r="T231" i="4"/>
  <c r="X231" i="4"/>
  <c r="M229" i="5"/>
  <c r="C229" i="5"/>
  <c r="F229" i="5" s="1"/>
  <c r="O229" i="5" s="1"/>
  <c r="D229" i="5"/>
  <c r="Q229" i="5"/>
  <c r="G229" i="5"/>
  <c r="AA230" i="5" s="1"/>
  <c r="R229" i="5"/>
  <c r="E229" i="5"/>
  <c r="V233" i="6"/>
  <c r="N233" i="6"/>
  <c r="Z231" i="4"/>
  <c r="U233" i="6"/>
  <c r="J233" i="6"/>
  <c r="K233" i="6" s="1"/>
  <c r="W233" i="6" s="1"/>
  <c r="X228" i="5"/>
  <c r="P229" i="5" l="1"/>
  <c r="T232" i="3"/>
  <c r="H229" i="5"/>
  <c r="X233" i="6"/>
  <c r="T233" i="6"/>
  <c r="Z233" i="6" s="1"/>
  <c r="R232" i="4"/>
  <c r="E232" i="4"/>
  <c r="P232" i="4" s="1"/>
  <c r="D232" i="4"/>
  <c r="Q232" i="4"/>
  <c r="M232" i="4"/>
  <c r="G232" i="4"/>
  <c r="AA233" i="4" s="1"/>
  <c r="C232" i="4"/>
  <c r="F232" i="4" l="1"/>
  <c r="O232" i="4" s="1"/>
  <c r="H232" i="4"/>
  <c r="E233" i="3"/>
  <c r="D233" i="3"/>
  <c r="C233" i="3"/>
  <c r="F233" i="3" s="1"/>
  <c r="G233" i="3"/>
  <c r="AA234" i="3" s="1"/>
  <c r="Z232" i="3"/>
  <c r="R233" i="3"/>
  <c r="Q233" i="3"/>
  <c r="R234" i="6"/>
  <c r="E234" i="6"/>
  <c r="D234" i="6"/>
  <c r="C234" i="6"/>
  <c r="G234" i="6"/>
  <c r="AA235" i="6" s="1"/>
  <c r="Q234" i="6"/>
  <c r="M234" i="6"/>
  <c r="I229" i="5"/>
  <c r="L229" i="5" s="1"/>
  <c r="O233" i="3"/>
  <c r="H233" i="3"/>
  <c r="I232" i="4"/>
  <c r="U232" i="4" s="1"/>
  <c r="J232" i="4" l="1"/>
  <c r="K232" i="4" s="1"/>
  <c r="P234" i="6"/>
  <c r="P233" i="3"/>
  <c r="W232" i="4"/>
  <c r="I233" i="3"/>
  <c r="L233" i="3" s="1"/>
  <c r="V229" i="5"/>
  <c r="N229" i="5"/>
  <c r="F234" i="6"/>
  <c r="L232" i="4"/>
  <c r="U229" i="5"/>
  <c r="J229" i="5"/>
  <c r="V233" i="3" l="1"/>
  <c r="N233" i="3"/>
  <c r="V232" i="4"/>
  <c r="N232" i="4"/>
  <c r="O234" i="6"/>
  <c r="U233" i="3"/>
  <c r="J233" i="3"/>
  <c r="K233" i="3" s="1"/>
  <c r="W233" i="3" s="1"/>
  <c r="K229" i="5"/>
  <c r="W229" i="5" s="1"/>
  <c r="X229" i="5"/>
  <c r="H234" i="6"/>
  <c r="I234" i="6" s="1"/>
  <c r="T229" i="5" l="1"/>
  <c r="Z229" i="5" s="1"/>
  <c r="U234" i="6"/>
  <c r="J234" i="6"/>
  <c r="K234" i="6" s="1"/>
  <c r="W234" i="6" s="1"/>
  <c r="T232" i="4"/>
  <c r="X232" i="4"/>
  <c r="L234" i="6"/>
  <c r="T233" i="3"/>
  <c r="P230" i="5"/>
  <c r="E230" i="5"/>
  <c r="Q230" i="5"/>
  <c r="G230" i="5"/>
  <c r="AA231" i="5" s="1"/>
  <c r="R230" i="5"/>
  <c r="M230" i="5"/>
  <c r="C230" i="5"/>
  <c r="D230" i="5"/>
  <c r="Z232" i="4"/>
  <c r="X233" i="3"/>
  <c r="V234" i="6" l="1"/>
  <c r="N234" i="6"/>
  <c r="E233" i="4"/>
  <c r="D233" i="4"/>
  <c r="C233" i="4"/>
  <c r="R233" i="4"/>
  <c r="Q233" i="4"/>
  <c r="M233" i="4"/>
  <c r="F233" i="4"/>
  <c r="G233" i="4"/>
  <c r="AA234" i="4" s="1"/>
  <c r="C234" i="3"/>
  <c r="R234" i="3"/>
  <c r="G234" i="3"/>
  <c r="AA235" i="3" s="1"/>
  <c r="E234" i="3"/>
  <c r="F234" i="3" s="1"/>
  <c r="D234" i="3"/>
  <c r="Q234" i="3"/>
  <c r="P234" i="3"/>
  <c r="Z233" i="3"/>
  <c r="F230" i="5"/>
  <c r="H230" i="5" s="1"/>
  <c r="P233" i="4" l="1"/>
  <c r="T234" i="6"/>
  <c r="Z234" i="6"/>
  <c r="X234" i="6"/>
  <c r="L230" i="5"/>
  <c r="H234" i="3"/>
  <c r="H233" i="4"/>
  <c r="I233" i="4"/>
  <c r="U233" i="4" s="1"/>
  <c r="O234" i="3"/>
  <c r="O230" i="5"/>
  <c r="O233" i="4"/>
  <c r="I230" i="5"/>
  <c r="U230" i="5" s="1"/>
  <c r="J230" i="5" l="1"/>
  <c r="K230" i="5" s="1"/>
  <c r="W230" i="5" s="1"/>
  <c r="V230" i="5"/>
  <c r="N230" i="5"/>
  <c r="T230" i="5" s="1"/>
  <c r="X230" i="5"/>
  <c r="Z230" i="5"/>
  <c r="J233" i="4"/>
  <c r="E235" i="6"/>
  <c r="P235" i="6" s="1"/>
  <c r="D235" i="6"/>
  <c r="C235" i="6"/>
  <c r="F235" i="6" s="1"/>
  <c r="O235" i="6" s="1"/>
  <c r="Q235" i="6"/>
  <c r="M235" i="6"/>
  <c r="R235" i="6"/>
  <c r="G235" i="6"/>
  <c r="AA236" i="6" s="1"/>
  <c r="I234" i="3"/>
  <c r="L233" i="4"/>
  <c r="R231" i="5" l="1"/>
  <c r="Q231" i="5"/>
  <c r="G231" i="5"/>
  <c r="AA232" i="5" s="1"/>
  <c r="E231" i="5"/>
  <c r="D231" i="5"/>
  <c r="C231" i="5"/>
  <c r="F231" i="5"/>
  <c r="O231" i="5" s="1"/>
  <c r="P231" i="5"/>
  <c r="M231" i="5"/>
  <c r="V233" i="4"/>
  <c r="N233" i="4"/>
  <c r="K233" i="4"/>
  <c r="W233" i="4" s="1"/>
  <c r="H235" i="6"/>
  <c r="I235" i="6"/>
  <c r="U235" i="6" s="1"/>
  <c r="U234" i="3"/>
  <c r="J234" i="3"/>
  <c r="L234" i="3"/>
  <c r="T233" i="4" l="1"/>
  <c r="Z233" i="4" s="1"/>
  <c r="L235" i="6"/>
  <c r="K234" i="3"/>
  <c r="W234" i="3" s="1"/>
  <c r="H231" i="5"/>
  <c r="X233" i="4"/>
  <c r="V234" i="3"/>
  <c r="N234" i="3"/>
  <c r="D234" i="4"/>
  <c r="Q234" i="4"/>
  <c r="P234" i="4"/>
  <c r="E234" i="4"/>
  <c r="R234" i="4"/>
  <c r="G234" i="4"/>
  <c r="AA235" i="4" s="1"/>
  <c r="C234" i="4"/>
  <c r="M234" i="4"/>
  <c r="J235" i="6"/>
  <c r="K235" i="6" s="1"/>
  <c r="W235" i="6" s="1"/>
  <c r="F234" i="4" l="1"/>
  <c r="O234" i="4"/>
  <c r="H234" i="4"/>
  <c r="I234" i="4" s="1"/>
  <c r="T234" i="3"/>
  <c r="V235" i="6"/>
  <c r="N235" i="6"/>
  <c r="X235" i="6" s="1"/>
  <c r="X234" i="3"/>
  <c r="I231" i="5"/>
  <c r="L231" i="5" s="1"/>
  <c r="U234" i="4" l="1"/>
  <c r="J234" i="4"/>
  <c r="K234" i="4" s="1"/>
  <c r="W234" i="4" s="1"/>
  <c r="V231" i="5"/>
  <c r="N231" i="5"/>
  <c r="E235" i="3"/>
  <c r="P235" i="3" s="1"/>
  <c r="D235" i="3"/>
  <c r="Q235" i="3"/>
  <c r="C235" i="3"/>
  <c r="R235" i="3"/>
  <c r="G235" i="3"/>
  <c r="AA236" i="3" s="1"/>
  <c r="Z234" i="3"/>
  <c r="T235" i="6"/>
  <c r="Z235" i="6" s="1"/>
  <c r="L234" i="4"/>
  <c r="U231" i="5"/>
  <c r="J231" i="5"/>
  <c r="K231" i="5" s="1"/>
  <c r="W231" i="5" s="1"/>
  <c r="X231" i="5" l="1"/>
  <c r="F235" i="3"/>
  <c r="V234" i="4"/>
  <c r="N234" i="4"/>
  <c r="H235" i="3"/>
  <c r="T231" i="5"/>
  <c r="O235" i="3"/>
  <c r="D236" i="6"/>
  <c r="C236" i="6"/>
  <c r="G236" i="6"/>
  <c r="AA237" i="6" s="1"/>
  <c r="E236" i="6"/>
  <c r="R236" i="6"/>
  <c r="Q236" i="6"/>
  <c r="M236" i="6"/>
  <c r="P236" i="6" l="1"/>
  <c r="F236" i="6"/>
  <c r="H236" i="6" s="1"/>
  <c r="T234" i="4"/>
  <c r="X234" i="4"/>
  <c r="Z234" i="4"/>
  <c r="M232" i="5"/>
  <c r="C232" i="5"/>
  <c r="G232" i="5"/>
  <c r="AA233" i="5" s="1"/>
  <c r="E232" i="5"/>
  <c r="P232" i="5" s="1"/>
  <c r="D232" i="5"/>
  <c r="R232" i="5"/>
  <c r="Q232" i="5"/>
  <c r="Z231" i="5"/>
  <c r="I235" i="3"/>
  <c r="L235" i="3" s="1"/>
  <c r="I236" i="6" l="1"/>
  <c r="U236" i="6" s="1"/>
  <c r="U235" i="3"/>
  <c r="J235" i="3"/>
  <c r="K235" i="3" s="1"/>
  <c r="W235" i="3" s="1"/>
  <c r="V235" i="3"/>
  <c r="N235" i="3"/>
  <c r="Q235" i="4"/>
  <c r="G235" i="4"/>
  <c r="AA236" i="4" s="1"/>
  <c r="M235" i="4"/>
  <c r="E235" i="4"/>
  <c r="P235" i="4" s="1"/>
  <c r="D235" i="4"/>
  <c r="C235" i="4"/>
  <c r="R235" i="4"/>
  <c r="O236" i="6"/>
  <c r="F232" i="5"/>
  <c r="H232" i="5" s="1"/>
  <c r="F235" i="4" l="1"/>
  <c r="O235" i="4"/>
  <c r="X235" i="3"/>
  <c r="H235" i="4"/>
  <c r="L236" i="6"/>
  <c r="O232" i="5"/>
  <c r="J236" i="6"/>
  <c r="K236" i="6" s="1"/>
  <c r="W236" i="6" s="1"/>
  <c r="T235" i="3"/>
  <c r="I232" i="5"/>
  <c r="U232" i="5" s="1"/>
  <c r="R236" i="3" l="1"/>
  <c r="Q236" i="3"/>
  <c r="G236" i="3"/>
  <c r="AA237" i="3" s="1"/>
  <c r="E236" i="3"/>
  <c r="P236" i="3" s="1"/>
  <c r="D236" i="3"/>
  <c r="C236" i="3"/>
  <c r="J232" i="5"/>
  <c r="K232" i="5" s="1"/>
  <c r="W232" i="5" s="1"/>
  <c r="V236" i="6"/>
  <c r="N236" i="6"/>
  <c r="L232" i="5"/>
  <c r="Z235" i="3"/>
  <c r="I235" i="4"/>
  <c r="F236" i="3" l="1"/>
  <c r="U235" i="4"/>
  <c r="J235" i="4"/>
  <c r="K235" i="4" s="1"/>
  <c r="W235" i="4" s="1"/>
  <c r="T236" i="6"/>
  <c r="X236" i="6"/>
  <c r="L235" i="4"/>
  <c r="V232" i="5"/>
  <c r="N232" i="5"/>
  <c r="T232" i="5" s="1"/>
  <c r="V235" i="4" l="1"/>
  <c r="N235" i="4"/>
  <c r="T235" i="4" s="1"/>
  <c r="Q237" i="6"/>
  <c r="G237" i="6"/>
  <c r="AA238" i="6" s="1"/>
  <c r="R237" i="6"/>
  <c r="E237" i="6"/>
  <c r="D237" i="6"/>
  <c r="C237" i="6"/>
  <c r="M237" i="6"/>
  <c r="X232" i="5"/>
  <c r="Z235" i="4"/>
  <c r="Z232" i="5"/>
  <c r="E233" i="5"/>
  <c r="D233" i="5"/>
  <c r="M233" i="5"/>
  <c r="C233" i="5"/>
  <c r="R233" i="5"/>
  <c r="Q233" i="5"/>
  <c r="G233" i="5"/>
  <c r="AA234" i="5" s="1"/>
  <c r="H236" i="3"/>
  <c r="I236" i="3"/>
  <c r="U236" i="3" s="1"/>
  <c r="O236" i="3"/>
  <c r="Z236" i="6"/>
  <c r="F237" i="6" l="1"/>
  <c r="X235" i="4"/>
  <c r="P237" i="6"/>
  <c r="O237" i="6"/>
  <c r="P233" i="5"/>
  <c r="J236" i="3"/>
  <c r="H233" i="5"/>
  <c r="R236" i="4"/>
  <c r="G236" i="4"/>
  <c r="AA237" i="4" s="1"/>
  <c r="Q236" i="4"/>
  <c r="D236" i="4"/>
  <c r="C236" i="4"/>
  <c r="M236" i="4"/>
  <c r="E236" i="4"/>
  <c r="L236" i="3"/>
  <c r="F233" i="5"/>
  <c r="H237" i="6"/>
  <c r="P236" i="4" l="1"/>
  <c r="V236" i="3"/>
  <c r="N236" i="3"/>
  <c r="K236" i="3"/>
  <c r="F236" i="4"/>
  <c r="I237" i="6"/>
  <c r="L237" i="6" s="1"/>
  <c r="O233" i="5"/>
  <c r="I233" i="5"/>
  <c r="U233" i="5" s="1"/>
  <c r="O236" i="4" l="1"/>
  <c r="V237" i="6"/>
  <c r="N237" i="6"/>
  <c r="H236" i="4"/>
  <c r="I236" i="4" s="1"/>
  <c r="U236" i="4" s="1"/>
  <c r="J233" i="5"/>
  <c r="K233" i="5" s="1"/>
  <c r="W233" i="5" s="1"/>
  <c r="W236" i="3"/>
  <c r="X236" i="3"/>
  <c r="L233" i="5"/>
  <c r="T236" i="3"/>
  <c r="U237" i="6"/>
  <c r="J237" i="6"/>
  <c r="K237" i="6" l="1"/>
  <c r="X237" i="6"/>
  <c r="J236" i="4"/>
  <c r="L236" i="4"/>
  <c r="R237" i="3"/>
  <c r="Q237" i="3"/>
  <c r="E237" i="3"/>
  <c r="P237" i="3" s="1"/>
  <c r="D237" i="3"/>
  <c r="G237" i="3"/>
  <c r="AA238" i="3" s="1"/>
  <c r="C237" i="3"/>
  <c r="Z236" i="3"/>
  <c r="V233" i="5"/>
  <c r="N233" i="5"/>
  <c r="X233" i="5" s="1"/>
  <c r="V236" i="4" l="1"/>
  <c r="N236" i="4"/>
  <c r="W237" i="6"/>
  <c r="T233" i="5"/>
  <c r="Z233" i="5" s="1"/>
  <c r="K236" i="4"/>
  <c r="F237" i="3"/>
  <c r="T237" i="6"/>
  <c r="Z237" i="6" s="1"/>
  <c r="R234" i="5" l="1"/>
  <c r="Q234" i="5"/>
  <c r="G234" i="5"/>
  <c r="AA235" i="5" s="1"/>
  <c r="D234" i="5"/>
  <c r="C234" i="5"/>
  <c r="E234" i="5"/>
  <c r="M234" i="5"/>
  <c r="O237" i="3"/>
  <c r="H237" i="3"/>
  <c r="I237" i="3" s="1"/>
  <c r="U237" i="3" s="1"/>
  <c r="T236" i="4"/>
  <c r="W236" i="4"/>
  <c r="X236" i="4"/>
  <c r="M238" i="6"/>
  <c r="C238" i="6"/>
  <c r="D238" i="6"/>
  <c r="G238" i="6"/>
  <c r="AA239" i="6" s="1"/>
  <c r="Q238" i="6"/>
  <c r="E238" i="6"/>
  <c r="P238" i="6" s="1"/>
  <c r="R238" i="6"/>
  <c r="F234" i="5" l="1"/>
  <c r="O234" i="5" s="1"/>
  <c r="P234" i="5"/>
  <c r="L237" i="3"/>
  <c r="H234" i="5"/>
  <c r="I234" i="5" s="1"/>
  <c r="U234" i="5" s="1"/>
  <c r="M237" i="4"/>
  <c r="C237" i="4"/>
  <c r="D237" i="4"/>
  <c r="P237" i="4"/>
  <c r="E237" i="4"/>
  <c r="R237" i="4"/>
  <c r="Q237" i="4"/>
  <c r="G237" i="4"/>
  <c r="AA238" i="4" s="1"/>
  <c r="Z236" i="4"/>
  <c r="J237" i="3"/>
  <c r="K237" i="3" s="1"/>
  <c r="W237" i="3" s="1"/>
  <c r="F238" i="6"/>
  <c r="F237" i="4" l="1"/>
  <c r="H237" i="4" s="1"/>
  <c r="I237" i="4" s="1"/>
  <c r="U237" i="4" s="1"/>
  <c r="H238" i="6"/>
  <c r="I238" i="6"/>
  <c r="U238" i="6" s="1"/>
  <c r="O238" i="6"/>
  <c r="V237" i="3"/>
  <c r="N237" i="3"/>
  <c r="J234" i="5"/>
  <c r="L234" i="5"/>
  <c r="O237" i="4" l="1"/>
  <c r="V234" i="5"/>
  <c r="N234" i="5"/>
  <c r="L238" i="6"/>
  <c r="J237" i="4"/>
  <c r="K237" i="4" s="1"/>
  <c r="W237" i="4" s="1"/>
  <c r="T237" i="3"/>
  <c r="Z237" i="3"/>
  <c r="X237" i="3"/>
  <c r="J238" i="6"/>
  <c r="L237" i="4"/>
  <c r="K234" i="5"/>
  <c r="W234" i="5" s="1"/>
  <c r="T234" i="5" l="1"/>
  <c r="D238" i="3"/>
  <c r="C238" i="3"/>
  <c r="E238" i="3"/>
  <c r="P238" i="3" s="1"/>
  <c r="G238" i="3"/>
  <c r="AA239" i="3" s="1"/>
  <c r="R238" i="3"/>
  <c r="Q238" i="3"/>
  <c r="K238" i="6"/>
  <c r="W238" i="6" s="1"/>
  <c r="G235" i="5"/>
  <c r="AA236" i="5" s="1"/>
  <c r="E235" i="5"/>
  <c r="R235" i="5"/>
  <c r="Q235" i="5"/>
  <c r="M235" i="5"/>
  <c r="D235" i="5"/>
  <c r="C235" i="5"/>
  <c r="F235" i="5" s="1"/>
  <c r="Z234" i="5"/>
  <c r="V238" i="6"/>
  <c r="N238" i="6"/>
  <c r="V237" i="4"/>
  <c r="N237" i="4"/>
  <c r="X234" i="5"/>
  <c r="P235" i="5" l="1"/>
  <c r="T238" i="6"/>
  <c r="F238" i="3"/>
  <c r="H235" i="5"/>
  <c r="I235" i="5" s="1"/>
  <c r="X238" i="6"/>
  <c r="Z238" i="6"/>
  <c r="T237" i="4"/>
  <c r="X237" i="4"/>
  <c r="O235" i="5"/>
  <c r="U235" i="5" l="1"/>
  <c r="J235" i="5"/>
  <c r="K235" i="5" s="1"/>
  <c r="W235" i="5" s="1"/>
  <c r="M239" i="6"/>
  <c r="C239" i="6"/>
  <c r="R239" i="6"/>
  <c r="G239" i="6"/>
  <c r="AA240" i="6" s="1"/>
  <c r="Q239" i="6"/>
  <c r="D239" i="6"/>
  <c r="E239" i="6"/>
  <c r="P239" i="6" s="1"/>
  <c r="L235" i="5"/>
  <c r="H238" i="3"/>
  <c r="I238" i="3"/>
  <c r="U238" i="3" s="1"/>
  <c r="O238" i="3"/>
  <c r="Q238" i="4"/>
  <c r="E238" i="4"/>
  <c r="G238" i="4"/>
  <c r="AA239" i="4" s="1"/>
  <c r="D238" i="4"/>
  <c r="C238" i="4"/>
  <c r="F238" i="4" s="1"/>
  <c r="R238" i="4"/>
  <c r="M238" i="4"/>
  <c r="Z237" i="4"/>
  <c r="O238" i="4" l="1"/>
  <c r="P238" i="4"/>
  <c r="H238" i="4"/>
  <c r="I238" i="4" s="1"/>
  <c r="U238" i="4" s="1"/>
  <c r="V235" i="5"/>
  <c r="N235" i="5"/>
  <c r="J238" i="3"/>
  <c r="K238" i="3" s="1"/>
  <c r="W238" i="3" s="1"/>
  <c r="L238" i="3"/>
  <c r="F239" i="6"/>
  <c r="H239" i="6" s="1"/>
  <c r="V238" i="3" l="1"/>
  <c r="N238" i="3"/>
  <c r="T238" i="3" s="1"/>
  <c r="X238" i="3"/>
  <c r="J239" i="6"/>
  <c r="K239" i="6" s="1"/>
  <c r="W239" i="6" s="1"/>
  <c r="O239" i="6"/>
  <c r="Z238" i="3"/>
  <c r="T235" i="5"/>
  <c r="Z235" i="5"/>
  <c r="X235" i="5"/>
  <c r="L238" i="4"/>
  <c r="I239" i="6"/>
  <c r="U239" i="6" s="1"/>
  <c r="J238" i="4"/>
  <c r="D236" i="5" l="1"/>
  <c r="M236" i="5"/>
  <c r="C236" i="5"/>
  <c r="E236" i="5"/>
  <c r="P236" i="5" s="1"/>
  <c r="Q236" i="5"/>
  <c r="R236" i="5"/>
  <c r="G236" i="5"/>
  <c r="AA237" i="5" s="1"/>
  <c r="K238" i="4"/>
  <c r="Q239" i="3"/>
  <c r="G239" i="3"/>
  <c r="AA240" i="3" s="1"/>
  <c r="R239" i="3"/>
  <c r="D239" i="3"/>
  <c r="E239" i="3"/>
  <c r="P239" i="3" s="1"/>
  <c r="C239" i="3"/>
  <c r="F239" i="3" s="1"/>
  <c r="V238" i="4"/>
  <c r="N238" i="4"/>
  <c r="L239" i="6"/>
  <c r="F236" i="5" l="1"/>
  <c r="O239" i="3"/>
  <c r="V239" i="6"/>
  <c r="N239" i="6"/>
  <c r="T239" i="6" s="1"/>
  <c r="Z239" i="6" s="1"/>
  <c r="T238" i="4"/>
  <c r="X239" i="6"/>
  <c r="O236" i="5"/>
  <c r="H236" i="5"/>
  <c r="I236" i="5" s="1"/>
  <c r="W238" i="4"/>
  <c r="X238" i="4"/>
  <c r="H239" i="3"/>
  <c r="U236" i="5" l="1"/>
  <c r="J236" i="5"/>
  <c r="D239" i="4"/>
  <c r="C239" i="4"/>
  <c r="P239" i="4"/>
  <c r="E239" i="4"/>
  <c r="G239" i="4"/>
  <c r="AA240" i="4" s="1"/>
  <c r="F239" i="4"/>
  <c r="O239" i="4" s="1"/>
  <c r="R239" i="4"/>
  <c r="Q239" i="4"/>
  <c r="M239" i="4"/>
  <c r="Z238" i="4"/>
  <c r="C240" i="6"/>
  <c r="M240" i="6"/>
  <c r="D240" i="6"/>
  <c r="R240" i="6"/>
  <c r="Q240" i="6"/>
  <c r="G240" i="6"/>
  <c r="AA241" i="6" s="1"/>
  <c r="E240" i="6"/>
  <c r="I239" i="3"/>
  <c r="L236" i="5"/>
  <c r="F240" i="6" l="1"/>
  <c r="H240" i="6" s="1"/>
  <c r="O240" i="6"/>
  <c r="U239" i="3"/>
  <c r="J239" i="3"/>
  <c r="K239" i="3" s="1"/>
  <c r="W239" i="3" s="1"/>
  <c r="I239" i="4"/>
  <c r="P240" i="6"/>
  <c r="K236" i="5"/>
  <c r="W236" i="5" s="1"/>
  <c r="V236" i="5"/>
  <c r="N236" i="5"/>
  <c r="H239" i="4"/>
  <c r="L239" i="3"/>
  <c r="U239" i="4" l="1"/>
  <c r="J239" i="4"/>
  <c r="X236" i="5"/>
  <c r="L239" i="4"/>
  <c r="V239" i="3"/>
  <c r="N239" i="3"/>
  <c r="T236" i="5"/>
  <c r="Z236" i="5" s="1"/>
  <c r="I240" i="6"/>
  <c r="Q237" i="5" l="1"/>
  <c r="G237" i="5"/>
  <c r="AA238" i="5" s="1"/>
  <c r="E237" i="5"/>
  <c r="R237" i="5"/>
  <c r="C237" i="5"/>
  <c r="M237" i="5"/>
  <c r="D237" i="5"/>
  <c r="T239" i="3"/>
  <c r="X239" i="3"/>
  <c r="V239" i="4"/>
  <c r="N239" i="4"/>
  <c r="U240" i="6"/>
  <c r="J240" i="6"/>
  <c r="K240" i="6" s="1"/>
  <c r="W240" i="6" s="1"/>
  <c r="L240" i="6"/>
  <c r="K239" i="4"/>
  <c r="P237" i="5" l="1"/>
  <c r="W239" i="4"/>
  <c r="X239" i="4"/>
  <c r="C240" i="3"/>
  <c r="E240" i="3"/>
  <c r="P240" i="3" s="1"/>
  <c r="D240" i="3"/>
  <c r="R240" i="3"/>
  <c r="Q240" i="3"/>
  <c r="G240" i="3"/>
  <c r="AA241" i="3" s="1"/>
  <c r="F237" i="5"/>
  <c r="V240" i="6"/>
  <c r="N240" i="6"/>
  <c r="T239" i="4"/>
  <c r="Z239" i="3"/>
  <c r="F240" i="3" l="1"/>
  <c r="H240" i="3" s="1"/>
  <c r="G240" i="4"/>
  <c r="AA241" i="4" s="1"/>
  <c r="R240" i="4"/>
  <c r="Q240" i="4"/>
  <c r="M240" i="4"/>
  <c r="E240" i="4"/>
  <c r="P240" i="4" s="1"/>
  <c r="D240" i="4"/>
  <c r="C240" i="4"/>
  <c r="O237" i="5"/>
  <c r="H237" i="5"/>
  <c r="T240" i="6"/>
  <c r="X240" i="6"/>
  <c r="Z239" i="4"/>
  <c r="I240" i="3" l="1"/>
  <c r="L240" i="3"/>
  <c r="O240" i="3"/>
  <c r="F240" i="4"/>
  <c r="H240" i="4" s="1"/>
  <c r="I240" i="4" s="1"/>
  <c r="U240" i="4" s="1"/>
  <c r="R241" i="6"/>
  <c r="G241" i="6"/>
  <c r="AA242" i="6" s="1"/>
  <c r="M241" i="6"/>
  <c r="E241" i="6"/>
  <c r="P241" i="6" s="1"/>
  <c r="D241" i="6"/>
  <c r="Q241" i="6"/>
  <c r="C241" i="6"/>
  <c r="Z240" i="6"/>
  <c r="I237" i="5"/>
  <c r="V240" i="3"/>
  <c r="N240" i="3"/>
  <c r="O240" i="4" l="1"/>
  <c r="U240" i="3"/>
  <c r="J240" i="3"/>
  <c r="K240" i="3" s="1"/>
  <c r="W240" i="3" s="1"/>
  <c r="T240" i="3"/>
  <c r="Z240" i="3"/>
  <c r="U237" i="5"/>
  <c r="J237" i="5"/>
  <c r="K237" i="5" s="1"/>
  <c r="W237" i="5" s="1"/>
  <c r="F241" i="6"/>
  <c r="L240" i="4"/>
  <c r="X240" i="3"/>
  <c r="L237" i="5"/>
  <c r="J240" i="4"/>
  <c r="K240" i="4" s="1"/>
  <c r="W240" i="4" s="1"/>
  <c r="V237" i="5" l="1"/>
  <c r="N237" i="5"/>
  <c r="X240" i="4"/>
  <c r="C241" i="3"/>
  <c r="R241" i="3"/>
  <c r="G241" i="3"/>
  <c r="AA242" i="3" s="1"/>
  <c r="Q241" i="3"/>
  <c r="E241" i="3"/>
  <c r="F241" i="3" s="1"/>
  <c r="D241" i="3"/>
  <c r="V240" i="4"/>
  <c r="N240" i="4"/>
  <c r="T240" i="4" s="1"/>
  <c r="O241" i="6"/>
  <c r="H241" i="6"/>
  <c r="I241" i="6"/>
  <c r="U241" i="6" s="1"/>
  <c r="O241" i="3" l="1"/>
  <c r="H241" i="3"/>
  <c r="I241" i="3"/>
  <c r="U241" i="3" s="1"/>
  <c r="L241" i="6"/>
  <c r="P241" i="3"/>
  <c r="Z240" i="4"/>
  <c r="T237" i="5"/>
  <c r="X237" i="5"/>
  <c r="Z237" i="5"/>
  <c r="J241" i="6"/>
  <c r="K241" i="6" s="1"/>
  <c r="W241" i="6" s="1"/>
  <c r="E241" i="4"/>
  <c r="Q241" i="4"/>
  <c r="D241" i="4"/>
  <c r="R241" i="4"/>
  <c r="G241" i="4"/>
  <c r="AA242" i="4" s="1"/>
  <c r="M241" i="4"/>
  <c r="C241" i="4"/>
  <c r="P241" i="4" l="1"/>
  <c r="F241" i="4"/>
  <c r="J241" i="3"/>
  <c r="K241" i="3" s="1"/>
  <c r="W241" i="3" s="1"/>
  <c r="R238" i="5"/>
  <c r="E238" i="5"/>
  <c r="D238" i="5"/>
  <c r="Q238" i="5"/>
  <c r="C238" i="5"/>
  <c r="M238" i="5"/>
  <c r="P238" i="5"/>
  <c r="G238" i="5"/>
  <c r="AA239" i="5" s="1"/>
  <c r="V241" i="6"/>
  <c r="N241" i="6"/>
  <c r="L241" i="3"/>
  <c r="X241" i="6"/>
  <c r="F238" i="5" l="1"/>
  <c r="O238" i="5"/>
  <c r="H238" i="5"/>
  <c r="I238" i="5"/>
  <c r="U238" i="5" s="1"/>
  <c r="H241" i="4"/>
  <c r="O241" i="4"/>
  <c r="V241" i="3"/>
  <c r="N241" i="3"/>
  <c r="T241" i="6"/>
  <c r="Z241" i="6"/>
  <c r="E242" i="6" l="1"/>
  <c r="D242" i="6"/>
  <c r="C242" i="6"/>
  <c r="Q242" i="6"/>
  <c r="F242" i="6"/>
  <c r="G242" i="6"/>
  <c r="AA243" i="6" s="1"/>
  <c r="M242" i="6"/>
  <c r="R242" i="6"/>
  <c r="T241" i="3"/>
  <c r="X241" i="3"/>
  <c r="J238" i="5"/>
  <c r="L238" i="5"/>
  <c r="I241" i="4"/>
  <c r="H242" i="6" l="1"/>
  <c r="I242" i="6"/>
  <c r="U242" i="6" s="1"/>
  <c r="E242" i="3"/>
  <c r="G242" i="3"/>
  <c r="AA243" i="3" s="1"/>
  <c r="R242" i="3"/>
  <c r="D242" i="3"/>
  <c r="Q242" i="3"/>
  <c r="C242" i="3"/>
  <c r="Z241" i="3"/>
  <c r="U241" i="4"/>
  <c r="J241" i="4"/>
  <c r="K241" i="4" s="1"/>
  <c r="W241" i="4" s="1"/>
  <c r="V238" i="5"/>
  <c r="N238" i="5"/>
  <c r="J242" i="6"/>
  <c r="K242" i="6" s="1"/>
  <c r="W242" i="6" s="1"/>
  <c r="O242" i="6"/>
  <c r="P242" i="6"/>
  <c r="L241" i="4"/>
  <c r="K238" i="5"/>
  <c r="T238" i="5" l="1"/>
  <c r="P242" i="3"/>
  <c r="F242" i="3"/>
  <c r="H242" i="3"/>
  <c r="L242" i="6"/>
  <c r="M239" i="5"/>
  <c r="C239" i="5"/>
  <c r="D239" i="5"/>
  <c r="G239" i="5"/>
  <c r="AA240" i="5" s="1"/>
  <c r="Q239" i="5"/>
  <c r="R239" i="5"/>
  <c r="E239" i="5"/>
  <c r="Z238" i="5"/>
  <c r="W238" i="5"/>
  <c r="X238" i="5"/>
  <c r="V241" i="4"/>
  <c r="N241" i="4"/>
  <c r="P239" i="5" l="1"/>
  <c r="V242" i="6"/>
  <c r="N242" i="6"/>
  <c r="T242" i="6" s="1"/>
  <c r="O242" i="3"/>
  <c r="T241" i="4"/>
  <c r="X241" i="4"/>
  <c r="F239" i="5"/>
  <c r="H239" i="5" s="1"/>
  <c r="I242" i="3"/>
  <c r="J242" i="3" s="1"/>
  <c r="K242" i="3" l="1"/>
  <c r="W242" i="3" s="1"/>
  <c r="R242" i="4"/>
  <c r="E242" i="4"/>
  <c r="P242" i="4" s="1"/>
  <c r="C242" i="4"/>
  <c r="Q242" i="4"/>
  <c r="M242" i="4"/>
  <c r="G242" i="4"/>
  <c r="AA243" i="4" s="1"/>
  <c r="F242" i="4"/>
  <c r="O242" i="4" s="1"/>
  <c r="D242" i="4"/>
  <c r="Z241" i="4"/>
  <c r="U242" i="3"/>
  <c r="O239" i="5"/>
  <c r="I239" i="5"/>
  <c r="U239" i="5" s="1"/>
  <c r="E243" i="6"/>
  <c r="G243" i="6"/>
  <c r="AA244" i="6" s="1"/>
  <c r="C243" i="6"/>
  <c r="R243" i="6"/>
  <c r="D243" i="6"/>
  <c r="Q243" i="6"/>
  <c r="M243" i="6"/>
  <c r="X242" i="6"/>
  <c r="Z242" i="6"/>
  <c r="L242" i="3"/>
  <c r="P243" i="6" l="1"/>
  <c r="H242" i="4"/>
  <c r="V242" i="3"/>
  <c r="N242" i="3"/>
  <c r="T242" i="3" s="1"/>
  <c r="L239" i="5"/>
  <c r="J239" i="5"/>
  <c r="K239" i="5" s="1"/>
  <c r="W239" i="5" s="1"/>
  <c r="I242" i="4"/>
  <c r="U242" i="4" s="1"/>
  <c r="X242" i="3"/>
  <c r="F243" i="6"/>
  <c r="J242" i="4" l="1"/>
  <c r="K242" i="4" s="1"/>
  <c r="W242" i="4" s="1"/>
  <c r="Z242" i="3"/>
  <c r="V239" i="5"/>
  <c r="N239" i="5"/>
  <c r="T239" i="5" s="1"/>
  <c r="H243" i="6"/>
  <c r="I243" i="6" s="1"/>
  <c r="U243" i="6" s="1"/>
  <c r="O243" i="6"/>
  <c r="R243" i="3"/>
  <c r="C243" i="3"/>
  <c r="F243" i="3" s="1"/>
  <c r="Q243" i="3"/>
  <c r="G243" i="3"/>
  <c r="AA244" i="3" s="1"/>
  <c r="E243" i="3"/>
  <c r="D243" i="3"/>
  <c r="X239" i="5"/>
  <c r="Z239" i="5"/>
  <c r="L242" i="4"/>
  <c r="P243" i="3" l="1"/>
  <c r="H243" i="3"/>
  <c r="I243" i="3"/>
  <c r="U243" i="3" s="1"/>
  <c r="V242" i="4"/>
  <c r="N242" i="4"/>
  <c r="T242" i="4" s="1"/>
  <c r="Z242" i="4" s="1"/>
  <c r="E240" i="5"/>
  <c r="F240" i="5" s="1"/>
  <c r="D240" i="5"/>
  <c r="Q240" i="5"/>
  <c r="G240" i="5"/>
  <c r="AA241" i="5" s="1"/>
  <c r="R240" i="5"/>
  <c r="M240" i="5"/>
  <c r="C240" i="5"/>
  <c r="O243" i="3"/>
  <c r="J243" i="3"/>
  <c r="K243" i="3" s="1"/>
  <c r="W243" i="3" s="1"/>
  <c r="J243" i="6"/>
  <c r="K243" i="6" s="1"/>
  <c r="W243" i="6" s="1"/>
  <c r="L243" i="6"/>
  <c r="O240" i="5" l="1"/>
  <c r="H240" i="5"/>
  <c r="I240" i="5"/>
  <c r="U240" i="5" s="1"/>
  <c r="V243" i="6"/>
  <c r="N243" i="6"/>
  <c r="T243" i="6" s="1"/>
  <c r="E243" i="4"/>
  <c r="D243" i="4"/>
  <c r="Q243" i="4"/>
  <c r="C243" i="4"/>
  <c r="M243" i="4"/>
  <c r="G243" i="4"/>
  <c r="AA244" i="4" s="1"/>
  <c r="R243" i="4"/>
  <c r="P240" i="5"/>
  <c r="X242" i="4"/>
  <c r="X243" i="6"/>
  <c r="L243" i="3"/>
  <c r="Z243" i="6" l="1"/>
  <c r="R244" i="6"/>
  <c r="Q244" i="6"/>
  <c r="E244" i="6"/>
  <c r="D244" i="6"/>
  <c r="G244" i="6"/>
  <c r="AA245" i="6" s="1"/>
  <c r="M244" i="6"/>
  <c r="C244" i="6"/>
  <c r="J240" i="5"/>
  <c r="L240" i="5"/>
  <c r="P243" i="4"/>
  <c r="F243" i="4"/>
  <c r="V243" i="3"/>
  <c r="N243" i="3"/>
  <c r="P244" i="6" l="1"/>
  <c r="T243" i="3"/>
  <c r="X243" i="3"/>
  <c r="F244" i="6"/>
  <c r="K240" i="5"/>
  <c r="O243" i="4"/>
  <c r="V240" i="5"/>
  <c r="N240" i="5"/>
  <c r="H243" i="4"/>
  <c r="W240" i="5" l="1"/>
  <c r="X240" i="5"/>
  <c r="T240" i="5"/>
  <c r="D244" i="3"/>
  <c r="G244" i="3"/>
  <c r="AA245" i="3" s="1"/>
  <c r="E244" i="3"/>
  <c r="P244" i="3" s="1"/>
  <c r="C244" i="3"/>
  <c r="R244" i="3"/>
  <c r="Q244" i="3"/>
  <c r="O244" i="6"/>
  <c r="H244" i="6"/>
  <c r="I244" i="6" s="1"/>
  <c r="U244" i="6" s="1"/>
  <c r="Z243" i="3"/>
  <c r="I243" i="4"/>
  <c r="L243" i="4" s="1"/>
  <c r="V243" i="4" l="1"/>
  <c r="N243" i="4"/>
  <c r="L244" i="6"/>
  <c r="R241" i="5"/>
  <c r="Q241" i="5"/>
  <c r="G241" i="5"/>
  <c r="AA242" i="5" s="1"/>
  <c r="D241" i="5"/>
  <c r="C241" i="5"/>
  <c r="P241" i="5"/>
  <c r="E241" i="5"/>
  <c r="M241" i="5"/>
  <c r="Z240" i="5"/>
  <c r="F244" i="3"/>
  <c r="U243" i="4"/>
  <c r="J243" i="4"/>
  <c r="J244" i="6"/>
  <c r="K244" i="6" l="1"/>
  <c r="W244" i="6" s="1"/>
  <c r="K243" i="4"/>
  <c r="W243" i="4" s="1"/>
  <c r="X243" i="4"/>
  <c r="O244" i="3"/>
  <c r="V244" i="6"/>
  <c r="N244" i="6"/>
  <c r="X244" i="6" s="1"/>
  <c r="H244" i="3"/>
  <c r="F241" i="5"/>
  <c r="O241" i="5" l="1"/>
  <c r="H241" i="5"/>
  <c r="I244" i="3"/>
  <c r="T243" i="4"/>
  <c r="T244" i="6"/>
  <c r="U244" i="3" l="1"/>
  <c r="J244" i="3"/>
  <c r="K244" i="3" s="1"/>
  <c r="W244" i="3" s="1"/>
  <c r="D244" i="4"/>
  <c r="G244" i="4"/>
  <c r="AA245" i="4" s="1"/>
  <c r="M244" i="4"/>
  <c r="E244" i="4"/>
  <c r="C244" i="4"/>
  <c r="R244" i="4"/>
  <c r="Q244" i="4"/>
  <c r="P244" i="4"/>
  <c r="I241" i="5"/>
  <c r="Z243" i="4"/>
  <c r="M245" i="6"/>
  <c r="E245" i="6"/>
  <c r="G245" i="6"/>
  <c r="D245" i="6"/>
  <c r="R245" i="6"/>
  <c r="P245" i="6"/>
  <c r="C245" i="6"/>
  <c r="Q245" i="6"/>
  <c r="Z244" i="6"/>
  <c r="L244" i="3"/>
  <c r="F245" i="6" l="1"/>
  <c r="O245" i="6"/>
  <c r="H245" i="6"/>
  <c r="U241" i="5"/>
  <c r="J241" i="5"/>
  <c r="V244" i="3"/>
  <c r="N244" i="3"/>
  <c r="L241" i="5"/>
  <c r="F244" i="4"/>
  <c r="V241" i="5" l="1"/>
  <c r="N241" i="5"/>
  <c r="K241" i="5"/>
  <c r="W241" i="5" s="1"/>
  <c r="O244" i="4"/>
  <c r="I245" i="6"/>
  <c r="L245" i="6" s="1"/>
  <c r="H244" i="4"/>
  <c r="I244" i="4" s="1"/>
  <c r="U244" i="4" s="1"/>
  <c r="T244" i="3"/>
  <c r="Z244" i="3"/>
  <c r="X244" i="3"/>
  <c r="X241" i="5" l="1"/>
  <c r="V245" i="6"/>
  <c r="N245" i="6"/>
  <c r="J244" i="4"/>
  <c r="K244" i="4" s="1"/>
  <c r="W244" i="4" s="1"/>
  <c r="E245" i="3"/>
  <c r="D245" i="3"/>
  <c r="Q245" i="3"/>
  <c r="G245" i="3"/>
  <c r="C245" i="3"/>
  <c r="F245" i="3" s="1"/>
  <c r="R245" i="3"/>
  <c r="L244" i="4"/>
  <c r="U245" i="6"/>
  <c r="J245" i="6"/>
  <c r="T241" i="5"/>
  <c r="P245" i="3" l="1"/>
  <c r="O245" i="3"/>
  <c r="M242" i="5"/>
  <c r="C242" i="5"/>
  <c r="G242" i="5"/>
  <c r="AA243" i="5" s="1"/>
  <c r="E242" i="5"/>
  <c r="P242" i="5" s="1"/>
  <c r="D242" i="5"/>
  <c r="Q242" i="5"/>
  <c r="R242" i="5"/>
  <c r="Z241" i="5"/>
  <c r="K245" i="6"/>
  <c r="X245" i="6" s="1"/>
  <c r="V244" i="4"/>
  <c r="N244" i="4"/>
  <c r="T244" i="4" s="1"/>
  <c r="H245" i="3"/>
  <c r="I245" i="3" s="1"/>
  <c r="U245" i="3" s="1"/>
  <c r="T245" i="6" l="1"/>
  <c r="F242" i="5"/>
  <c r="O242" i="5" s="1"/>
  <c r="Q245" i="4"/>
  <c r="G245" i="4"/>
  <c r="R245" i="4"/>
  <c r="E245" i="4"/>
  <c r="P245" i="4" s="1"/>
  <c r="M245" i="4"/>
  <c r="D245" i="4"/>
  <c r="C245" i="4"/>
  <c r="W245" i="6"/>
  <c r="Z245" i="6"/>
  <c r="X244" i="4"/>
  <c r="J245" i="3"/>
  <c r="D246" i="6"/>
  <c r="R246" i="6"/>
  <c r="Q246" i="6"/>
  <c r="E246" i="6"/>
  <c r="G246" i="6" s="1"/>
  <c r="AA247" i="6" s="1"/>
  <c r="M246" i="6"/>
  <c r="C246" i="6"/>
  <c r="L245" i="3"/>
  <c r="Z244" i="4"/>
  <c r="H242" i="5" l="1"/>
  <c r="I242" i="5" s="1"/>
  <c r="U242" i="5" s="1"/>
  <c r="F245" i="4"/>
  <c r="J242" i="5"/>
  <c r="K242" i="5" s="1"/>
  <c r="W242" i="5" s="1"/>
  <c r="V245" i="3"/>
  <c r="N245" i="3"/>
  <c r="P246" i="6"/>
  <c r="AA246" i="6"/>
  <c r="K245" i="3"/>
  <c r="W245" i="3" s="1"/>
  <c r="F246" i="6"/>
  <c r="L242" i="5"/>
  <c r="O245" i="4" l="1"/>
  <c r="H245" i="4"/>
  <c r="T245" i="3"/>
  <c r="O246" i="6"/>
  <c r="I245" i="4"/>
  <c r="U245" i="4" s="1"/>
  <c r="X245" i="3"/>
  <c r="H246" i="6"/>
  <c r="I246" i="6" s="1"/>
  <c r="V242" i="5"/>
  <c r="N242" i="5"/>
  <c r="U246" i="6" l="1"/>
  <c r="J246" i="6"/>
  <c r="K246" i="6" s="1"/>
  <c r="W246" i="6" s="1"/>
  <c r="L245" i="4"/>
  <c r="L246" i="6"/>
  <c r="T242" i="5"/>
  <c r="X242" i="5"/>
  <c r="R246" i="3"/>
  <c r="Q246" i="3"/>
  <c r="E246" i="3"/>
  <c r="G246" i="3" s="1"/>
  <c r="AA247" i="3" s="1"/>
  <c r="D246" i="3"/>
  <c r="C246" i="3"/>
  <c r="Z245" i="3"/>
  <c r="J245" i="4"/>
  <c r="K245" i="4" s="1"/>
  <c r="W245" i="4" s="1"/>
  <c r="E243" i="5" l="1"/>
  <c r="D243" i="5"/>
  <c r="M243" i="5"/>
  <c r="C243" i="5"/>
  <c r="P243" i="5" s="1"/>
  <c r="Q243" i="5"/>
  <c r="R243" i="5"/>
  <c r="G243" i="5"/>
  <c r="AA244" i="5" s="1"/>
  <c r="H246" i="3"/>
  <c r="P246" i="3"/>
  <c r="V246" i="6"/>
  <c r="N246" i="6"/>
  <c r="F246" i="3"/>
  <c r="AA246" i="3"/>
  <c r="V245" i="4"/>
  <c r="N245" i="4"/>
  <c r="X246" i="6"/>
  <c r="Z242" i="5"/>
  <c r="F243" i="5" l="1"/>
  <c r="H243" i="5"/>
  <c r="I243" i="5"/>
  <c r="U243" i="5" s="1"/>
  <c r="I246" i="3"/>
  <c r="L246" i="3" s="1"/>
  <c r="O246" i="3"/>
  <c r="T246" i="6"/>
  <c r="Z246" i="6"/>
  <c r="T245" i="4"/>
  <c r="Z245" i="4" s="1"/>
  <c r="X245" i="4"/>
  <c r="O243" i="5"/>
  <c r="V246" i="3" l="1"/>
  <c r="N246" i="3"/>
  <c r="J246" i="3"/>
  <c r="K246" i="3" s="1"/>
  <c r="W246" i="3" s="1"/>
  <c r="X246" i="3"/>
  <c r="M246" i="4"/>
  <c r="C246" i="4"/>
  <c r="E246" i="4"/>
  <c r="G246" i="4" s="1"/>
  <c r="AA247" i="4" s="1"/>
  <c r="Q246" i="4"/>
  <c r="D246" i="4"/>
  <c r="R246" i="4"/>
  <c r="U246" i="3"/>
  <c r="L243" i="5"/>
  <c r="Q247" i="6"/>
  <c r="G247" i="6"/>
  <c r="AA248" i="6" s="1"/>
  <c r="M247" i="6"/>
  <c r="C247" i="6"/>
  <c r="E247" i="6"/>
  <c r="P247" i="6" s="1"/>
  <c r="D247" i="6"/>
  <c r="R247" i="6"/>
  <c r="J243" i="5"/>
  <c r="K243" i="5" s="1"/>
  <c r="W243" i="5" s="1"/>
  <c r="F246" i="4" l="1"/>
  <c r="H246" i="4"/>
  <c r="V243" i="5"/>
  <c r="N243" i="5"/>
  <c r="AA246" i="4"/>
  <c r="O246" i="4"/>
  <c r="T246" i="3"/>
  <c r="F247" i="6"/>
  <c r="P246" i="4"/>
  <c r="T243" i="5" l="1"/>
  <c r="X243" i="5"/>
  <c r="D247" i="3"/>
  <c r="C247" i="3"/>
  <c r="G247" i="3"/>
  <c r="AA248" i="3" s="1"/>
  <c r="R247" i="3"/>
  <c r="Q247" i="3"/>
  <c r="E247" i="3"/>
  <c r="F247" i="3" s="1"/>
  <c r="Z246" i="3"/>
  <c r="I246" i="4"/>
  <c r="L246" i="4" s="1"/>
  <c r="O247" i="6"/>
  <c r="H247" i="6"/>
  <c r="I247" i="6"/>
  <c r="U247" i="6" s="1"/>
  <c r="P247" i="3" l="1"/>
  <c r="O247" i="3"/>
  <c r="L247" i="6"/>
  <c r="J247" i="6"/>
  <c r="H247" i="3"/>
  <c r="I247" i="3" s="1"/>
  <c r="U247" i="3" s="1"/>
  <c r="V246" i="4"/>
  <c r="N246" i="4"/>
  <c r="R244" i="5"/>
  <c r="Q244" i="5"/>
  <c r="G244" i="5"/>
  <c r="AA245" i="5" s="1"/>
  <c r="C244" i="5"/>
  <c r="D244" i="5"/>
  <c r="E244" i="5"/>
  <c r="M244" i="5"/>
  <c r="U246" i="4"/>
  <c r="J246" i="4"/>
  <c r="Z243" i="5"/>
  <c r="K246" i="4" l="1"/>
  <c r="W246" i="4" s="1"/>
  <c r="T246" i="4"/>
  <c r="Z246" i="4" s="1"/>
  <c r="L247" i="3"/>
  <c r="K247" i="6"/>
  <c r="W247" i="6" s="1"/>
  <c r="F244" i="5"/>
  <c r="H244" i="5" s="1"/>
  <c r="V247" i="6"/>
  <c r="N247" i="6"/>
  <c r="P244" i="5"/>
  <c r="J247" i="3"/>
  <c r="K247" i="3" s="1"/>
  <c r="W247" i="3" s="1"/>
  <c r="X246" i="4" l="1"/>
  <c r="V247" i="3"/>
  <c r="N247" i="3"/>
  <c r="T247" i="3" s="1"/>
  <c r="Z247" i="6"/>
  <c r="M247" i="4"/>
  <c r="C247" i="4"/>
  <c r="R247" i="4"/>
  <c r="G247" i="4"/>
  <c r="AA248" i="4" s="1"/>
  <c r="Q247" i="4"/>
  <c r="E247" i="4"/>
  <c r="P247" i="4" s="1"/>
  <c r="D247" i="4"/>
  <c r="T247" i="6"/>
  <c r="O244" i="5"/>
  <c r="X247" i="6"/>
  <c r="I244" i="5"/>
  <c r="U244" i="5" s="1"/>
  <c r="Z247" i="3" l="1"/>
  <c r="D248" i="3"/>
  <c r="C248" i="3"/>
  <c r="Q248" i="3"/>
  <c r="G248" i="3"/>
  <c r="AA249" i="3" s="1"/>
  <c r="E248" i="3"/>
  <c r="F248" i="3" s="1"/>
  <c r="O248" i="3" s="1"/>
  <c r="R248" i="3"/>
  <c r="P248" i="3"/>
  <c r="J244" i="5"/>
  <c r="K244" i="5" s="1"/>
  <c r="W244" i="5" s="1"/>
  <c r="R248" i="6"/>
  <c r="G248" i="6"/>
  <c r="AA249" i="6" s="1"/>
  <c r="Q248" i="6"/>
  <c r="M248" i="6"/>
  <c r="C248" i="6"/>
  <c r="D248" i="6"/>
  <c r="E248" i="6"/>
  <c r="P248" i="6" s="1"/>
  <c r="F247" i="4"/>
  <c r="L244" i="5"/>
  <c r="X247" i="3"/>
  <c r="H247" i="4" l="1"/>
  <c r="O247" i="4"/>
  <c r="H248" i="3"/>
  <c r="I248" i="3" s="1"/>
  <c r="F248" i="6"/>
  <c r="V244" i="5"/>
  <c r="N244" i="5"/>
  <c r="T244" i="5" s="1"/>
  <c r="U248" i="3" l="1"/>
  <c r="J248" i="3"/>
  <c r="K248" i="3" s="1"/>
  <c r="W248" i="3" s="1"/>
  <c r="E245" i="5"/>
  <c r="R245" i="5"/>
  <c r="D245" i="5"/>
  <c r="G245" i="5"/>
  <c r="Q245" i="5"/>
  <c r="C245" i="5"/>
  <c r="F245" i="5" s="1"/>
  <c r="O245" i="5" s="1"/>
  <c r="P245" i="5"/>
  <c r="M245" i="5"/>
  <c r="Z244" i="5"/>
  <c r="O248" i="6"/>
  <c r="H248" i="6"/>
  <c r="X244" i="5"/>
  <c r="L248" i="3"/>
  <c r="I247" i="4"/>
  <c r="L247" i="4" s="1"/>
  <c r="V248" i="3" l="1"/>
  <c r="N248" i="3"/>
  <c r="T248" i="3" s="1"/>
  <c r="I248" i="6"/>
  <c r="L248" i="6" s="1"/>
  <c r="V247" i="4"/>
  <c r="N247" i="4"/>
  <c r="H245" i="5"/>
  <c r="I245" i="5" s="1"/>
  <c r="U247" i="4"/>
  <c r="J247" i="4"/>
  <c r="U245" i="5" l="1"/>
  <c r="J245" i="5"/>
  <c r="K245" i="5" s="1"/>
  <c r="W245" i="5" s="1"/>
  <c r="U248" i="6"/>
  <c r="J248" i="6"/>
  <c r="K247" i="4"/>
  <c r="W247" i="4" s="1"/>
  <c r="X247" i="4"/>
  <c r="L245" i="5"/>
  <c r="Q249" i="3"/>
  <c r="G249" i="3"/>
  <c r="AA250" i="3" s="1"/>
  <c r="R249" i="3"/>
  <c r="E249" i="3"/>
  <c r="P249" i="3" s="1"/>
  <c r="D249" i="3"/>
  <c r="C249" i="3"/>
  <c r="F249" i="3" s="1"/>
  <c r="V248" i="6"/>
  <c r="N248" i="6"/>
  <c r="X248" i="3"/>
  <c r="Z248" i="3"/>
  <c r="T247" i="4"/>
  <c r="O249" i="3" l="1"/>
  <c r="K248" i="6"/>
  <c r="X248" i="6"/>
  <c r="C248" i="4"/>
  <c r="M248" i="4"/>
  <c r="D248" i="4"/>
  <c r="G248" i="4"/>
  <c r="AA249" i="4" s="1"/>
  <c r="R248" i="4"/>
  <c r="Q248" i="4"/>
  <c r="E248" i="4"/>
  <c r="Z247" i="4"/>
  <c r="V245" i="5"/>
  <c r="N245" i="5"/>
  <c r="H249" i="3"/>
  <c r="F248" i="4" l="1"/>
  <c r="P248" i="4"/>
  <c r="I249" i="3"/>
  <c r="T245" i="5"/>
  <c r="X245" i="5"/>
  <c r="H248" i="4"/>
  <c r="O248" i="4"/>
  <c r="W248" i="6"/>
  <c r="T248" i="6"/>
  <c r="D246" i="5" l="1"/>
  <c r="M246" i="5"/>
  <c r="C246" i="5"/>
  <c r="E246" i="5"/>
  <c r="AA246" i="5" s="1"/>
  <c r="Q246" i="5"/>
  <c r="R246" i="5"/>
  <c r="M249" i="6"/>
  <c r="C249" i="6"/>
  <c r="D249" i="6"/>
  <c r="E249" i="6"/>
  <c r="R249" i="6"/>
  <c r="Q249" i="6"/>
  <c r="G249" i="6"/>
  <c r="AA250" i="6" s="1"/>
  <c r="Z245" i="5"/>
  <c r="U249" i="3"/>
  <c r="J249" i="3"/>
  <c r="K249" i="3" s="1"/>
  <c r="W249" i="3" s="1"/>
  <c r="Z248" i="6"/>
  <c r="L249" i="3"/>
  <c r="I248" i="4"/>
  <c r="L248" i="4" s="1"/>
  <c r="F249" i="6" l="1"/>
  <c r="H249" i="6" s="1"/>
  <c r="I249" i="6" s="1"/>
  <c r="U249" i="6" s="1"/>
  <c r="P249" i="6"/>
  <c r="F246" i="5"/>
  <c r="U248" i="4"/>
  <c r="J248" i="4"/>
  <c r="K248" i="4" s="1"/>
  <c r="W248" i="4" s="1"/>
  <c r="G246" i="5"/>
  <c r="AA247" i="5" s="1"/>
  <c r="V249" i="3"/>
  <c r="N249" i="3"/>
  <c r="T249" i="3" s="1"/>
  <c r="V248" i="4"/>
  <c r="N248" i="4"/>
  <c r="O249" i="6"/>
  <c r="P246" i="5"/>
  <c r="X249" i="3" l="1"/>
  <c r="X248" i="4"/>
  <c r="T248" i="4"/>
  <c r="Z248" i="4" s="1"/>
  <c r="M249" i="4"/>
  <c r="E249" i="4"/>
  <c r="P249" i="4" s="1"/>
  <c r="D249" i="4"/>
  <c r="C249" i="4"/>
  <c r="R249" i="4"/>
  <c r="G250" i="3"/>
  <c r="AA251" i="3" s="1"/>
  <c r="R250" i="3"/>
  <c r="E250" i="3"/>
  <c r="D250" i="3"/>
  <c r="C250" i="3"/>
  <c r="Q250" i="3"/>
  <c r="Z249" i="3"/>
  <c r="O246" i="5"/>
  <c r="H246" i="5"/>
  <c r="J249" i="6"/>
  <c r="L249" i="6"/>
  <c r="P250" i="3" l="1"/>
  <c r="G249" i="4"/>
  <c r="AA250" i="4" s="1"/>
  <c r="Q249" i="4"/>
  <c r="F249" i="4"/>
  <c r="I246" i="5"/>
  <c r="F250" i="3"/>
  <c r="H250" i="3" s="1"/>
  <c r="V249" i="6"/>
  <c r="N249" i="6"/>
  <c r="K249" i="6"/>
  <c r="W249" i="6" s="1"/>
  <c r="I250" i="3" l="1"/>
  <c r="U250" i="3" s="1"/>
  <c r="U246" i="5"/>
  <c r="J246" i="5"/>
  <c r="O249" i="4"/>
  <c r="X249" i="6"/>
  <c r="L246" i="5"/>
  <c r="T249" i="6"/>
  <c r="Z249" i="6" s="1"/>
  <c r="L250" i="3"/>
  <c r="O250" i="3"/>
  <c r="J250" i="3"/>
  <c r="K250" i="3" s="1"/>
  <c r="W250" i="3" s="1"/>
  <c r="H249" i="4"/>
  <c r="V246" i="5" l="1"/>
  <c r="N246" i="5"/>
  <c r="M250" i="6"/>
  <c r="G250" i="6"/>
  <c r="AA251" i="6" s="1"/>
  <c r="R250" i="6"/>
  <c r="Q250" i="6"/>
  <c r="E250" i="6"/>
  <c r="P250" i="6" s="1"/>
  <c r="D250" i="6"/>
  <c r="C250" i="6"/>
  <c r="K246" i="5"/>
  <c r="V250" i="3"/>
  <c r="N250" i="3"/>
  <c r="I249" i="4"/>
  <c r="T250" i="3" l="1"/>
  <c r="Z250" i="3"/>
  <c r="U249" i="4"/>
  <c r="J249" i="4"/>
  <c r="K249" i="4" s="1"/>
  <c r="W249" i="4" s="1"/>
  <c r="F250" i="6"/>
  <c r="X250" i="3"/>
  <c r="L249" i="4"/>
  <c r="T246" i="5"/>
  <c r="W246" i="5"/>
  <c r="X246" i="5"/>
  <c r="Q247" i="5" l="1"/>
  <c r="G247" i="5"/>
  <c r="AA248" i="5" s="1"/>
  <c r="E247" i="5"/>
  <c r="R247" i="5"/>
  <c r="M247" i="5"/>
  <c r="D247" i="5"/>
  <c r="C247" i="5"/>
  <c r="P247" i="5" s="1"/>
  <c r="Z246" i="5"/>
  <c r="V249" i="4"/>
  <c r="N249" i="4"/>
  <c r="T249" i="4" s="1"/>
  <c r="O250" i="6"/>
  <c r="H250" i="6"/>
  <c r="I250" i="6" s="1"/>
  <c r="U250" i="6" s="1"/>
  <c r="C251" i="3"/>
  <c r="R251" i="3"/>
  <c r="G251" i="3"/>
  <c r="AA252" i="3" s="1"/>
  <c r="Q251" i="3"/>
  <c r="E251" i="3"/>
  <c r="P251" i="3" s="1"/>
  <c r="D251" i="3"/>
  <c r="X249" i="4" l="1"/>
  <c r="F251" i="3"/>
  <c r="Z249" i="4"/>
  <c r="O251" i="3"/>
  <c r="L250" i="6"/>
  <c r="F247" i="5"/>
  <c r="J250" i="6"/>
  <c r="K250" i="6" s="1"/>
  <c r="W250" i="6" s="1"/>
  <c r="H251" i="3"/>
  <c r="I251" i="3" s="1"/>
  <c r="U251" i="3" s="1"/>
  <c r="E250" i="4"/>
  <c r="P250" i="4" s="1"/>
  <c r="D250" i="4"/>
  <c r="Q250" i="4"/>
  <c r="M250" i="4"/>
  <c r="C250" i="4"/>
  <c r="F250" i="4" s="1"/>
  <c r="G250" i="4"/>
  <c r="AA251" i="4" s="1"/>
  <c r="R250" i="4"/>
  <c r="H250" i="4" l="1"/>
  <c r="I250" i="4" s="1"/>
  <c r="O247" i="5"/>
  <c r="H247" i="5"/>
  <c r="O250" i="4"/>
  <c r="L251" i="3"/>
  <c r="V250" i="6"/>
  <c r="N250" i="6"/>
  <c r="T250" i="6" s="1"/>
  <c r="X250" i="6"/>
  <c r="J251" i="3"/>
  <c r="U250" i="4" l="1"/>
  <c r="J250" i="4"/>
  <c r="K250" i="4" s="1"/>
  <c r="W250" i="4" s="1"/>
  <c r="Z250" i="6"/>
  <c r="K251" i="3"/>
  <c r="W251" i="3" s="1"/>
  <c r="E251" i="6"/>
  <c r="P251" i="6" s="1"/>
  <c r="D251" i="6"/>
  <c r="C251" i="6"/>
  <c r="Q251" i="6"/>
  <c r="M251" i="6"/>
  <c r="R251" i="6"/>
  <c r="G251" i="6"/>
  <c r="AA252" i="6" s="1"/>
  <c r="I247" i="5"/>
  <c r="V251" i="3"/>
  <c r="N251" i="3"/>
  <c r="T251" i="3" s="1"/>
  <c r="L250" i="4"/>
  <c r="V250" i="4" l="1"/>
  <c r="N250" i="4"/>
  <c r="E252" i="3"/>
  <c r="P252" i="3" s="1"/>
  <c r="Q252" i="3"/>
  <c r="C252" i="3"/>
  <c r="G252" i="3"/>
  <c r="AA253" i="3" s="1"/>
  <c r="D252" i="3"/>
  <c r="R252" i="3"/>
  <c r="U247" i="5"/>
  <c r="J247" i="5"/>
  <c r="L247" i="5"/>
  <c r="F251" i="6"/>
  <c r="Z251" i="3"/>
  <c r="X251" i="3"/>
  <c r="O251" i="6" l="1"/>
  <c r="H251" i="6"/>
  <c r="K247" i="5"/>
  <c r="W247" i="5" s="1"/>
  <c r="V247" i="5"/>
  <c r="N247" i="5"/>
  <c r="F252" i="3"/>
  <c r="T250" i="4"/>
  <c r="X250" i="4"/>
  <c r="H252" i="3" l="1"/>
  <c r="I252" i="3" s="1"/>
  <c r="I251" i="6"/>
  <c r="X247" i="5"/>
  <c r="O252" i="3"/>
  <c r="L251" i="6"/>
  <c r="T247" i="5"/>
  <c r="E251" i="4"/>
  <c r="P251" i="4" s="1"/>
  <c r="R251" i="4"/>
  <c r="C251" i="4"/>
  <c r="Q251" i="4"/>
  <c r="G251" i="4"/>
  <c r="AA252" i="4" s="1"/>
  <c r="M251" i="4"/>
  <c r="D251" i="4"/>
  <c r="Z250" i="4"/>
  <c r="U252" i="3" l="1"/>
  <c r="J252" i="3"/>
  <c r="K252" i="3" s="1"/>
  <c r="W252" i="3" s="1"/>
  <c r="L252" i="3"/>
  <c r="R248" i="5"/>
  <c r="D248" i="5"/>
  <c r="Q248" i="5"/>
  <c r="C248" i="5"/>
  <c r="P248" i="5"/>
  <c r="E248" i="5"/>
  <c r="M248" i="5"/>
  <c r="G248" i="5"/>
  <c r="AA249" i="5" s="1"/>
  <c r="V252" i="3"/>
  <c r="N252" i="3"/>
  <c r="T252" i="3" s="1"/>
  <c r="X252" i="3"/>
  <c r="U251" i="6"/>
  <c r="J251" i="6"/>
  <c r="K251" i="6" s="1"/>
  <c r="W251" i="6" s="1"/>
  <c r="F251" i="4"/>
  <c r="Z247" i="5"/>
  <c r="V251" i="6"/>
  <c r="N251" i="6"/>
  <c r="Z252" i="3"/>
  <c r="F248" i="5" l="1"/>
  <c r="O251" i="4"/>
  <c r="H251" i="4"/>
  <c r="O248" i="5"/>
  <c r="H248" i="5"/>
  <c r="X251" i="6"/>
  <c r="I251" i="4"/>
  <c r="U251" i="4" s="1"/>
  <c r="T251" i="6"/>
  <c r="R253" i="3"/>
  <c r="P253" i="3"/>
  <c r="D253" i="3"/>
  <c r="Q253" i="3"/>
  <c r="G253" i="3"/>
  <c r="AA254" i="3" s="1"/>
  <c r="E253" i="3"/>
  <c r="C253" i="3"/>
  <c r="L251" i="4" l="1"/>
  <c r="J251" i="4"/>
  <c r="K251" i="4" s="1"/>
  <c r="W251" i="4" s="1"/>
  <c r="F253" i="3"/>
  <c r="M252" i="6"/>
  <c r="G252" i="6"/>
  <c r="AA253" i="6" s="1"/>
  <c r="R252" i="6"/>
  <c r="Q252" i="6"/>
  <c r="E252" i="6"/>
  <c r="P252" i="6" s="1"/>
  <c r="D252" i="6"/>
  <c r="C252" i="6"/>
  <c r="Z251" i="6"/>
  <c r="I248" i="5"/>
  <c r="L248" i="5" s="1"/>
  <c r="U248" i="5" l="1"/>
  <c r="J248" i="5"/>
  <c r="O253" i="3"/>
  <c r="H253" i="3"/>
  <c r="V248" i="5"/>
  <c r="N248" i="5"/>
  <c r="F252" i="6"/>
  <c r="V251" i="4"/>
  <c r="N251" i="4"/>
  <c r="I253" i="3" l="1"/>
  <c r="K248" i="5"/>
  <c r="W248" i="5" s="1"/>
  <c r="X248" i="5"/>
  <c r="T251" i="4"/>
  <c r="Z251" i="4"/>
  <c r="X251" i="4"/>
  <c r="H252" i="6"/>
  <c r="O252" i="6"/>
  <c r="T248" i="5"/>
  <c r="R252" i="4" l="1"/>
  <c r="E252" i="4"/>
  <c r="D252" i="4"/>
  <c r="Q252" i="4"/>
  <c r="G252" i="4"/>
  <c r="AA253" i="4" s="1"/>
  <c r="C252" i="4"/>
  <c r="F252" i="4" s="1"/>
  <c r="M252" i="4"/>
  <c r="M249" i="5"/>
  <c r="C249" i="5"/>
  <c r="F249" i="5" s="1"/>
  <c r="O249" i="5" s="1"/>
  <c r="D249" i="5"/>
  <c r="G249" i="5"/>
  <c r="AA250" i="5" s="1"/>
  <c r="E249" i="5"/>
  <c r="Q249" i="5"/>
  <c r="R249" i="5"/>
  <c r="Z248" i="5"/>
  <c r="U253" i="3"/>
  <c r="J253" i="3"/>
  <c r="L253" i="3"/>
  <c r="I252" i="6"/>
  <c r="P249" i="5" l="1"/>
  <c r="P252" i="4"/>
  <c r="V253" i="3"/>
  <c r="N253" i="3"/>
  <c r="L252" i="6"/>
  <c r="O252" i="4"/>
  <c r="K253" i="3"/>
  <c r="W253" i="3" s="1"/>
  <c r="H249" i="5"/>
  <c r="H252" i="4"/>
  <c r="I252" i="4" s="1"/>
  <c r="U252" i="6"/>
  <c r="J252" i="6"/>
  <c r="U252" i="4" l="1"/>
  <c r="J252" i="4"/>
  <c r="K252" i="4" s="1"/>
  <c r="W252" i="4" s="1"/>
  <c r="T253" i="3"/>
  <c r="R254" i="3" s="1"/>
  <c r="V252" i="6"/>
  <c r="N252" i="6"/>
  <c r="X253" i="3"/>
  <c r="G254" i="3"/>
  <c r="AA255" i="3" s="1"/>
  <c r="E254" i="3"/>
  <c r="P254" i="3" s="1"/>
  <c r="D254" i="3"/>
  <c r="C254" i="3"/>
  <c r="L252" i="4"/>
  <c r="I249" i="5"/>
  <c r="K252" i="6"/>
  <c r="W252" i="6" s="1"/>
  <c r="X252" i="6"/>
  <c r="Z253" i="3" l="1"/>
  <c r="Q254" i="3"/>
  <c r="V252" i="4"/>
  <c r="N252" i="4"/>
  <c r="L249" i="5"/>
  <c r="F254" i="3"/>
  <c r="T252" i="6"/>
  <c r="U249" i="5"/>
  <c r="J249" i="5"/>
  <c r="K249" i="5" s="1"/>
  <c r="W249" i="5" s="1"/>
  <c r="O254" i="3" l="1"/>
  <c r="H254" i="3"/>
  <c r="T252" i="4"/>
  <c r="X252" i="4"/>
  <c r="Z252" i="4"/>
  <c r="V249" i="5"/>
  <c r="N249" i="5"/>
  <c r="T249" i="5" s="1"/>
  <c r="E253" i="6"/>
  <c r="F253" i="6" s="1"/>
  <c r="O253" i="6" s="1"/>
  <c r="D253" i="6"/>
  <c r="M253" i="6"/>
  <c r="C253" i="6"/>
  <c r="R253" i="6"/>
  <c r="Q253" i="6"/>
  <c r="G253" i="6"/>
  <c r="AA254" i="6" s="1"/>
  <c r="Z252" i="6"/>
  <c r="Z249" i="5" l="1"/>
  <c r="P253" i="6"/>
  <c r="E250" i="5"/>
  <c r="D250" i="5"/>
  <c r="Q250" i="5"/>
  <c r="G250" i="5"/>
  <c r="AA251" i="5" s="1"/>
  <c r="M250" i="5"/>
  <c r="R250" i="5"/>
  <c r="C250" i="5"/>
  <c r="F250" i="5" s="1"/>
  <c r="I254" i="3"/>
  <c r="G253" i="4"/>
  <c r="AA254" i="4" s="1"/>
  <c r="E253" i="4"/>
  <c r="D253" i="4"/>
  <c r="C253" i="4"/>
  <c r="R253" i="4"/>
  <c r="Q253" i="4"/>
  <c r="P253" i="4"/>
  <c r="M253" i="4"/>
  <c r="H253" i="6"/>
  <c r="X249" i="5"/>
  <c r="F253" i="4" l="1"/>
  <c r="P250" i="5"/>
  <c r="O250" i="5"/>
  <c r="O253" i="4"/>
  <c r="U254" i="3"/>
  <c r="J254" i="3"/>
  <c r="H253" i="4"/>
  <c r="I253" i="4" s="1"/>
  <c r="U253" i="4" s="1"/>
  <c r="I253" i="6"/>
  <c r="L253" i="6" s="1"/>
  <c r="H250" i="5"/>
  <c r="L254" i="3"/>
  <c r="V253" i="6" l="1"/>
  <c r="N253" i="6"/>
  <c r="U253" i="6"/>
  <c r="J253" i="6"/>
  <c r="K253" i="6" s="1"/>
  <c r="W253" i="6" s="1"/>
  <c r="L253" i="4"/>
  <c r="V254" i="3"/>
  <c r="N254" i="3"/>
  <c r="X254" i="3" s="1"/>
  <c r="J253" i="4"/>
  <c r="K253" i="4" s="1"/>
  <c r="W253" i="4" s="1"/>
  <c r="K254" i="3"/>
  <c r="I250" i="5"/>
  <c r="X253" i="6" l="1"/>
  <c r="V253" i="4"/>
  <c r="N253" i="4"/>
  <c r="T253" i="4" s="1"/>
  <c r="T254" i="3"/>
  <c r="W254" i="3"/>
  <c r="Z254" i="3"/>
  <c r="Z253" i="4"/>
  <c r="U250" i="5"/>
  <c r="J250" i="5"/>
  <c r="K250" i="5" s="1"/>
  <c r="W250" i="5" s="1"/>
  <c r="T253" i="6"/>
  <c r="L250" i="5"/>
  <c r="R254" i="6" l="1"/>
  <c r="Q254" i="6"/>
  <c r="G254" i="6"/>
  <c r="AA255" i="6" s="1"/>
  <c r="E254" i="6"/>
  <c r="D254" i="6"/>
  <c r="C254" i="6"/>
  <c r="M254" i="6"/>
  <c r="Z253" i="6"/>
  <c r="E255" i="3"/>
  <c r="P255" i="3" s="1"/>
  <c r="D255" i="3"/>
  <c r="G255" i="3"/>
  <c r="AA256" i="3" s="1"/>
  <c r="R255" i="3"/>
  <c r="Q255" i="3"/>
  <c r="C255" i="3"/>
  <c r="D254" i="4"/>
  <c r="Q254" i="4"/>
  <c r="P254" i="4"/>
  <c r="E254" i="4"/>
  <c r="R254" i="4"/>
  <c r="G254" i="4"/>
  <c r="AA255" i="4" s="1"/>
  <c r="M254" i="4"/>
  <c r="C254" i="4"/>
  <c r="V250" i="5"/>
  <c r="N250" i="5"/>
  <c r="T250" i="5" s="1"/>
  <c r="X253" i="4"/>
  <c r="Z250" i="5"/>
  <c r="F255" i="3" l="1"/>
  <c r="F254" i="4"/>
  <c r="X250" i="5"/>
  <c r="F254" i="6"/>
  <c r="O254" i="6"/>
  <c r="O254" i="4"/>
  <c r="O255" i="3"/>
  <c r="P254" i="6"/>
  <c r="R251" i="5"/>
  <c r="Q251" i="5"/>
  <c r="G251" i="5"/>
  <c r="AA252" i="5" s="1"/>
  <c r="C251" i="5"/>
  <c r="D251" i="5"/>
  <c r="E251" i="5"/>
  <c r="P251" i="5" s="1"/>
  <c r="M251" i="5"/>
  <c r="H255" i="3"/>
  <c r="I255" i="3" s="1"/>
  <c r="U255" i="3" s="1"/>
  <c r="H254" i="6"/>
  <c r="H254" i="4"/>
  <c r="J255" i="3" l="1"/>
  <c r="F251" i="5"/>
  <c r="I254" i="6"/>
  <c r="L255" i="3"/>
  <c r="I254" i="4"/>
  <c r="U254" i="6" l="1"/>
  <c r="J254" i="6"/>
  <c r="K254" i="6" s="1"/>
  <c r="W254" i="6" s="1"/>
  <c r="L254" i="6"/>
  <c r="K255" i="3"/>
  <c r="W255" i="3" s="1"/>
  <c r="U254" i="4"/>
  <c r="J254" i="4"/>
  <c r="K254" i="4" s="1"/>
  <c r="W254" i="4" s="1"/>
  <c r="V255" i="3"/>
  <c r="N255" i="3"/>
  <c r="L254" i="4"/>
  <c r="O251" i="5"/>
  <c r="H251" i="5"/>
  <c r="X255" i="3" l="1"/>
  <c r="V254" i="4"/>
  <c r="N254" i="4"/>
  <c r="T254" i="4" s="1"/>
  <c r="V254" i="6"/>
  <c r="N254" i="6"/>
  <c r="T255" i="3"/>
  <c r="X254" i="4"/>
  <c r="I251" i="5"/>
  <c r="R256" i="3" l="1"/>
  <c r="Q256" i="3"/>
  <c r="G256" i="3"/>
  <c r="AA257" i="3" s="1"/>
  <c r="D256" i="3"/>
  <c r="C256" i="3"/>
  <c r="E256" i="3"/>
  <c r="P256" i="3" s="1"/>
  <c r="Z255" i="3"/>
  <c r="U251" i="5"/>
  <c r="J251" i="5"/>
  <c r="K251" i="5" s="1"/>
  <c r="W251" i="5" s="1"/>
  <c r="L251" i="5"/>
  <c r="T254" i="6"/>
  <c r="Z254" i="6"/>
  <c r="X254" i="6"/>
  <c r="Q255" i="4"/>
  <c r="G255" i="4"/>
  <c r="AA256" i="4" s="1"/>
  <c r="M255" i="4"/>
  <c r="D255" i="4"/>
  <c r="E255" i="4"/>
  <c r="P255" i="4" s="1"/>
  <c r="C255" i="4"/>
  <c r="R255" i="4"/>
  <c r="Z254" i="4"/>
  <c r="G255" i="6" l="1"/>
  <c r="AA256" i="6" s="1"/>
  <c r="M255" i="6"/>
  <c r="D255" i="6"/>
  <c r="C255" i="6"/>
  <c r="E255" i="6"/>
  <c r="R255" i="6"/>
  <c r="P255" i="6"/>
  <c r="Q255" i="6"/>
  <c r="F255" i="4"/>
  <c r="H255" i="4" s="1"/>
  <c r="F256" i="3"/>
  <c r="V251" i="5"/>
  <c r="N251" i="5"/>
  <c r="T251" i="5" s="1"/>
  <c r="Z251" i="5" s="1"/>
  <c r="X251" i="5"/>
  <c r="M252" i="5" l="1"/>
  <c r="C252" i="5"/>
  <c r="G252" i="5"/>
  <c r="AA253" i="5" s="1"/>
  <c r="E252" i="5"/>
  <c r="F252" i="5" s="1"/>
  <c r="D252" i="5"/>
  <c r="R252" i="5"/>
  <c r="Q252" i="5"/>
  <c r="P252" i="5"/>
  <c r="O256" i="3"/>
  <c r="O255" i="4"/>
  <c r="I255" i="4"/>
  <c r="U255" i="4" s="1"/>
  <c r="H256" i="3"/>
  <c r="F255" i="6"/>
  <c r="O255" i="6" l="1"/>
  <c r="H255" i="6"/>
  <c r="O252" i="5"/>
  <c r="J255" i="4"/>
  <c r="H252" i="5"/>
  <c r="I256" i="3"/>
  <c r="L255" i="4"/>
  <c r="V255" i="4" l="1"/>
  <c r="N255" i="4"/>
  <c r="U256" i="3"/>
  <c r="J256" i="3"/>
  <c r="I255" i="6"/>
  <c r="I252" i="5"/>
  <c r="L252" i="5" s="1"/>
  <c r="L256" i="3"/>
  <c r="K255" i="4"/>
  <c r="W255" i="4" s="1"/>
  <c r="T255" i="4" l="1"/>
  <c r="P256" i="4" s="1"/>
  <c r="U252" i="5"/>
  <c r="J252" i="5"/>
  <c r="K252" i="5" s="1"/>
  <c r="W252" i="5" s="1"/>
  <c r="V252" i="5"/>
  <c r="N252" i="5"/>
  <c r="T252" i="5" s="1"/>
  <c r="V256" i="3"/>
  <c r="N256" i="3"/>
  <c r="R256" i="4"/>
  <c r="G256" i="4"/>
  <c r="AA257" i="4" s="1"/>
  <c r="Q256" i="4"/>
  <c r="C256" i="4"/>
  <c r="E256" i="4"/>
  <c r="D256" i="4"/>
  <c r="M256" i="4"/>
  <c r="U255" i="6"/>
  <c r="J255" i="6"/>
  <c r="K255" i="6" s="1"/>
  <c r="W255" i="6" s="1"/>
  <c r="L255" i="6"/>
  <c r="X255" i="4"/>
  <c r="K256" i="3"/>
  <c r="Z255" i="4"/>
  <c r="T256" i="3" l="1"/>
  <c r="E253" i="5"/>
  <c r="D253" i="5"/>
  <c r="M253" i="5"/>
  <c r="C253" i="5"/>
  <c r="P253" i="5"/>
  <c r="F253" i="5"/>
  <c r="Q253" i="5"/>
  <c r="G253" i="5"/>
  <c r="AA254" i="5" s="1"/>
  <c r="R253" i="5"/>
  <c r="V255" i="6"/>
  <c r="N255" i="6"/>
  <c r="T255" i="6" s="1"/>
  <c r="Q257" i="3"/>
  <c r="E257" i="3"/>
  <c r="D257" i="3"/>
  <c r="C257" i="3"/>
  <c r="R257" i="3"/>
  <c r="G257" i="3"/>
  <c r="AA258" i="3" s="1"/>
  <c r="F256" i="4"/>
  <c r="Z252" i="5"/>
  <c r="X252" i="5"/>
  <c r="W256" i="3"/>
  <c r="X256" i="3"/>
  <c r="Z256" i="3"/>
  <c r="P257" i="3" l="1"/>
  <c r="O256" i="4"/>
  <c r="H256" i="4"/>
  <c r="I256" i="4" s="1"/>
  <c r="F257" i="3"/>
  <c r="H257" i="3" s="1"/>
  <c r="I257" i="3" s="1"/>
  <c r="U257" i="3" s="1"/>
  <c r="D256" i="6"/>
  <c r="M256" i="6"/>
  <c r="C256" i="6"/>
  <c r="E256" i="6"/>
  <c r="Q256" i="6"/>
  <c r="R256" i="6"/>
  <c r="G256" i="6"/>
  <c r="AA257" i="6" s="1"/>
  <c r="X255" i="6"/>
  <c r="H253" i="5"/>
  <c r="I253" i="5" s="1"/>
  <c r="U253" i="5" s="1"/>
  <c r="O253" i="5"/>
  <c r="Z255" i="6"/>
  <c r="P256" i="6" l="1"/>
  <c r="U256" i="4"/>
  <c r="J256" i="4"/>
  <c r="K256" i="4" s="1"/>
  <c r="W256" i="4" s="1"/>
  <c r="L256" i="4"/>
  <c r="J253" i="5"/>
  <c r="K253" i="5" s="1"/>
  <c r="W253" i="5" s="1"/>
  <c r="L253" i="5"/>
  <c r="L257" i="3"/>
  <c r="F256" i="6"/>
  <c r="J257" i="3"/>
  <c r="K257" i="3" s="1"/>
  <c r="W257" i="3" s="1"/>
  <c r="O257" i="3"/>
  <c r="V253" i="5" l="1"/>
  <c r="N253" i="5"/>
  <c r="T253" i="5" s="1"/>
  <c r="V256" i="4"/>
  <c r="N256" i="4"/>
  <c r="X253" i="5"/>
  <c r="H256" i="6"/>
  <c r="O256" i="6"/>
  <c r="Z253" i="5"/>
  <c r="V257" i="3"/>
  <c r="N257" i="3"/>
  <c r="T257" i="3" s="1"/>
  <c r="Z257" i="3" l="1"/>
  <c r="X257" i="3"/>
  <c r="R254" i="5"/>
  <c r="Q254" i="5"/>
  <c r="G254" i="5"/>
  <c r="AA255" i="5" s="1"/>
  <c r="C254" i="5"/>
  <c r="D254" i="5"/>
  <c r="E254" i="5"/>
  <c r="P254" i="5" s="1"/>
  <c r="M254" i="5"/>
  <c r="D258" i="3"/>
  <c r="C258" i="3"/>
  <c r="G258" i="3"/>
  <c r="AA259" i="3" s="1"/>
  <c r="E258" i="3"/>
  <c r="P258" i="3" s="1"/>
  <c r="R258" i="3"/>
  <c r="Q258" i="3"/>
  <c r="T256" i="4"/>
  <c r="X256" i="4"/>
  <c r="I256" i="6"/>
  <c r="F254" i="5" l="1"/>
  <c r="H254" i="5"/>
  <c r="O254" i="5"/>
  <c r="M257" i="4"/>
  <c r="C257" i="4"/>
  <c r="D257" i="4"/>
  <c r="G257" i="4"/>
  <c r="AA258" i="4" s="1"/>
  <c r="R257" i="4"/>
  <c r="Q257" i="4"/>
  <c r="E257" i="4"/>
  <c r="Z256" i="4"/>
  <c r="U256" i="6"/>
  <c r="J256" i="6"/>
  <c r="K256" i="6" s="1"/>
  <c r="W256" i="6" s="1"/>
  <c r="F258" i="3"/>
  <c r="L256" i="6"/>
  <c r="H258" i="3"/>
  <c r="I258" i="3" s="1"/>
  <c r="U258" i="3" s="1"/>
  <c r="P257" i="4" l="1"/>
  <c r="L258" i="3"/>
  <c r="F257" i="4"/>
  <c r="V256" i="6"/>
  <c r="N256" i="6"/>
  <c r="J258" i="3"/>
  <c r="K258" i="3" s="1"/>
  <c r="W258" i="3" s="1"/>
  <c r="O258" i="3"/>
  <c r="I254" i="5"/>
  <c r="T256" i="6" l="1"/>
  <c r="X256" i="6"/>
  <c r="U254" i="5"/>
  <c r="J254" i="5"/>
  <c r="K254" i="5" s="1"/>
  <c r="W254" i="5" s="1"/>
  <c r="O257" i="4"/>
  <c r="L254" i="5"/>
  <c r="Z256" i="6"/>
  <c r="V258" i="3"/>
  <c r="N258" i="3"/>
  <c r="H257" i="4"/>
  <c r="I257" i="4" l="1"/>
  <c r="V254" i="5"/>
  <c r="N254" i="5"/>
  <c r="T254" i="5" s="1"/>
  <c r="T258" i="3"/>
  <c r="Z258" i="3"/>
  <c r="Z254" i="5"/>
  <c r="X258" i="3"/>
  <c r="Q257" i="6"/>
  <c r="G257" i="6"/>
  <c r="AA258" i="6" s="1"/>
  <c r="E257" i="6"/>
  <c r="F257" i="6" s="1"/>
  <c r="R257" i="6"/>
  <c r="D257" i="6"/>
  <c r="C257" i="6"/>
  <c r="M257" i="6"/>
  <c r="O257" i="6" l="1"/>
  <c r="H257" i="6"/>
  <c r="I257" i="6"/>
  <c r="U257" i="6" s="1"/>
  <c r="P257" i="6"/>
  <c r="Q259" i="3"/>
  <c r="G259" i="3"/>
  <c r="AA260" i="3" s="1"/>
  <c r="P259" i="3"/>
  <c r="R259" i="3"/>
  <c r="C259" i="3"/>
  <c r="F259" i="3" s="1"/>
  <c r="O259" i="3" s="1"/>
  <c r="E259" i="3"/>
  <c r="D259" i="3"/>
  <c r="U257" i="4"/>
  <c r="J257" i="4"/>
  <c r="K257" i="4" s="1"/>
  <c r="W257" i="4" s="1"/>
  <c r="L257" i="4"/>
  <c r="E255" i="5"/>
  <c r="R255" i="5"/>
  <c r="D255" i="5"/>
  <c r="Q255" i="5"/>
  <c r="C255" i="5"/>
  <c r="M255" i="5"/>
  <c r="G255" i="5"/>
  <c r="AA256" i="5" s="1"/>
  <c r="X254" i="5"/>
  <c r="P255" i="5" l="1"/>
  <c r="V257" i="4"/>
  <c r="N257" i="4"/>
  <c r="T257" i="4" s="1"/>
  <c r="X257" i="4"/>
  <c r="L257" i="6"/>
  <c r="F255" i="5"/>
  <c r="Z257" i="4"/>
  <c r="J257" i="6"/>
  <c r="H259" i="3"/>
  <c r="I259" i="3" s="1"/>
  <c r="U259" i="3" s="1"/>
  <c r="L259" i="3" l="1"/>
  <c r="V259" i="3" s="1"/>
  <c r="O255" i="5"/>
  <c r="H255" i="5"/>
  <c r="G258" i="4"/>
  <c r="AA259" i="4" s="1"/>
  <c r="R258" i="4"/>
  <c r="Q258" i="4"/>
  <c r="M258" i="4"/>
  <c r="E258" i="4"/>
  <c r="D258" i="4"/>
  <c r="C258" i="4"/>
  <c r="V257" i="6"/>
  <c r="N257" i="6"/>
  <c r="J259" i="3"/>
  <c r="K257" i="6"/>
  <c r="N259" i="3"/>
  <c r="F258" i="4" l="1"/>
  <c r="P258" i="4"/>
  <c r="O258" i="4"/>
  <c r="H258" i="4"/>
  <c r="I258" i="4"/>
  <c r="U258" i="4" s="1"/>
  <c r="W257" i="6"/>
  <c r="X257" i="6"/>
  <c r="K259" i="3"/>
  <c r="T257" i="6"/>
  <c r="I255" i="5"/>
  <c r="W259" i="3" l="1"/>
  <c r="X259" i="3"/>
  <c r="T259" i="3"/>
  <c r="U255" i="5"/>
  <c r="J255" i="5"/>
  <c r="J258" i="4"/>
  <c r="K258" i="4" s="1"/>
  <c r="W258" i="4" s="1"/>
  <c r="L258" i="4"/>
  <c r="R258" i="6"/>
  <c r="G258" i="6"/>
  <c r="AA259" i="6" s="1"/>
  <c r="F258" i="6"/>
  <c r="M258" i="6"/>
  <c r="C258" i="6"/>
  <c r="E258" i="6"/>
  <c r="Q258" i="6"/>
  <c r="D258" i="6"/>
  <c r="Z257" i="6"/>
  <c r="L255" i="5"/>
  <c r="V258" i="4" l="1"/>
  <c r="N258" i="4"/>
  <c r="T258" i="4" s="1"/>
  <c r="X258" i="4"/>
  <c r="K255" i="5"/>
  <c r="O258" i="6"/>
  <c r="H258" i="6"/>
  <c r="G260" i="3"/>
  <c r="AA261" i="3" s="1"/>
  <c r="R260" i="3"/>
  <c r="Q260" i="3"/>
  <c r="E260" i="3"/>
  <c r="P260" i="3" s="1"/>
  <c r="D260" i="3"/>
  <c r="C260" i="3"/>
  <c r="Z259" i="3"/>
  <c r="V255" i="5"/>
  <c r="N255" i="5"/>
  <c r="Z258" i="4"/>
  <c r="P258" i="6"/>
  <c r="W255" i="5" l="1"/>
  <c r="T255" i="5"/>
  <c r="D259" i="4"/>
  <c r="C259" i="4"/>
  <c r="E259" i="4"/>
  <c r="F259" i="4" s="1"/>
  <c r="M259" i="4"/>
  <c r="G259" i="4"/>
  <c r="AA260" i="4" s="1"/>
  <c r="R259" i="4"/>
  <c r="Q259" i="4"/>
  <c r="X255" i="5"/>
  <c r="F260" i="3"/>
  <c r="I258" i="6"/>
  <c r="O259" i="4" l="1"/>
  <c r="U258" i="6"/>
  <c r="J258" i="6"/>
  <c r="L258" i="6"/>
  <c r="D256" i="5"/>
  <c r="M256" i="5"/>
  <c r="C256" i="5"/>
  <c r="F256" i="5" s="1"/>
  <c r="O256" i="5" s="1"/>
  <c r="E256" i="5"/>
  <c r="P256" i="5" s="1"/>
  <c r="R256" i="5"/>
  <c r="Q256" i="5"/>
  <c r="G256" i="5"/>
  <c r="AA257" i="5" s="1"/>
  <c r="P259" i="4"/>
  <c r="O260" i="3"/>
  <c r="Z255" i="5"/>
  <c r="H259" i="4"/>
  <c r="H260" i="3"/>
  <c r="H256" i="5" l="1"/>
  <c r="I256" i="5" s="1"/>
  <c r="U256" i="5"/>
  <c r="J256" i="5"/>
  <c r="K256" i="5"/>
  <c r="W256" i="5" s="1"/>
  <c r="I260" i="3"/>
  <c r="V258" i="6"/>
  <c r="N258" i="6"/>
  <c r="L256" i="5"/>
  <c r="V256" i="5" s="1"/>
  <c r="K258" i="6"/>
  <c r="I259" i="4"/>
  <c r="L259" i="4" s="1"/>
  <c r="T258" i="6" l="1"/>
  <c r="N256" i="5"/>
  <c r="V259" i="4"/>
  <c r="N259" i="4"/>
  <c r="X256" i="5"/>
  <c r="U260" i="3"/>
  <c r="J260" i="3"/>
  <c r="K260" i="3" s="1"/>
  <c r="W260" i="3" s="1"/>
  <c r="L260" i="3"/>
  <c r="T256" i="5"/>
  <c r="M259" i="6"/>
  <c r="C259" i="6"/>
  <c r="D259" i="6"/>
  <c r="Q259" i="6"/>
  <c r="E259" i="6"/>
  <c r="R259" i="6"/>
  <c r="G259" i="6"/>
  <c r="AA260" i="6" s="1"/>
  <c r="U259" i="4"/>
  <c r="J259" i="4"/>
  <c r="W258" i="6"/>
  <c r="X258" i="6"/>
  <c r="Z258" i="6"/>
  <c r="F259" i="6" l="1"/>
  <c r="P259" i="6"/>
  <c r="O259" i="6"/>
  <c r="K259" i="4"/>
  <c r="X259" i="4" s="1"/>
  <c r="Q257" i="5"/>
  <c r="G257" i="5"/>
  <c r="AA258" i="5" s="1"/>
  <c r="E257" i="5"/>
  <c r="P257" i="5" s="1"/>
  <c r="R257" i="5"/>
  <c r="M257" i="5"/>
  <c r="D257" i="5"/>
  <c r="C257" i="5"/>
  <c r="Z256" i="5"/>
  <c r="V260" i="3"/>
  <c r="N260" i="3"/>
  <c r="T260" i="3" s="1"/>
  <c r="H259" i="6"/>
  <c r="T259" i="4" l="1"/>
  <c r="X260" i="3"/>
  <c r="Z260" i="3"/>
  <c r="C261" i="3"/>
  <c r="D261" i="3"/>
  <c r="G261" i="3"/>
  <c r="AA262" i="3" s="1"/>
  <c r="E261" i="3"/>
  <c r="P261" i="3" s="1"/>
  <c r="R261" i="3"/>
  <c r="Q261" i="3"/>
  <c r="I259" i="6"/>
  <c r="L259" i="6" s="1"/>
  <c r="W259" i="4"/>
  <c r="Z259" i="4"/>
  <c r="Q260" i="4"/>
  <c r="C260" i="4"/>
  <c r="E260" i="4"/>
  <c r="P260" i="4" s="1"/>
  <c r="D260" i="4"/>
  <c r="R260" i="4"/>
  <c r="M260" i="4"/>
  <c r="G260" i="4"/>
  <c r="AA261" i="4" s="1"/>
  <c r="F257" i="5"/>
  <c r="F260" i="4" l="1"/>
  <c r="O257" i="5"/>
  <c r="H257" i="5"/>
  <c r="I257" i="5" s="1"/>
  <c r="U257" i="5" s="1"/>
  <c r="V259" i="6"/>
  <c r="N259" i="6"/>
  <c r="H260" i="4"/>
  <c r="U259" i="6"/>
  <c r="J259" i="6"/>
  <c r="F261" i="3"/>
  <c r="H261" i="3" s="1"/>
  <c r="O261" i="3" l="1"/>
  <c r="J257" i="5"/>
  <c r="K257" i="5" s="1"/>
  <c r="W257" i="5" s="1"/>
  <c r="L257" i="5"/>
  <c r="I261" i="3"/>
  <c r="U261" i="3" s="1"/>
  <c r="K259" i="6"/>
  <c r="W259" i="6" s="1"/>
  <c r="X259" i="6"/>
  <c r="O260" i="4"/>
  <c r="I260" i="4"/>
  <c r="U260" i="4" s="1"/>
  <c r="J261" i="3" l="1"/>
  <c r="K261" i="3" s="1"/>
  <c r="W261" i="3" s="1"/>
  <c r="V257" i="5"/>
  <c r="N257" i="5"/>
  <c r="J260" i="4"/>
  <c r="K260" i="4" s="1"/>
  <c r="W260" i="4" s="1"/>
  <c r="L261" i="3"/>
  <c r="L260" i="4"/>
  <c r="T259" i="6"/>
  <c r="Z259" i="6" s="1"/>
  <c r="V261" i="3" l="1"/>
  <c r="N261" i="3"/>
  <c r="T257" i="5"/>
  <c r="Z257" i="5" s="1"/>
  <c r="X257" i="5"/>
  <c r="V260" i="4"/>
  <c r="N260" i="4"/>
  <c r="E260" i="6"/>
  <c r="D260" i="6"/>
  <c r="Q260" i="6"/>
  <c r="G260" i="6"/>
  <c r="AA261" i="6" s="1"/>
  <c r="C260" i="6"/>
  <c r="R260" i="6"/>
  <c r="M260" i="6"/>
  <c r="P260" i="6" l="1"/>
  <c r="T261" i="3"/>
  <c r="X261" i="3"/>
  <c r="T260" i="4"/>
  <c r="Z260" i="4"/>
  <c r="R258" i="5"/>
  <c r="Q258" i="5"/>
  <c r="C258" i="5"/>
  <c r="D258" i="5"/>
  <c r="M258" i="5"/>
  <c r="G258" i="5"/>
  <c r="AA259" i="5" s="1"/>
  <c r="E258" i="5"/>
  <c r="F260" i="6"/>
  <c r="H260" i="6" s="1"/>
  <c r="X260" i="4"/>
  <c r="P258" i="5" l="1"/>
  <c r="E261" i="4"/>
  <c r="Q261" i="4"/>
  <c r="D261" i="4"/>
  <c r="R261" i="4"/>
  <c r="G261" i="4"/>
  <c r="AA262" i="4" s="1"/>
  <c r="C261" i="4"/>
  <c r="F261" i="4" s="1"/>
  <c r="M261" i="4"/>
  <c r="E262" i="3"/>
  <c r="Q262" i="3"/>
  <c r="G262" i="3"/>
  <c r="AA263" i="3" s="1"/>
  <c r="R262" i="3"/>
  <c r="D262" i="3"/>
  <c r="C262" i="3"/>
  <c r="Z261" i="3"/>
  <c r="J260" i="6"/>
  <c r="K260" i="6" s="1"/>
  <c r="W260" i="6" s="1"/>
  <c r="O260" i="6"/>
  <c r="F258" i="5"/>
  <c r="H258" i="5" s="1"/>
  <c r="I260" i="6"/>
  <c r="U260" i="6" s="1"/>
  <c r="P261" i="4" l="1"/>
  <c r="P262" i="3"/>
  <c r="H261" i="4"/>
  <c r="I258" i="5"/>
  <c r="U258" i="5" s="1"/>
  <c r="O258" i="5"/>
  <c r="O261" i="4"/>
  <c r="F262" i="3"/>
  <c r="L260" i="6"/>
  <c r="J258" i="5" l="1"/>
  <c r="K258" i="5" s="1"/>
  <c r="W258" i="5" s="1"/>
  <c r="L258" i="5"/>
  <c r="V258" i="5" s="1"/>
  <c r="I261" i="4"/>
  <c r="V260" i="6"/>
  <c r="N260" i="6"/>
  <c r="T260" i="6" s="1"/>
  <c r="N258" i="5"/>
  <c r="T258" i="5" s="1"/>
  <c r="O262" i="3"/>
  <c r="H262" i="3"/>
  <c r="I262" i="3" s="1"/>
  <c r="Z260" i="6" l="1"/>
  <c r="X260" i="6"/>
  <c r="U262" i="3"/>
  <c r="J262" i="3"/>
  <c r="K262" i="3" s="1"/>
  <c r="W262" i="3" s="1"/>
  <c r="M259" i="5"/>
  <c r="C259" i="5"/>
  <c r="D259" i="5"/>
  <c r="G259" i="5"/>
  <c r="AA260" i="5" s="1"/>
  <c r="F259" i="5"/>
  <c r="O259" i="5" s="1"/>
  <c r="E259" i="5"/>
  <c r="P259" i="5" s="1"/>
  <c r="R259" i="5"/>
  <c r="Q259" i="5"/>
  <c r="L262" i="3"/>
  <c r="X258" i="5"/>
  <c r="Z258" i="5"/>
  <c r="R261" i="6"/>
  <c r="Q261" i="6"/>
  <c r="G261" i="6"/>
  <c r="AA262" i="6" s="1"/>
  <c r="M261" i="6"/>
  <c r="E261" i="6"/>
  <c r="D261" i="6"/>
  <c r="C261" i="6"/>
  <c r="U261" i="4"/>
  <c r="J261" i="4"/>
  <c r="L261" i="4"/>
  <c r="P261" i="6" l="1"/>
  <c r="H259" i="5"/>
  <c r="F261" i="6"/>
  <c r="H261" i="6"/>
  <c r="I261" i="6"/>
  <c r="U261" i="6" s="1"/>
  <c r="O261" i="6"/>
  <c r="J261" i="6"/>
  <c r="K261" i="6" s="1"/>
  <c r="W261" i="6" s="1"/>
  <c r="V261" i="4"/>
  <c r="N261" i="4"/>
  <c r="V262" i="3"/>
  <c r="N262" i="3"/>
  <c r="I259" i="5"/>
  <c r="U259" i="5" s="1"/>
  <c r="J259" i="5"/>
  <c r="K259" i="5" s="1"/>
  <c r="K261" i="4"/>
  <c r="X262" i="3"/>
  <c r="L259" i="5" l="1"/>
  <c r="T261" i="4"/>
  <c r="C262" i="4" s="1"/>
  <c r="W259" i="5"/>
  <c r="W261" i="4"/>
  <c r="X261" i="4"/>
  <c r="R262" i="4"/>
  <c r="T262" i="3"/>
  <c r="Z262" i="3" s="1"/>
  <c r="V259" i="5"/>
  <c r="N259" i="5"/>
  <c r="T259" i="5" s="1"/>
  <c r="L261" i="6"/>
  <c r="G262" i="4" l="1"/>
  <c r="AA263" i="4" s="1"/>
  <c r="Z261" i="4"/>
  <c r="E262" i="4"/>
  <c r="D262" i="4"/>
  <c r="M262" i="4"/>
  <c r="Q262" i="4"/>
  <c r="P262" i="4"/>
  <c r="E260" i="5"/>
  <c r="D260" i="5"/>
  <c r="Q260" i="5"/>
  <c r="G260" i="5"/>
  <c r="AA261" i="5" s="1"/>
  <c r="M260" i="5"/>
  <c r="C260" i="5"/>
  <c r="R260" i="5"/>
  <c r="R263" i="3"/>
  <c r="C263" i="3"/>
  <c r="Q263" i="3"/>
  <c r="G263" i="3"/>
  <c r="AA264" i="3" s="1"/>
  <c r="E263" i="3"/>
  <c r="D263" i="3"/>
  <c r="X259" i="5"/>
  <c r="V261" i="6"/>
  <c r="N261" i="6"/>
  <c r="T261" i="6" s="1"/>
  <c r="F262" i="4"/>
  <c r="Z259" i="5"/>
  <c r="H262" i="4"/>
  <c r="P263" i="3" l="1"/>
  <c r="P260" i="5"/>
  <c r="M262" i="6"/>
  <c r="C262" i="6"/>
  <c r="Q262" i="6"/>
  <c r="R262" i="6"/>
  <c r="G262" i="6"/>
  <c r="AA263" i="6" s="1"/>
  <c r="E262" i="6"/>
  <c r="D262" i="6"/>
  <c r="F260" i="5"/>
  <c r="F263" i="3"/>
  <c r="H263" i="3"/>
  <c r="X261" i="6"/>
  <c r="O262" i="4"/>
  <c r="Z261" i="6"/>
  <c r="I262" i="4"/>
  <c r="U262" i="4" s="1"/>
  <c r="F262" i="6" l="1"/>
  <c r="P262" i="6"/>
  <c r="O263" i="3"/>
  <c r="H262" i="6"/>
  <c r="L262" i="4"/>
  <c r="O260" i="5"/>
  <c r="H260" i="5"/>
  <c r="I260" i="5" s="1"/>
  <c r="J262" i="4"/>
  <c r="O262" i="6"/>
  <c r="I263" i="3"/>
  <c r="U263" i="3" s="1"/>
  <c r="J263" i="3" l="1"/>
  <c r="K263" i="3" s="1"/>
  <c r="W263" i="3" s="1"/>
  <c r="U260" i="5"/>
  <c r="J260" i="5"/>
  <c r="K260" i="5" s="1"/>
  <c r="W260" i="5" s="1"/>
  <c r="K262" i="4"/>
  <c r="V262" i="4"/>
  <c r="N262" i="4"/>
  <c r="L260" i="5"/>
  <c r="L263" i="3"/>
  <c r="I262" i="6"/>
  <c r="L262" i="6" s="1"/>
  <c r="V262" i="6" l="1"/>
  <c r="N262" i="6"/>
  <c r="T262" i="4"/>
  <c r="U262" i="6"/>
  <c r="J262" i="6"/>
  <c r="K262" i="6" s="1"/>
  <c r="W262" i="6" s="1"/>
  <c r="V263" i="3"/>
  <c r="N263" i="3"/>
  <c r="T263" i="3" s="1"/>
  <c r="W262" i="4"/>
  <c r="X262" i="4"/>
  <c r="V260" i="5"/>
  <c r="N260" i="5"/>
  <c r="T260" i="5" l="1"/>
  <c r="X260" i="5"/>
  <c r="Z260" i="5"/>
  <c r="Z263" i="3"/>
  <c r="E263" i="4"/>
  <c r="P263" i="4" s="1"/>
  <c r="D263" i="4"/>
  <c r="Q263" i="4"/>
  <c r="R263" i="4"/>
  <c r="C263" i="4"/>
  <c r="M263" i="4"/>
  <c r="G263" i="4"/>
  <c r="AA264" i="4" s="1"/>
  <c r="Z262" i="4"/>
  <c r="X263" i="3"/>
  <c r="T262" i="6"/>
  <c r="C264" i="3"/>
  <c r="D264" i="3"/>
  <c r="G264" i="3"/>
  <c r="AA265" i="3" s="1"/>
  <c r="E264" i="3"/>
  <c r="R264" i="3"/>
  <c r="Q264" i="3"/>
  <c r="X262" i="6"/>
  <c r="P264" i="3" l="1"/>
  <c r="F264" i="3"/>
  <c r="E263" i="6"/>
  <c r="D263" i="6"/>
  <c r="M263" i="6"/>
  <c r="C263" i="6"/>
  <c r="P263" i="6"/>
  <c r="G263" i="6"/>
  <c r="AA264" i="6" s="1"/>
  <c r="Q263" i="6"/>
  <c r="R263" i="6"/>
  <c r="Z262" i="6"/>
  <c r="F263" i="4"/>
  <c r="R261" i="5"/>
  <c r="Q261" i="5"/>
  <c r="G261" i="5"/>
  <c r="AA262" i="5" s="1"/>
  <c r="C261" i="5"/>
  <c r="E261" i="5"/>
  <c r="P261" i="5" s="1"/>
  <c r="D261" i="5"/>
  <c r="M261" i="5"/>
  <c r="F261" i="5" l="1"/>
  <c r="F263" i="6"/>
  <c r="O263" i="6" s="1"/>
  <c r="H263" i="6"/>
  <c r="O261" i="5"/>
  <c r="O263" i="4"/>
  <c r="H264" i="3"/>
  <c r="I264" i="3" s="1"/>
  <c r="U264" i="3" s="1"/>
  <c r="O264" i="3"/>
  <c r="H261" i="5"/>
  <c r="H263" i="4"/>
  <c r="I263" i="4" s="1"/>
  <c r="U263" i="4" l="1"/>
  <c r="J263" i="4"/>
  <c r="K263" i="4" s="1"/>
  <c r="W263" i="4" s="1"/>
  <c r="J264" i="3"/>
  <c r="K264" i="3" s="1"/>
  <c r="W264" i="3" s="1"/>
  <c r="I263" i="6"/>
  <c r="L263" i="6" s="1"/>
  <c r="L264" i="3"/>
  <c r="L263" i="4"/>
  <c r="I261" i="5"/>
  <c r="U263" i="6" l="1"/>
  <c r="J263" i="6"/>
  <c r="V263" i="4"/>
  <c r="N263" i="4"/>
  <c r="L261" i="5"/>
  <c r="Z264" i="3"/>
  <c r="X264" i="3"/>
  <c r="V263" i="6"/>
  <c r="N263" i="6"/>
  <c r="U261" i="5"/>
  <c r="J261" i="5"/>
  <c r="K261" i="5" s="1"/>
  <c r="W261" i="5" s="1"/>
  <c r="V264" i="3"/>
  <c r="N264" i="3"/>
  <c r="T264" i="3" s="1"/>
  <c r="T263" i="4" l="1"/>
  <c r="Z263" i="4"/>
  <c r="X263" i="4"/>
  <c r="V261" i="5"/>
  <c r="N261" i="5"/>
  <c r="K263" i="6"/>
  <c r="E265" i="3"/>
  <c r="D265" i="3"/>
  <c r="R265" i="3"/>
  <c r="C265" i="3"/>
  <c r="Q265" i="3"/>
  <c r="G265" i="3"/>
  <c r="AA266" i="3" s="1"/>
  <c r="P265" i="3" l="1"/>
  <c r="W263" i="6"/>
  <c r="X263" i="6"/>
  <c r="T263" i="6"/>
  <c r="T261" i="5"/>
  <c r="X261" i="5"/>
  <c r="F265" i="3"/>
  <c r="D264" i="4"/>
  <c r="E264" i="4"/>
  <c r="Q264" i="4"/>
  <c r="M264" i="4"/>
  <c r="G264" i="4"/>
  <c r="AA265" i="4" s="1"/>
  <c r="C264" i="4"/>
  <c r="R264" i="4"/>
  <c r="F264" i="4" l="1"/>
  <c r="O264" i="4"/>
  <c r="O265" i="3"/>
  <c r="H265" i="3"/>
  <c r="I265" i="3" s="1"/>
  <c r="P264" i="4"/>
  <c r="M262" i="5"/>
  <c r="C262" i="5"/>
  <c r="F262" i="5" s="1"/>
  <c r="E262" i="5"/>
  <c r="R262" i="5"/>
  <c r="D262" i="5"/>
  <c r="G262" i="5"/>
  <c r="AA263" i="5" s="1"/>
  <c r="Q262" i="5"/>
  <c r="Z261" i="5"/>
  <c r="R264" i="6"/>
  <c r="Q264" i="6"/>
  <c r="G264" i="6"/>
  <c r="AA265" i="6" s="1"/>
  <c r="M264" i="6"/>
  <c r="E264" i="6"/>
  <c r="D264" i="6"/>
  <c r="C264" i="6"/>
  <c r="Z263" i="6"/>
  <c r="H264" i="4"/>
  <c r="U265" i="3" l="1"/>
  <c r="J265" i="3"/>
  <c r="K265" i="3" s="1"/>
  <c r="W265" i="3" s="1"/>
  <c r="P262" i="5"/>
  <c r="L265" i="3"/>
  <c r="O262" i="5"/>
  <c r="P264" i="6"/>
  <c r="F264" i="6"/>
  <c r="H262" i="5"/>
  <c r="I264" i="4"/>
  <c r="O264" i="6" l="1"/>
  <c r="H264" i="6"/>
  <c r="V265" i="3"/>
  <c r="N265" i="3"/>
  <c r="U264" i="4"/>
  <c r="J264" i="4"/>
  <c r="L264" i="4"/>
  <c r="I262" i="5"/>
  <c r="K264" i="4" l="1"/>
  <c r="W264" i="4" s="1"/>
  <c r="U262" i="5"/>
  <c r="J262" i="5"/>
  <c r="K262" i="5" s="1"/>
  <c r="W262" i="5" s="1"/>
  <c r="T265" i="3"/>
  <c r="V264" i="4"/>
  <c r="N264" i="4"/>
  <c r="T264" i="4" s="1"/>
  <c r="I264" i="6"/>
  <c r="X265" i="3"/>
  <c r="L262" i="5"/>
  <c r="X264" i="4" l="1"/>
  <c r="Z264" i="4"/>
  <c r="R266" i="3"/>
  <c r="Q266" i="3"/>
  <c r="G266" i="3"/>
  <c r="AA267" i="3" s="1"/>
  <c r="C266" i="3"/>
  <c r="E266" i="3"/>
  <c r="F266" i="3" s="1"/>
  <c r="D266" i="3"/>
  <c r="V262" i="5"/>
  <c r="N262" i="5"/>
  <c r="U264" i="6"/>
  <c r="J264" i="6"/>
  <c r="Q265" i="4"/>
  <c r="G265" i="4"/>
  <c r="AA266" i="4" s="1"/>
  <c r="R265" i="4"/>
  <c r="E265" i="4"/>
  <c r="C265" i="4"/>
  <c r="P265" i="4" s="1"/>
  <c r="D265" i="4"/>
  <c r="M265" i="4"/>
  <c r="Z265" i="3"/>
  <c r="L264" i="6"/>
  <c r="F265" i="4" l="1"/>
  <c r="H265" i="4" s="1"/>
  <c r="O265" i="4"/>
  <c r="O266" i="3"/>
  <c r="V264" i="6"/>
  <c r="N264" i="6"/>
  <c r="T264" i="6" s="1"/>
  <c r="T262" i="5"/>
  <c r="Z262" i="5" s="1"/>
  <c r="X262" i="5"/>
  <c r="P266" i="3"/>
  <c r="H266" i="3"/>
  <c r="K264" i="6"/>
  <c r="W264" i="6" s="1"/>
  <c r="I266" i="3" l="1"/>
  <c r="M265" i="6"/>
  <c r="G265" i="6"/>
  <c r="AA266" i="6" s="1"/>
  <c r="E265" i="6"/>
  <c r="Q265" i="6"/>
  <c r="R265" i="6"/>
  <c r="D265" i="6"/>
  <c r="C265" i="6"/>
  <c r="X264" i="6"/>
  <c r="E263" i="5"/>
  <c r="D263" i="5"/>
  <c r="M263" i="5"/>
  <c r="C263" i="5"/>
  <c r="R263" i="5"/>
  <c r="Q263" i="5"/>
  <c r="G263" i="5"/>
  <c r="AA264" i="5" s="1"/>
  <c r="I265" i="4"/>
  <c r="Z264" i="6"/>
  <c r="F263" i="5" l="1"/>
  <c r="P265" i="6"/>
  <c r="F265" i="6"/>
  <c r="H265" i="6" s="1"/>
  <c r="I265" i="6" s="1"/>
  <c r="U265" i="6" s="1"/>
  <c r="P263" i="5"/>
  <c r="O263" i="5"/>
  <c r="H263" i="5"/>
  <c r="O265" i="6"/>
  <c r="U266" i="3"/>
  <c r="J266" i="3"/>
  <c r="K266" i="3" s="1"/>
  <c r="W266" i="3" s="1"/>
  <c r="L266" i="3"/>
  <c r="U265" i="4"/>
  <c r="J265" i="4"/>
  <c r="L265" i="4"/>
  <c r="K265" i="4" l="1"/>
  <c r="W265" i="4" s="1"/>
  <c r="J265" i="6"/>
  <c r="L265" i="6"/>
  <c r="V266" i="3"/>
  <c r="N266" i="3"/>
  <c r="T266" i="3" s="1"/>
  <c r="Z266" i="3" s="1"/>
  <c r="V265" i="4"/>
  <c r="N265" i="4"/>
  <c r="T265" i="4" s="1"/>
  <c r="I263" i="5"/>
  <c r="X266" i="3" l="1"/>
  <c r="V265" i="6"/>
  <c r="N265" i="6"/>
  <c r="U263" i="5"/>
  <c r="J263" i="5"/>
  <c r="K263" i="5" s="1"/>
  <c r="W263" i="5" s="1"/>
  <c r="L263" i="5"/>
  <c r="K265" i="6"/>
  <c r="W265" i="6" s="1"/>
  <c r="X265" i="4"/>
  <c r="Z265" i="4"/>
  <c r="M266" i="4"/>
  <c r="C266" i="4"/>
  <c r="F266" i="4" s="1"/>
  <c r="O266" i="4" s="1"/>
  <c r="G266" i="4"/>
  <c r="AA267" i="4" s="1"/>
  <c r="E266" i="4"/>
  <c r="D266" i="4"/>
  <c r="R266" i="4"/>
  <c r="Q266" i="4"/>
  <c r="P267" i="3"/>
  <c r="C267" i="3"/>
  <c r="F267" i="3" s="1"/>
  <c r="G267" i="3"/>
  <c r="AA268" i="3" s="1"/>
  <c r="E267" i="3"/>
  <c r="D267" i="3"/>
  <c r="R267" i="3"/>
  <c r="Q267" i="3"/>
  <c r="X265" i="6" l="1"/>
  <c r="H266" i="4"/>
  <c r="P266" i="4"/>
  <c r="I266" i="4"/>
  <c r="U266" i="4" s="1"/>
  <c r="O267" i="3"/>
  <c r="V263" i="5"/>
  <c r="N263" i="5"/>
  <c r="H267" i="3"/>
  <c r="T265" i="6"/>
  <c r="J266" i="4" l="1"/>
  <c r="D266" i="6"/>
  <c r="M266" i="6"/>
  <c r="C266" i="6"/>
  <c r="E266" i="6"/>
  <c r="R266" i="6"/>
  <c r="G266" i="6"/>
  <c r="AA267" i="6" s="1"/>
  <c r="Q266" i="6"/>
  <c r="P266" i="6"/>
  <c r="Z265" i="6"/>
  <c r="L266" i="4"/>
  <c r="T263" i="5"/>
  <c r="X263" i="5"/>
  <c r="I267" i="3"/>
  <c r="K266" i="4" l="1"/>
  <c r="W266" i="4" s="1"/>
  <c r="U267" i="3"/>
  <c r="J267" i="3"/>
  <c r="K267" i="3" s="1"/>
  <c r="W267" i="3" s="1"/>
  <c r="R264" i="5"/>
  <c r="Q264" i="5"/>
  <c r="G264" i="5"/>
  <c r="AA265" i="5" s="1"/>
  <c r="M264" i="5"/>
  <c r="E264" i="5"/>
  <c r="D264" i="5"/>
  <c r="C264" i="5"/>
  <c r="V266" i="4"/>
  <c r="N266" i="4"/>
  <c r="T266" i="4" s="1"/>
  <c r="L267" i="3"/>
  <c r="F266" i="6"/>
  <c r="H266" i="6" s="1"/>
  <c r="Z263" i="5"/>
  <c r="X266" i="4" l="1"/>
  <c r="V267" i="3"/>
  <c r="N267" i="3"/>
  <c r="M267" i="4"/>
  <c r="C267" i="4"/>
  <c r="R267" i="4"/>
  <c r="G267" i="4"/>
  <c r="AA268" i="4" s="1"/>
  <c r="D267" i="4"/>
  <c r="Q267" i="4"/>
  <c r="E267" i="4"/>
  <c r="F264" i="5"/>
  <c r="H264" i="5" s="1"/>
  <c r="P264" i="5"/>
  <c r="Z266" i="4"/>
  <c r="I266" i="6"/>
  <c r="U266" i="6" s="1"/>
  <c r="O266" i="6"/>
  <c r="I264" i="5" l="1"/>
  <c r="O264" i="5"/>
  <c r="T267" i="3"/>
  <c r="Z267" i="3" s="1"/>
  <c r="X267" i="3"/>
  <c r="J266" i="6"/>
  <c r="K266" i="6" s="1"/>
  <c r="W266" i="6" s="1"/>
  <c r="L266" i="6"/>
  <c r="P267" i="4"/>
  <c r="F267" i="4"/>
  <c r="O267" i="4" l="1"/>
  <c r="H267" i="4"/>
  <c r="V266" i="6"/>
  <c r="N266" i="6"/>
  <c r="T266" i="6" s="1"/>
  <c r="U264" i="5"/>
  <c r="J264" i="5"/>
  <c r="K264" i="5" s="1"/>
  <c r="W264" i="5" s="1"/>
  <c r="L264" i="5"/>
  <c r="D268" i="3"/>
  <c r="C268" i="3"/>
  <c r="E268" i="3"/>
  <c r="P268" i="3" s="1"/>
  <c r="Q268" i="3"/>
  <c r="R268" i="3"/>
  <c r="G268" i="3"/>
  <c r="AA269" i="3" s="1"/>
  <c r="F268" i="3" l="1"/>
  <c r="Z266" i="6"/>
  <c r="X266" i="6"/>
  <c r="V264" i="5"/>
  <c r="N264" i="5"/>
  <c r="T264" i="5" s="1"/>
  <c r="H268" i="3"/>
  <c r="O268" i="3"/>
  <c r="Q267" i="6"/>
  <c r="G267" i="6"/>
  <c r="AA268" i="6" s="1"/>
  <c r="E267" i="6"/>
  <c r="P267" i="6" s="1"/>
  <c r="R267" i="6"/>
  <c r="D267" i="6"/>
  <c r="C267" i="6"/>
  <c r="M267" i="6"/>
  <c r="I267" i="4"/>
  <c r="L267" i="4" s="1"/>
  <c r="F267" i="6" l="1"/>
  <c r="V267" i="4"/>
  <c r="N267" i="4"/>
  <c r="R265" i="5"/>
  <c r="D265" i="5"/>
  <c r="Q265" i="5"/>
  <c r="C265" i="5"/>
  <c r="E265" i="5"/>
  <c r="P265" i="5" s="1"/>
  <c r="M265" i="5"/>
  <c r="G265" i="5"/>
  <c r="AA266" i="5" s="1"/>
  <c r="U267" i="4"/>
  <c r="J267" i="4"/>
  <c r="Z264" i="5"/>
  <c r="X264" i="5"/>
  <c r="I268" i="3"/>
  <c r="L268" i="3" s="1"/>
  <c r="K267" i="4" l="1"/>
  <c r="W267" i="4" s="1"/>
  <c r="X267" i="4"/>
  <c r="V268" i="3"/>
  <c r="N268" i="3"/>
  <c r="U268" i="3"/>
  <c r="J268" i="3"/>
  <c r="O267" i="6"/>
  <c r="T267" i="4"/>
  <c r="Z267" i="4" s="1"/>
  <c r="F265" i="5"/>
  <c r="H265" i="5" s="1"/>
  <c r="H267" i="6"/>
  <c r="K268" i="3" l="1"/>
  <c r="W268" i="3" s="1"/>
  <c r="X268" i="3"/>
  <c r="I267" i="6"/>
  <c r="C268" i="4"/>
  <c r="P268" i="4" s="1"/>
  <c r="M268" i="4"/>
  <c r="D268" i="4"/>
  <c r="Q268" i="4"/>
  <c r="G268" i="4"/>
  <c r="AA269" i="4" s="1"/>
  <c r="R268" i="4"/>
  <c r="E268" i="4"/>
  <c r="O265" i="5"/>
  <c r="I265" i="5"/>
  <c r="U265" i="5" s="1"/>
  <c r="T268" i="3"/>
  <c r="F268" i="4" l="1"/>
  <c r="O268" i="4" s="1"/>
  <c r="H268" i="4"/>
  <c r="Q269" i="3"/>
  <c r="G269" i="3"/>
  <c r="AA270" i="3" s="1"/>
  <c r="R269" i="3"/>
  <c r="E269" i="3"/>
  <c r="P269" i="3" s="1"/>
  <c r="D269" i="3"/>
  <c r="C269" i="3"/>
  <c r="U267" i="6"/>
  <c r="J267" i="6"/>
  <c r="L267" i="6"/>
  <c r="J265" i="5"/>
  <c r="K265" i="5" s="1"/>
  <c r="W265" i="5" s="1"/>
  <c r="Z268" i="3"/>
  <c r="L265" i="5"/>
  <c r="F269" i="3" l="1"/>
  <c r="H269" i="3" s="1"/>
  <c r="V267" i="6"/>
  <c r="N267" i="6"/>
  <c r="O269" i="3"/>
  <c r="K267" i="6"/>
  <c r="W267" i="6" s="1"/>
  <c r="V265" i="5"/>
  <c r="N265" i="5"/>
  <c r="I268" i="4"/>
  <c r="T267" i="6" l="1"/>
  <c r="I269" i="3"/>
  <c r="U268" i="4"/>
  <c r="J268" i="4"/>
  <c r="K268" i="4" s="1"/>
  <c r="W268" i="4" s="1"/>
  <c r="R268" i="6"/>
  <c r="M268" i="6"/>
  <c r="P268" i="6"/>
  <c r="D268" i="6"/>
  <c r="C268" i="6"/>
  <c r="F268" i="6"/>
  <c r="Q268" i="6"/>
  <c r="G268" i="6"/>
  <c r="AA269" i="6" s="1"/>
  <c r="E268" i="6"/>
  <c r="T265" i="5"/>
  <c r="Z267" i="6"/>
  <c r="X267" i="6"/>
  <c r="L268" i="4"/>
  <c r="X265" i="5"/>
  <c r="L269" i="3"/>
  <c r="H268" i="6" l="1"/>
  <c r="U269" i="3"/>
  <c r="J269" i="3"/>
  <c r="K269" i="3" s="1"/>
  <c r="W269" i="3" s="1"/>
  <c r="V268" i="4"/>
  <c r="N268" i="4"/>
  <c r="T268" i="4" s="1"/>
  <c r="V269" i="3"/>
  <c r="N269" i="3"/>
  <c r="T269" i="3" s="1"/>
  <c r="I268" i="6"/>
  <c r="U268" i="6" s="1"/>
  <c r="D266" i="5"/>
  <c r="M266" i="5"/>
  <c r="C266" i="5"/>
  <c r="E266" i="5"/>
  <c r="G266" i="5"/>
  <c r="AA267" i="5" s="1"/>
  <c r="Q266" i="5"/>
  <c r="R266" i="5"/>
  <c r="Z265" i="5"/>
  <c r="O268" i="6"/>
  <c r="P266" i="5" l="1"/>
  <c r="F266" i="5"/>
  <c r="O266" i="5"/>
  <c r="X269" i="3"/>
  <c r="J268" i="6"/>
  <c r="Q269" i="4"/>
  <c r="C269" i="4"/>
  <c r="M269" i="4"/>
  <c r="R269" i="4"/>
  <c r="P269" i="4"/>
  <c r="G269" i="4"/>
  <c r="AA270" i="4" s="1"/>
  <c r="E269" i="4"/>
  <c r="D269" i="4"/>
  <c r="Z269" i="3"/>
  <c r="H266" i="5"/>
  <c r="X268" i="4"/>
  <c r="C270" i="3"/>
  <c r="G270" i="3"/>
  <c r="AA271" i="3" s="1"/>
  <c r="E270" i="3"/>
  <c r="P270" i="3" s="1"/>
  <c r="D270" i="3"/>
  <c r="R270" i="3"/>
  <c r="Q270" i="3"/>
  <c r="Z268" i="4"/>
  <c r="L268" i="6"/>
  <c r="F270" i="3" l="1"/>
  <c r="V268" i="6"/>
  <c r="N268" i="6"/>
  <c r="K268" i="6"/>
  <c r="W268" i="6" s="1"/>
  <c r="I266" i="5"/>
  <c r="L266" i="5" s="1"/>
  <c r="H270" i="3"/>
  <c r="O270" i="3"/>
  <c r="F269" i="4"/>
  <c r="X268" i="6" l="1"/>
  <c r="O269" i="4"/>
  <c r="H269" i="4"/>
  <c r="T268" i="6"/>
  <c r="U266" i="5"/>
  <c r="J266" i="5"/>
  <c r="V266" i="5"/>
  <c r="N266" i="5"/>
  <c r="I270" i="3"/>
  <c r="M269" i="6" l="1"/>
  <c r="C269" i="6"/>
  <c r="D269" i="6"/>
  <c r="R269" i="6"/>
  <c r="Q269" i="6"/>
  <c r="P269" i="6"/>
  <c r="E269" i="6"/>
  <c r="F269" i="6" s="1"/>
  <c r="G269" i="6"/>
  <c r="AA270" i="6" s="1"/>
  <c r="I269" i="4"/>
  <c r="U270" i="3"/>
  <c r="J270" i="3"/>
  <c r="K270" i="3" s="1"/>
  <c r="W270" i="3" s="1"/>
  <c r="L270" i="3"/>
  <c r="K266" i="5"/>
  <c r="W266" i="5" s="1"/>
  <c r="X266" i="5"/>
  <c r="Z268" i="6"/>
  <c r="T266" i="5" l="1"/>
  <c r="Z266" i="5" s="1"/>
  <c r="L269" i="4"/>
  <c r="H269" i="6"/>
  <c r="O269" i="6"/>
  <c r="Q267" i="5"/>
  <c r="R267" i="5"/>
  <c r="G267" i="5"/>
  <c r="AA268" i="5" s="1"/>
  <c r="E267" i="5"/>
  <c r="P267" i="5" s="1"/>
  <c r="M267" i="5"/>
  <c r="D267" i="5"/>
  <c r="C267" i="5"/>
  <c r="U269" i="4"/>
  <c r="J269" i="4"/>
  <c r="K269" i="4" s="1"/>
  <c r="W269" i="4" s="1"/>
  <c r="V270" i="3"/>
  <c r="N270" i="3"/>
  <c r="T270" i="3" s="1"/>
  <c r="X270" i="3" l="1"/>
  <c r="F267" i="5"/>
  <c r="V269" i="4"/>
  <c r="N269" i="4"/>
  <c r="T269" i="4" s="1"/>
  <c r="C271" i="3"/>
  <c r="D271" i="3"/>
  <c r="Q271" i="3"/>
  <c r="E271" i="3"/>
  <c r="R271" i="3"/>
  <c r="P271" i="3"/>
  <c r="G271" i="3"/>
  <c r="AA272" i="3" s="1"/>
  <c r="Z270" i="3"/>
  <c r="I269" i="6"/>
  <c r="E270" i="4" l="1"/>
  <c r="P270" i="4" s="1"/>
  <c r="D270" i="4"/>
  <c r="Q270" i="4"/>
  <c r="C270" i="4"/>
  <c r="F270" i="4" s="1"/>
  <c r="R270" i="4"/>
  <c r="M270" i="4"/>
  <c r="G270" i="4"/>
  <c r="AA271" i="4" s="1"/>
  <c r="U269" i="6"/>
  <c r="J269" i="6"/>
  <c r="K269" i="6" s="1"/>
  <c r="W269" i="6" s="1"/>
  <c r="Z269" i="4"/>
  <c r="X269" i="4"/>
  <c r="H267" i="5"/>
  <c r="O267" i="5"/>
  <c r="F271" i="3"/>
  <c r="L269" i="6"/>
  <c r="H271" i="3"/>
  <c r="H270" i="4" l="1"/>
  <c r="I267" i="5"/>
  <c r="L267" i="5" s="1"/>
  <c r="O271" i="3"/>
  <c r="I271" i="3"/>
  <c r="U271" i="3" s="1"/>
  <c r="I270" i="4"/>
  <c r="U270" i="4" s="1"/>
  <c r="O270" i="4"/>
  <c r="V269" i="6"/>
  <c r="N269" i="6"/>
  <c r="J270" i="4"/>
  <c r="K270" i="4" s="1"/>
  <c r="W270" i="4" s="1"/>
  <c r="V267" i="5" l="1"/>
  <c r="N267" i="5"/>
  <c r="T269" i="6"/>
  <c r="X269" i="6"/>
  <c r="Z269" i="6"/>
  <c r="J271" i="3"/>
  <c r="L271" i="3"/>
  <c r="L270" i="4"/>
  <c r="U267" i="5"/>
  <c r="J267" i="5"/>
  <c r="K267" i="5" s="1"/>
  <c r="W267" i="5" s="1"/>
  <c r="X267" i="5" l="1"/>
  <c r="V271" i="3"/>
  <c r="N271" i="3"/>
  <c r="T271" i="3" s="1"/>
  <c r="E270" i="6"/>
  <c r="D270" i="6"/>
  <c r="Q270" i="6"/>
  <c r="G270" i="6"/>
  <c r="AA271" i="6" s="1"/>
  <c r="C270" i="6"/>
  <c r="R270" i="6"/>
  <c r="M270" i="6"/>
  <c r="T267" i="5"/>
  <c r="K271" i="3"/>
  <c r="Z271" i="3"/>
  <c r="V270" i="4"/>
  <c r="N270" i="4"/>
  <c r="F270" i="6" l="1"/>
  <c r="O270" i="6" s="1"/>
  <c r="M268" i="5"/>
  <c r="C268" i="5"/>
  <c r="E268" i="5"/>
  <c r="P268" i="5" s="1"/>
  <c r="D268" i="5"/>
  <c r="R268" i="5"/>
  <c r="F268" i="5"/>
  <c r="O268" i="5" s="1"/>
  <c r="H268" i="5"/>
  <c r="I268" i="5" s="1"/>
  <c r="G268" i="5"/>
  <c r="AA269" i="5" s="1"/>
  <c r="Q268" i="5"/>
  <c r="Z267" i="5"/>
  <c r="P270" i="6"/>
  <c r="T270" i="4"/>
  <c r="X270" i="4"/>
  <c r="P272" i="3"/>
  <c r="E272" i="3"/>
  <c r="Q272" i="3"/>
  <c r="G272" i="3"/>
  <c r="AA273" i="3" s="1"/>
  <c r="C272" i="3"/>
  <c r="D272" i="3"/>
  <c r="R272" i="3"/>
  <c r="H270" i="6"/>
  <c r="W271" i="3"/>
  <c r="X271" i="3"/>
  <c r="F272" i="3" l="1"/>
  <c r="O272" i="3"/>
  <c r="U268" i="5"/>
  <c r="J268" i="5"/>
  <c r="K268" i="5"/>
  <c r="W268" i="5" s="1"/>
  <c r="H272" i="3"/>
  <c r="I272" i="3" s="1"/>
  <c r="L268" i="5"/>
  <c r="V268" i="5" s="1"/>
  <c r="E271" i="4"/>
  <c r="P271" i="4" s="1"/>
  <c r="M271" i="4"/>
  <c r="Q271" i="4"/>
  <c r="G271" i="4"/>
  <c r="AA272" i="4" s="1"/>
  <c r="D271" i="4"/>
  <c r="C271" i="4"/>
  <c r="R271" i="4"/>
  <c r="Z270" i="4"/>
  <c r="I270" i="6"/>
  <c r="L270" i="6" s="1"/>
  <c r="F271" i="4" l="1"/>
  <c r="U272" i="3"/>
  <c r="J272" i="3"/>
  <c r="K272" i="3" s="1"/>
  <c r="W272" i="3" s="1"/>
  <c r="O271" i="4"/>
  <c r="H271" i="4"/>
  <c r="I271" i="4" s="1"/>
  <c r="L272" i="3"/>
  <c r="U270" i="6"/>
  <c r="J270" i="6"/>
  <c r="K270" i="6" s="1"/>
  <c r="W270" i="6" s="1"/>
  <c r="V270" i="6"/>
  <c r="N270" i="6"/>
  <c r="N268" i="5"/>
  <c r="U271" i="4" l="1"/>
  <c r="J271" i="4"/>
  <c r="K271" i="4" s="1"/>
  <c r="W271" i="4" s="1"/>
  <c r="V272" i="3"/>
  <c r="N272" i="3"/>
  <c r="X270" i="6"/>
  <c r="T268" i="5"/>
  <c r="X268" i="5"/>
  <c r="L271" i="4"/>
  <c r="T270" i="6"/>
  <c r="V271" i="4" l="1"/>
  <c r="N271" i="4"/>
  <c r="T271" i="4" s="1"/>
  <c r="T272" i="3"/>
  <c r="Z272" i="3"/>
  <c r="R271" i="6"/>
  <c r="Q271" i="6"/>
  <c r="G271" i="6"/>
  <c r="AA272" i="6" s="1"/>
  <c r="M271" i="6"/>
  <c r="C271" i="6"/>
  <c r="F271" i="6" s="1"/>
  <c r="D271" i="6"/>
  <c r="E271" i="6"/>
  <c r="Z270" i="6"/>
  <c r="M269" i="5"/>
  <c r="C269" i="5"/>
  <c r="R269" i="5"/>
  <c r="G269" i="5"/>
  <c r="AA270" i="5" s="1"/>
  <c r="Q269" i="5"/>
  <c r="E269" i="5"/>
  <c r="D269" i="5"/>
  <c r="X272" i="3"/>
  <c r="X271" i="4"/>
  <c r="Z268" i="5"/>
  <c r="Z271" i="4"/>
  <c r="F269" i="5" l="1"/>
  <c r="O269" i="5"/>
  <c r="P269" i="5"/>
  <c r="O271" i="6"/>
  <c r="R273" i="3"/>
  <c r="Q273" i="3"/>
  <c r="D273" i="3"/>
  <c r="E273" i="3"/>
  <c r="P273" i="3" s="1"/>
  <c r="C273" i="3"/>
  <c r="F273" i="3" s="1"/>
  <c r="G273" i="3"/>
  <c r="AA274" i="3" s="1"/>
  <c r="P271" i="6"/>
  <c r="H269" i="5"/>
  <c r="R272" i="4"/>
  <c r="E272" i="4"/>
  <c r="D272" i="4"/>
  <c r="Q272" i="4"/>
  <c r="M272" i="4"/>
  <c r="G272" i="4"/>
  <c r="AA273" i="4" s="1"/>
  <c r="C272" i="4"/>
  <c r="H271" i="6"/>
  <c r="P272" i="4" l="1"/>
  <c r="F272" i="4"/>
  <c r="O272" i="4"/>
  <c r="H273" i="3"/>
  <c r="H272" i="4"/>
  <c r="I271" i="6"/>
  <c r="O273" i="3"/>
  <c r="I269" i="5"/>
  <c r="U269" i="5" l="1"/>
  <c r="J269" i="5"/>
  <c r="K269" i="5" s="1"/>
  <c r="W269" i="5" s="1"/>
  <c r="L271" i="6"/>
  <c r="L269" i="5"/>
  <c r="U271" i="6"/>
  <c r="J271" i="6"/>
  <c r="K271" i="6" s="1"/>
  <c r="W271" i="6" s="1"/>
  <c r="I273" i="3"/>
  <c r="L273" i="3" s="1"/>
  <c r="I272" i="4"/>
  <c r="V273" i="3" l="1"/>
  <c r="N273" i="3"/>
  <c r="V269" i="5"/>
  <c r="N269" i="5"/>
  <c r="X269" i="5" s="1"/>
  <c r="V271" i="6"/>
  <c r="N271" i="6"/>
  <c r="T271" i="6" s="1"/>
  <c r="U273" i="3"/>
  <c r="J273" i="3"/>
  <c r="K273" i="3" s="1"/>
  <c r="W273" i="3" s="1"/>
  <c r="U272" i="4"/>
  <c r="J272" i="4"/>
  <c r="L272" i="4"/>
  <c r="Z271" i="6" l="1"/>
  <c r="V272" i="4"/>
  <c r="N272" i="4"/>
  <c r="X271" i="6"/>
  <c r="X273" i="3"/>
  <c r="T273" i="3"/>
  <c r="M272" i="6"/>
  <c r="C272" i="6"/>
  <c r="R272" i="6"/>
  <c r="D272" i="6"/>
  <c r="Q272" i="6"/>
  <c r="E272" i="6"/>
  <c r="G272" i="6"/>
  <c r="AA273" i="6" s="1"/>
  <c r="T269" i="5"/>
  <c r="Z269" i="5" s="1"/>
  <c r="K272" i="4"/>
  <c r="W272" i="4" s="1"/>
  <c r="X272" i="4" l="1"/>
  <c r="F272" i="6"/>
  <c r="O272" i="6"/>
  <c r="H272" i="6"/>
  <c r="I272" i="6" s="1"/>
  <c r="U272" i="6" s="1"/>
  <c r="P272" i="6"/>
  <c r="P270" i="5"/>
  <c r="F270" i="5"/>
  <c r="O270" i="5" s="1"/>
  <c r="C270" i="5"/>
  <c r="M270" i="5"/>
  <c r="D270" i="5"/>
  <c r="R270" i="5"/>
  <c r="E270" i="5"/>
  <c r="G270" i="5"/>
  <c r="AA271" i="5" s="1"/>
  <c r="Q270" i="5"/>
  <c r="C274" i="3"/>
  <c r="Q274" i="3"/>
  <c r="E274" i="3"/>
  <c r="P274" i="3" s="1"/>
  <c r="G274" i="3"/>
  <c r="AA275" i="3" s="1"/>
  <c r="D274" i="3"/>
  <c r="R274" i="3"/>
  <c r="Z273" i="3"/>
  <c r="T272" i="4"/>
  <c r="F274" i="3" l="1"/>
  <c r="H270" i="5"/>
  <c r="J272" i="6"/>
  <c r="K272" i="6" s="1"/>
  <c r="W272" i="6" s="1"/>
  <c r="L272" i="6"/>
  <c r="O274" i="3"/>
  <c r="H274" i="3"/>
  <c r="I274" i="3" s="1"/>
  <c r="E273" i="4"/>
  <c r="P273" i="4" s="1"/>
  <c r="D273" i="4"/>
  <c r="R273" i="4"/>
  <c r="Q273" i="4"/>
  <c r="M273" i="4"/>
  <c r="G273" i="4"/>
  <c r="AA274" i="4" s="1"/>
  <c r="C273" i="4"/>
  <c r="Z272" i="4"/>
  <c r="F273" i="4" l="1"/>
  <c r="H273" i="4" s="1"/>
  <c r="I273" i="4"/>
  <c r="U273" i="4" s="1"/>
  <c r="U274" i="3"/>
  <c r="J274" i="3"/>
  <c r="K274" i="3" s="1"/>
  <c r="W274" i="3" s="1"/>
  <c r="O273" i="4"/>
  <c r="I270" i="5"/>
  <c r="L274" i="3"/>
  <c r="V272" i="6"/>
  <c r="N272" i="6"/>
  <c r="T272" i="6" s="1"/>
  <c r="J273" i="4" l="1"/>
  <c r="E273" i="6"/>
  <c r="P273" i="6" s="1"/>
  <c r="D273" i="6"/>
  <c r="M273" i="6"/>
  <c r="C273" i="6"/>
  <c r="G273" i="6"/>
  <c r="AA274" i="6" s="1"/>
  <c r="R273" i="6"/>
  <c r="Q273" i="6"/>
  <c r="X272" i="6"/>
  <c r="L273" i="4"/>
  <c r="Z272" i="6"/>
  <c r="V274" i="3"/>
  <c r="N274" i="3"/>
  <c r="T274" i="3" s="1"/>
  <c r="U270" i="5"/>
  <c r="J270" i="5"/>
  <c r="L270" i="5"/>
  <c r="X274" i="3" l="1"/>
  <c r="F273" i="6"/>
  <c r="V270" i="5"/>
  <c r="N270" i="5"/>
  <c r="T270" i="5" s="1"/>
  <c r="E275" i="3"/>
  <c r="P275" i="3" s="1"/>
  <c r="D275" i="3"/>
  <c r="C275" i="3"/>
  <c r="F275" i="3" s="1"/>
  <c r="G275" i="3"/>
  <c r="AA276" i="3" s="1"/>
  <c r="R275" i="3"/>
  <c r="Q275" i="3"/>
  <c r="K270" i="5"/>
  <c r="H273" i="6"/>
  <c r="V273" i="4"/>
  <c r="N273" i="4"/>
  <c r="Z274" i="3"/>
  <c r="K273" i="4"/>
  <c r="T273" i="4" l="1"/>
  <c r="X270" i="5"/>
  <c r="H275" i="3"/>
  <c r="I275" i="3" s="1"/>
  <c r="U275" i="3" s="1"/>
  <c r="O275" i="3"/>
  <c r="W270" i="5"/>
  <c r="Z270" i="5"/>
  <c r="R271" i="5"/>
  <c r="G271" i="5"/>
  <c r="AA272" i="5" s="1"/>
  <c r="E271" i="5"/>
  <c r="P271" i="5" s="1"/>
  <c r="M271" i="5"/>
  <c r="D271" i="5"/>
  <c r="C271" i="5"/>
  <c r="Q271" i="5"/>
  <c r="D274" i="4"/>
  <c r="Q274" i="4"/>
  <c r="E274" i="4"/>
  <c r="R274" i="4"/>
  <c r="G274" i="4"/>
  <c r="AA275" i="4" s="1"/>
  <c r="C274" i="4"/>
  <c r="F274" i="4" s="1"/>
  <c r="M274" i="4"/>
  <c r="O273" i="6"/>
  <c r="Z273" i="4"/>
  <c r="W273" i="4"/>
  <c r="X273" i="4"/>
  <c r="I273" i="6"/>
  <c r="U273" i="6" s="1"/>
  <c r="F271" i="5" l="1"/>
  <c r="J273" i="6"/>
  <c r="K273" i="6" s="1"/>
  <c r="W273" i="6" s="1"/>
  <c r="L273" i="6"/>
  <c r="V273" i="6" s="1"/>
  <c r="H274" i="4"/>
  <c r="O271" i="5"/>
  <c r="O274" i="4"/>
  <c r="H271" i="5"/>
  <c r="I271" i="5" s="1"/>
  <c r="U271" i="5" s="1"/>
  <c r="I274" i="4"/>
  <c r="U274" i="4" s="1"/>
  <c r="J275" i="3"/>
  <c r="P274" i="4"/>
  <c r="L275" i="3"/>
  <c r="N273" i="6" l="1"/>
  <c r="L274" i="4"/>
  <c r="V275" i="3"/>
  <c r="N275" i="3"/>
  <c r="X273" i="6"/>
  <c r="K275" i="3"/>
  <c r="J271" i="5"/>
  <c r="K271" i="5" s="1"/>
  <c r="W271" i="5" s="1"/>
  <c r="V274" i="4"/>
  <c r="N274" i="4"/>
  <c r="L271" i="5"/>
  <c r="J274" i="4"/>
  <c r="T273" i="6" l="1"/>
  <c r="Z273" i="6"/>
  <c r="V271" i="5"/>
  <c r="N271" i="5"/>
  <c r="T271" i="5" s="1"/>
  <c r="K274" i="4"/>
  <c r="W274" i="4" s="1"/>
  <c r="X274" i="4"/>
  <c r="T275" i="3"/>
  <c r="W275" i="3"/>
  <c r="X275" i="3"/>
  <c r="Z271" i="5"/>
  <c r="X271" i="5" l="1"/>
  <c r="E274" i="6"/>
  <c r="D274" i="6"/>
  <c r="R274" i="6"/>
  <c r="Q274" i="6"/>
  <c r="M274" i="6"/>
  <c r="C274" i="6"/>
  <c r="F274" i="6" s="1"/>
  <c r="G274" i="6"/>
  <c r="AA275" i="6" s="1"/>
  <c r="R276" i="3"/>
  <c r="Q276" i="3"/>
  <c r="G276" i="3"/>
  <c r="AA277" i="3" s="1"/>
  <c r="D276" i="3"/>
  <c r="E276" i="3"/>
  <c r="C276" i="3"/>
  <c r="Z275" i="3"/>
  <c r="T274" i="4"/>
  <c r="E272" i="5"/>
  <c r="D272" i="5"/>
  <c r="C272" i="5"/>
  <c r="Q272" i="5"/>
  <c r="R272" i="5"/>
  <c r="G272" i="5"/>
  <c r="AA273" i="5" s="1"/>
  <c r="M272" i="5"/>
  <c r="H274" i="6" l="1"/>
  <c r="I274" i="6" s="1"/>
  <c r="O274" i="6"/>
  <c r="P276" i="3"/>
  <c r="P274" i="6"/>
  <c r="F272" i="5"/>
  <c r="O272" i="5" s="1"/>
  <c r="Q275" i="4"/>
  <c r="G275" i="4"/>
  <c r="AA276" i="4" s="1"/>
  <c r="M275" i="4"/>
  <c r="R275" i="4"/>
  <c r="E275" i="4"/>
  <c r="D275" i="4"/>
  <c r="C275" i="4"/>
  <c r="F276" i="3"/>
  <c r="P272" i="5"/>
  <c r="Z274" i="4"/>
  <c r="U274" i="6" l="1"/>
  <c r="L274" i="6"/>
  <c r="J274" i="6"/>
  <c r="K274" i="6" s="1"/>
  <c r="W274" i="6" s="1"/>
  <c r="H272" i="5"/>
  <c r="L272" i="5" s="1"/>
  <c r="P275" i="4"/>
  <c r="F275" i="4"/>
  <c r="H275" i="4" s="1"/>
  <c r="I275" i="4" s="1"/>
  <c r="U275" i="4" s="1"/>
  <c r="O276" i="3"/>
  <c r="O275" i="4"/>
  <c r="V274" i="6"/>
  <c r="N274" i="6"/>
  <c r="H276" i="3"/>
  <c r="I272" i="5"/>
  <c r="T274" i="6" l="1"/>
  <c r="X274" i="6"/>
  <c r="L275" i="4"/>
  <c r="Z274" i="6"/>
  <c r="V272" i="5"/>
  <c r="N272" i="5"/>
  <c r="M275" i="6"/>
  <c r="C275" i="6"/>
  <c r="E275" i="6"/>
  <c r="P275" i="6" s="1"/>
  <c r="D275" i="6"/>
  <c r="R275" i="6"/>
  <c r="Q275" i="6"/>
  <c r="G275" i="6"/>
  <c r="AA276" i="6" s="1"/>
  <c r="J275" i="4"/>
  <c r="K275" i="4" s="1"/>
  <c r="W275" i="4" s="1"/>
  <c r="I276" i="3"/>
  <c r="U272" i="5"/>
  <c r="J272" i="5"/>
  <c r="K272" i="5" l="1"/>
  <c r="W272" i="5" s="1"/>
  <c r="X272" i="5"/>
  <c r="F275" i="6"/>
  <c r="T272" i="5"/>
  <c r="U276" i="3"/>
  <c r="J276" i="3"/>
  <c r="V275" i="4"/>
  <c r="N275" i="4"/>
  <c r="T275" i="4" s="1"/>
  <c r="H275" i="6"/>
  <c r="L276" i="3"/>
  <c r="Z275" i="4" l="1"/>
  <c r="V276" i="3"/>
  <c r="N276" i="3"/>
  <c r="R276" i="4"/>
  <c r="G276" i="4"/>
  <c r="AA277" i="4" s="1"/>
  <c r="Q276" i="4"/>
  <c r="E276" i="4"/>
  <c r="P276" i="4" s="1"/>
  <c r="D276" i="4"/>
  <c r="C276" i="4"/>
  <c r="M276" i="4"/>
  <c r="E273" i="5"/>
  <c r="G273" i="5"/>
  <c r="AA274" i="5" s="1"/>
  <c r="D273" i="5"/>
  <c r="M273" i="5"/>
  <c r="C273" i="5"/>
  <c r="P273" i="5" s="1"/>
  <c r="R273" i="5"/>
  <c r="Q273" i="5"/>
  <c r="O275" i="6"/>
  <c r="X275" i="4"/>
  <c r="Z272" i="5"/>
  <c r="K276" i="3"/>
  <c r="X276" i="3"/>
  <c r="I275" i="6"/>
  <c r="U275" i="6" s="1"/>
  <c r="W276" i="3" l="1"/>
  <c r="L275" i="6"/>
  <c r="T276" i="3"/>
  <c r="J275" i="6"/>
  <c r="K275" i="6" s="1"/>
  <c r="W275" i="6" s="1"/>
  <c r="F273" i="5"/>
  <c r="H273" i="5" s="1"/>
  <c r="F276" i="4"/>
  <c r="H276" i="4" s="1"/>
  <c r="Q277" i="3" l="1"/>
  <c r="D277" i="3"/>
  <c r="G277" i="3"/>
  <c r="AA278" i="3" s="1"/>
  <c r="E277" i="3"/>
  <c r="C277" i="3"/>
  <c r="F277" i="3" s="1"/>
  <c r="R277" i="3"/>
  <c r="P277" i="3"/>
  <c r="V275" i="6"/>
  <c r="N275" i="6"/>
  <c r="T275" i="6" s="1"/>
  <c r="Z275" i="6" s="1"/>
  <c r="Z276" i="3"/>
  <c r="O276" i="4"/>
  <c r="I276" i="4"/>
  <c r="U276" i="4" s="1"/>
  <c r="J276" i="4"/>
  <c r="K276" i="4" s="1"/>
  <c r="W276" i="4" s="1"/>
  <c r="O273" i="5"/>
  <c r="I273" i="5"/>
  <c r="U273" i="5" s="1"/>
  <c r="X275" i="6" l="1"/>
  <c r="H277" i="3"/>
  <c r="O277" i="3"/>
  <c r="L276" i="4"/>
  <c r="M276" i="6"/>
  <c r="C276" i="6"/>
  <c r="R276" i="6"/>
  <c r="G276" i="6"/>
  <c r="AA277" i="6" s="1"/>
  <c r="Q276" i="6"/>
  <c r="E276" i="6"/>
  <c r="P276" i="6" s="1"/>
  <c r="D276" i="6"/>
  <c r="J273" i="5"/>
  <c r="L273" i="5"/>
  <c r="V273" i="5" l="1"/>
  <c r="N273" i="5"/>
  <c r="K273" i="5"/>
  <c r="X273" i="5"/>
  <c r="V276" i="4"/>
  <c r="N276" i="4"/>
  <c r="T276" i="4" s="1"/>
  <c r="F276" i="6"/>
  <c r="I277" i="3"/>
  <c r="L277" i="3" s="1"/>
  <c r="O276" i="6" l="1"/>
  <c r="V277" i="3"/>
  <c r="N277" i="3"/>
  <c r="X276" i="4"/>
  <c r="T273" i="5"/>
  <c r="M277" i="4"/>
  <c r="C277" i="4"/>
  <c r="F277" i="4" s="1"/>
  <c r="D277" i="4"/>
  <c r="Q277" i="4"/>
  <c r="E277" i="4"/>
  <c r="R277" i="4"/>
  <c r="G277" i="4"/>
  <c r="AA278" i="4" s="1"/>
  <c r="Z276" i="4"/>
  <c r="W273" i="5"/>
  <c r="Z273" i="5"/>
  <c r="H276" i="6"/>
  <c r="U277" i="3"/>
  <c r="J277" i="3"/>
  <c r="P277" i="4" l="1"/>
  <c r="R274" i="5"/>
  <c r="E274" i="5"/>
  <c r="D274" i="5"/>
  <c r="C274" i="5"/>
  <c r="Q274" i="5"/>
  <c r="M274" i="5"/>
  <c r="G274" i="5"/>
  <c r="AA275" i="5" s="1"/>
  <c r="H277" i="4"/>
  <c r="O277" i="4"/>
  <c r="K277" i="3"/>
  <c r="W277" i="3" s="1"/>
  <c r="X277" i="3"/>
  <c r="I276" i="6"/>
  <c r="P274" i="5" l="1"/>
  <c r="U276" i="6"/>
  <c r="J276" i="6"/>
  <c r="K276" i="6" s="1"/>
  <c r="W276" i="6" s="1"/>
  <c r="T277" i="3"/>
  <c r="L276" i="6"/>
  <c r="F274" i="5"/>
  <c r="H274" i="5" s="1"/>
  <c r="I277" i="4"/>
  <c r="L277" i="4" s="1"/>
  <c r="D278" i="3" l="1"/>
  <c r="C278" i="3"/>
  <c r="E278" i="3"/>
  <c r="P278" i="3" s="1"/>
  <c r="R278" i="3"/>
  <c r="Q278" i="3"/>
  <c r="G278" i="3"/>
  <c r="AA279" i="3" s="1"/>
  <c r="U277" i="4"/>
  <c r="J277" i="4"/>
  <c r="K277" i="4" s="1"/>
  <c r="W277" i="4" s="1"/>
  <c r="Z277" i="3"/>
  <c r="V277" i="4"/>
  <c r="N277" i="4"/>
  <c r="V276" i="6"/>
  <c r="N276" i="6"/>
  <c r="X276" i="6" s="1"/>
  <c r="O274" i="5"/>
  <c r="I274" i="5"/>
  <c r="U274" i="5" s="1"/>
  <c r="J274" i="5" l="1"/>
  <c r="K274" i="5" s="1"/>
  <c r="W274" i="5" s="1"/>
  <c r="T277" i="4"/>
  <c r="X277" i="4"/>
  <c r="T276" i="6"/>
  <c r="Z276" i="6"/>
  <c r="Z277" i="4"/>
  <c r="L274" i="5"/>
  <c r="F278" i="3"/>
  <c r="V274" i="5" l="1"/>
  <c r="N274" i="5"/>
  <c r="X274" i="5"/>
  <c r="C277" i="6"/>
  <c r="M277" i="6"/>
  <c r="D277" i="6"/>
  <c r="E277" i="6"/>
  <c r="G277" i="6"/>
  <c r="AA278" i="6" s="1"/>
  <c r="Q277" i="6"/>
  <c r="R277" i="6"/>
  <c r="Q278" i="4"/>
  <c r="D278" i="4"/>
  <c r="C278" i="4"/>
  <c r="R278" i="4"/>
  <c r="M278" i="4"/>
  <c r="G278" i="4"/>
  <c r="AA279" i="4" s="1"/>
  <c r="E278" i="4"/>
  <c r="P278" i="4" s="1"/>
  <c r="H278" i="3"/>
  <c r="O278" i="3"/>
  <c r="F277" i="6" l="1"/>
  <c r="I278" i="3"/>
  <c r="H277" i="6"/>
  <c r="P277" i="6"/>
  <c r="F278" i="4"/>
  <c r="T274" i="5"/>
  <c r="Z274" i="5"/>
  <c r="U278" i="3" l="1"/>
  <c r="J278" i="3"/>
  <c r="L278" i="3"/>
  <c r="I277" i="6"/>
  <c r="U277" i="6" s="1"/>
  <c r="O277" i="6"/>
  <c r="D275" i="5"/>
  <c r="R275" i="5"/>
  <c r="C275" i="5"/>
  <c r="Q275" i="5"/>
  <c r="E275" i="5"/>
  <c r="G275" i="5"/>
  <c r="AA276" i="5" s="1"/>
  <c r="M275" i="5"/>
  <c r="O278" i="4"/>
  <c r="H278" i="4"/>
  <c r="I278" i="4" s="1"/>
  <c r="U278" i="4" s="1"/>
  <c r="J278" i="4" l="1"/>
  <c r="K278" i="4" s="1"/>
  <c r="W278" i="4" s="1"/>
  <c r="F275" i="5"/>
  <c r="L278" i="4"/>
  <c r="V278" i="3"/>
  <c r="N278" i="3"/>
  <c r="J277" i="6"/>
  <c r="K277" i="6" s="1"/>
  <c r="W277" i="6" s="1"/>
  <c r="H275" i="5"/>
  <c r="K278" i="3"/>
  <c r="W278" i="3" s="1"/>
  <c r="X278" i="3"/>
  <c r="P275" i="5"/>
  <c r="L277" i="6"/>
  <c r="V277" i="6" l="1"/>
  <c r="N277" i="6"/>
  <c r="T278" i="3"/>
  <c r="V278" i="4"/>
  <c r="N278" i="4"/>
  <c r="O275" i="5"/>
  <c r="X277" i="6"/>
  <c r="I275" i="5"/>
  <c r="U275" i="5" s="1"/>
  <c r="L275" i="5" l="1"/>
  <c r="J275" i="5"/>
  <c r="K275" i="5" s="1"/>
  <c r="W275" i="5" s="1"/>
  <c r="Q279" i="3"/>
  <c r="G279" i="3"/>
  <c r="AA280" i="3" s="1"/>
  <c r="R279" i="3"/>
  <c r="C279" i="3"/>
  <c r="E279" i="3"/>
  <c r="D279" i="3"/>
  <c r="Z278" i="3"/>
  <c r="V275" i="5"/>
  <c r="N275" i="5"/>
  <c r="T277" i="6"/>
  <c r="Z277" i="6"/>
  <c r="T278" i="4"/>
  <c r="Z278" i="4"/>
  <c r="X278" i="4"/>
  <c r="X275" i="5" l="1"/>
  <c r="T275" i="5"/>
  <c r="F279" i="3"/>
  <c r="P279" i="3"/>
  <c r="D279" i="4"/>
  <c r="C279" i="4"/>
  <c r="E279" i="4"/>
  <c r="G279" i="4"/>
  <c r="AA280" i="4" s="1"/>
  <c r="R279" i="4"/>
  <c r="Q279" i="4"/>
  <c r="M279" i="4"/>
  <c r="R278" i="6"/>
  <c r="G278" i="6"/>
  <c r="AA279" i="6" s="1"/>
  <c r="M278" i="6"/>
  <c r="Q278" i="6"/>
  <c r="E278" i="6"/>
  <c r="D278" i="6"/>
  <c r="C278" i="6"/>
  <c r="D276" i="5"/>
  <c r="Q276" i="5"/>
  <c r="E276" i="5"/>
  <c r="C276" i="5"/>
  <c r="R276" i="5"/>
  <c r="G276" i="5"/>
  <c r="AA277" i="5" s="1"/>
  <c r="M276" i="5"/>
  <c r="Z275" i="5"/>
  <c r="P279" i="4" l="1"/>
  <c r="P278" i="6"/>
  <c r="P276" i="5"/>
  <c r="F278" i="6"/>
  <c r="F279" i="4"/>
  <c r="O279" i="3"/>
  <c r="H279" i="3"/>
  <c r="F276" i="5"/>
  <c r="H276" i="5" s="1"/>
  <c r="I279" i="3" l="1"/>
  <c r="O278" i="6"/>
  <c r="H279" i="4"/>
  <c r="O276" i="5"/>
  <c r="I276" i="5"/>
  <c r="U276" i="5" s="1"/>
  <c r="L279" i="3"/>
  <c r="O279" i="4"/>
  <c r="H278" i="6"/>
  <c r="I278" i="6" s="1"/>
  <c r="U278" i="6" l="1"/>
  <c r="J278" i="6"/>
  <c r="K278" i="6" s="1"/>
  <c r="W278" i="6" s="1"/>
  <c r="J276" i="5"/>
  <c r="K276" i="5" s="1"/>
  <c r="W276" i="5" s="1"/>
  <c r="V279" i="3"/>
  <c r="N279" i="3"/>
  <c r="I279" i="4"/>
  <c r="U279" i="3"/>
  <c r="J279" i="3"/>
  <c r="L278" i="6"/>
  <c r="L276" i="5"/>
  <c r="U279" i="4" l="1"/>
  <c r="J279" i="4"/>
  <c r="K279" i="4" s="1"/>
  <c r="W279" i="4" s="1"/>
  <c r="L279" i="4"/>
  <c r="V276" i="5"/>
  <c r="N276" i="5"/>
  <c r="T276" i="5" s="1"/>
  <c r="V278" i="6"/>
  <c r="N278" i="6"/>
  <c r="K279" i="3"/>
  <c r="W279" i="3" s="1"/>
  <c r="X279" i="3" l="1"/>
  <c r="T279" i="3"/>
  <c r="Z279" i="3" s="1"/>
  <c r="Q277" i="5"/>
  <c r="G277" i="5"/>
  <c r="AA278" i="5" s="1"/>
  <c r="M277" i="5"/>
  <c r="C277" i="5"/>
  <c r="R277" i="5"/>
  <c r="D277" i="5"/>
  <c r="E277" i="5"/>
  <c r="P277" i="5" s="1"/>
  <c r="V279" i="4"/>
  <c r="N279" i="4"/>
  <c r="T279" i="4" s="1"/>
  <c r="Z276" i="5"/>
  <c r="Q280" i="3"/>
  <c r="D280" i="3"/>
  <c r="C280" i="3"/>
  <c r="R280" i="3"/>
  <c r="G280" i="3"/>
  <c r="AA281" i="3" s="1"/>
  <c r="E280" i="3"/>
  <c r="P280" i="3" s="1"/>
  <c r="X276" i="5"/>
  <c r="T278" i="6"/>
  <c r="X278" i="6"/>
  <c r="F277" i="5" l="1"/>
  <c r="H277" i="5" s="1"/>
  <c r="I277" i="5"/>
  <c r="L277" i="5" s="1"/>
  <c r="R280" i="4"/>
  <c r="C280" i="4"/>
  <c r="Q280" i="4"/>
  <c r="M280" i="4"/>
  <c r="G280" i="4"/>
  <c r="AA281" i="4" s="1"/>
  <c r="E280" i="4"/>
  <c r="P280" i="4" s="1"/>
  <c r="D280" i="4"/>
  <c r="X279" i="4"/>
  <c r="E279" i="6"/>
  <c r="D279" i="6"/>
  <c r="C279" i="6"/>
  <c r="Q279" i="6"/>
  <c r="G279" i="6"/>
  <c r="AA280" i="6" s="1"/>
  <c r="R279" i="6"/>
  <c r="M279" i="6"/>
  <c r="Z279" i="4"/>
  <c r="O277" i="5"/>
  <c r="F280" i="3"/>
  <c r="H280" i="3" s="1"/>
  <c r="Z278" i="6"/>
  <c r="F279" i="6" l="1"/>
  <c r="O279" i="6"/>
  <c r="V277" i="5"/>
  <c r="N277" i="5"/>
  <c r="P279" i="6"/>
  <c r="F280" i="4"/>
  <c r="H280" i="4" s="1"/>
  <c r="O280" i="3"/>
  <c r="H279" i="6"/>
  <c r="I279" i="6" s="1"/>
  <c r="I280" i="3"/>
  <c r="U280" i="3" s="1"/>
  <c r="U277" i="5"/>
  <c r="J277" i="5"/>
  <c r="U279" i="6" l="1"/>
  <c r="J279" i="6"/>
  <c r="K279" i="6" s="1"/>
  <c r="W279" i="6" s="1"/>
  <c r="L280" i="3"/>
  <c r="O280" i="4"/>
  <c r="L279" i="6"/>
  <c r="J280" i="3"/>
  <c r="K277" i="5"/>
  <c r="W277" i="5" s="1"/>
  <c r="I280" i="4"/>
  <c r="U280" i="4" s="1"/>
  <c r="L280" i="4" l="1"/>
  <c r="J280" i="4"/>
  <c r="K280" i="4" s="1"/>
  <c r="W280" i="4" s="1"/>
  <c r="T277" i="5"/>
  <c r="M278" i="5" s="1"/>
  <c r="X277" i="5"/>
  <c r="V279" i="6"/>
  <c r="N279" i="6"/>
  <c r="T279" i="6" s="1"/>
  <c r="R278" i="5"/>
  <c r="G278" i="5"/>
  <c r="AA279" i="5" s="1"/>
  <c r="E278" i="5"/>
  <c r="D278" i="5"/>
  <c r="V280" i="4"/>
  <c r="N280" i="4"/>
  <c r="X280" i="4" s="1"/>
  <c r="Z279" i="6"/>
  <c r="Z277" i="5"/>
  <c r="V280" i="3"/>
  <c r="N280" i="3"/>
  <c r="K280" i="3"/>
  <c r="Q278" i="5" l="1"/>
  <c r="X279" i="6"/>
  <c r="C278" i="5"/>
  <c r="F278" i="5" s="1"/>
  <c r="W280" i="3"/>
  <c r="X280" i="3"/>
  <c r="T280" i="3"/>
  <c r="E280" i="6"/>
  <c r="M280" i="6"/>
  <c r="R280" i="6"/>
  <c r="G280" i="6"/>
  <c r="AA281" i="6" s="1"/>
  <c r="D280" i="6"/>
  <c r="C280" i="6"/>
  <c r="P280" i="6" s="1"/>
  <c r="Q280" i="6"/>
  <c r="P278" i="5"/>
  <c r="T280" i="4"/>
  <c r="Z280" i="4" s="1"/>
  <c r="O278" i="5" l="1"/>
  <c r="H278" i="5"/>
  <c r="I278" i="5"/>
  <c r="C281" i="3"/>
  <c r="D281" i="3"/>
  <c r="R281" i="3"/>
  <c r="G281" i="3"/>
  <c r="AA282" i="3" s="1"/>
  <c r="E281" i="3"/>
  <c r="Q281" i="3"/>
  <c r="Z280" i="3"/>
  <c r="F280" i="6"/>
  <c r="E281" i="4"/>
  <c r="Q281" i="4"/>
  <c r="D281" i="4"/>
  <c r="R281" i="4"/>
  <c r="G281" i="4"/>
  <c r="AA282" i="4" s="1"/>
  <c r="M281" i="4"/>
  <c r="C281" i="4"/>
  <c r="F281" i="4" s="1"/>
  <c r="P281" i="4" l="1"/>
  <c r="O281" i="4"/>
  <c r="H281" i="4"/>
  <c r="U278" i="5"/>
  <c r="J278" i="5"/>
  <c r="O280" i="6"/>
  <c r="H280" i="6"/>
  <c r="P281" i="3"/>
  <c r="L278" i="5"/>
  <c r="F281" i="3"/>
  <c r="H281" i="3" l="1"/>
  <c r="O281" i="3"/>
  <c r="K278" i="5"/>
  <c r="W278" i="5" s="1"/>
  <c r="I280" i="6"/>
  <c r="L280" i="6" s="1"/>
  <c r="I281" i="4"/>
  <c r="V278" i="5"/>
  <c r="N278" i="5"/>
  <c r="T278" i="5" l="1"/>
  <c r="X278" i="5"/>
  <c r="V280" i="6"/>
  <c r="N280" i="6"/>
  <c r="M279" i="5"/>
  <c r="C279" i="5"/>
  <c r="P279" i="5" s="1"/>
  <c r="D279" i="5"/>
  <c r="R279" i="5"/>
  <c r="Q279" i="5"/>
  <c r="E279" i="5"/>
  <c r="G279" i="5"/>
  <c r="AA280" i="5" s="1"/>
  <c r="U281" i="4"/>
  <c r="J281" i="4"/>
  <c r="Z278" i="5"/>
  <c r="I281" i="3"/>
  <c r="U280" i="6"/>
  <c r="J280" i="6"/>
  <c r="K280" i="6" s="1"/>
  <c r="W280" i="6" s="1"/>
  <c r="L281" i="4"/>
  <c r="F279" i="5" l="1"/>
  <c r="O279" i="5" s="1"/>
  <c r="U281" i="3"/>
  <c r="J281" i="3"/>
  <c r="K281" i="3" s="1"/>
  <c r="W281" i="3" s="1"/>
  <c r="T280" i="6"/>
  <c r="H279" i="5"/>
  <c r="K281" i="4"/>
  <c r="V281" i="4"/>
  <c r="N281" i="4"/>
  <c r="T281" i="4" s="1"/>
  <c r="L281" i="3"/>
  <c r="X280" i="6"/>
  <c r="X281" i="4" l="1"/>
  <c r="R282" i="4"/>
  <c r="Q282" i="4"/>
  <c r="C282" i="4"/>
  <c r="D282" i="4"/>
  <c r="E282" i="4"/>
  <c r="M282" i="4"/>
  <c r="G282" i="4"/>
  <c r="AA283" i="4" s="1"/>
  <c r="L279" i="5"/>
  <c r="W281" i="4"/>
  <c r="Z281" i="4"/>
  <c r="V281" i="3"/>
  <c r="N281" i="3"/>
  <c r="R281" i="6"/>
  <c r="Q281" i="6"/>
  <c r="E281" i="6"/>
  <c r="F281" i="6" s="1"/>
  <c r="D281" i="6"/>
  <c r="G281" i="6"/>
  <c r="AA282" i="6" s="1"/>
  <c r="C281" i="6"/>
  <c r="M281" i="6"/>
  <c r="Z280" i="6"/>
  <c r="I279" i="5"/>
  <c r="P281" i="6" l="1"/>
  <c r="P282" i="4"/>
  <c r="H281" i="6"/>
  <c r="O281" i="6"/>
  <c r="U279" i="5"/>
  <c r="J279" i="5"/>
  <c r="T281" i="3"/>
  <c r="X281" i="3"/>
  <c r="F282" i="4"/>
  <c r="V279" i="5"/>
  <c r="N279" i="5"/>
  <c r="K279" i="5" l="1"/>
  <c r="W279" i="5" s="1"/>
  <c r="O282" i="4"/>
  <c r="X279" i="5"/>
  <c r="H282" i="4"/>
  <c r="T279" i="5"/>
  <c r="Z279" i="5" s="1"/>
  <c r="I281" i="6"/>
  <c r="L281" i="6" s="1"/>
  <c r="E282" i="3"/>
  <c r="P282" i="3" s="1"/>
  <c r="Q282" i="3"/>
  <c r="G282" i="3"/>
  <c r="AA283" i="3" s="1"/>
  <c r="D282" i="3"/>
  <c r="C282" i="3"/>
  <c r="R282" i="3"/>
  <c r="Z281" i="3"/>
  <c r="V281" i="6" l="1"/>
  <c r="N281" i="6"/>
  <c r="I282" i="4"/>
  <c r="U281" i="6"/>
  <c r="J281" i="6"/>
  <c r="F282" i="3"/>
  <c r="H282" i="3" s="1"/>
  <c r="R280" i="5"/>
  <c r="G280" i="5"/>
  <c r="AA281" i="5" s="1"/>
  <c r="E280" i="5"/>
  <c r="F280" i="5" s="1"/>
  <c r="O280" i="5" s="1"/>
  <c r="D280" i="5"/>
  <c r="Q280" i="5"/>
  <c r="M280" i="5"/>
  <c r="C280" i="5"/>
  <c r="P280" i="5" l="1"/>
  <c r="K281" i="6"/>
  <c r="X281" i="6"/>
  <c r="H280" i="5"/>
  <c r="U282" i="4"/>
  <c r="J282" i="4"/>
  <c r="T281" i="6"/>
  <c r="I282" i="3"/>
  <c r="U282" i="3" s="1"/>
  <c r="O282" i="3"/>
  <c r="J282" i="3"/>
  <c r="K282" i="3" s="1"/>
  <c r="W282" i="3" s="1"/>
  <c r="L282" i="4"/>
  <c r="L282" i="3" l="1"/>
  <c r="V282" i="4"/>
  <c r="N282" i="4"/>
  <c r="I280" i="5"/>
  <c r="M282" i="6"/>
  <c r="G282" i="6"/>
  <c r="AA283" i="6" s="1"/>
  <c r="R282" i="6"/>
  <c r="Q282" i="6"/>
  <c r="P282" i="6"/>
  <c r="C282" i="6"/>
  <c r="D282" i="6"/>
  <c r="E282" i="6"/>
  <c r="V282" i="3"/>
  <c r="N282" i="3"/>
  <c r="W281" i="6"/>
  <c r="Z281" i="6"/>
  <c r="K282" i="4"/>
  <c r="W282" i="4" s="1"/>
  <c r="X282" i="4"/>
  <c r="U280" i="5" l="1"/>
  <c r="J280" i="5"/>
  <c r="K280" i="5" s="1"/>
  <c r="W280" i="5" s="1"/>
  <c r="T282" i="3"/>
  <c r="X282" i="3"/>
  <c r="F282" i="6"/>
  <c r="L280" i="5"/>
  <c r="T282" i="4"/>
  <c r="V280" i="5" l="1"/>
  <c r="N280" i="5"/>
  <c r="O282" i="6"/>
  <c r="E283" i="3"/>
  <c r="Q283" i="3"/>
  <c r="G283" i="3"/>
  <c r="AA284" i="3" s="1"/>
  <c r="D283" i="3"/>
  <c r="C283" i="3"/>
  <c r="F283" i="3" s="1"/>
  <c r="O283" i="3" s="1"/>
  <c r="R283" i="3"/>
  <c r="Z282" i="3"/>
  <c r="H282" i="6"/>
  <c r="E283" i="4"/>
  <c r="D283" i="4"/>
  <c r="Q283" i="4"/>
  <c r="G283" i="4"/>
  <c r="AA284" i="4" s="1"/>
  <c r="C283" i="4"/>
  <c r="F283" i="4" s="1"/>
  <c r="M283" i="4"/>
  <c r="R283" i="4"/>
  <c r="Z282" i="4"/>
  <c r="P283" i="4" l="1"/>
  <c r="P283" i="3"/>
  <c r="O283" i="4"/>
  <c r="H283" i="4"/>
  <c r="I282" i="6"/>
  <c r="L282" i="6" s="1"/>
  <c r="T280" i="5"/>
  <c r="X280" i="5"/>
  <c r="H283" i="3"/>
  <c r="V282" i="6" l="1"/>
  <c r="N282" i="6"/>
  <c r="I283" i="3"/>
  <c r="U282" i="6"/>
  <c r="J282" i="6"/>
  <c r="I283" i="4"/>
  <c r="L283" i="4" s="1"/>
  <c r="D281" i="5"/>
  <c r="C281" i="5"/>
  <c r="M281" i="5"/>
  <c r="E281" i="5"/>
  <c r="P281" i="5" s="1"/>
  <c r="R281" i="5"/>
  <c r="Q281" i="5"/>
  <c r="G281" i="5"/>
  <c r="AA282" i="5" s="1"/>
  <c r="Z280" i="5"/>
  <c r="K282" i="6" l="1"/>
  <c r="W282" i="6" s="1"/>
  <c r="X282" i="6"/>
  <c r="L283" i="3"/>
  <c r="T282" i="6"/>
  <c r="F281" i="5"/>
  <c r="V283" i="4"/>
  <c r="N283" i="4"/>
  <c r="U283" i="3"/>
  <c r="J283" i="3"/>
  <c r="K283" i="3" s="1"/>
  <c r="W283" i="3" s="1"/>
  <c r="U283" i="4"/>
  <c r="J283" i="4"/>
  <c r="D283" i="6" l="1"/>
  <c r="R283" i="6"/>
  <c r="G283" i="6"/>
  <c r="AA284" i="6" s="1"/>
  <c r="Q283" i="6"/>
  <c r="E283" i="6"/>
  <c r="M283" i="6"/>
  <c r="C283" i="6"/>
  <c r="F283" i="6" s="1"/>
  <c r="O281" i="5"/>
  <c r="V283" i="3"/>
  <c r="N283" i="3"/>
  <c r="T283" i="3" s="1"/>
  <c r="K283" i="4"/>
  <c r="W283" i="4" s="1"/>
  <c r="X283" i="4"/>
  <c r="Z282" i="6"/>
  <c r="T283" i="4"/>
  <c r="H281" i="5"/>
  <c r="Z283" i="3" l="1"/>
  <c r="P283" i="6"/>
  <c r="O283" i="6"/>
  <c r="H283" i="6"/>
  <c r="D284" i="4"/>
  <c r="G284" i="4"/>
  <c r="AA285" i="4" s="1"/>
  <c r="R284" i="4"/>
  <c r="Q284" i="4"/>
  <c r="E284" i="4"/>
  <c r="P284" i="4" s="1"/>
  <c r="M284" i="4"/>
  <c r="C284" i="4"/>
  <c r="Z283" i="4"/>
  <c r="R284" i="3"/>
  <c r="C284" i="3"/>
  <c r="D284" i="3"/>
  <c r="E284" i="3"/>
  <c r="Q284" i="3"/>
  <c r="P284" i="3"/>
  <c r="G284" i="3"/>
  <c r="AA285" i="3" s="1"/>
  <c r="I281" i="5"/>
  <c r="X283" i="3"/>
  <c r="U281" i="5" l="1"/>
  <c r="J281" i="5"/>
  <c r="K281" i="5" s="1"/>
  <c r="W281" i="5" s="1"/>
  <c r="F284" i="3"/>
  <c r="I283" i="6"/>
  <c r="L281" i="5"/>
  <c r="F284" i="4"/>
  <c r="O284" i="4" l="1"/>
  <c r="O284" i="3"/>
  <c r="H284" i="3"/>
  <c r="H284" i="4"/>
  <c r="V281" i="5"/>
  <c r="N281" i="5"/>
  <c r="X281" i="5"/>
  <c r="U283" i="6"/>
  <c r="J283" i="6"/>
  <c r="L283" i="6"/>
  <c r="K283" i="6" l="1"/>
  <c r="W283" i="6" s="1"/>
  <c r="I284" i="3"/>
  <c r="I284" i="4"/>
  <c r="V283" i="6"/>
  <c r="N283" i="6"/>
  <c r="X283" i="6" s="1"/>
  <c r="T281" i="5"/>
  <c r="Z281" i="5" s="1"/>
  <c r="L284" i="4" l="1"/>
  <c r="U284" i="3"/>
  <c r="J284" i="3"/>
  <c r="K284" i="3" s="1"/>
  <c r="W284" i="3" s="1"/>
  <c r="U284" i="4"/>
  <c r="J284" i="4"/>
  <c r="K284" i="4" s="1"/>
  <c r="W284" i="4" s="1"/>
  <c r="G282" i="5"/>
  <c r="AA283" i="5" s="1"/>
  <c r="E282" i="5"/>
  <c r="P282" i="5" s="1"/>
  <c r="M282" i="5"/>
  <c r="R282" i="5"/>
  <c r="Q282" i="5"/>
  <c r="C282" i="5"/>
  <c r="D282" i="5"/>
  <c r="L284" i="3"/>
  <c r="T283" i="6"/>
  <c r="Q284" i="6" l="1"/>
  <c r="G284" i="6"/>
  <c r="AA285" i="6" s="1"/>
  <c r="M284" i="6"/>
  <c r="C284" i="6"/>
  <c r="R284" i="6"/>
  <c r="E284" i="6"/>
  <c r="P284" i="6" s="1"/>
  <c r="D284" i="6"/>
  <c r="Z283" i="6"/>
  <c r="V284" i="3"/>
  <c r="N284" i="3"/>
  <c r="T284" i="3" s="1"/>
  <c r="F282" i="5"/>
  <c r="V284" i="4"/>
  <c r="N284" i="4"/>
  <c r="H282" i="5"/>
  <c r="X284" i="3" l="1"/>
  <c r="Z284" i="3"/>
  <c r="T284" i="4"/>
  <c r="X284" i="4"/>
  <c r="O282" i="5"/>
  <c r="R285" i="3"/>
  <c r="G285" i="3"/>
  <c r="AA286" i="3" s="1"/>
  <c r="D285" i="3"/>
  <c r="Q285" i="3"/>
  <c r="C285" i="3"/>
  <c r="E285" i="3"/>
  <c r="P285" i="3" s="1"/>
  <c r="F284" i="6"/>
  <c r="I282" i="5"/>
  <c r="J282" i="5" s="1"/>
  <c r="K282" i="5" s="1"/>
  <c r="W282" i="5" s="1"/>
  <c r="F285" i="3" l="1"/>
  <c r="U282" i="5"/>
  <c r="H284" i="6"/>
  <c r="O284" i="6"/>
  <c r="Q285" i="4"/>
  <c r="G285" i="4"/>
  <c r="AA286" i="4" s="1"/>
  <c r="R285" i="4"/>
  <c r="P285" i="4"/>
  <c r="E285" i="4"/>
  <c r="F285" i="4" s="1"/>
  <c r="M285" i="4"/>
  <c r="D285" i="4"/>
  <c r="C285" i="4"/>
  <c r="Z284" i="4"/>
  <c r="L282" i="5"/>
  <c r="O285" i="4" l="1"/>
  <c r="H285" i="4"/>
  <c r="I284" i="6"/>
  <c r="L284" i="6" s="1"/>
  <c r="O285" i="3"/>
  <c r="V282" i="5"/>
  <c r="N282" i="5"/>
  <c r="H285" i="3"/>
  <c r="V284" i="6" l="1"/>
  <c r="N284" i="6"/>
  <c r="T282" i="5"/>
  <c r="X282" i="5"/>
  <c r="Z282" i="5"/>
  <c r="I285" i="4"/>
  <c r="U284" i="6"/>
  <c r="J284" i="6"/>
  <c r="I285" i="3"/>
  <c r="K284" i="6" l="1"/>
  <c r="W284" i="6" s="1"/>
  <c r="U285" i="4"/>
  <c r="J285" i="4"/>
  <c r="K285" i="4" s="1"/>
  <c r="W285" i="4" s="1"/>
  <c r="U285" i="3"/>
  <c r="J285" i="3"/>
  <c r="E283" i="5"/>
  <c r="Q283" i="5"/>
  <c r="D283" i="5"/>
  <c r="C283" i="5"/>
  <c r="P283" i="5" s="1"/>
  <c r="R283" i="5"/>
  <c r="G283" i="5"/>
  <c r="AA284" i="5" s="1"/>
  <c r="M283" i="5"/>
  <c r="T284" i="6"/>
  <c r="X284" i="6"/>
  <c r="L285" i="3"/>
  <c r="L285" i="4"/>
  <c r="V285" i="4" l="1"/>
  <c r="N285" i="4"/>
  <c r="T285" i="4" s="1"/>
  <c r="K285" i="3"/>
  <c r="W285" i="3" s="1"/>
  <c r="R285" i="6"/>
  <c r="G285" i="6"/>
  <c r="AA286" i="6" s="1"/>
  <c r="Q285" i="6"/>
  <c r="E285" i="6"/>
  <c r="M285" i="6"/>
  <c r="D285" i="6"/>
  <c r="C285" i="6"/>
  <c r="V285" i="3"/>
  <c r="N285" i="3"/>
  <c r="T285" i="3" s="1"/>
  <c r="Z285" i="4"/>
  <c r="Z284" i="6"/>
  <c r="Z285" i="3"/>
  <c r="F283" i="5"/>
  <c r="H283" i="5" s="1"/>
  <c r="P285" i="6" l="1"/>
  <c r="X285" i="4"/>
  <c r="D286" i="3"/>
  <c r="C286" i="3"/>
  <c r="E286" i="3"/>
  <c r="G286" i="3"/>
  <c r="AA287" i="3" s="1"/>
  <c r="R286" i="3"/>
  <c r="Q286" i="3"/>
  <c r="F285" i="6"/>
  <c r="M286" i="4"/>
  <c r="C286" i="4"/>
  <c r="Q286" i="4"/>
  <c r="R286" i="4"/>
  <c r="G286" i="4"/>
  <c r="AA287" i="4" s="1"/>
  <c r="E286" i="4"/>
  <c r="P286" i="4" s="1"/>
  <c r="D286" i="4"/>
  <c r="X285" i="3"/>
  <c r="O283" i="5"/>
  <c r="I283" i="5"/>
  <c r="J283" i="5" s="1"/>
  <c r="K283" i="5" s="1"/>
  <c r="W283" i="5" s="1"/>
  <c r="F286" i="4" l="1"/>
  <c r="O286" i="4" s="1"/>
  <c r="F286" i="3"/>
  <c r="O286" i="3"/>
  <c r="H286" i="3"/>
  <c r="O285" i="6"/>
  <c r="H285" i="6"/>
  <c r="I285" i="6" s="1"/>
  <c r="U285" i="6" s="1"/>
  <c r="P286" i="3"/>
  <c r="H286" i="4"/>
  <c r="I286" i="4" s="1"/>
  <c r="U286" i="4" s="1"/>
  <c r="U283" i="5"/>
  <c r="L283" i="5"/>
  <c r="L286" i="4" l="1"/>
  <c r="V283" i="5"/>
  <c r="N283" i="5"/>
  <c r="T283" i="5" s="1"/>
  <c r="L285" i="6"/>
  <c r="I286" i="3"/>
  <c r="L286" i="3" s="1"/>
  <c r="J286" i="4"/>
  <c r="K286" i="4" s="1"/>
  <c r="W286" i="4" s="1"/>
  <c r="X283" i="5"/>
  <c r="J285" i="6"/>
  <c r="K285" i="6" s="1"/>
  <c r="W285" i="6" s="1"/>
  <c r="V285" i="6" l="1"/>
  <c r="N285" i="6"/>
  <c r="V286" i="3"/>
  <c r="N286" i="3"/>
  <c r="V286" i="4"/>
  <c r="N286" i="4"/>
  <c r="T286" i="4" s="1"/>
  <c r="R284" i="5"/>
  <c r="E284" i="5"/>
  <c r="P284" i="5" s="1"/>
  <c r="D284" i="5"/>
  <c r="C284" i="5"/>
  <c r="Q284" i="5"/>
  <c r="M284" i="5"/>
  <c r="G284" i="5"/>
  <c r="AA285" i="5" s="1"/>
  <c r="U286" i="3"/>
  <c r="J286" i="3"/>
  <c r="Z283" i="5"/>
  <c r="F284" i="5" l="1"/>
  <c r="H284" i="5" s="1"/>
  <c r="I284" i="5" s="1"/>
  <c r="K286" i="3"/>
  <c r="W286" i="3" s="1"/>
  <c r="X286" i="3"/>
  <c r="T286" i="3"/>
  <c r="Z286" i="3" s="1"/>
  <c r="Z286" i="4"/>
  <c r="O284" i="5"/>
  <c r="T285" i="6"/>
  <c r="X285" i="6"/>
  <c r="M287" i="4"/>
  <c r="C287" i="4"/>
  <c r="R287" i="4"/>
  <c r="G287" i="4"/>
  <c r="AA288" i="4" s="1"/>
  <c r="D287" i="4"/>
  <c r="Q287" i="4"/>
  <c r="E287" i="4"/>
  <c r="F287" i="4" s="1"/>
  <c r="P287" i="4"/>
  <c r="X286" i="4"/>
  <c r="U284" i="5" l="1"/>
  <c r="J284" i="5"/>
  <c r="K284" i="5" s="1"/>
  <c r="W284" i="5"/>
  <c r="O287" i="4"/>
  <c r="H287" i="4"/>
  <c r="I287" i="4"/>
  <c r="U287" i="4" s="1"/>
  <c r="J287" i="4"/>
  <c r="K287" i="4" s="1"/>
  <c r="W287" i="4" s="1"/>
  <c r="Q287" i="3"/>
  <c r="G287" i="3"/>
  <c r="AA288" i="3" s="1"/>
  <c r="R287" i="3"/>
  <c r="E287" i="3"/>
  <c r="D287" i="3"/>
  <c r="C287" i="3"/>
  <c r="M286" i="6"/>
  <c r="C286" i="6"/>
  <c r="D286" i="6"/>
  <c r="E286" i="6"/>
  <c r="G286" i="6"/>
  <c r="AA287" i="6" s="1"/>
  <c r="Q286" i="6"/>
  <c r="R286" i="6"/>
  <c r="Z285" i="6"/>
  <c r="L284" i="5"/>
  <c r="P286" i="6" l="1"/>
  <c r="F286" i="6"/>
  <c r="H286" i="6" s="1"/>
  <c r="F287" i="3"/>
  <c r="O287" i="3" s="1"/>
  <c r="P287" i="3"/>
  <c r="O286" i="6"/>
  <c r="V284" i="5"/>
  <c r="N284" i="5"/>
  <c r="T284" i="5" s="1"/>
  <c r="L287" i="4"/>
  <c r="I286" i="6" l="1"/>
  <c r="H287" i="3"/>
  <c r="E285" i="5"/>
  <c r="D285" i="5"/>
  <c r="C285" i="5"/>
  <c r="Q285" i="5"/>
  <c r="F285" i="5"/>
  <c r="M285" i="5"/>
  <c r="R285" i="5"/>
  <c r="G285" i="5"/>
  <c r="AA286" i="5" s="1"/>
  <c r="V287" i="4"/>
  <c r="N287" i="4"/>
  <c r="T287" i="4" s="1"/>
  <c r="Z284" i="5"/>
  <c r="X284" i="5"/>
  <c r="L286" i="6"/>
  <c r="P285" i="5" l="1"/>
  <c r="I287" i="3"/>
  <c r="U286" i="6"/>
  <c r="J286" i="6"/>
  <c r="K286" i="6" s="1"/>
  <c r="W286" i="6" s="1"/>
  <c r="L287" i="3"/>
  <c r="X287" i="4"/>
  <c r="O285" i="5"/>
  <c r="Z287" i="4"/>
  <c r="C288" i="4"/>
  <c r="M288" i="4"/>
  <c r="Q288" i="4"/>
  <c r="D288" i="4"/>
  <c r="G288" i="4"/>
  <c r="AA289" i="4" s="1"/>
  <c r="E288" i="4"/>
  <c r="R288" i="4"/>
  <c r="V286" i="6"/>
  <c r="N286" i="6"/>
  <c r="H285" i="5"/>
  <c r="P288" i="4" l="1"/>
  <c r="F288" i="4"/>
  <c r="V287" i="3"/>
  <c r="N287" i="3"/>
  <c r="U287" i="3"/>
  <c r="J287" i="3"/>
  <c r="K287" i="3" s="1"/>
  <c r="W287" i="3" s="1"/>
  <c r="X287" i="3"/>
  <c r="I285" i="5"/>
  <c r="L285" i="5" s="1"/>
  <c r="T286" i="6"/>
  <c r="X286" i="6"/>
  <c r="T287" i="3" l="1"/>
  <c r="O288" i="4"/>
  <c r="H288" i="4"/>
  <c r="V285" i="5"/>
  <c r="N285" i="5"/>
  <c r="U285" i="5"/>
  <c r="J285" i="5"/>
  <c r="K285" i="5" s="1"/>
  <c r="W285" i="5" s="1"/>
  <c r="Q287" i="6"/>
  <c r="R287" i="6"/>
  <c r="G287" i="6"/>
  <c r="AA288" i="6" s="1"/>
  <c r="E287" i="6"/>
  <c r="M287" i="6"/>
  <c r="D287" i="6"/>
  <c r="C287" i="6"/>
  <c r="Z286" i="6"/>
  <c r="X285" i="5" l="1"/>
  <c r="P287" i="6"/>
  <c r="I288" i="4"/>
  <c r="L288" i="4"/>
  <c r="R288" i="3"/>
  <c r="E288" i="3"/>
  <c r="P288" i="3" s="1"/>
  <c r="D288" i="3"/>
  <c r="G288" i="3"/>
  <c r="AA289" i="3" s="1"/>
  <c r="Q288" i="3"/>
  <c r="C288" i="3"/>
  <c r="Z287" i="3"/>
  <c r="F287" i="6"/>
  <c r="T285" i="5"/>
  <c r="F288" i="3" l="1"/>
  <c r="V288" i="4"/>
  <c r="N288" i="4"/>
  <c r="U288" i="4"/>
  <c r="J288" i="4"/>
  <c r="K288" i="4" s="1"/>
  <c r="W288" i="4" s="1"/>
  <c r="H287" i="6"/>
  <c r="D286" i="5"/>
  <c r="C286" i="5"/>
  <c r="P286" i="5" s="1"/>
  <c r="R286" i="5"/>
  <c r="Q286" i="5"/>
  <c r="E286" i="5"/>
  <c r="M286" i="5"/>
  <c r="G286" i="5"/>
  <c r="AA287" i="5" s="1"/>
  <c r="Z285" i="5"/>
  <c r="O287" i="6"/>
  <c r="F286" i="5" l="1"/>
  <c r="X288" i="4"/>
  <c r="O288" i="3"/>
  <c r="T288" i="4"/>
  <c r="H288" i="3"/>
  <c r="O286" i="5"/>
  <c r="H286" i="5"/>
  <c r="I286" i="5" s="1"/>
  <c r="U286" i="5" s="1"/>
  <c r="I287" i="6"/>
  <c r="R289" i="4" l="1"/>
  <c r="Q289" i="4"/>
  <c r="G289" i="4"/>
  <c r="AA290" i="4" s="1"/>
  <c r="M289" i="4"/>
  <c r="E289" i="4"/>
  <c r="P289" i="4" s="1"/>
  <c r="D289" i="4"/>
  <c r="C289" i="4"/>
  <c r="F289" i="4" s="1"/>
  <c r="O289" i="4" s="1"/>
  <c r="I288" i="3"/>
  <c r="L288" i="3" s="1"/>
  <c r="Z288" i="4"/>
  <c r="U287" i="6"/>
  <c r="J287" i="6"/>
  <c r="K287" i="6" s="1"/>
  <c r="W287" i="6" s="1"/>
  <c r="L286" i="5"/>
  <c r="J286" i="5"/>
  <c r="K286" i="5" s="1"/>
  <c r="W286" i="5" s="1"/>
  <c r="L287" i="6"/>
  <c r="H289" i="4" l="1"/>
  <c r="V288" i="3"/>
  <c r="N288" i="3"/>
  <c r="U288" i="3"/>
  <c r="J288" i="3"/>
  <c r="I289" i="4"/>
  <c r="U289" i="4" s="1"/>
  <c r="V287" i="6"/>
  <c r="N287" i="6"/>
  <c r="V286" i="5"/>
  <c r="N286" i="5"/>
  <c r="T286" i="5" s="1"/>
  <c r="K288" i="3" l="1"/>
  <c r="W288" i="3" s="1"/>
  <c r="X288" i="3"/>
  <c r="T288" i="3"/>
  <c r="J289" i="4"/>
  <c r="K289" i="4" s="1"/>
  <c r="W289" i="4" s="1"/>
  <c r="L289" i="4"/>
  <c r="Z286" i="5"/>
  <c r="T287" i="6"/>
  <c r="X287" i="6"/>
  <c r="Q287" i="5"/>
  <c r="G287" i="5"/>
  <c r="AA288" i="5" s="1"/>
  <c r="R287" i="5"/>
  <c r="E287" i="5"/>
  <c r="D287" i="5"/>
  <c r="M287" i="5"/>
  <c r="C287" i="5"/>
  <c r="X286" i="5"/>
  <c r="P287" i="5" l="1"/>
  <c r="R289" i="3"/>
  <c r="Q289" i="3"/>
  <c r="C289" i="3"/>
  <c r="D289" i="3"/>
  <c r="G289" i="3"/>
  <c r="AA290" i="3" s="1"/>
  <c r="E289" i="3"/>
  <c r="P289" i="3" s="1"/>
  <c r="Z288" i="3"/>
  <c r="V289" i="4"/>
  <c r="N289" i="4"/>
  <c r="T289" i="4" s="1"/>
  <c r="E288" i="6"/>
  <c r="D288" i="6"/>
  <c r="C288" i="6"/>
  <c r="Q288" i="6"/>
  <c r="G288" i="6"/>
  <c r="AA289" i="6" s="1"/>
  <c r="R288" i="6"/>
  <c r="M288" i="6"/>
  <c r="Z287" i="6"/>
  <c r="F287" i="5"/>
  <c r="F289" i="3" l="1"/>
  <c r="O289" i="3" s="1"/>
  <c r="H289" i="3"/>
  <c r="I289" i="3" s="1"/>
  <c r="F288" i="6"/>
  <c r="H288" i="6" s="1"/>
  <c r="Z289" i="4"/>
  <c r="M290" i="4"/>
  <c r="E290" i="4"/>
  <c r="P290" i="4" s="1"/>
  <c r="Q290" i="4"/>
  <c r="D290" i="4"/>
  <c r="R290" i="4"/>
  <c r="C290" i="4"/>
  <c r="G290" i="4"/>
  <c r="AA291" i="4" s="1"/>
  <c r="F290" i="4"/>
  <c r="O290" i="4" s="1"/>
  <c r="X289" i="4"/>
  <c r="O288" i="6"/>
  <c r="P288" i="6"/>
  <c r="O287" i="5"/>
  <c r="H287" i="5"/>
  <c r="U289" i="3" l="1"/>
  <c r="L289" i="3"/>
  <c r="J289" i="3"/>
  <c r="K289" i="3" s="1"/>
  <c r="W289" i="3" s="1"/>
  <c r="H290" i="4"/>
  <c r="I290" i="4"/>
  <c r="U290" i="4" s="1"/>
  <c r="J290" i="4"/>
  <c r="K290" i="4" s="1"/>
  <c r="W290" i="4" s="1"/>
  <c r="V289" i="3"/>
  <c r="N289" i="3"/>
  <c r="I288" i="6"/>
  <c r="I287" i="5"/>
  <c r="L287" i="5" s="1"/>
  <c r="T289" i="3" l="1"/>
  <c r="X289" i="3"/>
  <c r="L290" i="4"/>
  <c r="V287" i="5"/>
  <c r="N287" i="5"/>
  <c r="U288" i="6"/>
  <c r="J288" i="6"/>
  <c r="U287" i="5"/>
  <c r="J287" i="5"/>
  <c r="L288" i="6"/>
  <c r="Q290" i="3" l="1"/>
  <c r="E290" i="3"/>
  <c r="G290" i="3"/>
  <c r="AA291" i="3" s="1"/>
  <c r="D290" i="3"/>
  <c r="R290" i="3"/>
  <c r="C290" i="3"/>
  <c r="F290" i="3" s="1"/>
  <c r="V290" i="4"/>
  <c r="N290" i="4"/>
  <c r="T290" i="4" s="1"/>
  <c r="Z290" i="4" s="1"/>
  <c r="Z289" i="3"/>
  <c r="K287" i="5"/>
  <c r="W287" i="5" s="1"/>
  <c r="X287" i="5"/>
  <c r="K288" i="6"/>
  <c r="W288" i="6" s="1"/>
  <c r="V288" i="6"/>
  <c r="N288" i="6"/>
  <c r="T288" i="6" s="1"/>
  <c r="X290" i="4" l="1"/>
  <c r="O290" i="3"/>
  <c r="H290" i="3"/>
  <c r="P290" i="3"/>
  <c r="M291" i="4"/>
  <c r="R291" i="4"/>
  <c r="Q291" i="4"/>
  <c r="C291" i="4"/>
  <c r="F291" i="4" s="1"/>
  <c r="O291" i="4" s="1"/>
  <c r="D291" i="4"/>
  <c r="G291" i="4"/>
  <c r="AA292" i="4" s="1"/>
  <c r="E291" i="4"/>
  <c r="T287" i="5"/>
  <c r="Q288" i="5" s="1"/>
  <c r="M288" i="5"/>
  <c r="C288" i="5"/>
  <c r="D288" i="5"/>
  <c r="G288" i="5"/>
  <c r="AA289" i="5" s="1"/>
  <c r="Z288" i="6"/>
  <c r="M289" i="6"/>
  <c r="Q289" i="6"/>
  <c r="R289" i="6"/>
  <c r="C289" i="6"/>
  <c r="G289" i="6"/>
  <c r="AA290" i="6" s="1"/>
  <c r="E289" i="6"/>
  <c r="P289" i="6" s="1"/>
  <c r="D289" i="6"/>
  <c r="X288" i="6"/>
  <c r="Z287" i="5"/>
  <c r="H291" i="4" l="1"/>
  <c r="R288" i="5"/>
  <c r="P291" i="4"/>
  <c r="I290" i="3"/>
  <c r="L290" i="3" s="1"/>
  <c r="E288" i="5"/>
  <c r="F288" i="5" s="1"/>
  <c r="F289" i="6"/>
  <c r="I291" i="4"/>
  <c r="L291" i="4" l="1"/>
  <c r="O288" i="5"/>
  <c r="H288" i="5"/>
  <c r="I288" i="5" s="1"/>
  <c r="L288" i="5" s="1"/>
  <c r="V290" i="3"/>
  <c r="N290" i="3"/>
  <c r="P288" i="5"/>
  <c r="U290" i="3"/>
  <c r="J290" i="3"/>
  <c r="V291" i="4"/>
  <c r="N291" i="4"/>
  <c r="O289" i="6"/>
  <c r="H289" i="6"/>
  <c r="U291" i="4"/>
  <c r="J291" i="4"/>
  <c r="K290" i="3" l="1"/>
  <c r="X290" i="3"/>
  <c r="T290" i="3"/>
  <c r="V288" i="5"/>
  <c r="N288" i="5"/>
  <c r="I289" i="6"/>
  <c r="K291" i="4"/>
  <c r="T291" i="4" s="1"/>
  <c r="X291" i="4"/>
  <c r="U288" i="5"/>
  <c r="J288" i="5"/>
  <c r="C291" i="3" l="1"/>
  <c r="G291" i="3"/>
  <c r="AA292" i="3" s="1"/>
  <c r="Q291" i="3"/>
  <c r="D291" i="3"/>
  <c r="R291" i="3"/>
  <c r="E291" i="3"/>
  <c r="P291" i="3" s="1"/>
  <c r="F291" i="3"/>
  <c r="H291" i="3"/>
  <c r="W290" i="3"/>
  <c r="Z290" i="3"/>
  <c r="R292" i="4"/>
  <c r="E292" i="4"/>
  <c r="Q292" i="4"/>
  <c r="D292" i="4"/>
  <c r="G292" i="4"/>
  <c r="AA293" i="4" s="1"/>
  <c r="M292" i="4"/>
  <c r="C292" i="4"/>
  <c r="U289" i="6"/>
  <c r="J289" i="6"/>
  <c r="K289" i="6" s="1"/>
  <c r="W289" i="6" s="1"/>
  <c r="L289" i="6"/>
  <c r="K288" i="5"/>
  <c r="T288" i="5" s="1"/>
  <c r="W291" i="4"/>
  <c r="Z291" i="4"/>
  <c r="P292" i="4" l="1"/>
  <c r="I291" i="3"/>
  <c r="U291" i="3" s="1"/>
  <c r="O291" i="3"/>
  <c r="M289" i="5"/>
  <c r="C289" i="5"/>
  <c r="R289" i="5"/>
  <c r="G289" i="5"/>
  <c r="AA290" i="5" s="1"/>
  <c r="Q289" i="5"/>
  <c r="E289" i="5"/>
  <c r="D289" i="5"/>
  <c r="Z288" i="5"/>
  <c r="W288" i="5"/>
  <c r="X288" i="5"/>
  <c r="F292" i="4"/>
  <c r="H292" i="4"/>
  <c r="I292" i="4" s="1"/>
  <c r="U292" i="4" s="1"/>
  <c r="V289" i="6"/>
  <c r="N289" i="6"/>
  <c r="T289" i="6" s="1"/>
  <c r="J291" i="3" l="1"/>
  <c r="K291" i="3" s="1"/>
  <c r="W291" i="3" s="1"/>
  <c r="F289" i="5"/>
  <c r="O289" i="5" s="1"/>
  <c r="L291" i="3"/>
  <c r="P289" i="5"/>
  <c r="X289" i="6"/>
  <c r="L292" i="4"/>
  <c r="J292" i="4"/>
  <c r="K292" i="4" s="1"/>
  <c r="W292" i="4" s="1"/>
  <c r="O292" i="4"/>
  <c r="E290" i="6"/>
  <c r="P290" i="6" s="1"/>
  <c r="R290" i="6"/>
  <c r="G290" i="6"/>
  <c r="AA291" i="6" s="1"/>
  <c r="Q290" i="6"/>
  <c r="D290" i="6"/>
  <c r="C290" i="6"/>
  <c r="M290" i="6"/>
  <c r="H289" i="5"/>
  <c r="Z289" i="6"/>
  <c r="V291" i="3" l="1"/>
  <c r="N291" i="3"/>
  <c r="I289" i="5"/>
  <c r="L289" i="5"/>
  <c r="F290" i="6"/>
  <c r="V292" i="4"/>
  <c r="N292" i="4"/>
  <c r="X292" i="4" s="1"/>
  <c r="T291" i="3" l="1"/>
  <c r="Z291" i="3"/>
  <c r="X291" i="3"/>
  <c r="H290" i="6"/>
  <c r="O290" i="6"/>
  <c r="V289" i="5"/>
  <c r="N289" i="5"/>
  <c r="U289" i="5"/>
  <c r="J289" i="5"/>
  <c r="T292" i="4"/>
  <c r="Z292" i="4" s="1"/>
  <c r="Q292" i="3" l="1"/>
  <c r="E292" i="3"/>
  <c r="D292" i="3"/>
  <c r="C292" i="3"/>
  <c r="G292" i="3"/>
  <c r="AA293" i="3" s="1"/>
  <c r="R292" i="3"/>
  <c r="K289" i="5"/>
  <c r="W289" i="5" s="1"/>
  <c r="C293" i="4"/>
  <c r="D293" i="4"/>
  <c r="E293" i="4"/>
  <c r="Q293" i="4"/>
  <c r="R293" i="4"/>
  <c r="M293" i="4"/>
  <c r="G293" i="4"/>
  <c r="AA294" i="4" s="1"/>
  <c r="I290" i="6"/>
  <c r="L290" i="6" s="1"/>
  <c r="T289" i="5"/>
  <c r="Z289" i="5" s="1"/>
  <c r="F292" i="3" l="1"/>
  <c r="H292" i="3"/>
  <c r="X289" i="5"/>
  <c r="P292" i="3"/>
  <c r="P293" i="4"/>
  <c r="V290" i="6"/>
  <c r="N290" i="6"/>
  <c r="F293" i="4"/>
  <c r="C290" i="5"/>
  <c r="M290" i="5"/>
  <c r="D290" i="5"/>
  <c r="R290" i="5"/>
  <c r="Q290" i="5"/>
  <c r="G290" i="5"/>
  <c r="AA291" i="5" s="1"/>
  <c r="E290" i="5"/>
  <c r="P290" i="5" s="1"/>
  <c r="U290" i="6"/>
  <c r="J290" i="6"/>
  <c r="I292" i="3" l="1"/>
  <c r="U292" i="3" s="1"/>
  <c r="O292" i="3"/>
  <c r="J292" i="3"/>
  <c r="K292" i="3" s="1"/>
  <c r="K290" i="6"/>
  <c r="W290" i="6" s="1"/>
  <c r="X290" i="6"/>
  <c r="W292" i="3"/>
  <c r="O293" i="4"/>
  <c r="F290" i="5"/>
  <c r="H293" i="4"/>
  <c r="T290" i="6" l="1"/>
  <c r="L292" i="3"/>
  <c r="R291" i="6"/>
  <c r="M291" i="6"/>
  <c r="C291" i="6"/>
  <c r="Q291" i="6"/>
  <c r="E291" i="6"/>
  <c r="P291" i="6" s="1"/>
  <c r="D291" i="6"/>
  <c r="G291" i="6"/>
  <c r="AA292" i="6" s="1"/>
  <c r="O290" i="5"/>
  <c r="Z290" i="6"/>
  <c r="H290" i="5"/>
  <c r="L293" i="4"/>
  <c r="I293" i="4"/>
  <c r="N292" i="3" l="1"/>
  <c r="V292" i="3"/>
  <c r="X292" i="3"/>
  <c r="V293" i="4"/>
  <c r="N293" i="4"/>
  <c r="U293" i="4"/>
  <c r="J293" i="4"/>
  <c r="K293" i="4" s="1"/>
  <c r="W293" i="4" s="1"/>
  <c r="I290" i="5"/>
  <c r="F291" i="6"/>
  <c r="T292" i="3" l="1"/>
  <c r="Z292" i="3"/>
  <c r="T293" i="4"/>
  <c r="D294" i="4" s="1"/>
  <c r="X293" i="4"/>
  <c r="Z293" i="4"/>
  <c r="O291" i="6"/>
  <c r="H291" i="6"/>
  <c r="U290" i="5"/>
  <c r="J290" i="5"/>
  <c r="K290" i="5" s="1"/>
  <c r="W290" i="5" s="1"/>
  <c r="C294" i="4"/>
  <c r="R294" i="4"/>
  <c r="Q294" i="4"/>
  <c r="G294" i="4"/>
  <c r="AA295" i="4" s="1"/>
  <c r="L290" i="5"/>
  <c r="E294" i="4" l="1"/>
  <c r="P294" i="4" s="1"/>
  <c r="M294" i="4"/>
  <c r="E293" i="3"/>
  <c r="D293" i="3"/>
  <c r="G293" i="3"/>
  <c r="AA294" i="3" s="1"/>
  <c r="C293" i="3"/>
  <c r="F293" i="3" s="1"/>
  <c r="O293" i="3" s="1"/>
  <c r="R293" i="3"/>
  <c r="Q293" i="3"/>
  <c r="I291" i="6"/>
  <c r="V290" i="5"/>
  <c r="N290" i="5"/>
  <c r="F294" i="4"/>
  <c r="H293" i="3" l="1"/>
  <c r="I293" i="3"/>
  <c r="P293" i="3"/>
  <c r="U291" i="6"/>
  <c r="J291" i="6"/>
  <c r="L291" i="6"/>
  <c r="T290" i="5"/>
  <c r="Z290" i="5" s="1"/>
  <c r="X290" i="5"/>
  <c r="O294" i="4"/>
  <c r="H294" i="4"/>
  <c r="J293" i="3" l="1"/>
  <c r="U293" i="3"/>
  <c r="L293" i="3"/>
  <c r="N291" i="6"/>
  <c r="V291" i="6"/>
  <c r="K291" i="6"/>
  <c r="W291" i="6" s="1"/>
  <c r="I294" i="4"/>
  <c r="L294" i="4" s="1"/>
  <c r="R291" i="5"/>
  <c r="G291" i="5"/>
  <c r="AA292" i="5" s="1"/>
  <c r="E291" i="5"/>
  <c r="D291" i="5"/>
  <c r="M291" i="5"/>
  <c r="C291" i="5"/>
  <c r="F291" i="5" s="1"/>
  <c r="Q291" i="5"/>
  <c r="X291" i="6" l="1"/>
  <c r="V293" i="3"/>
  <c r="N293" i="3"/>
  <c r="K293" i="3"/>
  <c r="X293" i="3"/>
  <c r="P291" i="5"/>
  <c r="T291" i="6"/>
  <c r="V294" i="4"/>
  <c r="N294" i="4"/>
  <c r="U294" i="4"/>
  <c r="J294" i="4"/>
  <c r="H291" i="5"/>
  <c r="O291" i="5"/>
  <c r="W293" i="3" l="1"/>
  <c r="T293" i="3"/>
  <c r="R292" i="6"/>
  <c r="E292" i="6"/>
  <c r="D292" i="6"/>
  <c r="C292" i="6"/>
  <c r="F292" i="6" s="1"/>
  <c r="M292" i="6"/>
  <c r="G292" i="6"/>
  <c r="AA293" i="6" s="1"/>
  <c r="Q292" i="6"/>
  <c r="Z291" i="6"/>
  <c r="K294" i="4"/>
  <c r="W294" i="4" s="1"/>
  <c r="X294" i="4"/>
  <c r="I291" i="5"/>
  <c r="L291" i="5" s="1"/>
  <c r="E294" i="3" l="1"/>
  <c r="D294" i="3"/>
  <c r="G294" i="3"/>
  <c r="AA295" i="3" s="1"/>
  <c r="Q294" i="3"/>
  <c r="C294" i="3"/>
  <c r="P294" i="3" s="1"/>
  <c r="R294" i="3"/>
  <c r="F294" i="3"/>
  <c r="O294" i="3" s="1"/>
  <c r="H294" i="3"/>
  <c r="Z293" i="3"/>
  <c r="O292" i="6"/>
  <c r="H292" i="6"/>
  <c r="P292" i="6"/>
  <c r="T294" i="4"/>
  <c r="U291" i="5"/>
  <c r="J291" i="5"/>
  <c r="V291" i="5"/>
  <c r="N291" i="5"/>
  <c r="I294" i="3" l="1"/>
  <c r="U294" i="3" s="1"/>
  <c r="L294" i="3"/>
  <c r="V294" i="3" s="1"/>
  <c r="I292" i="6"/>
  <c r="K291" i="5"/>
  <c r="X291" i="5"/>
  <c r="Q295" i="4"/>
  <c r="G295" i="4"/>
  <c r="AA296" i="4" s="1"/>
  <c r="E295" i="4"/>
  <c r="P295" i="4" s="1"/>
  <c r="R295" i="4"/>
  <c r="C295" i="4"/>
  <c r="M295" i="4"/>
  <c r="D295" i="4"/>
  <c r="Z294" i="4"/>
  <c r="N294" i="3" l="1"/>
  <c r="J294" i="3"/>
  <c r="U292" i="6"/>
  <c r="J292" i="6"/>
  <c r="L292" i="6"/>
  <c r="W291" i="5"/>
  <c r="Z291" i="5"/>
  <c r="F295" i="4"/>
  <c r="T291" i="5"/>
  <c r="K294" i="3" l="1"/>
  <c r="W294" i="3" s="1"/>
  <c r="Z294" i="3"/>
  <c r="T294" i="3"/>
  <c r="X294" i="3"/>
  <c r="K292" i="6"/>
  <c r="V292" i="6"/>
  <c r="N292" i="6"/>
  <c r="T292" i="6" s="1"/>
  <c r="O295" i="4"/>
  <c r="P292" i="5"/>
  <c r="E292" i="5"/>
  <c r="D292" i="5"/>
  <c r="C292" i="5"/>
  <c r="Q292" i="5"/>
  <c r="R292" i="5"/>
  <c r="M292" i="5"/>
  <c r="G292" i="5"/>
  <c r="AA293" i="5" s="1"/>
  <c r="H295" i="4"/>
  <c r="D295" i="3" l="1"/>
  <c r="C295" i="3"/>
  <c r="R295" i="3"/>
  <c r="E295" i="3"/>
  <c r="P295" i="3" s="1"/>
  <c r="Q295" i="3"/>
  <c r="G295" i="3"/>
  <c r="AA296" i="3" s="1"/>
  <c r="F295" i="3"/>
  <c r="C293" i="6"/>
  <c r="F293" i="6" s="1"/>
  <c r="O293" i="6" s="1"/>
  <c r="Q293" i="6"/>
  <c r="R293" i="6"/>
  <c r="M293" i="6"/>
  <c r="E293" i="6"/>
  <c r="G293" i="6"/>
  <c r="AA294" i="6" s="1"/>
  <c r="D293" i="6"/>
  <c r="X292" i="6"/>
  <c r="W292" i="6"/>
  <c r="Z292" i="6"/>
  <c r="I295" i="4"/>
  <c r="F292" i="5"/>
  <c r="H292" i="5" s="1"/>
  <c r="O295" i="3" l="1"/>
  <c r="P293" i="6"/>
  <c r="H295" i="3"/>
  <c r="H293" i="6"/>
  <c r="I293" i="6" s="1"/>
  <c r="U295" i="4"/>
  <c r="J295" i="4"/>
  <c r="K295" i="4" s="1"/>
  <c r="W295" i="4" s="1"/>
  <c r="L295" i="4"/>
  <c r="O292" i="5"/>
  <c r="I292" i="5"/>
  <c r="U292" i="5" s="1"/>
  <c r="L292" i="5" l="1"/>
  <c r="I295" i="3"/>
  <c r="U293" i="6"/>
  <c r="J293" i="6"/>
  <c r="K293" i="6" s="1"/>
  <c r="W293" i="6" s="1"/>
  <c r="L293" i="6"/>
  <c r="V292" i="5"/>
  <c r="N292" i="5"/>
  <c r="J292" i="5"/>
  <c r="K292" i="5" s="1"/>
  <c r="W292" i="5" s="1"/>
  <c r="X292" i="5"/>
  <c r="V295" i="4"/>
  <c r="N295" i="4"/>
  <c r="X295" i="4" s="1"/>
  <c r="L295" i="3" l="1"/>
  <c r="U295" i="3"/>
  <c r="J295" i="3"/>
  <c r="K295" i="3" s="1"/>
  <c r="W295" i="3" s="1"/>
  <c r="T292" i="5"/>
  <c r="V293" i="6"/>
  <c r="N293" i="6"/>
  <c r="T293" i="6" s="1"/>
  <c r="T295" i="4"/>
  <c r="Z295" i="4"/>
  <c r="Z293" i="6"/>
  <c r="V295" i="3" l="1"/>
  <c r="N295" i="3"/>
  <c r="R296" i="4"/>
  <c r="G296" i="4"/>
  <c r="AA297" i="4" s="1"/>
  <c r="E296" i="4"/>
  <c r="P296" i="4" s="1"/>
  <c r="M296" i="4"/>
  <c r="Q296" i="4"/>
  <c r="D296" i="4"/>
  <c r="C296" i="4"/>
  <c r="Q294" i="6"/>
  <c r="G294" i="6"/>
  <c r="AA295" i="6" s="1"/>
  <c r="R294" i="6"/>
  <c r="E294" i="6"/>
  <c r="P294" i="6" s="1"/>
  <c r="D294" i="6"/>
  <c r="C294" i="6"/>
  <c r="F294" i="6" s="1"/>
  <c r="H294" i="6" s="1"/>
  <c r="M294" i="6"/>
  <c r="E293" i="5"/>
  <c r="D293" i="5"/>
  <c r="C293" i="5"/>
  <c r="G293" i="5"/>
  <c r="AA294" i="5" s="1"/>
  <c r="Q293" i="5"/>
  <c r="M293" i="5"/>
  <c r="R293" i="5"/>
  <c r="Z292" i="5"/>
  <c r="X293" i="6"/>
  <c r="T295" i="3" l="1"/>
  <c r="X295" i="3"/>
  <c r="F293" i="5"/>
  <c r="O293" i="5" s="1"/>
  <c r="O294" i="6"/>
  <c r="I294" i="6"/>
  <c r="L294" i="6" s="1"/>
  <c r="P293" i="5"/>
  <c r="F296" i="4"/>
  <c r="H293" i="5" l="1"/>
  <c r="I293" i="5" s="1"/>
  <c r="U293" i="5" s="1"/>
  <c r="Q296" i="3"/>
  <c r="D296" i="3"/>
  <c r="R296" i="3"/>
  <c r="G296" i="3"/>
  <c r="AA297" i="3" s="1"/>
  <c r="C296" i="3"/>
  <c r="P296" i="3"/>
  <c r="E296" i="3"/>
  <c r="Z295" i="3"/>
  <c r="V294" i="6"/>
  <c r="N294" i="6"/>
  <c r="O296" i="4"/>
  <c r="H296" i="4"/>
  <c r="J293" i="5"/>
  <c r="U294" i="6"/>
  <c r="J294" i="6"/>
  <c r="K294" i="6" s="1"/>
  <c r="W294" i="6" s="1"/>
  <c r="L293" i="5"/>
  <c r="F296" i="3" l="1"/>
  <c r="I296" i="4"/>
  <c r="T294" i="6"/>
  <c r="V293" i="5"/>
  <c r="N293" i="5"/>
  <c r="K293" i="5"/>
  <c r="X294" i="6"/>
  <c r="O296" i="3" l="1"/>
  <c r="H296" i="3"/>
  <c r="W293" i="5"/>
  <c r="X293" i="5"/>
  <c r="T293" i="5"/>
  <c r="D295" i="6"/>
  <c r="C295" i="6"/>
  <c r="M295" i="6"/>
  <c r="E295" i="6"/>
  <c r="P295" i="6" s="1"/>
  <c r="R295" i="6"/>
  <c r="Q295" i="6"/>
  <c r="G295" i="6"/>
  <c r="AA296" i="6" s="1"/>
  <c r="Z294" i="6"/>
  <c r="U296" i="4"/>
  <c r="J296" i="4"/>
  <c r="K296" i="4" s="1"/>
  <c r="W296" i="4" s="1"/>
  <c r="L296" i="4"/>
  <c r="F295" i="6" l="1"/>
  <c r="I296" i="3"/>
  <c r="H295" i="6"/>
  <c r="I295" i="6"/>
  <c r="U295" i="6" s="1"/>
  <c r="R294" i="5"/>
  <c r="E294" i="5"/>
  <c r="P294" i="5" s="1"/>
  <c r="D294" i="5"/>
  <c r="C294" i="5"/>
  <c r="Q294" i="5"/>
  <c r="M294" i="5"/>
  <c r="G294" i="5"/>
  <c r="AA295" i="5" s="1"/>
  <c r="Z293" i="5"/>
  <c r="V296" i="4"/>
  <c r="N296" i="4"/>
  <c r="X296" i="4" s="1"/>
  <c r="O295" i="6"/>
  <c r="F294" i="5" l="1"/>
  <c r="O294" i="5" s="1"/>
  <c r="L296" i="3"/>
  <c r="U296" i="3"/>
  <c r="J296" i="3"/>
  <c r="L295" i="6"/>
  <c r="T296" i="4"/>
  <c r="Z296" i="4"/>
  <c r="J295" i="6"/>
  <c r="V296" i="3" l="1"/>
  <c r="N296" i="3"/>
  <c r="H294" i="5"/>
  <c r="I294" i="5" s="1"/>
  <c r="K296" i="3"/>
  <c r="W296" i="3" s="1"/>
  <c r="X296" i="3"/>
  <c r="V295" i="6"/>
  <c r="N295" i="6"/>
  <c r="X295" i="6" s="1"/>
  <c r="K295" i="6"/>
  <c r="W295" i="6" s="1"/>
  <c r="M297" i="4"/>
  <c r="C297" i="4"/>
  <c r="P297" i="4" s="1"/>
  <c r="Q297" i="4"/>
  <c r="E297" i="4"/>
  <c r="D297" i="4"/>
  <c r="R297" i="4"/>
  <c r="G297" i="4"/>
  <c r="AA298" i="4" s="1"/>
  <c r="U294" i="5" l="1"/>
  <c r="L294" i="5"/>
  <c r="J294" i="5"/>
  <c r="K294" i="5" s="1"/>
  <c r="W294" i="5" s="1"/>
  <c r="T296" i="3"/>
  <c r="F297" i="4"/>
  <c r="V294" i="5"/>
  <c r="N294" i="5"/>
  <c r="T295" i="6"/>
  <c r="T294" i="5" l="1"/>
  <c r="Z294" i="5" s="1"/>
  <c r="C297" i="3"/>
  <c r="D297" i="3"/>
  <c r="Q297" i="3"/>
  <c r="G297" i="3"/>
  <c r="AA298" i="3" s="1"/>
  <c r="E297" i="3"/>
  <c r="F297" i="3" s="1"/>
  <c r="R297" i="3"/>
  <c r="Z296" i="3"/>
  <c r="X294" i="5"/>
  <c r="M296" i="6"/>
  <c r="C296" i="6"/>
  <c r="G296" i="6"/>
  <c r="AA297" i="6" s="1"/>
  <c r="E296" i="6"/>
  <c r="P296" i="6" s="1"/>
  <c r="D296" i="6"/>
  <c r="Q296" i="6"/>
  <c r="R296" i="6"/>
  <c r="Z295" i="6"/>
  <c r="D295" i="5"/>
  <c r="O297" i="4"/>
  <c r="H297" i="4"/>
  <c r="I297" i="4" s="1"/>
  <c r="O297" i="3" l="1"/>
  <c r="C295" i="5"/>
  <c r="R295" i="5"/>
  <c r="E295" i="5"/>
  <c r="H297" i="3"/>
  <c r="G295" i="5"/>
  <c r="AA296" i="5" s="1"/>
  <c r="P297" i="3"/>
  <c r="Q295" i="5"/>
  <c r="M295" i="5"/>
  <c r="U297" i="4"/>
  <c r="J297" i="4"/>
  <c r="K297" i="4" s="1"/>
  <c r="W297" i="4" s="1"/>
  <c r="F295" i="5"/>
  <c r="O295" i="5"/>
  <c r="L297" i="4"/>
  <c r="F296" i="6"/>
  <c r="P295" i="5" l="1"/>
  <c r="I297" i="3"/>
  <c r="H295" i="5"/>
  <c r="I295" i="5" s="1"/>
  <c r="U295" i="5" s="1"/>
  <c r="V297" i="4"/>
  <c r="N297" i="4"/>
  <c r="T297" i="4" s="1"/>
  <c r="J295" i="5"/>
  <c r="K295" i="5" s="1"/>
  <c r="W295" i="5" s="1"/>
  <c r="O296" i="6"/>
  <c r="H296" i="6"/>
  <c r="L295" i="5"/>
  <c r="U297" i="3" l="1"/>
  <c r="J297" i="3"/>
  <c r="L297" i="3"/>
  <c r="D298" i="4"/>
  <c r="M298" i="4"/>
  <c r="Q298" i="4"/>
  <c r="C298" i="4"/>
  <c r="G298" i="4"/>
  <c r="AA299" i="4" s="1"/>
  <c r="E298" i="4"/>
  <c r="R298" i="4"/>
  <c r="V295" i="5"/>
  <c r="N295" i="5"/>
  <c r="T295" i="5" s="1"/>
  <c r="I296" i="6"/>
  <c r="L296" i="6" s="1"/>
  <c r="X297" i="4"/>
  <c r="Z297" i="4"/>
  <c r="V297" i="3" l="1"/>
  <c r="N297" i="3"/>
  <c r="K297" i="3"/>
  <c r="W297" i="3" s="1"/>
  <c r="X297" i="3"/>
  <c r="X295" i="5"/>
  <c r="H298" i="4"/>
  <c r="V296" i="6"/>
  <c r="N296" i="6"/>
  <c r="P298" i="4"/>
  <c r="F298" i="4"/>
  <c r="U296" i="6"/>
  <c r="J296" i="6"/>
  <c r="D296" i="5"/>
  <c r="Q296" i="5"/>
  <c r="P296" i="5"/>
  <c r="E296" i="5"/>
  <c r="C296" i="5"/>
  <c r="R296" i="5"/>
  <c r="G296" i="5"/>
  <c r="AA297" i="5" s="1"/>
  <c r="M296" i="5"/>
  <c r="Z295" i="5"/>
  <c r="T297" i="3" l="1"/>
  <c r="F296" i="5"/>
  <c r="H296" i="5" s="1"/>
  <c r="I298" i="4"/>
  <c r="U298" i="4" s="1"/>
  <c r="O298" i="4"/>
  <c r="L298" i="4"/>
  <c r="K296" i="6"/>
  <c r="W296" i="6" s="1"/>
  <c r="O296" i="5"/>
  <c r="G298" i="3" l="1"/>
  <c r="AA299" i="3" s="1"/>
  <c r="R298" i="3"/>
  <c r="E298" i="3"/>
  <c r="P298" i="3" s="1"/>
  <c r="C298" i="3"/>
  <c r="Q298" i="3"/>
  <c r="D298" i="3"/>
  <c r="Z297" i="3"/>
  <c r="T296" i="6"/>
  <c r="Z296" i="6" s="1"/>
  <c r="X296" i="6"/>
  <c r="V298" i="4"/>
  <c r="N298" i="4"/>
  <c r="J298" i="4"/>
  <c r="K298" i="4" s="1"/>
  <c r="W298" i="4" s="1"/>
  <c r="X298" i="4"/>
  <c r="I296" i="5"/>
  <c r="L296" i="5" s="1"/>
  <c r="Q297" i="6"/>
  <c r="E297" i="6"/>
  <c r="D297" i="6"/>
  <c r="G297" i="6"/>
  <c r="AA298" i="6" s="1"/>
  <c r="M297" i="6"/>
  <c r="F298" i="3" l="1"/>
  <c r="R297" i="6"/>
  <c r="C297" i="6"/>
  <c r="P297" i="6"/>
  <c r="F297" i="6"/>
  <c r="T298" i="4"/>
  <c r="Z298" i="4" s="1"/>
  <c r="V296" i="5"/>
  <c r="N296" i="5"/>
  <c r="U296" i="5"/>
  <c r="J296" i="5"/>
  <c r="O298" i="3" l="1"/>
  <c r="H298" i="3"/>
  <c r="O297" i="6"/>
  <c r="K296" i="5"/>
  <c r="X296" i="5"/>
  <c r="T296" i="5"/>
  <c r="H297" i="6"/>
  <c r="Q299" i="4"/>
  <c r="G299" i="4"/>
  <c r="AA300" i="4" s="1"/>
  <c r="M299" i="4"/>
  <c r="E299" i="4"/>
  <c r="D299" i="4"/>
  <c r="R299" i="4"/>
  <c r="C299" i="4"/>
  <c r="I298" i="3" l="1"/>
  <c r="L298" i="3"/>
  <c r="Q297" i="5"/>
  <c r="G297" i="5"/>
  <c r="AA298" i="5" s="1"/>
  <c r="M297" i="5"/>
  <c r="R297" i="5"/>
  <c r="C297" i="5"/>
  <c r="E297" i="5"/>
  <c r="F297" i="5" s="1"/>
  <c r="D297" i="5"/>
  <c r="F299" i="4"/>
  <c r="I297" i="6"/>
  <c r="P299" i="4"/>
  <c r="W296" i="5"/>
  <c r="Z296" i="5"/>
  <c r="V298" i="3" l="1"/>
  <c r="N298" i="3"/>
  <c r="U298" i="3"/>
  <c r="J298" i="3"/>
  <c r="P297" i="5"/>
  <c r="O297" i="5"/>
  <c r="H297" i="5"/>
  <c r="I297" i="5" s="1"/>
  <c r="O299" i="4"/>
  <c r="H299" i="4"/>
  <c r="I299" i="4" s="1"/>
  <c r="U299" i="4" s="1"/>
  <c r="U297" i="6"/>
  <c r="J297" i="6"/>
  <c r="K297" i="6" s="1"/>
  <c r="W297" i="6" s="1"/>
  <c r="L297" i="6"/>
  <c r="K298" i="3" l="1"/>
  <c r="X298" i="3"/>
  <c r="T298" i="3"/>
  <c r="U297" i="5"/>
  <c r="J297" i="5"/>
  <c r="K297" i="5" s="1"/>
  <c r="W297" i="5" s="1"/>
  <c r="V297" i="6"/>
  <c r="N297" i="6"/>
  <c r="T297" i="6" s="1"/>
  <c r="J299" i="4"/>
  <c r="K299" i="4" s="1"/>
  <c r="W299" i="4" s="1"/>
  <c r="X297" i="6"/>
  <c r="Z297" i="6"/>
  <c r="L299" i="4"/>
  <c r="L297" i="5"/>
  <c r="E299" i="3" l="1"/>
  <c r="P299" i="3" s="1"/>
  <c r="D299" i="3"/>
  <c r="G299" i="3"/>
  <c r="AA300" i="3" s="1"/>
  <c r="Q299" i="3"/>
  <c r="R299" i="3"/>
  <c r="C299" i="3"/>
  <c r="W298" i="3"/>
  <c r="Z298" i="3"/>
  <c r="M298" i="6"/>
  <c r="E298" i="6"/>
  <c r="P298" i="6" s="1"/>
  <c r="D298" i="6"/>
  <c r="G298" i="6"/>
  <c r="AA299" i="6" s="1"/>
  <c r="R298" i="6"/>
  <c r="Q298" i="6"/>
  <c r="C298" i="6"/>
  <c r="V297" i="5"/>
  <c r="N297" i="5"/>
  <c r="V299" i="4"/>
  <c r="N299" i="4"/>
  <c r="T299" i="4" s="1"/>
  <c r="F299" i="3" l="1"/>
  <c r="G300" i="4"/>
  <c r="AA301" i="4" s="1"/>
  <c r="M300" i="4"/>
  <c r="R300" i="4"/>
  <c r="Q300" i="4"/>
  <c r="C300" i="4"/>
  <c r="E300" i="4"/>
  <c r="P300" i="4" s="1"/>
  <c r="D300" i="4"/>
  <c r="T297" i="5"/>
  <c r="X297" i="5"/>
  <c r="F298" i="6"/>
  <c r="Z299" i="4"/>
  <c r="X299" i="4"/>
  <c r="H299" i="3" l="1"/>
  <c r="I299" i="3"/>
  <c r="U299" i="3" s="1"/>
  <c r="J299" i="3"/>
  <c r="K299" i="3" s="1"/>
  <c r="W299" i="3" s="1"/>
  <c r="O299" i="3"/>
  <c r="O298" i="6"/>
  <c r="H298" i="6"/>
  <c r="F300" i="4"/>
  <c r="R298" i="5"/>
  <c r="G298" i="5"/>
  <c r="AA299" i="5" s="1"/>
  <c r="Q298" i="5"/>
  <c r="E298" i="5"/>
  <c r="D298" i="5"/>
  <c r="M298" i="5"/>
  <c r="C298" i="5"/>
  <c r="Z297" i="5"/>
  <c r="F298" i="5" l="1"/>
  <c r="L299" i="3"/>
  <c r="O298" i="5"/>
  <c r="H298" i="5"/>
  <c r="O300" i="4"/>
  <c r="I298" i="6"/>
  <c r="P298" i="5"/>
  <c r="H300" i="4"/>
  <c r="I300" i="4" s="1"/>
  <c r="V299" i="3" l="1"/>
  <c r="N299" i="3"/>
  <c r="U300" i="4"/>
  <c r="J300" i="4"/>
  <c r="K300" i="4" s="1"/>
  <c r="W300" i="4" s="1"/>
  <c r="L300" i="4"/>
  <c r="U298" i="6"/>
  <c r="J298" i="6"/>
  <c r="L298" i="6"/>
  <c r="I298" i="5"/>
  <c r="L298" i="5" s="1"/>
  <c r="T299" i="3" l="1"/>
  <c r="X299" i="3"/>
  <c r="Z299" i="3"/>
  <c r="V298" i="5"/>
  <c r="N298" i="5"/>
  <c r="K298" i="6"/>
  <c r="W298" i="6" s="1"/>
  <c r="V300" i="4"/>
  <c r="N300" i="4"/>
  <c r="T300" i="4" s="1"/>
  <c r="U298" i="5"/>
  <c r="J298" i="5"/>
  <c r="K298" i="5" s="1"/>
  <c r="W298" i="5" s="1"/>
  <c r="V298" i="6"/>
  <c r="N298" i="6"/>
  <c r="R300" i="3" l="1"/>
  <c r="C300" i="3"/>
  <c r="Q300" i="3"/>
  <c r="G300" i="3"/>
  <c r="AA301" i="3" s="1"/>
  <c r="E300" i="3"/>
  <c r="P300" i="3" s="1"/>
  <c r="D300" i="3"/>
  <c r="F300" i="3"/>
  <c r="O300" i="3" s="1"/>
  <c r="H300" i="3"/>
  <c r="I300" i="3" s="1"/>
  <c r="U300" i="3" s="1"/>
  <c r="J300" i="3"/>
  <c r="K300" i="3" s="1"/>
  <c r="W300" i="3" s="1"/>
  <c r="T298" i="6"/>
  <c r="Z298" i="6" s="1"/>
  <c r="X300" i="4"/>
  <c r="X298" i="5"/>
  <c r="Z300" i="4"/>
  <c r="E301" i="4"/>
  <c r="M301" i="4"/>
  <c r="C301" i="4"/>
  <c r="R301" i="4"/>
  <c r="Q301" i="4"/>
  <c r="G301" i="4"/>
  <c r="AA302" i="4" s="1"/>
  <c r="D301" i="4"/>
  <c r="R299" i="6"/>
  <c r="G299" i="6"/>
  <c r="AA300" i="6" s="1"/>
  <c r="Q299" i="6"/>
  <c r="E299" i="6"/>
  <c r="M299" i="6"/>
  <c r="C299" i="6"/>
  <c r="F299" i="6" s="1"/>
  <c r="D299" i="6"/>
  <c r="X298" i="6"/>
  <c r="T298" i="5"/>
  <c r="P299" i="6" l="1"/>
  <c r="L300" i="3"/>
  <c r="H299" i="6"/>
  <c r="O299" i="6"/>
  <c r="F301" i="4"/>
  <c r="O301" i="4"/>
  <c r="P301" i="4"/>
  <c r="I299" i="6"/>
  <c r="L299" i="6" s="1"/>
  <c r="M299" i="5"/>
  <c r="C299" i="5"/>
  <c r="D299" i="5"/>
  <c r="R299" i="5"/>
  <c r="Q299" i="5"/>
  <c r="G299" i="5"/>
  <c r="AA300" i="5" s="1"/>
  <c r="E299" i="5"/>
  <c r="P299" i="5" s="1"/>
  <c r="H301" i="4"/>
  <c r="Z298" i="5"/>
  <c r="V300" i="3" l="1"/>
  <c r="N300" i="3"/>
  <c r="V299" i="6"/>
  <c r="N299" i="6"/>
  <c r="I301" i="4"/>
  <c r="U299" i="6"/>
  <c r="J299" i="6"/>
  <c r="F299" i="5"/>
  <c r="X300" i="3" l="1"/>
  <c r="T300" i="3"/>
  <c r="O299" i="5"/>
  <c r="U301" i="4"/>
  <c r="J301" i="4"/>
  <c r="K301" i="4" s="1"/>
  <c r="W301" i="4" s="1"/>
  <c r="L301" i="4"/>
  <c r="K299" i="6"/>
  <c r="H299" i="5"/>
  <c r="E301" i="3" l="1"/>
  <c r="D301" i="3"/>
  <c r="Q301" i="3"/>
  <c r="R301" i="3"/>
  <c r="C301" i="3"/>
  <c r="F301" i="3" s="1"/>
  <c r="O301" i="3" s="1"/>
  <c r="G301" i="3"/>
  <c r="AA302" i="3" s="1"/>
  <c r="P301" i="3"/>
  <c r="H301" i="3"/>
  <c r="Z300" i="3"/>
  <c r="I299" i="5"/>
  <c r="W299" i="6"/>
  <c r="X299" i="6"/>
  <c r="T299" i="6"/>
  <c r="V301" i="4"/>
  <c r="N301" i="4"/>
  <c r="T301" i="4" s="1"/>
  <c r="I301" i="3" l="1"/>
  <c r="U301" i="3" s="1"/>
  <c r="J301" i="3"/>
  <c r="K301" i="3" s="1"/>
  <c r="W301" i="3" s="1"/>
  <c r="U299" i="5"/>
  <c r="J299" i="5"/>
  <c r="K299" i="5" s="1"/>
  <c r="W299" i="5" s="1"/>
  <c r="L299" i="5"/>
  <c r="E300" i="6"/>
  <c r="M300" i="6"/>
  <c r="C300" i="6"/>
  <c r="G300" i="6"/>
  <c r="AA301" i="6" s="1"/>
  <c r="D300" i="6"/>
  <c r="Q300" i="6"/>
  <c r="R300" i="6"/>
  <c r="Z299" i="6"/>
  <c r="X301" i="4"/>
  <c r="R302" i="4"/>
  <c r="E302" i="4"/>
  <c r="Q302" i="4"/>
  <c r="D302" i="4"/>
  <c r="G302" i="4"/>
  <c r="AA303" i="4" s="1"/>
  <c r="C302" i="4"/>
  <c r="M302" i="4"/>
  <c r="Z301" i="4"/>
  <c r="L301" i="3" l="1"/>
  <c r="F302" i="4"/>
  <c r="H302" i="4" s="1"/>
  <c r="I302" i="4" s="1"/>
  <c r="U302" i="4" s="1"/>
  <c r="P302" i="4"/>
  <c r="O302" i="4"/>
  <c r="F300" i="6"/>
  <c r="V299" i="5"/>
  <c r="N299" i="5"/>
  <c r="T299" i="5" s="1"/>
  <c r="P300" i="6"/>
  <c r="X299" i="5"/>
  <c r="V301" i="3" l="1"/>
  <c r="N301" i="3"/>
  <c r="T301" i="3" s="1"/>
  <c r="Z301" i="3"/>
  <c r="X301" i="3"/>
  <c r="Z299" i="5"/>
  <c r="I300" i="6"/>
  <c r="U300" i="6" s="1"/>
  <c r="O300" i="6"/>
  <c r="J302" i="4"/>
  <c r="K302" i="4" s="1"/>
  <c r="W302" i="4" s="1"/>
  <c r="H300" i="6"/>
  <c r="R300" i="5"/>
  <c r="G300" i="5"/>
  <c r="AA301" i="5" s="1"/>
  <c r="E300" i="5"/>
  <c r="P300" i="5" s="1"/>
  <c r="D300" i="5"/>
  <c r="C300" i="5"/>
  <c r="Q300" i="5"/>
  <c r="M300" i="5"/>
  <c r="L302" i="4"/>
  <c r="F300" i="5" l="1"/>
  <c r="O300" i="5" s="1"/>
  <c r="R302" i="3"/>
  <c r="E302" i="3"/>
  <c r="Q302" i="3"/>
  <c r="G302" i="3"/>
  <c r="AA303" i="3" s="1"/>
  <c r="C302" i="3"/>
  <c r="D302" i="3"/>
  <c r="F302" i="3"/>
  <c r="H302" i="3"/>
  <c r="P302" i="3"/>
  <c r="H300" i="5"/>
  <c r="L300" i="6"/>
  <c r="V302" i="4"/>
  <c r="N302" i="4"/>
  <c r="J300" i="6"/>
  <c r="O302" i="3" l="1"/>
  <c r="I302" i="3"/>
  <c r="U302" i="3" s="1"/>
  <c r="L302" i="3"/>
  <c r="V302" i="3" s="1"/>
  <c r="I300" i="5"/>
  <c r="V300" i="6"/>
  <c r="N300" i="6"/>
  <c r="T302" i="4"/>
  <c r="X302" i="4"/>
  <c r="K300" i="6"/>
  <c r="W300" i="6" s="1"/>
  <c r="X300" i="6"/>
  <c r="J302" i="3" l="1"/>
  <c r="N302" i="3"/>
  <c r="U300" i="5"/>
  <c r="J300" i="5"/>
  <c r="L300" i="5"/>
  <c r="T300" i="6"/>
  <c r="C303" i="4"/>
  <c r="P303" i="4"/>
  <c r="D303" i="4"/>
  <c r="Q303" i="4"/>
  <c r="M303" i="4"/>
  <c r="G303" i="4"/>
  <c r="AA304" i="4" s="1"/>
  <c r="R303" i="4"/>
  <c r="E303" i="4"/>
  <c r="Z302" i="4"/>
  <c r="T302" i="3" l="1"/>
  <c r="Z302" i="3" s="1"/>
  <c r="K302" i="3"/>
  <c r="W302" i="3" s="1"/>
  <c r="X302" i="3"/>
  <c r="V300" i="5"/>
  <c r="N300" i="5"/>
  <c r="K300" i="5"/>
  <c r="X300" i="5" s="1"/>
  <c r="F303" i="4"/>
  <c r="O303" i="4"/>
  <c r="R301" i="6"/>
  <c r="G301" i="6"/>
  <c r="AA302" i="6" s="1"/>
  <c r="Q301" i="6"/>
  <c r="M301" i="6"/>
  <c r="D301" i="6"/>
  <c r="C301" i="6"/>
  <c r="E301" i="6"/>
  <c r="P301" i="6" s="1"/>
  <c r="Z300" i="6"/>
  <c r="H303" i="4"/>
  <c r="I303" i="4" s="1"/>
  <c r="U303" i="4" s="1"/>
  <c r="D303" i="3" l="1"/>
  <c r="C303" i="3"/>
  <c r="E303" i="3"/>
  <c r="P303" i="3" s="1"/>
  <c r="Q303" i="3"/>
  <c r="R303" i="3"/>
  <c r="G303" i="3"/>
  <c r="AA304" i="3" s="1"/>
  <c r="F303" i="3"/>
  <c r="W300" i="5"/>
  <c r="T300" i="5"/>
  <c r="F301" i="6"/>
  <c r="L303" i="4"/>
  <c r="J303" i="4"/>
  <c r="K303" i="4" s="1"/>
  <c r="W303" i="4" s="1"/>
  <c r="H303" i="3" l="1"/>
  <c r="O303" i="3"/>
  <c r="I303" i="3"/>
  <c r="U303" i="3" s="1"/>
  <c r="G301" i="5"/>
  <c r="AA302" i="5" s="1"/>
  <c r="D301" i="5"/>
  <c r="C301" i="5"/>
  <c r="M301" i="5"/>
  <c r="P301" i="5"/>
  <c r="E301" i="5"/>
  <c r="R301" i="5"/>
  <c r="Q301" i="5"/>
  <c r="Z300" i="5"/>
  <c r="O301" i="6"/>
  <c r="V303" i="4"/>
  <c r="N303" i="4"/>
  <c r="T303" i="4" s="1"/>
  <c r="Z303" i="4" s="1"/>
  <c r="X303" i="4"/>
  <c r="H301" i="6"/>
  <c r="I301" i="6" s="1"/>
  <c r="J303" i="3" l="1"/>
  <c r="F301" i="5"/>
  <c r="L303" i="3"/>
  <c r="O301" i="5"/>
  <c r="H301" i="5"/>
  <c r="I301" i="5"/>
  <c r="U301" i="5" s="1"/>
  <c r="U301" i="6"/>
  <c r="J301" i="6"/>
  <c r="K301" i="6" s="1"/>
  <c r="W301" i="6" s="1"/>
  <c r="L301" i="6"/>
  <c r="D304" i="4"/>
  <c r="M304" i="4"/>
  <c r="G304" i="4"/>
  <c r="AA305" i="4" s="1"/>
  <c r="E304" i="4"/>
  <c r="P304" i="4" s="1"/>
  <c r="C304" i="4"/>
  <c r="R304" i="4"/>
  <c r="Q304" i="4"/>
  <c r="V303" i="3" l="1"/>
  <c r="N303" i="3"/>
  <c r="K303" i="3"/>
  <c r="X303" i="3"/>
  <c r="J301" i="5"/>
  <c r="K301" i="5" s="1"/>
  <c r="W301" i="5" s="1"/>
  <c r="L301" i="5"/>
  <c r="H304" i="4"/>
  <c r="V301" i="6"/>
  <c r="N301" i="6"/>
  <c r="T301" i="6" s="1"/>
  <c r="F304" i="4"/>
  <c r="W303" i="3" l="1"/>
  <c r="T303" i="3"/>
  <c r="V301" i="5"/>
  <c r="N301" i="5"/>
  <c r="C302" i="6"/>
  <c r="M302" i="6"/>
  <c r="D302" i="6"/>
  <c r="E302" i="6"/>
  <c r="P302" i="6" s="1"/>
  <c r="R302" i="6"/>
  <c r="G302" i="6"/>
  <c r="AA303" i="6" s="1"/>
  <c r="Q302" i="6"/>
  <c r="I304" i="4"/>
  <c r="U304" i="4" s="1"/>
  <c r="O304" i="4"/>
  <c r="Z301" i="6"/>
  <c r="X301" i="6"/>
  <c r="G304" i="3" l="1"/>
  <c r="AA305" i="3" s="1"/>
  <c r="D304" i="3"/>
  <c r="Q304" i="3"/>
  <c r="E304" i="3"/>
  <c r="C304" i="3"/>
  <c r="R304" i="3"/>
  <c r="P304" i="3"/>
  <c r="Z303" i="3"/>
  <c r="L304" i="4"/>
  <c r="T301" i="5"/>
  <c r="X301" i="5"/>
  <c r="J304" i="4"/>
  <c r="K304" i="4" s="1"/>
  <c r="W304" i="4" s="1"/>
  <c r="V304" i="4"/>
  <c r="N304" i="4"/>
  <c r="T304" i="4" s="1"/>
  <c r="F302" i="6"/>
  <c r="F304" i="3" l="1"/>
  <c r="Z304" i="4"/>
  <c r="D302" i="5"/>
  <c r="E302" i="5"/>
  <c r="G302" i="5"/>
  <c r="AA303" i="5" s="1"/>
  <c r="M302" i="5"/>
  <c r="Q302" i="5"/>
  <c r="C302" i="5"/>
  <c r="R302" i="5"/>
  <c r="Z301" i="5"/>
  <c r="O302" i="6"/>
  <c r="H302" i="6"/>
  <c r="I302" i="6"/>
  <c r="U302" i="6" s="1"/>
  <c r="Q305" i="4"/>
  <c r="G305" i="4"/>
  <c r="E305" i="4"/>
  <c r="R305" i="4"/>
  <c r="C305" i="4"/>
  <c r="M305" i="4"/>
  <c r="D305" i="4"/>
  <c r="X304" i="4"/>
  <c r="O304" i="3" l="1"/>
  <c r="H304" i="3"/>
  <c r="P302" i="5"/>
  <c r="F302" i="5"/>
  <c r="O302" i="5" s="1"/>
  <c r="H302" i="5"/>
  <c r="I302" i="5" s="1"/>
  <c r="L302" i="5" s="1"/>
  <c r="L302" i="6"/>
  <c r="F305" i="4"/>
  <c r="J302" i="6"/>
  <c r="K302" i="6" s="1"/>
  <c r="W302" i="6" s="1"/>
  <c r="P305" i="4"/>
  <c r="I304" i="3" l="1"/>
  <c r="V302" i="6"/>
  <c r="N302" i="6"/>
  <c r="V302" i="5"/>
  <c r="N302" i="5"/>
  <c r="U302" i="5"/>
  <c r="J302" i="5"/>
  <c r="O305" i="4"/>
  <c r="H305" i="4"/>
  <c r="I305" i="4" s="1"/>
  <c r="U304" i="3" l="1"/>
  <c r="J304" i="3"/>
  <c r="L304" i="3"/>
  <c r="U305" i="4"/>
  <c r="J305" i="4"/>
  <c r="K305" i="4" s="1"/>
  <c r="W305" i="4" s="1"/>
  <c r="T302" i="6"/>
  <c r="X302" i="6"/>
  <c r="L305" i="4"/>
  <c r="K302" i="5"/>
  <c r="T302" i="5" s="1"/>
  <c r="Z302" i="5" s="1"/>
  <c r="V304" i="3" l="1"/>
  <c r="N304" i="3"/>
  <c r="K304" i="3"/>
  <c r="W304" i="3" s="1"/>
  <c r="X304" i="3"/>
  <c r="V305" i="4"/>
  <c r="N305" i="4"/>
  <c r="T305" i="4" s="1"/>
  <c r="D303" i="6"/>
  <c r="R303" i="6"/>
  <c r="G303" i="6"/>
  <c r="AA304" i="6" s="1"/>
  <c r="M303" i="6"/>
  <c r="C303" i="6"/>
  <c r="Q303" i="6"/>
  <c r="E303" i="6"/>
  <c r="Z302" i="6"/>
  <c r="E303" i="5"/>
  <c r="Q303" i="5"/>
  <c r="D303" i="5"/>
  <c r="C303" i="5"/>
  <c r="R303" i="5"/>
  <c r="G303" i="5"/>
  <c r="AA304" i="5" s="1"/>
  <c r="M303" i="5"/>
  <c r="W302" i="5"/>
  <c r="X302" i="5"/>
  <c r="X305" i="4" l="1"/>
  <c r="T304" i="3"/>
  <c r="Z304" i="3" s="1"/>
  <c r="Z305" i="4"/>
  <c r="P303" i="5"/>
  <c r="F303" i="5"/>
  <c r="O303" i="5" s="1"/>
  <c r="P303" i="6"/>
  <c r="F303" i="6"/>
  <c r="H303" i="6" s="1"/>
  <c r="R306" i="4"/>
  <c r="D306" i="4"/>
  <c r="M306" i="4"/>
  <c r="Q306" i="4"/>
  <c r="E306" i="4"/>
  <c r="P306" i="4" s="1"/>
  <c r="C306" i="4"/>
  <c r="H303" i="5"/>
  <c r="I303" i="5" s="1"/>
  <c r="U303" i="5" s="1"/>
  <c r="G305" i="3" l="1"/>
  <c r="E305" i="3"/>
  <c r="P305" i="3" s="1"/>
  <c r="R305" i="3"/>
  <c r="D305" i="3"/>
  <c r="C305" i="3"/>
  <c r="H305" i="3" s="1"/>
  <c r="Q305" i="3"/>
  <c r="F305" i="3"/>
  <c r="O305" i="3" s="1"/>
  <c r="I303" i="6"/>
  <c r="U303" i="6" s="1"/>
  <c r="F306" i="4"/>
  <c r="AA306" i="4"/>
  <c r="G306" i="4"/>
  <c r="AA307" i="4" s="1"/>
  <c r="O303" i="6"/>
  <c r="J303" i="6"/>
  <c r="K303" i="6" s="1"/>
  <c r="W303" i="6" s="1"/>
  <c r="L303" i="5"/>
  <c r="J303" i="5"/>
  <c r="I305" i="3" l="1"/>
  <c r="U305" i="3" s="1"/>
  <c r="L303" i="6"/>
  <c r="K303" i="5"/>
  <c r="W303" i="5" s="1"/>
  <c r="V303" i="5"/>
  <c r="N303" i="5"/>
  <c r="H306" i="4"/>
  <c r="O306" i="4"/>
  <c r="J305" i="3" l="1"/>
  <c r="L305" i="3"/>
  <c r="X303" i="5"/>
  <c r="V303" i="6"/>
  <c r="N303" i="6"/>
  <c r="T303" i="6" s="1"/>
  <c r="Z303" i="6" s="1"/>
  <c r="T303" i="5"/>
  <c r="Z303" i="5" s="1"/>
  <c r="I306" i="4"/>
  <c r="X303" i="6" l="1"/>
  <c r="V305" i="3"/>
  <c r="N305" i="3"/>
  <c r="T305" i="3" s="1"/>
  <c r="X305" i="3"/>
  <c r="K305" i="3"/>
  <c r="W305" i="3" s="1"/>
  <c r="U306" i="4"/>
  <c r="J306" i="4"/>
  <c r="L306" i="4"/>
  <c r="R304" i="5"/>
  <c r="D304" i="5"/>
  <c r="C304" i="5"/>
  <c r="Q304" i="5"/>
  <c r="E304" i="5"/>
  <c r="P304" i="5" s="1"/>
  <c r="M304" i="5"/>
  <c r="G304" i="5"/>
  <c r="AA305" i="5" s="1"/>
  <c r="Q304" i="6"/>
  <c r="G304" i="6"/>
  <c r="AA305" i="6" s="1"/>
  <c r="D304" i="6"/>
  <c r="C304" i="6"/>
  <c r="M304" i="6"/>
  <c r="E304" i="6"/>
  <c r="P304" i="6" s="1"/>
  <c r="R304" i="6"/>
  <c r="Z305" i="3" l="1"/>
  <c r="Q306" i="3"/>
  <c r="E306" i="3"/>
  <c r="AA306" i="3" s="1"/>
  <c r="D306" i="3"/>
  <c r="C306" i="3"/>
  <c r="F306" i="3" s="1"/>
  <c r="R306" i="3"/>
  <c r="P306" i="3"/>
  <c r="G306" i="3"/>
  <c r="AA307" i="3" s="1"/>
  <c r="F304" i="6"/>
  <c r="O304" i="6" s="1"/>
  <c r="V306" i="4"/>
  <c r="N306" i="4"/>
  <c r="K306" i="4"/>
  <c r="H304" i="6"/>
  <c r="F304" i="5"/>
  <c r="H306" i="3" l="1"/>
  <c r="O306" i="3"/>
  <c r="I306" i="3"/>
  <c r="U306" i="3" s="1"/>
  <c r="W306" i="4"/>
  <c r="X306" i="4"/>
  <c r="O304" i="5"/>
  <c r="H304" i="5"/>
  <c r="I304" i="6"/>
  <c r="T306" i="4"/>
  <c r="J306" i="3" l="1"/>
  <c r="L306" i="3"/>
  <c r="U304" i="6"/>
  <c r="J304" i="6"/>
  <c r="K304" i="6" s="1"/>
  <c r="W304" i="6" s="1"/>
  <c r="L304" i="6"/>
  <c r="I304" i="5"/>
  <c r="L304" i="5" s="1"/>
  <c r="M307" i="4"/>
  <c r="C307" i="4"/>
  <c r="Q307" i="4"/>
  <c r="E307" i="4"/>
  <c r="D307" i="4"/>
  <c r="R307" i="4"/>
  <c r="G307" i="4"/>
  <c r="AA308" i="4" s="1"/>
  <c r="Z306" i="4"/>
  <c r="V306" i="3" l="1"/>
  <c r="N306" i="3"/>
  <c r="K306" i="3"/>
  <c r="P307" i="4"/>
  <c r="V304" i="5"/>
  <c r="N304" i="5"/>
  <c r="V304" i="6"/>
  <c r="N304" i="6"/>
  <c r="X304" i="6" s="1"/>
  <c r="U304" i="5"/>
  <c r="J304" i="5"/>
  <c r="K304" i="5" s="1"/>
  <c r="W304" i="5" s="1"/>
  <c r="F307" i="4"/>
  <c r="W306" i="3" l="1"/>
  <c r="X306" i="3"/>
  <c r="T306" i="3"/>
  <c r="T304" i="5"/>
  <c r="R305" i="5" s="1"/>
  <c r="O307" i="4"/>
  <c r="E305" i="5"/>
  <c r="P305" i="5" s="1"/>
  <c r="D305" i="5"/>
  <c r="C305" i="5"/>
  <c r="Q305" i="5"/>
  <c r="M305" i="5"/>
  <c r="T304" i="6"/>
  <c r="Z304" i="6"/>
  <c r="Z304" i="5"/>
  <c r="H307" i="4"/>
  <c r="X304" i="5"/>
  <c r="C307" i="3" l="1"/>
  <c r="Q307" i="3"/>
  <c r="E307" i="3"/>
  <c r="P307" i="3" s="1"/>
  <c r="D307" i="3"/>
  <c r="G307" i="3"/>
  <c r="AA308" i="3" s="1"/>
  <c r="R307" i="3"/>
  <c r="Z306" i="3"/>
  <c r="F307" i="3"/>
  <c r="H307" i="3" s="1"/>
  <c r="O307" i="3"/>
  <c r="G305" i="5"/>
  <c r="F305" i="5"/>
  <c r="H305" i="5" s="1"/>
  <c r="O305" i="5"/>
  <c r="M305" i="6"/>
  <c r="G305" i="6"/>
  <c r="C305" i="6"/>
  <c r="E305" i="6"/>
  <c r="P305" i="6" s="1"/>
  <c r="Q305" i="6"/>
  <c r="D305" i="6"/>
  <c r="R305" i="6"/>
  <c r="I307" i="4"/>
  <c r="F305" i="6" l="1"/>
  <c r="H305" i="6" s="1"/>
  <c r="I305" i="6" s="1"/>
  <c r="I307" i="3"/>
  <c r="U307" i="3" s="1"/>
  <c r="U307" i="4"/>
  <c r="J307" i="4"/>
  <c r="K307" i="4" s="1"/>
  <c r="W307" i="4" s="1"/>
  <c r="O305" i="6"/>
  <c r="L307" i="4"/>
  <c r="I305" i="5"/>
  <c r="L305" i="5" s="1"/>
  <c r="J307" i="3" l="1"/>
  <c r="K307" i="3" s="1"/>
  <c r="L307" i="3"/>
  <c r="U305" i="6"/>
  <c r="J305" i="6"/>
  <c r="K305" i="6" s="1"/>
  <c r="W305" i="6"/>
  <c r="V305" i="5"/>
  <c r="N305" i="5"/>
  <c r="W307" i="3"/>
  <c r="U305" i="5"/>
  <c r="J305" i="5"/>
  <c r="K305" i="5" s="1"/>
  <c r="W305" i="5" s="1"/>
  <c r="V307" i="4"/>
  <c r="N307" i="4"/>
  <c r="L305" i="6"/>
  <c r="V307" i="3" l="1"/>
  <c r="N307" i="3"/>
  <c r="X305" i="5"/>
  <c r="T305" i="5"/>
  <c r="Z305" i="5" s="1"/>
  <c r="V305" i="6"/>
  <c r="N305" i="6"/>
  <c r="T307" i="4"/>
  <c r="Z307" i="4" s="1"/>
  <c r="X307" i="4"/>
  <c r="X307" i="3" l="1"/>
  <c r="T307" i="3"/>
  <c r="D308" i="4"/>
  <c r="M308" i="4"/>
  <c r="Q308" i="4"/>
  <c r="C308" i="4"/>
  <c r="R308" i="4"/>
  <c r="G308" i="4"/>
  <c r="AA309" i="4" s="1"/>
  <c r="E308" i="4"/>
  <c r="F308" i="4" s="1"/>
  <c r="D306" i="5"/>
  <c r="R306" i="5"/>
  <c r="Q306" i="5"/>
  <c r="C306" i="5"/>
  <c r="E306" i="5"/>
  <c r="AA306" i="5" s="1"/>
  <c r="M306" i="5"/>
  <c r="T305" i="6"/>
  <c r="X305" i="6"/>
  <c r="Z305" i="6"/>
  <c r="Z307" i="3" l="1"/>
  <c r="D308" i="3"/>
  <c r="R308" i="3"/>
  <c r="C308" i="3"/>
  <c r="F308" i="3" s="1"/>
  <c r="O308" i="3" s="1"/>
  <c r="Q308" i="3"/>
  <c r="G308" i="3"/>
  <c r="AA309" i="3" s="1"/>
  <c r="E308" i="3"/>
  <c r="P308" i="3" s="1"/>
  <c r="P306" i="5"/>
  <c r="P308" i="4"/>
  <c r="O308" i="4"/>
  <c r="H308" i="4"/>
  <c r="I308" i="4" s="1"/>
  <c r="U308" i="4" s="1"/>
  <c r="F306" i="5"/>
  <c r="G306" i="5"/>
  <c r="AA307" i="5" s="1"/>
  <c r="M306" i="6"/>
  <c r="C306" i="6"/>
  <c r="Q306" i="6"/>
  <c r="E306" i="6"/>
  <c r="AA306" i="6" s="1"/>
  <c r="D306" i="6"/>
  <c r="R306" i="6"/>
  <c r="H308" i="3" l="1"/>
  <c r="P306" i="6"/>
  <c r="I308" i="3"/>
  <c r="O306" i="5"/>
  <c r="H306" i="5"/>
  <c r="F306" i="6"/>
  <c r="G306" i="6"/>
  <c r="AA307" i="6" s="1"/>
  <c r="J308" i="4"/>
  <c r="L308" i="4"/>
  <c r="V308" i="4" l="1"/>
  <c r="N308" i="4"/>
  <c r="K308" i="4"/>
  <c r="W308" i="4" s="1"/>
  <c r="U308" i="3"/>
  <c r="J308" i="3"/>
  <c r="K308" i="3" s="1"/>
  <c r="W308" i="3" s="1"/>
  <c r="O306" i="6"/>
  <c r="H306" i="6"/>
  <c r="I306" i="6" s="1"/>
  <c r="I306" i="5"/>
  <c r="X308" i="4"/>
  <c r="L308" i="3"/>
  <c r="U306" i="6" l="1"/>
  <c r="J306" i="6"/>
  <c r="K306" i="6" s="1"/>
  <c r="W306" i="6" s="1"/>
  <c r="V308" i="3"/>
  <c r="N308" i="3"/>
  <c r="T308" i="3" s="1"/>
  <c r="U306" i="5"/>
  <c r="J306" i="5"/>
  <c r="K306" i="5" s="1"/>
  <c r="W306" i="5" s="1"/>
  <c r="L306" i="5"/>
  <c r="Z308" i="3"/>
  <c r="L306" i="6"/>
  <c r="T308" i="4"/>
  <c r="C309" i="3" l="1"/>
  <c r="R309" i="3"/>
  <c r="E309" i="3"/>
  <c r="P309" i="3" s="1"/>
  <c r="Q309" i="3"/>
  <c r="D309" i="3"/>
  <c r="G309" i="3"/>
  <c r="AA310" i="3" s="1"/>
  <c r="Q309" i="4"/>
  <c r="G309" i="4"/>
  <c r="AA310" i="4" s="1"/>
  <c r="M309" i="4"/>
  <c r="E309" i="4"/>
  <c r="D309" i="4"/>
  <c r="C309" i="4"/>
  <c r="R309" i="4"/>
  <c r="Z308" i="4"/>
  <c r="V306" i="5"/>
  <c r="N306" i="5"/>
  <c r="T306" i="5" s="1"/>
  <c r="X308" i="3"/>
  <c r="V306" i="6"/>
  <c r="N306" i="6"/>
  <c r="F309" i="4" l="1"/>
  <c r="H309" i="4" s="1"/>
  <c r="I309" i="4" s="1"/>
  <c r="U309" i="4" s="1"/>
  <c r="O309" i="4"/>
  <c r="P309" i="4"/>
  <c r="Q307" i="5"/>
  <c r="G307" i="5"/>
  <c r="AA308" i="5" s="1"/>
  <c r="R307" i="5"/>
  <c r="E307" i="5"/>
  <c r="P307" i="5" s="1"/>
  <c r="D307" i="5"/>
  <c r="C307" i="5"/>
  <c r="M307" i="5"/>
  <c r="F309" i="3"/>
  <c r="H309" i="3" s="1"/>
  <c r="X306" i="5"/>
  <c r="T306" i="6"/>
  <c r="X306" i="6"/>
  <c r="Z306" i="6"/>
  <c r="Z306" i="5"/>
  <c r="I309" i="3" l="1"/>
  <c r="U309" i="3" s="1"/>
  <c r="L309" i="3"/>
  <c r="J309" i="3"/>
  <c r="O309" i="3"/>
  <c r="J309" i="4"/>
  <c r="M307" i="6"/>
  <c r="G307" i="6"/>
  <c r="AA308" i="6" s="1"/>
  <c r="E307" i="6"/>
  <c r="P307" i="6" s="1"/>
  <c r="D307" i="6"/>
  <c r="R307" i="6"/>
  <c r="Q307" i="6"/>
  <c r="C307" i="6"/>
  <c r="L309" i="4"/>
  <c r="F307" i="5"/>
  <c r="F307" i="6" l="1"/>
  <c r="O307" i="6"/>
  <c r="K309" i="4"/>
  <c r="W309" i="4" s="1"/>
  <c r="V309" i="3"/>
  <c r="N309" i="3"/>
  <c r="X309" i="3" s="1"/>
  <c r="V309" i="4"/>
  <c r="N309" i="4"/>
  <c r="H307" i="6"/>
  <c r="H307" i="5"/>
  <c r="I307" i="5" s="1"/>
  <c r="U307" i="5" s="1"/>
  <c r="O307" i="5"/>
  <c r="K309" i="3"/>
  <c r="W309" i="3" s="1"/>
  <c r="X309" i="4" l="1"/>
  <c r="I307" i="6"/>
  <c r="T309" i="4"/>
  <c r="L307" i="5"/>
  <c r="J307" i="5"/>
  <c r="K307" i="5" s="1"/>
  <c r="W307" i="5" s="1"/>
  <c r="L307" i="6"/>
  <c r="T309" i="3"/>
  <c r="Z309" i="3" s="1"/>
  <c r="G310" i="4" l="1"/>
  <c r="AA311" i="4" s="1"/>
  <c r="M310" i="4"/>
  <c r="Q310" i="4"/>
  <c r="D310" i="4"/>
  <c r="C310" i="4"/>
  <c r="R310" i="4"/>
  <c r="E310" i="4"/>
  <c r="F310" i="4" s="1"/>
  <c r="Z309" i="4"/>
  <c r="U307" i="6"/>
  <c r="J307" i="6"/>
  <c r="K307" i="6" s="1"/>
  <c r="W307" i="6" s="1"/>
  <c r="C310" i="3"/>
  <c r="D310" i="3"/>
  <c r="G310" i="3"/>
  <c r="AA311" i="3" s="1"/>
  <c r="E310" i="3"/>
  <c r="P310" i="3" s="1"/>
  <c r="R310" i="3"/>
  <c r="Q310" i="3"/>
  <c r="V307" i="6"/>
  <c r="N307" i="6"/>
  <c r="V307" i="5"/>
  <c r="N307" i="5"/>
  <c r="T307" i="5" s="1"/>
  <c r="T307" i="6" l="1"/>
  <c r="P310" i="4"/>
  <c r="Z307" i="5"/>
  <c r="O310" i="4"/>
  <c r="M308" i="5"/>
  <c r="C308" i="5"/>
  <c r="R308" i="5"/>
  <c r="Q308" i="5"/>
  <c r="P308" i="5"/>
  <c r="D308" i="5"/>
  <c r="G308" i="5"/>
  <c r="AA309" i="5" s="1"/>
  <c r="E308" i="5"/>
  <c r="Z307" i="6"/>
  <c r="F310" i="3"/>
  <c r="H310" i="4"/>
  <c r="R308" i="6"/>
  <c r="G308" i="6"/>
  <c r="AA309" i="6" s="1"/>
  <c r="Q308" i="6"/>
  <c r="E308" i="6"/>
  <c r="C308" i="6"/>
  <c r="M308" i="6"/>
  <c r="D308" i="6"/>
  <c r="X307" i="6"/>
  <c r="X307" i="5"/>
  <c r="P308" i="6" l="1"/>
  <c r="O310" i="3"/>
  <c r="H310" i="3"/>
  <c r="I310" i="3" s="1"/>
  <c r="U310" i="3" s="1"/>
  <c r="I310" i="4"/>
  <c r="L310" i="4" s="1"/>
  <c r="F308" i="6"/>
  <c r="F308" i="5"/>
  <c r="V310" i="4" l="1"/>
  <c r="N310" i="4"/>
  <c r="O308" i="5"/>
  <c r="H308" i="5"/>
  <c r="L310" i="3"/>
  <c r="J310" i="3"/>
  <c r="O308" i="6"/>
  <c r="H308" i="6"/>
  <c r="U310" i="4"/>
  <c r="J310" i="4"/>
  <c r="V310" i="3" l="1"/>
  <c r="N310" i="3"/>
  <c r="K310" i="3"/>
  <c r="W310" i="3" s="1"/>
  <c r="X310" i="3"/>
  <c r="K310" i="4"/>
  <c r="W310" i="4" s="1"/>
  <c r="X310" i="4"/>
  <c r="I308" i="5"/>
  <c r="I308" i="6"/>
  <c r="L308" i="6" s="1"/>
  <c r="U308" i="5" l="1"/>
  <c r="J308" i="5"/>
  <c r="K308" i="5" s="1"/>
  <c r="W308" i="5" s="1"/>
  <c r="V308" i="6"/>
  <c r="N308" i="6"/>
  <c r="U308" i="6"/>
  <c r="J308" i="6"/>
  <c r="T310" i="3"/>
  <c r="L308" i="5"/>
  <c r="T310" i="4"/>
  <c r="K308" i="6" l="1"/>
  <c r="X308" i="6"/>
  <c r="V308" i="5"/>
  <c r="N308" i="5"/>
  <c r="T308" i="6"/>
  <c r="G311" i="3"/>
  <c r="AA312" i="3" s="1"/>
  <c r="E311" i="3"/>
  <c r="D311" i="3"/>
  <c r="C311" i="3"/>
  <c r="R311" i="3"/>
  <c r="Q311" i="3"/>
  <c r="Z310" i="3"/>
  <c r="E311" i="4"/>
  <c r="M311" i="4"/>
  <c r="C311" i="4"/>
  <c r="R311" i="4"/>
  <c r="G311" i="4"/>
  <c r="AA312" i="4" s="1"/>
  <c r="Q311" i="4"/>
  <c r="D311" i="4"/>
  <c r="P311" i="4"/>
  <c r="Z310" i="4"/>
  <c r="P311" i="3" l="1"/>
  <c r="F311" i="3"/>
  <c r="F311" i="4"/>
  <c r="C309" i="6"/>
  <c r="M309" i="6"/>
  <c r="D309" i="6"/>
  <c r="G309" i="6"/>
  <c r="AA310" i="6" s="1"/>
  <c r="R309" i="6"/>
  <c r="Q309" i="6"/>
  <c r="E309" i="6"/>
  <c r="P309" i="6" s="1"/>
  <c r="T308" i="5"/>
  <c r="X308" i="5"/>
  <c r="W308" i="6"/>
  <c r="Z308" i="6"/>
  <c r="F309" i="6" l="1"/>
  <c r="H309" i="6"/>
  <c r="O311" i="4"/>
  <c r="M309" i="5"/>
  <c r="C309" i="5"/>
  <c r="R309" i="5"/>
  <c r="G309" i="5"/>
  <c r="AA310" i="5" s="1"/>
  <c r="Q309" i="5"/>
  <c r="E309" i="5"/>
  <c r="P309" i="5" s="1"/>
  <c r="D309" i="5"/>
  <c r="Z308" i="5"/>
  <c r="O311" i="3"/>
  <c r="H311" i="3"/>
  <c r="I311" i="3" s="1"/>
  <c r="U311" i="3" s="1"/>
  <c r="H311" i="4"/>
  <c r="I311" i="4" s="1"/>
  <c r="U311" i="4" s="1"/>
  <c r="F309" i="5" l="1"/>
  <c r="O309" i="5" s="1"/>
  <c r="J311" i="4"/>
  <c r="K311" i="4" s="1"/>
  <c r="W311" i="4" s="1"/>
  <c r="J311" i="3"/>
  <c r="K311" i="3" s="1"/>
  <c r="W311" i="3" s="1"/>
  <c r="O309" i="6"/>
  <c r="L311" i="4"/>
  <c r="L311" i="3"/>
  <c r="I309" i="6"/>
  <c r="L309" i="6" s="1"/>
  <c r="H309" i="5" l="1"/>
  <c r="I309" i="5" s="1"/>
  <c r="U309" i="5" s="1"/>
  <c r="V309" i="6"/>
  <c r="N309" i="6"/>
  <c r="V311" i="4"/>
  <c r="N311" i="4"/>
  <c r="U309" i="6"/>
  <c r="Z311" i="3"/>
  <c r="X311" i="3"/>
  <c r="J309" i="5"/>
  <c r="K309" i="5" s="1"/>
  <c r="W309" i="5" s="1"/>
  <c r="V311" i="3"/>
  <c r="N311" i="3"/>
  <c r="T311" i="3" s="1"/>
  <c r="J309" i="6"/>
  <c r="K309" i="6" s="1"/>
  <c r="W309" i="6" s="1"/>
  <c r="L309" i="5"/>
  <c r="X309" i="6"/>
  <c r="T311" i="4" l="1"/>
  <c r="X311" i="4"/>
  <c r="E312" i="3"/>
  <c r="P312" i="3" s="1"/>
  <c r="D312" i="3"/>
  <c r="Q312" i="3"/>
  <c r="C312" i="3"/>
  <c r="G312" i="3"/>
  <c r="AA313" i="3" s="1"/>
  <c r="R312" i="3"/>
  <c r="V309" i="5"/>
  <c r="N309" i="5"/>
  <c r="T309" i="5" s="1"/>
  <c r="T309" i="6"/>
  <c r="E310" i="6" l="1"/>
  <c r="R310" i="6"/>
  <c r="G310" i="6"/>
  <c r="AA311" i="6" s="1"/>
  <c r="Q310" i="6"/>
  <c r="C310" i="6"/>
  <c r="F310" i="6" s="1"/>
  <c r="D310" i="6"/>
  <c r="M310" i="6"/>
  <c r="Z309" i="6"/>
  <c r="R312" i="4"/>
  <c r="Q312" i="4"/>
  <c r="G312" i="4"/>
  <c r="AA313" i="4" s="1"/>
  <c r="E312" i="4"/>
  <c r="C312" i="4"/>
  <c r="P312" i="4" s="1"/>
  <c r="D312" i="4"/>
  <c r="M312" i="4"/>
  <c r="Z311" i="4"/>
  <c r="C310" i="5"/>
  <c r="M310" i="5"/>
  <c r="D310" i="5"/>
  <c r="R310" i="5"/>
  <c r="Q310" i="5"/>
  <c r="G310" i="5"/>
  <c r="AA311" i="5" s="1"/>
  <c r="E310" i="5"/>
  <c r="X309" i="5"/>
  <c r="F312" i="3"/>
  <c r="Z309" i="5"/>
  <c r="P310" i="5" l="1"/>
  <c r="P310" i="6"/>
  <c r="O310" i="6"/>
  <c r="F310" i="5"/>
  <c r="O312" i="3"/>
  <c r="H312" i="3"/>
  <c r="I312" i="3" s="1"/>
  <c r="U312" i="3" s="1"/>
  <c r="H310" i="6"/>
  <c r="F312" i="4"/>
  <c r="H310" i="5" l="1"/>
  <c r="O310" i="5"/>
  <c r="J312" i="3"/>
  <c r="K312" i="3" s="1"/>
  <c r="W312" i="3" s="1"/>
  <c r="O312" i="4"/>
  <c r="H312" i="4"/>
  <c r="I312" i="4" s="1"/>
  <c r="U312" i="4" s="1"/>
  <c r="L312" i="3"/>
  <c r="I310" i="6"/>
  <c r="I310" i="5" l="1"/>
  <c r="U310" i="6"/>
  <c r="J310" i="6"/>
  <c r="K310" i="6" s="1"/>
  <c r="W310" i="6" s="1"/>
  <c r="V312" i="3"/>
  <c r="N312" i="3"/>
  <c r="T312" i="3" s="1"/>
  <c r="L312" i="4"/>
  <c r="L310" i="6"/>
  <c r="J312" i="4"/>
  <c r="E313" i="3" l="1"/>
  <c r="R313" i="3"/>
  <c r="C313" i="3"/>
  <c r="Q313" i="3"/>
  <c r="P313" i="3"/>
  <c r="G313" i="3"/>
  <c r="AA314" i="3" s="1"/>
  <c r="D313" i="3"/>
  <c r="U310" i="5"/>
  <c r="J310" i="5"/>
  <c r="K310" i="5" s="1"/>
  <c r="W310" i="5" s="1"/>
  <c r="V312" i="4"/>
  <c r="N312" i="4"/>
  <c r="Z312" i="3"/>
  <c r="X312" i="3"/>
  <c r="K312" i="4"/>
  <c r="W312" i="4" s="1"/>
  <c r="X312" i="4"/>
  <c r="V310" i="6"/>
  <c r="N310" i="6"/>
  <c r="L310" i="5"/>
  <c r="V310" i="5" l="1"/>
  <c r="N310" i="5"/>
  <c r="T310" i="5" s="1"/>
  <c r="T310" i="6"/>
  <c r="Z310" i="6"/>
  <c r="F313" i="3"/>
  <c r="X310" i="6"/>
  <c r="T312" i="4"/>
  <c r="O313" i="3" l="1"/>
  <c r="G313" i="4"/>
  <c r="AA314" i="4" s="1"/>
  <c r="Q313" i="4"/>
  <c r="D313" i="4"/>
  <c r="R313" i="4"/>
  <c r="M313" i="4"/>
  <c r="E313" i="4"/>
  <c r="C313" i="4"/>
  <c r="P313" i="4" s="1"/>
  <c r="Z312" i="4"/>
  <c r="X310" i="5"/>
  <c r="R311" i="5"/>
  <c r="G311" i="5"/>
  <c r="AA312" i="5" s="1"/>
  <c r="E311" i="5"/>
  <c r="D311" i="5"/>
  <c r="C311" i="5"/>
  <c r="F311" i="5" s="1"/>
  <c r="O311" i="5" s="1"/>
  <c r="Q311" i="5"/>
  <c r="P311" i="5"/>
  <c r="M311" i="5"/>
  <c r="H313" i="3"/>
  <c r="I313" i="3" s="1"/>
  <c r="U313" i="3" s="1"/>
  <c r="R311" i="6"/>
  <c r="D311" i="6"/>
  <c r="C311" i="6"/>
  <c r="M311" i="6"/>
  <c r="E311" i="6"/>
  <c r="G311" i="6"/>
  <c r="AA312" i="6" s="1"/>
  <c r="Q311" i="6"/>
  <c r="Z310" i="5"/>
  <c r="P311" i="6" l="1"/>
  <c r="F313" i="4"/>
  <c r="O313" i="4"/>
  <c r="H313" i="4"/>
  <c r="H311" i="5"/>
  <c r="J313" i="3"/>
  <c r="F311" i="6"/>
  <c r="H311" i="6" s="1"/>
  <c r="L313" i="3"/>
  <c r="V313" i="3" l="1"/>
  <c r="N313" i="3"/>
  <c r="O311" i="6"/>
  <c r="K313" i="3"/>
  <c r="I313" i="4"/>
  <c r="I311" i="6"/>
  <c r="U311" i="6" s="1"/>
  <c r="I311" i="5"/>
  <c r="T313" i="3" l="1"/>
  <c r="J311" i="6"/>
  <c r="K311" i="6" s="1"/>
  <c r="W311" i="6" s="1"/>
  <c r="Z313" i="3"/>
  <c r="W313" i="3"/>
  <c r="X313" i="3"/>
  <c r="U311" i="5"/>
  <c r="J311" i="5"/>
  <c r="K311" i="5" s="1"/>
  <c r="W311" i="5" s="1"/>
  <c r="R314" i="3"/>
  <c r="E314" i="3"/>
  <c r="P314" i="3" s="1"/>
  <c r="D314" i="3"/>
  <c r="Q314" i="3"/>
  <c r="G314" i="3"/>
  <c r="AA315" i="3" s="1"/>
  <c r="C314" i="3"/>
  <c r="L311" i="5"/>
  <c r="U313" i="4"/>
  <c r="J313" i="4"/>
  <c r="L313" i="4"/>
  <c r="L311" i="6"/>
  <c r="V313" i="4" l="1"/>
  <c r="N313" i="4"/>
  <c r="V311" i="6"/>
  <c r="N311" i="6"/>
  <c r="T311" i="6" s="1"/>
  <c r="K313" i="4"/>
  <c r="W313" i="4" s="1"/>
  <c r="X313" i="4"/>
  <c r="F314" i="3"/>
  <c r="V311" i="5"/>
  <c r="N311" i="5"/>
  <c r="M312" i="6" l="1"/>
  <c r="R312" i="6"/>
  <c r="Q312" i="6"/>
  <c r="C312" i="6"/>
  <c r="D312" i="6"/>
  <c r="G312" i="6"/>
  <c r="AA313" i="6" s="1"/>
  <c r="E312" i="6"/>
  <c r="F312" i="6" s="1"/>
  <c r="T313" i="4"/>
  <c r="Z313" i="4" s="1"/>
  <c r="X311" i="6"/>
  <c r="T311" i="5"/>
  <c r="X311" i="5"/>
  <c r="O314" i="3"/>
  <c r="H314" i="3"/>
  <c r="Z311" i="6"/>
  <c r="I314" i="3"/>
  <c r="U314" i="3" s="1"/>
  <c r="P312" i="6" l="1"/>
  <c r="O312" i="6"/>
  <c r="H312" i="6"/>
  <c r="I312" i="6" s="1"/>
  <c r="E312" i="5"/>
  <c r="D312" i="5"/>
  <c r="C312" i="5"/>
  <c r="P312" i="5" s="1"/>
  <c r="Q312" i="5"/>
  <c r="R312" i="5"/>
  <c r="M312" i="5"/>
  <c r="G312" i="5"/>
  <c r="AA313" i="5" s="1"/>
  <c r="L314" i="3"/>
  <c r="J314" i="3"/>
  <c r="K314" i="3" s="1"/>
  <c r="W314" i="3" s="1"/>
  <c r="Z311" i="5"/>
  <c r="D314" i="4"/>
  <c r="M314" i="4"/>
  <c r="C314" i="4"/>
  <c r="F314" i="4"/>
  <c r="R314" i="4"/>
  <c r="Q314" i="4"/>
  <c r="P314" i="4"/>
  <c r="E314" i="4"/>
  <c r="G314" i="4"/>
  <c r="AA315" i="4" s="1"/>
  <c r="H314" i="4" l="1"/>
  <c r="F312" i="5"/>
  <c r="O312" i="5" s="1"/>
  <c r="U312" i="6"/>
  <c r="J312" i="6"/>
  <c r="K312" i="6" s="1"/>
  <c r="W312" i="6" s="1"/>
  <c r="L312" i="6"/>
  <c r="I314" i="4"/>
  <c r="V314" i="3"/>
  <c r="N314" i="3"/>
  <c r="T314" i="3" s="1"/>
  <c r="O314" i="4"/>
  <c r="H312" i="5"/>
  <c r="I312" i="5" l="1"/>
  <c r="U312" i="5" s="1"/>
  <c r="X314" i="3"/>
  <c r="Z314" i="3"/>
  <c r="U314" i="4"/>
  <c r="J314" i="4"/>
  <c r="G315" i="3"/>
  <c r="AA316" i="3" s="1"/>
  <c r="E315" i="3"/>
  <c r="P315" i="3" s="1"/>
  <c r="D315" i="3"/>
  <c r="C315" i="3"/>
  <c r="F315" i="3" s="1"/>
  <c r="O315" i="3" s="1"/>
  <c r="R315" i="3"/>
  <c r="Q315" i="3"/>
  <c r="V312" i="6"/>
  <c r="N312" i="6"/>
  <c r="T312" i="6" s="1"/>
  <c r="Z312" i="6" s="1"/>
  <c r="J312" i="5"/>
  <c r="K312" i="5" s="1"/>
  <c r="W312" i="5" s="1"/>
  <c r="L312" i="5"/>
  <c r="L314" i="4"/>
  <c r="V314" i="4" l="1"/>
  <c r="N314" i="4"/>
  <c r="D313" i="6"/>
  <c r="M313" i="6"/>
  <c r="C313" i="6"/>
  <c r="G313" i="6"/>
  <c r="AA314" i="6" s="1"/>
  <c r="E313" i="6"/>
  <c r="P313" i="6"/>
  <c r="R313" i="6"/>
  <c r="Q313" i="6"/>
  <c r="V312" i="5"/>
  <c r="N312" i="5"/>
  <c r="T312" i="5" s="1"/>
  <c r="X312" i="6"/>
  <c r="H315" i="3"/>
  <c r="I315" i="3" s="1"/>
  <c r="Z312" i="5"/>
  <c r="K314" i="4"/>
  <c r="W314" i="4" s="1"/>
  <c r="T314" i="4" l="1"/>
  <c r="U315" i="3"/>
  <c r="J315" i="3"/>
  <c r="K315" i="3" s="1"/>
  <c r="W315" i="3" s="1"/>
  <c r="X312" i="5"/>
  <c r="L315" i="3"/>
  <c r="E313" i="5"/>
  <c r="D313" i="5"/>
  <c r="C313" i="5"/>
  <c r="R313" i="5"/>
  <c r="Q313" i="5"/>
  <c r="M313" i="5"/>
  <c r="G313" i="5"/>
  <c r="AA314" i="5" s="1"/>
  <c r="F313" i="6"/>
  <c r="Q315" i="4"/>
  <c r="G315" i="4"/>
  <c r="AA316" i="4" s="1"/>
  <c r="E315" i="4"/>
  <c r="P315" i="4" s="1"/>
  <c r="M315" i="4"/>
  <c r="R315" i="4"/>
  <c r="D315" i="4"/>
  <c r="C315" i="4"/>
  <c r="X314" i="4"/>
  <c r="Z314" i="4"/>
  <c r="H313" i="6"/>
  <c r="F315" i="4" l="1"/>
  <c r="H315" i="4" s="1"/>
  <c r="F313" i="5"/>
  <c r="I315" i="4"/>
  <c r="O313" i="5"/>
  <c r="U315" i="4"/>
  <c r="L315" i="4"/>
  <c r="H313" i="5"/>
  <c r="V315" i="3"/>
  <c r="N315" i="3"/>
  <c r="J315" i="4"/>
  <c r="K315" i="4" s="1"/>
  <c r="W315" i="4" s="1"/>
  <c r="I313" i="6"/>
  <c r="U313" i="6" s="1"/>
  <c r="O313" i="6"/>
  <c r="P313" i="5"/>
  <c r="O315" i="4"/>
  <c r="J313" i="6" l="1"/>
  <c r="V315" i="4"/>
  <c r="N315" i="4"/>
  <c r="L313" i="6"/>
  <c r="T315" i="3"/>
  <c r="X315" i="3"/>
  <c r="Z315" i="3"/>
  <c r="I313" i="5"/>
  <c r="V313" i="6" l="1"/>
  <c r="N313" i="6"/>
  <c r="U313" i="5"/>
  <c r="J313" i="5"/>
  <c r="D316" i="3"/>
  <c r="Q316" i="3"/>
  <c r="P316" i="3"/>
  <c r="E316" i="3"/>
  <c r="F316" i="3" s="1"/>
  <c r="R316" i="3"/>
  <c r="G316" i="3"/>
  <c r="AA317" i="3" s="1"/>
  <c r="C316" i="3"/>
  <c r="T315" i="4"/>
  <c r="Z315" i="4" s="1"/>
  <c r="X315" i="4"/>
  <c r="K313" i="6"/>
  <c r="L313" i="5"/>
  <c r="V313" i="5" l="1"/>
  <c r="N313" i="5"/>
  <c r="K313" i="5"/>
  <c r="O316" i="3"/>
  <c r="W313" i="6"/>
  <c r="X313" i="6"/>
  <c r="H316" i="3"/>
  <c r="T313" i="6"/>
  <c r="R316" i="4"/>
  <c r="M316" i="4"/>
  <c r="E316" i="4"/>
  <c r="D316" i="4"/>
  <c r="Q316" i="4"/>
  <c r="G316" i="4"/>
  <c r="AA317" i="4" s="1"/>
  <c r="C316" i="4"/>
  <c r="P316" i="4" s="1"/>
  <c r="F316" i="4" l="1"/>
  <c r="I316" i="3"/>
  <c r="U316" i="3" s="1"/>
  <c r="O316" i="4"/>
  <c r="Q314" i="6"/>
  <c r="G314" i="6"/>
  <c r="AA315" i="6" s="1"/>
  <c r="E314" i="6"/>
  <c r="P314" i="6" s="1"/>
  <c r="R314" i="6"/>
  <c r="D314" i="6"/>
  <c r="C314" i="6"/>
  <c r="M314" i="6"/>
  <c r="Z313" i="6"/>
  <c r="H316" i="4"/>
  <c r="T313" i="5"/>
  <c r="W313" i="5"/>
  <c r="X313" i="5"/>
  <c r="J316" i="3"/>
  <c r="F314" i="6" l="1"/>
  <c r="L316" i="3"/>
  <c r="O314" i="6"/>
  <c r="R314" i="5"/>
  <c r="E314" i="5"/>
  <c r="D314" i="5"/>
  <c r="C314" i="5"/>
  <c r="Q314" i="5"/>
  <c r="M314" i="5"/>
  <c r="G314" i="5"/>
  <c r="AA315" i="5" s="1"/>
  <c r="Z313" i="5"/>
  <c r="I316" i="4"/>
  <c r="K316" i="3"/>
  <c r="H314" i="6"/>
  <c r="F314" i="5" l="1"/>
  <c r="P314" i="5"/>
  <c r="V316" i="3"/>
  <c r="N316" i="3"/>
  <c r="X316" i="3" s="1"/>
  <c r="H314" i="5"/>
  <c r="O314" i="5"/>
  <c r="I314" i="5"/>
  <c r="U314" i="5" s="1"/>
  <c r="U316" i="4"/>
  <c r="J316" i="4"/>
  <c r="W316" i="3"/>
  <c r="L316" i="4"/>
  <c r="I314" i="6"/>
  <c r="L314" i="6" s="1"/>
  <c r="T316" i="3" l="1"/>
  <c r="Z316" i="3" s="1"/>
  <c r="V314" i="6"/>
  <c r="N314" i="6"/>
  <c r="J314" i="5"/>
  <c r="Q317" i="3"/>
  <c r="G317" i="3"/>
  <c r="AA318" i="3" s="1"/>
  <c r="R317" i="3"/>
  <c r="D317" i="3"/>
  <c r="E317" i="3"/>
  <c r="P317" i="3" s="1"/>
  <c r="C317" i="3"/>
  <c r="K316" i="4"/>
  <c r="W316" i="4" s="1"/>
  <c r="U314" i="6"/>
  <c r="J314" i="6"/>
  <c r="V316" i="4"/>
  <c r="N316" i="4"/>
  <c r="L314" i="5"/>
  <c r="V314" i="5" l="1"/>
  <c r="N314" i="5"/>
  <c r="K314" i="5"/>
  <c r="T316" i="4"/>
  <c r="F317" i="3"/>
  <c r="H317" i="3" s="1"/>
  <c r="K314" i="6"/>
  <c r="X316" i="4"/>
  <c r="T314" i="5" l="1"/>
  <c r="Z314" i="5" s="1"/>
  <c r="W314" i="6"/>
  <c r="O317" i="3"/>
  <c r="I317" i="3"/>
  <c r="U317" i="3" s="1"/>
  <c r="T314" i="6"/>
  <c r="L317" i="3"/>
  <c r="M317" i="4"/>
  <c r="C317" i="4"/>
  <c r="P317" i="4" s="1"/>
  <c r="R317" i="4"/>
  <c r="G317" i="4"/>
  <c r="AA318" i="4" s="1"/>
  <c r="E317" i="4"/>
  <c r="D317" i="4"/>
  <c r="Q317" i="4"/>
  <c r="Q315" i="5"/>
  <c r="R315" i="5"/>
  <c r="C315" i="5"/>
  <c r="G315" i="5"/>
  <c r="AA316" i="5" s="1"/>
  <c r="F315" i="5"/>
  <c r="E315" i="5"/>
  <c r="D315" i="5"/>
  <c r="M315" i="5"/>
  <c r="Z316" i="4"/>
  <c r="W314" i="5"/>
  <c r="X314" i="5"/>
  <c r="X314" i="6"/>
  <c r="F317" i="4" l="1"/>
  <c r="O317" i="4" s="1"/>
  <c r="V317" i="3"/>
  <c r="N317" i="3"/>
  <c r="M315" i="6"/>
  <c r="C315" i="6"/>
  <c r="R315" i="6"/>
  <c r="E315" i="6"/>
  <c r="Q315" i="6"/>
  <c r="D315" i="6"/>
  <c r="G315" i="6"/>
  <c r="AA316" i="6" s="1"/>
  <c r="O315" i="5"/>
  <c r="Z314" i="6"/>
  <c r="J317" i="3"/>
  <c r="H317" i="4"/>
  <c r="I317" i="4" s="1"/>
  <c r="P315" i="5"/>
  <c r="H315" i="5"/>
  <c r="I315" i="5" s="1"/>
  <c r="U315" i="5" s="1"/>
  <c r="U317" i="4" l="1"/>
  <c r="J317" i="4"/>
  <c r="K317" i="4" s="1"/>
  <c r="W317" i="4" s="1"/>
  <c r="K317" i="3"/>
  <c r="W317" i="3" s="1"/>
  <c r="X317" i="3"/>
  <c r="T317" i="3"/>
  <c r="Z317" i="3" s="1"/>
  <c r="F315" i="6"/>
  <c r="P315" i="6"/>
  <c r="L315" i="5"/>
  <c r="L317" i="4"/>
  <c r="J315" i="5"/>
  <c r="K315" i="5" s="1"/>
  <c r="W315" i="5" s="1"/>
  <c r="V317" i="4" l="1"/>
  <c r="N317" i="4"/>
  <c r="T317" i="4" s="1"/>
  <c r="V315" i="5"/>
  <c r="N315" i="5"/>
  <c r="Z317" i="4"/>
  <c r="O315" i="6"/>
  <c r="H315" i="6"/>
  <c r="I315" i="6" s="1"/>
  <c r="R318" i="3"/>
  <c r="G318" i="3"/>
  <c r="AA319" i="3" s="1"/>
  <c r="Q318" i="3"/>
  <c r="E318" i="3"/>
  <c r="P318" i="3" s="1"/>
  <c r="D318" i="3"/>
  <c r="C318" i="3"/>
  <c r="U315" i="6" l="1"/>
  <c r="J315" i="6"/>
  <c r="K315" i="6" s="1"/>
  <c r="W315" i="6" s="1"/>
  <c r="T315" i="5"/>
  <c r="Z315" i="5"/>
  <c r="E318" i="4"/>
  <c r="P318" i="4" s="1"/>
  <c r="D318" i="4"/>
  <c r="R318" i="4"/>
  <c r="Q318" i="4"/>
  <c r="M318" i="4"/>
  <c r="G318" i="4"/>
  <c r="AA319" i="4" s="1"/>
  <c r="C318" i="4"/>
  <c r="X315" i="5"/>
  <c r="F318" i="3"/>
  <c r="L315" i="6"/>
  <c r="X317" i="4"/>
  <c r="F318" i="4" l="1"/>
  <c r="O318" i="4" s="1"/>
  <c r="V315" i="6"/>
  <c r="N315" i="6"/>
  <c r="H318" i="3"/>
  <c r="O318" i="3"/>
  <c r="H318" i="4"/>
  <c r="I318" i="4" s="1"/>
  <c r="D316" i="5"/>
  <c r="Q316" i="5"/>
  <c r="E316" i="5"/>
  <c r="P316" i="5" s="1"/>
  <c r="C316" i="5"/>
  <c r="R316" i="5"/>
  <c r="G316" i="5"/>
  <c r="AA317" i="5" s="1"/>
  <c r="M316" i="5"/>
  <c r="X315" i="6"/>
  <c r="I318" i="3"/>
  <c r="U318" i="3" s="1"/>
  <c r="U318" i="4" l="1"/>
  <c r="J318" i="4"/>
  <c r="K318" i="4" s="1"/>
  <c r="W318" i="4" s="1"/>
  <c r="J318" i="3"/>
  <c r="K318" i="3" s="1"/>
  <c r="W318" i="3" s="1"/>
  <c r="L318" i="4"/>
  <c r="L318" i="3"/>
  <c r="F316" i="5"/>
  <c r="T315" i="6"/>
  <c r="Z315" i="6" s="1"/>
  <c r="R316" i="6" l="1"/>
  <c r="G316" i="6"/>
  <c r="AA317" i="6" s="1"/>
  <c r="E316" i="6"/>
  <c r="D316" i="6"/>
  <c r="Q316" i="6"/>
  <c r="C316" i="6"/>
  <c r="M316" i="6"/>
  <c r="V318" i="3"/>
  <c r="N318" i="3"/>
  <c r="T318" i="3" s="1"/>
  <c r="V318" i="4"/>
  <c r="N318" i="4"/>
  <c r="T318" i="4" s="1"/>
  <c r="X318" i="3"/>
  <c r="O316" i="5"/>
  <c r="H316" i="5"/>
  <c r="I316" i="5" s="1"/>
  <c r="U316" i="5" s="1"/>
  <c r="Z318" i="4" l="1"/>
  <c r="F316" i="6"/>
  <c r="O316" i="6"/>
  <c r="H316" i="6"/>
  <c r="L316" i="5"/>
  <c r="J316" i="5"/>
  <c r="K316" i="5" s="1"/>
  <c r="W316" i="5" s="1"/>
  <c r="P316" i="6"/>
  <c r="X318" i="4"/>
  <c r="R319" i="4"/>
  <c r="Q319" i="4"/>
  <c r="G319" i="4"/>
  <c r="AA320" i="4" s="1"/>
  <c r="M319" i="4"/>
  <c r="E319" i="4"/>
  <c r="D319" i="4"/>
  <c r="C319" i="4"/>
  <c r="C319" i="3"/>
  <c r="D319" i="3"/>
  <c r="R319" i="3"/>
  <c r="E319" i="3"/>
  <c r="P319" i="3" s="1"/>
  <c r="Q319" i="3"/>
  <c r="G319" i="3"/>
  <c r="AA320" i="3" s="1"/>
  <c r="Z318" i="3"/>
  <c r="P319" i="4" l="1"/>
  <c r="F319" i="3"/>
  <c r="I316" i="6"/>
  <c r="V316" i="5"/>
  <c r="N316" i="5"/>
  <c r="T316" i="5" s="1"/>
  <c r="F319" i="4"/>
  <c r="H319" i="4" s="1"/>
  <c r="O319" i="3" l="1"/>
  <c r="Q317" i="5"/>
  <c r="G317" i="5"/>
  <c r="AA318" i="5" s="1"/>
  <c r="M317" i="5"/>
  <c r="R317" i="5"/>
  <c r="E317" i="5"/>
  <c r="P317" i="5" s="1"/>
  <c r="D317" i="5"/>
  <c r="C317" i="5"/>
  <c r="H319" i="3"/>
  <c r="O319" i="4"/>
  <c r="U316" i="6"/>
  <c r="J316" i="6"/>
  <c r="Z316" i="5"/>
  <c r="X316" i="5"/>
  <c r="L316" i="6"/>
  <c r="I319" i="4"/>
  <c r="U319" i="4" s="1"/>
  <c r="J319" i="4" l="1"/>
  <c r="K319" i="4" s="1"/>
  <c r="W319" i="4" s="1"/>
  <c r="L319" i="4"/>
  <c r="I319" i="3"/>
  <c r="L319" i="3" s="1"/>
  <c r="K316" i="6"/>
  <c r="W316" i="6" s="1"/>
  <c r="X316" i="6"/>
  <c r="F317" i="5"/>
  <c r="V316" i="6"/>
  <c r="N316" i="6"/>
  <c r="V319" i="3" l="1"/>
  <c r="N319" i="3"/>
  <c r="V319" i="4"/>
  <c r="N319" i="4"/>
  <c r="T319" i="4" s="1"/>
  <c r="Z319" i="4" s="1"/>
  <c r="U319" i="3"/>
  <c r="J319" i="3"/>
  <c r="T316" i="6"/>
  <c r="O317" i="5"/>
  <c r="H317" i="5"/>
  <c r="X319" i="4" l="1"/>
  <c r="K319" i="3"/>
  <c r="W319" i="3" s="1"/>
  <c r="X319" i="3"/>
  <c r="M320" i="4"/>
  <c r="C320" i="4"/>
  <c r="F320" i="4" s="1"/>
  <c r="Q320" i="4"/>
  <c r="P320" i="4"/>
  <c r="R320" i="4"/>
  <c r="D320" i="4"/>
  <c r="G320" i="4"/>
  <c r="AA321" i="4" s="1"/>
  <c r="E320" i="4"/>
  <c r="T319" i="3"/>
  <c r="Z319" i="3" s="1"/>
  <c r="C317" i="6"/>
  <c r="M317" i="6"/>
  <c r="G317" i="6"/>
  <c r="AA318" i="6" s="1"/>
  <c r="R317" i="6"/>
  <c r="E317" i="6"/>
  <c r="P317" i="6"/>
  <c r="Q317" i="6"/>
  <c r="D317" i="6"/>
  <c r="Z316" i="6"/>
  <c r="I317" i="5"/>
  <c r="O320" i="4" l="1"/>
  <c r="U317" i="5"/>
  <c r="J317" i="5"/>
  <c r="E320" i="3"/>
  <c r="G320" i="3"/>
  <c r="AA321" i="3" s="1"/>
  <c r="D320" i="3"/>
  <c r="C320" i="3"/>
  <c r="P320" i="3" s="1"/>
  <c r="R320" i="3"/>
  <c r="Q320" i="3"/>
  <c r="L317" i="5"/>
  <c r="H320" i="4"/>
  <c r="F317" i="6"/>
  <c r="O317" i="6" l="1"/>
  <c r="K317" i="5"/>
  <c r="W317" i="5" s="1"/>
  <c r="H317" i="6"/>
  <c r="I317" i="6" s="1"/>
  <c r="U317" i="6" s="1"/>
  <c r="F320" i="3"/>
  <c r="I320" i="4"/>
  <c r="V317" i="5"/>
  <c r="N317" i="5"/>
  <c r="U320" i="4" l="1"/>
  <c r="J320" i="4"/>
  <c r="K320" i="4" s="1"/>
  <c r="W320" i="4" s="1"/>
  <c r="T317" i="5"/>
  <c r="J317" i="6"/>
  <c r="O320" i="3"/>
  <c r="H320" i="3"/>
  <c r="I320" i="3" s="1"/>
  <c r="U320" i="3" s="1"/>
  <c r="X317" i="5"/>
  <c r="L317" i="6"/>
  <c r="L320" i="4"/>
  <c r="Z317" i="5"/>
  <c r="L320" i="3" l="1"/>
  <c r="J320" i="3"/>
  <c r="K320" i="3" s="1"/>
  <c r="W320" i="3" s="1"/>
  <c r="V317" i="6"/>
  <c r="N317" i="6"/>
  <c r="V320" i="4"/>
  <c r="N320" i="4"/>
  <c r="T320" i="4" s="1"/>
  <c r="K317" i="6"/>
  <c r="R318" i="5"/>
  <c r="G318" i="5"/>
  <c r="AA319" i="5" s="1"/>
  <c r="Q318" i="5"/>
  <c r="E318" i="5"/>
  <c r="D318" i="5"/>
  <c r="C318" i="5"/>
  <c r="F318" i="5" s="1"/>
  <c r="M318" i="5"/>
  <c r="X320" i="4"/>
  <c r="P318" i="5" l="1"/>
  <c r="T317" i="6"/>
  <c r="H318" i="5"/>
  <c r="W317" i="6"/>
  <c r="X317" i="6"/>
  <c r="O318" i="5"/>
  <c r="G318" i="6"/>
  <c r="AA319" i="6" s="1"/>
  <c r="R318" i="6"/>
  <c r="E318" i="6"/>
  <c r="P318" i="6" s="1"/>
  <c r="M318" i="6"/>
  <c r="D318" i="6"/>
  <c r="C318" i="6"/>
  <c r="Q318" i="6"/>
  <c r="V320" i="3"/>
  <c r="N320" i="3"/>
  <c r="E321" i="4"/>
  <c r="D321" i="4"/>
  <c r="M321" i="4"/>
  <c r="C321" i="4"/>
  <c r="F321" i="4" s="1"/>
  <c r="O321" i="4" s="1"/>
  <c r="G321" i="4"/>
  <c r="AA322" i="4" s="1"/>
  <c r="Q321" i="4"/>
  <c r="R321" i="4"/>
  <c r="I318" i="5"/>
  <c r="U318" i="5" s="1"/>
  <c r="Z317" i="6"/>
  <c r="Z320" i="4"/>
  <c r="P321" i="4" l="1"/>
  <c r="H321" i="4"/>
  <c r="T320" i="3"/>
  <c r="Z320" i="3" s="1"/>
  <c r="X320" i="3"/>
  <c r="J318" i="5"/>
  <c r="F318" i="6"/>
  <c r="L318" i="5"/>
  <c r="K318" i="5" l="1"/>
  <c r="W318" i="5" s="1"/>
  <c r="R321" i="3"/>
  <c r="G321" i="3"/>
  <c r="AA322" i="3" s="1"/>
  <c r="C321" i="3"/>
  <c r="E321" i="3"/>
  <c r="D321" i="3"/>
  <c r="Q321" i="3"/>
  <c r="P321" i="3"/>
  <c r="O318" i="6"/>
  <c r="V318" i="5"/>
  <c r="N318" i="5"/>
  <c r="T318" i="5" s="1"/>
  <c r="I321" i="4"/>
  <c r="L321" i="4"/>
  <c r="X318" i="5"/>
  <c r="H318" i="6"/>
  <c r="F321" i="3" l="1"/>
  <c r="O321" i="3"/>
  <c r="V321" i="4"/>
  <c r="N321" i="4"/>
  <c r="U321" i="4"/>
  <c r="J321" i="4"/>
  <c r="K321" i="4" s="1"/>
  <c r="W321" i="4" s="1"/>
  <c r="M319" i="5"/>
  <c r="C319" i="5"/>
  <c r="F319" i="5" s="1"/>
  <c r="D319" i="5"/>
  <c r="Q319" i="5"/>
  <c r="R319" i="5"/>
  <c r="G319" i="5"/>
  <c r="AA320" i="5" s="1"/>
  <c r="E319" i="5"/>
  <c r="Z318" i="5"/>
  <c r="H321" i="3"/>
  <c r="I318" i="6"/>
  <c r="L318" i="6" s="1"/>
  <c r="P319" i="5" l="1"/>
  <c r="V318" i="6"/>
  <c r="N318" i="6"/>
  <c r="T321" i="4"/>
  <c r="O319" i="5"/>
  <c r="X321" i="4"/>
  <c r="U318" i="6"/>
  <c r="J318" i="6"/>
  <c r="K318" i="6" s="1"/>
  <c r="W318" i="6" s="1"/>
  <c r="H319" i="5"/>
  <c r="Z321" i="4"/>
  <c r="I321" i="3"/>
  <c r="T318" i="6" l="1"/>
  <c r="Z318" i="6" s="1"/>
  <c r="U321" i="3"/>
  <c r="J321" i="3"/>
  <c r="K321" i="3" s="1"/>
  <c r="W321" i="3" s="1"/>
  <c r="L321" i="3"/>
  <c r="L319" i="5"/>
  <c r="E319" i="6"/>
  <c r="D319" i="6"/>
  <c r="C319" i="6"/>
  <c r="P319" i="6" s="1"/>
  <c r="Q319" i="6"/>
  <c r="G319" i="6"/>
  <c r="AA320" i="6" s="1"/>
  <c r="M319" i="6"/>
  <c r="R319" i="6"/>
  <c r="R322" i="4"/>
  <c r="Q322" i="4"/>
  <c r="G322" i="4"/>
  <c r="AA323" i="4" s="1"/>
  <c r="E322" i="4"/>
  <c r="M322" i="4"/>
  <c r="D322" i="4"/>
  <c r="C322" i="4"/>
  <c r="P322" i="4" s="1"/>
  <c r="X318" i="6"/>
  <c r="I319" i="5"/>
  <c r="F319" i="6" l="1"/>
  <c r="O319" i="6" s="1"/>
  <c r="H319" i="6"/>
  <c r="U319" i="5"/>
  <c r="J319" i="5"/>
  <c r="V321" i="3"/>
  <c r="N321" i="3"/>
  <c r="T321" i="3" s="1"/>
  <c r="H322" i="4"/>
  <c r="I322" i="4" s="1"/>
  <c r="V319" i="5"/>
  <c r="N319" i="5"/>
  <c r="F322" i="4"/>
  <c r="Z321" i="3" l="1"/>
  <c r="X321" i="3"/>
  <c r="U322" i="4"/>
  <c r="K319" i="5"/>
  <c r="W319" i="5" s="1"/>
  <c r="O322" i="4"/>
  <c r="J322" i="4"/>
  <c r="K322" i="4" s="1"/>
  <c r="W322" i="4" s="1"/>
  <c r="I319" i="6"/>
  <c r="L322" i="4"/>
  <c r="Q322" i="3"/>
  <c r="E322" i="3"/>
  <c r="P322" i="3" s="1"/>
  <c r="D322" i="3"/>
  <c r="R322" i="3"/>
  <c r="G322" i="3"/>
  <c r="AA323" i="3" s="1"/>
  <c r="C322" i="3"/>
  <c r="X319" i="5"/>
  <c r="U319" i="6" l="1"/>
  <c r="J319" i="6"/>
  <c r="K319" i="6" s="1"/>
  <c r="W319" i="6" s="1"/>
  <c r="V322" i="4"/>
  <c r="N322" i="4"/>
  <c r="L319" i="6"/>
  <c r="T319" i="5"/>
  <c r="F322" i="3"/>
  <c r="V319" i="6" l="1"/>
  <c r="N319" i="6"/>
  <c r="T319" i="6" s="1"/>
  <c r="T322" i="4"/>
  <c r="X322" i="4"/>
  <c r="Z322" i="4"/>
  <c r="R320" i="5"/>
  <c r="G320" i="5"/>
  <c r="AA321" i="5" s="1"/>
  <c r="D320" i="5"/>
  <c r="C320" i="5"/>
  <c r="Q320" i="5"/>
  <c r="E320" i="5"/>
  <c r="M320" i="5"/>
  <c r="Z319" i="5"/>
  <c r="Z319" i="6"/>
  <c r="X319" i="6"/>
  <c r="H322" i="3"/>
  <c r="I322" i="3" s="1"/>
  <c r="O322" i="3"/>
  <c r="P320" i="5" l="1"/>
  <c r="U322" i="3"/>
  <c r="J322" i="3"/>
  <c r="K322" i="3" s="1"/>
  <c r="W322" i="3" s="1"/>
  <c r="F320" i="5"/>
  <c r="R323" i="4"/>
  <c r="Q323" i="4"/>
  <c r="E323" i="4"/>
  <c r="P323" i="4" s="1"/>
  <c r="D323" i="4"/>
  <c r="C323" i="4"/>
  <c r="M323" i="4"/>
  <c r="G323" i="4"/>
  <c r="AA324" i="4" s="1"/>
  <c r="R320" i="6"/>
  <c r="Q320" i="6"/>
  <c r="C320" i="6"/>
  <c r="E320" i="6"/>
  <c r="P320" i="6" s="1"/>
  <c r="D320" i="6"/>
  <c r="M320" i="6"/>
  <c r="G320" i="6"/>
  <c r="AA321" i="6" s="1"/>
  <c r="L322" i="3"/>
  <c r="H320" i="5" l="1"/>
  <c r="I320" i="5" s="1"/>
  <c r="F320" i="6"/>
  <c r="O320" i="5"/>
  <c r="V322" i="3"/>
  <c r="N322" i="3"/>
  <c r="X322" i="3" s="1"/>
  <c r="F323" i="4"/>
  <c r="U320" i="5" l="1"/>
  <c r="L320" i="5"/>
  <c r="N320" i="5" s="1"/>
  <c r="J320" i="5"/>
  <c r="K320" i="5" s="1"/>
  <c r="W320" i="5" s="1"/>
  <c r="O323" i="4"/>
  <c r="H323" i="4"/>
  <c r="I323" i="4" s="1"/>
  <c r="U323" i="4" s="1"/>
  <c r="O320" i="6"/>
  <c r="H320" i="6"/>
  <c r="T322" i="3"/>
  <c r="V320" i="5"/>
  <c r="T320" i="5" l="1"/>
  <c r="X320" i="5"/>
  <c r="Z320" i="5"/>
  <c r="E323" i="3"/>
  <c r="D323" i="3"/>
  <c r="Q323" i="3"/>
  <c r="C323" i="3"/>
  <c r="F323" i="3" s="1"/>
  <c r="R323" i="3"/>
  <c r="G323" i="3"/>
  <c r="AA324" i="3" s="1"/>
  <c r="D321" i="5"/>
  <c r="C321" i="5"/>
  <c r="M321" i="5"/>
  <c r="E321" i="5"/>
  <c r="P321" i="5" s="1"/>
  <c r="Q321" i="5"/>
  <c r="R321" i="5"/>
  <c r="F321" i="5"/>
  <c r="O321" i="5" s="1"/>
  <c r="G321" i="5"/>
  <c r="AA322" i="5" s="1"/>
  <c r="L323" i="4"/>
  <c r="I320" i="6"/>
  <c r="J323" i="4"/>
  <c r="K323" i="4" s="1"/>
  <c r="W323" i="4" s="1"/>
  <c r="Z322" i="3"/>
  <c r="H321" i="5" l="1"/>
  <c r="I321" i="5"/>
  <c r="L321" i="5"/>
  <c r="V323" i="4"/>
  <c r="N323" i="4"/>
  <c r="T323" i="4" s="1"/>
  <c r="U320" i="6"/>
  <c r="J320" i="6"/>
  <c r="L320" i="6"/>
  <c r="P323" i="3"/>
  <c r="H323" i="3"/>
  <c r="I323" i="3" s="1"/>
  <c r="O323" i="3"/>
  <c r="U323" i="3" l="1"/>
  <c r="J323" i="3"/>
  <c r="K323" i="3" s="1"/>
  <c r="W323" i="3" s="1"/>
  <c r="Z323" i="4"/>
  <c r="K320" i="6"/>
  <c r="W320" i="6" s="1"/>
  <c r="V320" i="6"/>
  <c r="N320" i="6"/>
  <c r="V321" i="5"/>
  <c r="N321" i="5"/>
  <c r="L323" i="3"/>
  <c r="D324" i="4"/>
  <c r="M324" i="4"/>
  <c r="C324" i="4"/>
  <c r="E324" i="4"/>
  <c r="P324" i="4" s="1"/>
  <c r="Q324" i="4"/>
  <c r="G324" i="4"/>
  <c r="AA325" i="4" s="1"/>
  <c r="R324" i="4"/>
  <c r="X323" i="4"/>
  <c r="U321" i="5"/>
  <c r="J321" i="5"/>
  <c r="V323" i="3" l="1"/>
  <c r="N323" i="3"/>
  <c r="T323" i="3" s="1"/>
  <c r="F324" i="4"/>
  <c r="X320" i="6"/>
  <c r="T320" i="6"/>
  <c r="K321" i="5"/>
  <c r="W321" i="5" s="1"/>
  <c r="E321" i="6" l="1"/>
  <c r="D321" i="6"/>
  <c r="C321" i="6"/>
  <c r="Q321" i="6"/>
  <c r="G321" i="6"/>
  <c r="AA322" i="6" s="1"/>
  <c r="R321" i="6"/>
  <c r="M321" i="6"/>
  <c r="R324" i="3"/>
  <c r="Q324" i="3"/>
  <c r="G324" i="3"/>
  <c r="AA325" i="3" s="1"/>
  <c r="D324" i="3"/>
  <c r="E324" i="3"/>
  <c r="C324" i="3"/>
  <c r="P324" i="3" s="1"/>
  <c r="T321" i="5"/>
  <c r="Z321" i="5" s="1"/>
  <c r="Z323" i="3"/>
  <c r="H324" i="4"/>
  <c r="I324" i="4" s="1"/>
  <c r="U324" i="4" s="1"/>
  <c r="O324" i="4"/>
  <c r="X323" i="3"/>
  <c r="X321" i="5"/>
  <c r="Z320" i="6"/>
  <c r="F324" i="3" l="1"/>
  <c r="O324" i="3" s="1"/>
  <c r="L324" i="4"/>
  <c r="H324" i="3"/>
  <c r="F321" i="6"/>
  <c r="H321" i="6" s="1"/>
  <c r="J324" i="4"/>
  <c r="K324" i="4" s="1"/>
  <c r="W324" i="4" s="1"/>
  <c r="E322" i="5"/>
  <c r="P322" i="5" s="1"/>
  <c r="D322" i="5"/>
  <c r="R322" i="5"/>
  <c r="C322" i="5"/>
  <c r="F322" i="5" s="1"/>
  <c r="Q322" i="5"/>
  <c r="M322" i="5"/>
  <c r="G322" i="5"/>
  <c r="AA323" i="5" s="1"/>
  <c r="P321" i="6"/>
  <c r="O322" i="5" l="1"/>
  <c r="I324" i="3"/>
  <c r="H322" i="5"/>
  <c r="V324" i="4"/>
  <c r="N324" i="4"/>
  <c r="T324" i="4" s="1"/>
  <c r="I321" i="6"/>
  <c r="U321" i="6" s="1"/>
  <c r="O321" i="6"/>
  <c r="J321" i="6"/>
  <c r="K321" i="6" s="1"/>
  <c r="W321" i="6" s="1"/>
  <c r="U324" i="3" l="1"/>
  <c r="J324" i="3"/>
  <c r="K324" i="3" s="1"/>
  <c r="W324" i="3" s="1"/>
  <c r="Q325" i="4"/>
  <c r="G325" i="4"/>
  <c r="AA326" i="4" s="1"/>
  <c r="E325" i="4"/>
  <c r="P325" i="4" s="1"/>
  <c r="R325" i="4"/>
  <c r="C325" i="4"/>
  <c r="F325" i="4" s="1"/>
  <c r="M325" i="4"/>
  <c r="D325" i="4"/>
  <c r="X324" i="4"/>
  <c r="L324" i="3"/>
  <c r="Z324" i="4"/>
  <c r="I322" i="5"/>
  <c r="L321" i="6"/>
  <c r="O325" i="4" l="1"/>
  <c r="V324" i="3"/>
  <c r="N324" i="3"/>
  <c r="T324" i="3" s="1"/>
  <c r="U322" i="5"/>
  <c r="J322" i="5"/>
  <c r="H325" i="4"/>
  <c r="V321" i="6"/>
  <c r="N321" i="6"/>
  <c r="L322" i="5"/>
  <c r="K322" i="5" l="1"/>
  <c r="W322" i="5" s="1"/>
  <c r="T321" i="6"/>
  <c r="X321" i="6"/>
  <c r="Z321" i="6"/>
  <c r="V322" i="5"/>
  <c r="N322" i="5"/>
  <c r="T322" i="5" s="1"/>
  <c r="G325" i="3"/>
  <c r="AA326" i="3" s="1"/>
  <c r="R325" i="3"/>
  <c r="C325" i="3"/>
  <c r="Q325" i="3"/>
  <c r="E325" i="3"/>
  <c r="D325" i="3"/>
  <c r="I325" i="4"/>
  <c r="L325" i="4" s="1"/>
  <c r="Z324" i="3"/>
  <c r="X324" i="3"/>
  <c r="P325" i="3" l="1"/>
  <c r="X322" i="5"/>
  <c r="V325" i="4"/>
  <c r="N325" i="4"/>
  <c r="E323" i="5"/>
  <c r="Q323" i="5"/>
  <c r="P323" i="5"/>
  <c r="D323" i="5"/>
  <c r="C323" i="5"/>
  <c r="R323" i="5"/>
  <c r="G323" i="5"/>
  <c r="AA324" i="5" s="1"/>
  <c r="M323" i="5"/>
  <c r="U325" i="4"/>
  <c r="J325" i="4"/>
  <c r="D322" i="6"/>
  <c r="M322" i="6"/>
  <c r="Q322" i="6"/>
  <c r="C322" i="6"/>
  <c r="E322" i="6"/>
  <c r="P322" i="6" s="1"/>
  <c r="G322" i="6"/>
  <c r="AA323" i="6" s="1"/>
  <c r="R322" i="6"/>
  <c r="Z322" i="5"/>
  <c r="F325" i="3"/>
  <c r="H325" i="3" s="1"/>
  <c r="F323" i="5" l="1"/>
  <c r="O323" i="5"/>
  <c r="F322" i="6"/>
  <c r="O325" i="3"/>
  <c r="I325" i="3"/>
  <c r="U325" i="3" s="1"/>
  <c r="K325" i="4"/>
  <c r="T325" i="4" s="1"/>
  <c r="X325" i="4"/>
  <c r="H323" i="5"/>
  <c r="L325" i="3" l="1"/>
  <c r="R326" i="4"/>
  <c r="M326" i="4"/>
  <c r="G326" i="4"/>
  <c r="AA327" i="4" s="1"/>
  <c r="E326" i="4"/>
  <c r="Q326" i="4"/>
  <c r="D326" i="4"/>
  <c r="C326" i="4"/>
  <c r="F326" i="4" s="1"/>
  <c r="V325" i="3"/>
  <c r="N325" i="3"/>
  <c r="O322" i="6"/>
  <c r="H322" i="6"/>
  <c r="I323" i="5"/>
  <c r="W325" i="4"/>
  <c r="Z325" i="4"/>
  <c r="J325" i="3"/>
  <c r="O326" i="4" l="1"/>
  <c r="K325" i="3"/>
  <c r="W325" i="3" s="1"/>
  <c r="X325" i="3"/>
  <c r="T325" i="3"/>
  <c r="Z325" i="3" s="1"/>
  <c r="P326" i="4"/>
  <c r="U323" i="5"/>
  <c r="J323" i="5"/>
  <c r="K323" i="5" s="1"/>
  <c r="W323" i="5" s="1"/>
  <c r="H326" i="4"/>
  <c r="I322" i="6"/>
  <c r="L323" i="5"/>
  <c r="U322" i="6" l="1"/>
  <c r="J322" i="6"/>
  <c r="D326" i="3"/>
  <c r="C326" i="3"/>
  <c r="R326" i="3"/>
  <c r="G326" i="3"/>
  <c r="AA327" i="3" s="1"/>
  <c r="Q326" i="3"/>
  <c r="E326" i="3"/>
  <c r="P326" i="3"/>
  <c r="L322" i="6"/>
  <c r="I326" i="4"/>
  <c r="V323" i="5"/>
  <c r="N323" i="5"/>
  <c r="K322" i="6" l="1"/>
  <c r="T323" i="5"/>
  <c r="Z323" i="5"/>
  <c r="X323" i="5"/>
  <c r="U326" i="4"/>
  <c r="J326" i="4"/>
  <c r="V322" i="6"/>
  <c r="N322" i="6"/>
  <c r="X322" i="6" s="1"/>
  <c r="L326" i="4"/>
  <c r="F326" i="3"/>
  <c r="K326" i="4" l="1"/>
  <c r="W326" i="4" s="1"/>
  <c r="O326" i="3"/>
  <c r="W322" i="6"/>
  <c r="R324" i="5"/>
  <c r="C324" i="5"/>
  <c r="Q324" i="5"/>
  <c r="P324" i="5"/>
  <c r="D324" i="5"/>
  <c r="G324" i="5"/>
  <c r="AA325" i="5" s="1"/>
  <c r="E324" i="5"/>
  <c r="M324" i="5"/>
  <c r="V326" i="4"/>
  <c r="N326" i="4"/>
  <c r="T326" i="4" s="1"/>
  <c r="H326" i="3"/>
  <c r="T322" i="6"/>
  <c r="Z322" i="6" s="1"/>
  <c r="I326" i="3"/>
  <c r="U326" i="3" s="1"/>
  <c r="Q323" i="6" l="1"/>
  <c r="G323" i="6"/>
  <c r="AA324" i="6" s="1"/>
  <c r="R323" i="6"/>
  <c r="E323" i="6"/>
  <c r="D323" i="6"/>
  <c r="C323" i="6"/>
  <c r="P323" i="6" s="1"/>
  <c r="M323" i="6"/>
  <c r="L326" i="3"/>
  <c r="Z326" i="4"/>
  <c r="M327" i="4"/>
  <c r="C327" i="4"/>
  <c r="D327" i="4"/>
  <c r="Q327" i="4"/>
  <c r="E327" i="4"/>
  <c r="P327" i="4" s="1"/>
  <c r="R327" i="4"/>
  <c r="G327" i="4"/>
  <c r="AA328" i="4" s="1"/>
  <c r="J326" i="3"/>
  <c r="K326" i="3" s="1"/>
  <c r="W326" i="3" s="1"/>
  <c r="F324" i="5"/>
  <c r="X326" i="4"/>
  <c r="F323" i="6" l="1"/>
  <c r="O323" i="6" s="1"/>
  <c r="O324" i="5"/>
  <c r="H324" i="5"/>
  <c r="F327" i="4"/>
  <c r="H327" i="4" s="1"/>
  <c r="I324" i="5"/>
  <c r="U324" i="5" s="1"/>
  <c r="V326" i="3"/>
  <c r="N326" i="3"/>
  <c r="T326" i="3" s="1"/>
  <c r="H323" i="6"/>
  <c r="J324" i="5" l="1"/>
  <c r="K324" i="5" s="1"/>
  <c r="W324" i="5" s="1"/>
  <c r="Q327" i="3"/>
  <c r="G327" i="3"/>
  <c r="AA328" i="3" s="1"/>
  <c r="C327" i="3"/>
  <c r="R327" i="3"/>
  <c r="D327" i="3"/>
  <c r="E327" i="3"/>
  <c r="P327" i="3" s="1"/>
  <c r="X326" i="3"/>
  <c r="O327" i="4"/>
  <c r="I327" i="4"/>
  <c r="U327" i="4" s="1"/>
  <c r="Z326" i="3"/>
  <c r="L324" i="5"/>
  <c r="I323" i="6"/>
  <c r="L323" i="6" s="1"/>
  <c r="F327" i="3" l="1"/>
  <c r="L327" i="4"/>
  <c r="O327" i="3"/>
  <c r="U323" i="6"/>
  <c r="J323" i="6"/>
  <c r="K323" i="6" s="1"/>
  <c r="W323" i="6" s="1"/>
  <c r="V324" i="5"/>
  <c r="N324" i="5"/>
  <c r="V327" i="4"/>
  <c r="N327" i="4"/>
  <c r="V323" i="6"/>
  <c r="N323" i="6"/>
  <c r="H327" i="3"/>
  <c r="I327" i="3" s="1"/>
  <c r="J327" i="4"/>
  <c r="X323" i="6"/>
  <c r="T323" i="6" l="1"/>
  <c r="Z323" i="6" s="1"/>
  <c r="U327" i="3"/>
  <c r="J327" i="3"/>
  <c r="K327" i="3" s="1"/>
  <c r="W327" i="3" s="1"/>
  <c r="T324" i="5"/>
  <c r="X324" i="5"/>
  <c r="K327" i="4"/>
  <c r="W327" i="4" s="1"/>
  <c r="M324" i="6"/>
  <c r="C324" i="6"/>
  <c r="P324" i="6"/>
  <c r="Q324" i="6"/>
  <c r="E324" i="6"/>
  <c r="G324" i="6"/>
  <c r="AA325" i="6" s="1"/>
  <c r="R324" i="6"/>
  <c r="L327" i="3"/>
  <c r="D324" i="6" l="1"/>
  <c r="T327" i="4"/>
  <c r="X327" i="4"/>
  <c r="F324" i="6"/>
  <c r="H324" i="6" s="1"/>
  <c r="E325" i="5"/>
  <c r="D325" i="5"/>
  <c r="C325" i="5"/>
  <c r="Q325" i="5"/>
  <c r="G325" i="5"/>
  <c r="AA326" i="5" s="1"/>
  <c r="R325" i="5"/>
  <c r="M325" i="5"/>
  <c r="Z324" i="5"/>
  <c r="E328" i="4"/>
  <c r="D328" i="4"/>
  <c r="Q328" i="4"/>
  <c r="G328" i="4"/>
  <c r="AA329" i="4" s="1"/>
  <c r="C328" i="4"/>
  <c r="R328" i="4"/>
  <c r="M328" i="4"/>
  <c r="Z327" i="4"/>
  <c r="V327" i="3"/>
  <c r="N327" i="3"/>
  <c r="F325" i="5" l="1"/>
  <c r="F328" i="4"/>
  <c r="O324" i="6"/>
  <c r="I324" i="6"/>
  <c r="H328" i="4"/>
  <c r="O328" i="4"/>
  <c r="H325" i="5"/>
  <c r="I325" i="5" s="1"/>
  <c r="U325" i="5" s="1"/>
  <c r="O325" i="5"/>
  <c r="P325" i="5"/>
  <c r="T327" i="3"/>
  <c r="X327" i="3"/>
  <c r="Z327" i="3"/>
  <c r="P328" i="4"/>
  <c r="L324" i="6"/>
  <c r="U324" i="6" l="1"/>
  <c r="J324" i="6"/>
  <c r="K324" i="6" s="1"/>
  <c r="W324" i="6" s="1"/>
  <c r="L325" i="5"/>
  <c r="J325" i="5"/>
  <c r="K325" i="5" s="1"/>
  <c r="W325" i="5" s="1"/>
  <c r="C328" i="3"/>
  <c r="G328" i="3"/>
  <c r="AA329" i="3" s="1"/>
  <c r="E328" i="3"/>
  <c r="F328" i="3" s="1"/>
  <c r="R328" i="3"/>
  <c r="D328" i="3"/>
  <c r="Q328" i="3"/>
  <c r="I328" i="4"/>
  <c r="V324" i="6"/>
  <c r="N324" i="6"/>
  <c r="P328" i="3" l="1"/>
  <c r="O328" i="3"/>
  <c r="T324" i="6"/>
  <c r="Z324" i="6" s="1"/>
  <c r="X324" i="6"/>
  <c r="U328" i="4"/>
  <c r="J328" i="4"/>
  <c r="L328" i="4"/>
  <c r="H328" i="3"/>
  <c r="I328" i="3" s="1"/>
  <c r="U328" i="3" s="1"/>
  <c r="V325" i="5"/>
  <c r="N325" i="5"/>
  <c r="K328" i="4" l="1"/>
  <c r="M325" i="6"/>
  <c r="C325" i="6"/>
  <c r="R325" i="6"/>
  <c r="G325" i="6"/>
  <c r="AA326" i="6" s="1"/>
  <c r="Q325" i="6"/>
  <c r="D325" i="6"/>
  <c r="E325" i="6"/>
  <c r="F325" i="6" s="1"/>
  <c r="P325" i="6"/>
  <c r="T325" i="5"/>
  <c r="X325" i="5"/>
  <c r="J328" i="3"/>
  <c r="L328" i="3"/>
  <c r="V328" i="4"/>
  <c r="N328" i="4"/>
  <c r="T328" i="4" s="1"/>
  <c r="R329" i="4" l="1"/>
  <c r="Q329" i="4"/>
  <c r="G329" i="4"/>
  <c r="AA330" i="4" s="1"/>
  <c r="D329" i="4"/>
  <c r="C329" i="4"/>
  <c r="M329" i="4"/>
  <c r="E329" i="4"/>
  <c r="P329" i="4" s="1"/>
  <c r="D326" i="5"/>
  <c r="Q326" i="5"/>
  <c r="M326" i="5"/>
  <c r="R326" i="5"/>
  <c r="G326" i="5"/>
  <c r="AA327" i="5" s="1"/>
  <c r="E326" i="5"/>
  <c r="P326" i="5" s="1"/>
  <c r="C326" i="5"/>
  <c r="Z325" i="5"/>
  <c r="X328" i="4"/>
  <c r="O325" i="6"/>
  <c r="H325" i="6"/>
  <c r="V328" i="3"/>
  <c r="N328" i="3"/>
  <c r="K328" i="3"/>
  <c r="W328" i="4"/>
  <c r="Z328" i="4"/>
  <c r="W328" i="3" l="1"/>
  <c r="X328" i="3"/>
  <c r="T328" i="3"/>
  <c r="F326" i="5"/>
  <c r="F329" i="4"/>
  <c r="I325" i="6"/>
  <c r="O326" i="5" l="1"/>
  <c r="H326" i="5"/>
  <c r="I326" i="5" s="1"/>
  <c r="C329" i="3"/>
  <c r="G329" i="3"/>
  <c r="AA330" i="3" s="1"/>
  <c r="Q329" i="3"/>
  <c r="E329" i="3"/>
  <c r="F329" i="3" s="1"/>
  <c r="D329" i="3"/>
  <c r="R329" i="3"/>
  <c r="Z328" i="3"/>
  <c r="U325" i="6"/>
  <c r="J325" i="6"/>
  <c r="K325" i="6" s="1"/>
  <c r="W325" i="6" s="1"/>
  <c r="O329" i="4"/>
  <c r="H329" i="4"/>
  <c r="I329" i="4" s="1"/>
  <c r="U329" i="4" s="1"/>
  <c r="L325" i="6"/>
  <c r="U326" i="5" l="1"/>
  <c r="J326" i="5"/>
  <c r="K326" i="5" s="1"/>
  <c r="W326" i="5" s="1"/>
  <c r="O329" i="3"/>
  <c r="L329" i="4"/>
  <c r="J329" i="4"/>
  <c r="K329" i="4" s="1"/>
  <c r="W329" i="4" s="1"/>
  <c r="P329" i="3"/>
  <c r="L326" i="5"/>
  <c r="V325" i="6"/>
  <c r="N325" i="6"/>
  <c r="H329" i="3"/>
  <c r="V329" i="4" l="1"/>
  <c r="N329" i="4"/>
  <c r="T329" i="4" s="1"/>
  <c r="V326" i="5"/>
  <c r="N326" i="5"/>
  <c r="X329" i="4"/>
  <c r="T325" i="6"/>
  <c r="Z325" i="6" s="1"/>
  <c r="X325" i="6"/>
  <c r="I329" i="3"/>
  <c r="L329" i="3" s="1"/>
  <c r="C326" i="6" l="1"/>
  <c r="M326" i="6"/>
  <c r="D326" i="6"/>
  <c r="Q326" i="6"/>
  <c r="G326" i="6"/>
  <c r="AA327" i="6" s="1"/>
  <c r="E326" i="6"/>
  <c r="P326" i="6" s="1"/>
  <c r="R326" i="6"/>
  <c r="M330" i="4"/>
  <c r="C330" i="4"/>
  <c r="P330" i="4" s="1"/>
  <c r="D330" i="4"/>
  <c r="G330" i="4"/>
  <c r="AA331" i="4" s="1"/>
  <c r="E330" i="4"/>
  <c r="R330" i="4"/>
  <c r="Q330" i="4"/>
  <c r="V329" i="3"/>
  <c r="N329" i="3"/>
  <c r="T326" i="5"/>
  <c r="Z326" i="5" s="1"/>
  <c r="X326" i="5"/>
  <c r="U329" i="3"/>
  <c r="J329" i="3"/>
  <c r="K329" i="3" s="1"/>
  <c r="W329" i="3" s="1"/>
  <c r="Z329" i="4"/>
  <c r="T329" i="3" l="1"/>
  <c r="F326" i="6"/>
  <c r="O326" i="6"/>
  <c r="H326" i="6"/>
  <c r="I326" i="6"/>
  <c r="U326" i="6" s="1"/>
  <c r="E330" i="3"/>
  <c r="Q330" i="3"/>
  <c r="C330" i="3"/>
  <c r="R330" i="3"/>
  <c r="G330" i="3"/>
  <c r="AA331" i="3" s="1"/>
  <c r="D330" i="3"/>
  <c r="X329" i="3"/>
  <c r="Q327" i="5"/>
  <c r="G327" i="5"/>
  <c r="AA328" i="5" s="1"/>
  <c r="R327" i="5"/>
  <c r="E327" i="5"/>
  <c r="P327" i="5" s="1"/>
  <c r="D327" i="5"/>
  <c r="C327" i="5"/>
  <c r="F327" i="5" s="1"/>
  <c r="M327" i="5"/>
  <c r="F330" i="4"/>
  <c r="Z329" i="3"/>
  <c r="H327" i="5" l="1"/>
  <c r="I327" i="5"/>
  <c r="U327" i="5" s="1"/>
  <c r="O330" i="4"/>
  <c r="H330" i="4"/>
  <c r="I330" i="4" s="1"/>
  <c r="U330" i="4" s="1"/>
  <c r="P330" i="3"/>
  <c r="J326" i="6"/>
  <c r="K326" i="6" s="1"/>
  <c r="W326" i="6" s="1"/>
  <c r="F330" i="3"/>
  <c r="J327" i="5"/>
  <c r="K327" i="5" s="1"/>
  <c r="W327" i="5" s="1"/>
  <c r="L326" i="6"/>
  <c r="O327" i="5"/>
  <c r="V326" i="6" l="1"/>
  <c r="N326" i="6"/>
  <c r="L330" i="4"/>
  <c r="J330" i="4"/>
  <c r="K330" i="4" s="1"/>
  <c r="W330" i="4" s="1"/>
  <c r="O330" i="3"/>
  <c r="H330" i="3"/>
  <c r="L327" i="5"/>
  <c r="T326" i="6" l="1"/>
  <c r="Z326" i="6" s="1"/>
  <c r="V327" i="5"/>
  <c r="N327" i="5"/>
  <c r="T327" i="5" s="1"/>
  <c r="X326" i="6"/>
  <c r="V330" i="4"/>
  <c r="N330" i="4"/>
  <c r="T330" i="4" s="1"/>
  <c r="I330" i="3"/>
  <c r="X330" i="4" l="1"/>
  <c r="M328" i="5"/>
  <c r="C328" i="5"/>
  <c r="Q328" i="5"/>
  <c r="R328" i="5"/>
  <c r="G328" i="5"/>
  <c r="AA329" i="5" s="1"/>
  <c r="E328" i="5"/>
  <c r="P328" i="5" s="1"/>
  <c r="D328" i="5"/>
  <c r="U330" i="3"/>
  <c r="J330" i="3"/>
  <c r="Z327" i="5"/>
  <c r="Z330" i="4"/>
  <c r="L330" i="3"/>
  <c r="X327" i="5"/>
  <c r="E331" i="4"/>
  <c r="D331" i="4"/>
  <c r="M331" i="4"/>
  <c r="C331" i="4"/>
  <c r="Q331" i="4"/>
  <c r="G331" i="4"/>
  <c r="AA332" i="4" s="1"/>
  <c r="R331" i="4"/>
  <c r="R327" i="6"/>
  <c r="G327" i="6"/>
  <c r="AA328" i="6" s="1"/>
  <c r="D327" i="6"/>
  <c r="C327" i="6"/>
  <c r="Q327" i="6"/>
  <c r="E327" i="6"/>
  <c r="M327" i="6"/>
  <c r="P327" i="6" l="1"/>
  <c r="P331" i="4"/>
  <c r="K330" i="3"/>
  <c r="W330" i="3" s="1"/>
  <c r="F328" i="5"/>
  <c r="H328" i="5" s="1"/>
  <c r="V330" i="3"/>
  <c r="N330" i="3"/>
  <c r="X330" i="3" s="1"/>
  <c r="F331" i="4"/>
  <c r="F327" i="6"/>
  <c r="H327" i="6" s="1"/>
  <c r="O327" i="6" l="1"/>
  <c r="O331" i="4"/>
  <c r="O328" i="5"/>
  <c r="I328" i="5"/>
  <c r="L328" i="5" s="1"/>
  <c r="I327" i="6"/>
  <c r="U327" i="6" s="1"/>
  <c r="T330" i="3"/>
  <c r="H331" i="4"/>
  <c r="V328" i="5" l="1"/>
  <c r="N328" i="5"/>
  <c r="U328" i="5"/>
  <c r="R331" i="3"/>
  <c r="Q331" i="3"/>
  <c r="E331" i="3"/>
  <c r="D331" i="3"/>
  <c r="G331" i="3"/>
  <c r="AA332" i="3" s="1"/>
  <c r="C331" i="3"/>
  <c r="Z330" i="3"/>
  <c r="J327" i="6"/>
  <c r="J328" i="5"/>
  <c r="K328" i="5" s="1"/>
  <c r="W328" i="5" s="1"/>
  <c r="L327" i="6"/>
  <c r="I331" i="4"/>
  <c r="U331" i="4" l="1"/>
  <c r="J331" i="4"/>
  <c r="K331" i="4" s="1"/>
  <c r="W331" i="4" s="1"/>
  <c r="X328" i="5"/>
  <c r="V327" i="6"/>
  <c r="N327" i="6"/>
  <c r="P331" i="3"/>
  <c r="L331" i="4"/>
  <c r="F331" i="3"/>
  <c r="T328" i="5"/>
  <c r="K327" i="6"/>
  <c r="T327" i="6" l="1"/>
  <c r="Z327" i="6"/>
  <c r="W327" i="6"/>
  <c r="X327" i="6"/>
  <c r="O331" i="3"/>
  <c r="V331" i="4"/>
  <c r="N331" i="4"/>
  <c r="E328" i="6"/>
  <c r="D328" i="6"/>
  <c r="C328" i="6"/>
  <c r="Q328" i="6"/>
  <c r="M328" i="6"/>
  <c r="R328" i="6"/>
  <c r="G328" i="6"/>
  <c r="AA329" i="6" s="1"/>
  <c r="M329" i="5"/>
  <c r="C329" i="5"/>
  <c r="R329" i="5"/>
  <c r="G329" i="5"/>
  <c r="AA330" i="5" s="1"/>
  <c r="Q329" i="5"/>
  <c r="E329" i="5"/>
  <c r="D329" i="5"/>
  <c r="Z328" i="5"/>
  <c r="H331" i="3"/>
  <c r="F328" i="6" l="1"/>
  <c r="O328" i="6" s="1"/>
  <c r="P329" i="5"/>
  <c r="T331" i="4"/>
  <c r="X331" i="4"/>
  <c r="F329" i="5"/>
  <c r="I331" i="3"/>
  <c r="L331" i="3" s="1"/>
  <c r="P328" i="6"/>
  <c r="H328" i="6" l="1"/>
  <c r="V331" i="3"/>
  <c r="N331" i="3"/>
  <c r="O329" i="5"/>
  <c r="U331" i="3"/>
  <c r="J331" i="3"/>
  <c r="R332" i="4"/>
  <c r="Q332" i="4"/>
  <c r="G332" i="4"/>
  <c r="AA333" i="4" s="1"/>
  <c r="E332" i="4"/>
  <c r="P332" i="4" s="1"/>
  <c r="C332" i="4"/>
  <c r="M332" i="4"/>
  <c r="D332" i="4"/>
  <c r="Z331" i="4"/>
  <c r="H329" i="5"/>
  <c r="I329" i="5"/>
  <c r="U329" i="5" s="1"/>
  <c r="J329" i="5" l="1"/>
  <c r="K329" i="5" s="1"/>
  <c r="W329" i="5" s="1"/>
  <c r="I328" i="6"/>
  <c r="L328" i="6"/>
  <c r="K331" i="3"/>
  <c r="W331" i="3" s="1"/>
  <c r="F332" i="4"/>
  <c r="L329" i="5"/>
  <c r="N328" i="6" l="1"/>
  <c r="V328" i="6"/>
  <c r="U328" i="6"/>
  <c r="J328" i="6"/>
  <c r="V329" i="5"/>
  <c r="N329" i="5"/>
  <c r="O332" i="4"/>
  <c r="H332" i="4"/>
  <c r="I332" i="4" s="1"/>
  <c r="U332" i="4" s="1"/>
  <c r="X331" i="3"/>
  <c r="T331" i="3"/>
  <c r="K328" i="6" l="1"/>
  <c r="W328" i="6" s="1"/>
  <c r="X328" i="6"/>
  <c r="T328" i="6"/>
  <c r="T329" i="5"/>
  <c r="X329" i="5"/>
  <c r="Z329" i="5"/>
  <c r="C332" i="3"/>
  <c r="P332" i="3"/>
  <c r="D332" i="3"/>
  <c r="G332" i="3"/>
  <c r="AA333" i="3" s="1"/>
  <c r="R332" i="3"/>
  <c r="Q332" i="3"/>
  <c r="E332" i="3"/>
  <c r="Z331" i="3"/>
  <c r="L332" i="4"/>
  <c r="J332" i="4"/>
  <c r="D329" i="6" l="1"/>
  <c r="R329" i="6"/>
  <c r="M329" i="6"/>
  <c r="G329" i="6"/>
  <c r="AA330" i="6" s="1"/>
  <c r="Q329" i="6"/>
  <c r="C329" i="6"/>
  <c r="E329" i="6"/>
  <c r="Z328" i="6"/>
  <c r="F332" i="3"/>
  <c r="H332" i="3"/>
  <c r="E330" i="5"/>
  <c r="Q330" i="5"/>
  <c r="D330" i="5"/>
  <c r="C330" i="5"/>
  <c r="R330" i="5"/>
  <c r="M330" i="5"/>
  <c r="G330" i="5"/>
  <c r="AA331" i="5" s="1"/>
  <c r="K332" i="4"/>
  <c r="V332" i="4"/>
  <c r="N332" i="4"/>
  <c r="F329" i="6" l="1"/>
  <c r="O329" i="6" s="1"/>
  <c r="P329" i="6"/>
  <c r="P330" i="5"/>
  <c r="T332" i="4"/>
  <c r="C333" i="4" s="1"/>
  <c r="F330" i="5"/>
  <c r="X332" i="4"/>
  <c r="W332" i="4"/>
  <c r="O332" i="3"/>
  <c r="I332" i="3"/>
  <c r="U332" i="3" s="1"/>
  <c r="R333" i="4" l="1"/>
  <c r="M333" i="4"/>
  <c r="L332" i="3"/>
  <c r="D333" i="4"/>
  <c r="Z332" i="4"/>
  <c r="E333" i="4"/>
  <c r="Q333" i="4"/>
  <c r="H329" i="6"/>
  <c r="I329" i="6" s="1"/>
  <c r="U329" i="6" s="1"/>
  <c r="F333" i="4"/>
  <c r="O333" i="4" s="1"/>
  <c r="P333" i="4"/>
  <c r="G333" i="4"/>
  <c r="AA334" i="4" s="1"/>
  <c r="V332" i="3"/>
  <c r="N332" i="3"/>
  <c r="O330" i="5"/>
  <c r="H330" i="5"/>
  <c r="J332" i="3"/>
  <c r="L329" i="6" l="1"/>
  <c r="J329" i="6"/>
  <c r="K329" i="6" s="1"/>
  <c r="W329" i="6" s="1"/>
  <c r="H333" i="4"/>
  <c r="V329" i="6"/>
  <c r="N329" i="6"/>
  <c r="I330" i="5"/>
  <c r="K332" i="3"/>
  <c r="T332" i="3" s="1"/>
  <c r="T329" i="6" l="1"/>
  <c r="I333" i="4"/>
  <c r="L333" i="4"/>
  <c r="Z329" i="6"/>
  <c r="M330" i="6"/>
  <c r="C330" i="6"/>
  <c r="R330" i="6"/>
  <c r="E330" i="6"/>
  <c r="P330" i="6" s="1"/>
  <c r="D330" i="6"/>
  <c r="Q330" i="6"/>
  <c r="G330" i="6"/>
  <c r="AA331" i="6" s="1"/>
  <c r="X329" i="6"/>
  <c r="Z332" i="3"/>
  <c r="U330" i="5"/>
  <c r="J330" i="5"/>
  <c r="K330" i="5" s="1"/>
  <c r="W330" i="5" s="1"/>
  <c r="L330" i="5"/>
  <c r="E333" i="3"/>
  <c r="D333" i="3"/>
  <c r="R333" i="3"/>
  <c r="Q333" i="3"/>
  <c r="G333" i="3"/>
  <c r="AA334" i="3" s="1"/>
  <c r="C333" i="3"/>
  <c r="W332" i="3"/>
  <c r="X332" i="3"/>
  <c r="V333" i="4" l="1"/>
  <c r="N333" i="4"/>
  <c r="F330" i="6"/>
  <c r="U333" i="4"/>
  <c r="J333" i="4"/>
  <c r="P333" i="3"/>
  <c r="F333" i="3"/>
  <c r="V330" i="5"/>
  <c r="N330" i="5"/>
  <c r="T330" i="5" s="1"/>
  <c r="K333" i="4" l="1"/>
  <c r="W333" i="4" s="1"/>
  <c r="X333" i="4"/>
  <c r="O330" i="6"/>
  <c r="T333" i="4"/>
  <c r="H330" i="6"/>
  <c r="I330" i="6"/>
  <c r="U330" i="6" s="1"/>
  <c r="R331" i="5"/>
  <c r="M331" i="5"/>
  <c r="C331" i="5"/>
  <c r="G331" i="5"/>
  <c r="AA332" i="5" s="1"/>
  <c r="E331" i="5"/>
  <c r="D331" i="5"/>
  <c r="Q331" i="5"/>
  <c r="X330" i="5"/>
  <c r="Z330" i="5"/>
  <c r="O333" i="3"/>
  <c r="H333" i="3"/>
  <c r="I333" i="3" s="1"/>
  <c r="G334" i="4" l="1"/>
  <c r="AA335" i="4" s="1"/>
  <c r="M334" i="4"/>
  <c r="R334" i="4"/>
  <c r="D334" i="4"/>
  <c r="C334" i="4"/>
  <c r="E334" i="4"/>
  <c r="P334" i="4" s="1"/>
  <c r="Q334" i="4"/>
  <c r="F334" i="4"/>
  <c r="O334" i="4" s="1"/>
  <c r="Z333" i="4"/>
  <c r="L330" i="6"/>
  <c r="J330" i="6"/>
  <c r="K330" i="6" s="1"/>
  <c r="W330" i="6" s="1"/>
  <c r="U333" i="3"/>
  <c r="J333" i="3"/>
  <c r="K333" i="3" s="1"/>
  <c r="W333" i="3" s="1"/>
  <c r="P331" i="5"/>
  <c r="L333" i="3"/>
  <c r="F331" i="5"/>
  <c r="H331" i="5" s="1"/>
  <c r="V330" i="6" l="1"/>
  <c r="N330" i="6"/>
  <c r="T330" i="6" s="1"/>
  <c r="Z330" i="6"/>
  <c r="H334" i="4"/>
  <c r="X330" i="6"/>
  <c r="V333" i="3"/>
  <c r="N333" i="3"/>
  <c r="T333" i="3" s="1"/>
  <c r="I331" i="5"/>
  <c r="J331" i="5" s="1"/>
  <c r="K331" i="5" s="1"/>
  <c r="W331" i="5" s="1"/>
  <c r="O331" i="5"/>
  <c r="L331" i="5" l="1"/>
  <c r="I334" i="4"/>
  <c r="D331" i="6"/>
  <c r="M331" i="6"/>
  <c r="G331" i="6"/>
  <c r="AA332" i="6" s="1"/>
  <c r="E331" i="6"/>
  <c r="P331" i="6" s="1"/>
  <c r="C331" i="6"/>
  <c r="R331" i="6"/>
  <c r="Q331" i="6"/>
  <c r="R334" i="3"/>
  <c r="Q334" i="3"/>
  <c r="G334" i="3"/>
  <c r="AA335" i="3" s="1"/>
  <c r="D334" i="3"/>
  <c r="C334" i="3"/>
  <c r="E334" i="3"/>
  <c r="P334" i="3" s="1"/>
  <c r="V331" i="5"/>
  <c r="N331" i="5"/>
  <c r="T331" i="5" s="1"/>
  <c r="Z333" i="3"/>
  <c r="X333" i="3"/>
  <c r="U331" i="5"/>
  <c r="U334" i="4" l="1"/>
  <c r="J334" i="4"/>
  <c r="F331" i="6"/>
  <c r="L334" i="4"/>
  <c r="F334" i="3"/>
  <c r="Z331" i="5"/>
  <c r="X331" i="5"/>
  <c r="R332" i="5"/>
  <c r="G332" i="5"/>
  <c r="AA333" i="5" s="1"/>
  <c r="Q332" i="5"/>
  <c r="C332" i="5"/>
  <c r="E332" i="5"/>
  <c r="P332" i="5" s="1"/>
  <c r="D332" i="5"/>
  <c r="M332" i="5"/>
  <c r="K334" i="4" l="1"/>
  <c r="V334" i="4"/>
  <c r="N334" i="4"/>
  <c r="T334" i="4" s="1"/>
  <c r="O331" i="6"/>
  <c r="H331" i="6"/>
  <c r="I331" i="6" s="1"/>
  <c r="F332" i="5"/>
  <c r="O334" i="3"/>
  <c r="H334" i="3"/>
  <c r="I334" i="3" s="1"/>
  <c r="U334" i="3" s="1"/>
  <c r="U331" i="6" l="1"/>
  <c r="J331" i="6"/>
  <c r="K331" i="6" s="1"/>
  <c r="W331" i="6" s="1"/>
  <c r="Z334" i="4"/>
  <c r="L331" i="6"/>
  <c r="E335" i="4"/>
  <c r="P335" i="4" s="1"/>
  <c r="G335" i="4"/>
  <c r="AA336" i="4" s="1"/>
  <c r="R335" i="4"/>
  <c r="D335" i="4"/>
  <c r="M335" i="4"/>
  <c r="Q335" i="4"/>
  <c r="C335" i="4"/>
  <c r="W334" i="4"/>
  <c r="X334" i="4"/>
  <c r="L334" i="3"/>
  <c r="O332" i="5"/>
  <c r="H332" i="5"/>
  <c r="I332" i="5" s="1"/>
  <c r="U332" i="5" s="1"/>
  <c r="J334" i="3"/>
  <c r="K334" i="3" s="1"/>
  <c r="W334" i="3" s="1"/>
  <c r="F335" i="4" l="1"/>
  <c r="O335" i="4" s="1"/>
  <c r="H335" i="4"/>
  <c r="I335" i="4"/>
  <c r="L335" i="4" s="1"/>
  <c r="N331" i="6"/>
  <c r="V331" i="6"/>
  <c r="V334" i="3"/>
  <c r="N334" i="3"/>
  <c r="J332" i="5"/>
  <c r="K332" i="5" s="1"/>
  <c r="W332" i="5" s="1"/>
  <c r="L332" i="5"/>
  <c r="V335" i="4" l="1"/>
  <c r="N335" i="4"/>
  <c r="X331" i="6"/>
  <c r="T331" i="6"/>
  <c r="U335" i="4"/>
  <c r="J335" i="4"/>
  <c r="K335" i="4" s="1"/>
  <c r="W335" i="4" s="1"/>
  <c r="V332" i="5"/>
  <c r="N332" i="5"/>
  <c r="X332" i="5"/>
  <c r="T334" i="3"/>
  <c r="Z334" i="3" s="1"/>
  <c r="X334" i="3"/>
  <c r="X335" i="4" l="1"/>
  <c r="T335" i="4"/>
  <c r="D332" i="6"/>
  <c r="G332" i="6"/>
  <c r="AA333" i="6" s="1"/>
  <c r="Q332" i="6"/>
  <c r="M332" i="6"/>
  <c r="R332" i="6"/>
  <c r="E332" i="6"/>
  <c r="P332" i="6" s="1"/>
  <c r="C332" i="6"/>
  <c r="Z331" i="6"/>
  <c r="R336" i="4"/>
  <c r="G336" i="4"/>
  <c r="AA337" i="4" s="1"/>
  <c r="D336" i="4"/>
  <c r="M336" i="4"/>
  <c r="E336" i="4"/>
  <c r="C336" i="4"/>
  <c r="P336" i="4" s="1"/>
  <c r="Q336" i="4"/>
  <c r="R335" i="3"/>
  <c r="Q335" i="3"/>
  <c r="E335" i="3"/>
  <c r="P335" i="3" s="1"/>
  <c r="G335" i="3"/>
  <c r="AA336" i="3" s="1"/>
  <c r="C335" i="3"/>
  <c r="D335" i="3"/>
  <c r="T332" i="5"/>
  <c r="Z332" i="5" s="1"/>
  <c r="Z335" i="4"/>
  <c r="F336" i="4" l="1"/>
  <c r="F332" i="6"/>
  <c r="O332" i="6" s="1"/>
  <c r="H336" i="4"/>
  <c r="O336" i="4"/>
  <c r="F335" i="3"/>
  <c r="D333" i="5"/>
  <c r="M333" i="5"/>
  <c r="G333" i="5"/>
  <c r="AA334" i="5" s="1"/>
  <c r="R333" i="5"/>
  <c r="Q333" i="5"/>
  <c r="E333" i="5"/>
  <c r="C333" i="5"/>
  <c r="F333" i="5" s="1"/>
  <c r="P333" i="5" l="1"/>
  <c r="H332" i="6"/>
  <c r="I332" i="6" s="1"/>
  <c r="O333" i="5"/>
  <c r="H333" i="5"/>
  <c r="O335" i="3"/>
  <c r="H335" i="3"/>
  <c r="I335" i="3" s="1"/>
  <c r="U335" i="3" s="1"/>
  <c r="U332" i="6"/>
  <c r="J332" i="6"/>
  <c r="L332" i="6"/>
  <c r="I336" i="4"/>
  <c r="L336" i="4" s="1"/>
  <c r="J335" i="3" l="1"/>
  <c r="K335" i="3" s="1"/>
  <c r="W335" i="3" s="1"/>
  <c r="L335" i="3"/>
  <c r="V332" i="6"/>
  <c r="N332" i="6"/>
  <c r="I333" i="5"/>
  <c r="K332" i="6"/>
  <c r="V336" i="4"/>
  <c r="N336" i="4"/>
  <c r="U336" i="4"/>
  <c r="J336" i="4"/>
  <c r="W332" i="6" l="1"/>
  <c r="X332" i="6"/>
  <c r="K336" i="4"/>
  <c r="W336" i="4" s="1"/>
  <c r="U333" i="5"/>
  <c r="J333" i="5"/>
  <c r="T332" i="6"/>
  <c r="T336" i="4"/>
  <c r="L333" i="5"/>
  <c r="V335" i="3"/>
  <c r="N335" i="3"/>
  <c r="Q333" i="6" l="1"/>
  <c r="G333" i="6"/>
  <c r="AA334" i="6" s="1"/>
  <c r="M333" i="6"/>
  <c r="C333" i="6"/>
  <c r="R333" i="6"/>
  <c r="D333" i="6"/>
  <c r="E333" i="6"/>
  <c r="P333" i="6" s="1"/>
  <c r="Z332" i="6"/>
  <c r="M337" i="4"/>
  <c r="C337" i="4"/>
  <c r="F337" i="4" s="1"/>
  <c r="D337" i="4"/>
  <c r="G337" i="4"/>
  <c r="AA338" i="4" s="1"/>
  <c r="E337" i="4"/>
  <c r="Q337" i="4"/>
  <c r="R337" i="4"/>
  <c r="K333" i="5"/>
  <c r="W333" i="5" s="1"/>
  <c r="X333" i="5"/>
  <c r="Z336" i="4"/>
  <c r="X336" i="4"/>
  <c r="T335" i="3"/>
  <c r="Z335" i="3" s="1"/>
  <c r="X335" i="3"/>
  <c r="V333" i="5"/>
  <c r="N333" i="5"/>
  <c r="P337" i="4" l="1"/>
  <c r="O337" i="4"/>
  <c r="T333" i="5"/>
  <c r="F333" i="6"/>
  <c r="H333" i="6" s="1"/>
  <c r="H337" i="4"/>
  <c r="D336" i="3"/>
  <c r="C336" i="3"/>
  <c r="P336" i="3"/>
  <c r="E336" i="3"/>
  <c r="Q336" i="3"/>
  <c r="R336" i="3"/>
  <c r="G336" i="3"/>
  <c r="AA337" i="3" s="1"/>
  <c r="I337" i="4" l="1"/>
  <c r="L337" i="4" s="1"/>
  <c r="Q334" i="5"/>
  <c r="G334" i="5"/>
  <c r="AA335" i="5" s="1"/>
  <c r="D334" i="5"/>
  <c r="C334" i="5"/>
  <c r="R334" i="5"/>
  <c r="E334" i="5"/>
  <c r="P334" i="5" s="1"/>
  <c r="M334" i="5"/>
  <c r="I333" i="6"/>
  <c r="U333" i="6" s="1"/>
  <c r="O333" i="6"/>
  <c r="Z333" i="5"/>
  <c r="F336" i="3"/>
  <c r="V337" i="4" l="1"/>
  <c r="N337" i="4"/>
  <c r="F334" i="5"/>
  <c r="J333" i="6"/>
  <c r="K333" i="6" s="1"/>
  <c r="W333" i="6" s="1"/>
  <c r="H336" i="3"/>
  <c r="O336" i="3"/>
  <c r="L333" i="6"/>
  <c r="U337" i="4"/>
  <c r="J337" i="4"/>
  <c r="O334" i="5" l="1"/>
  <c r="H334" i="5"/>
  <c r="I336" i="3"/>
  <c r="L336" i="3" s="1"/>
  <c r="K337" i="4"/>
  <c r="W337" i="4" s="1"/>
  <c r="V333" i="6"/>
  <c r="N333" i="6"/>
  <c r="T333" i="6" s="1"/>
  <c r="X333" i="6"/>
  <c r="U336" i="3" l="1"/>
  <c r="J336" i="3"/>
  <c r="R334" i="6"/>
  <c r="G334" i="6"/>
  <c r="AA335" i="6" s="1"/>
  <c r="Q334" i="6"/>
  <c r="E334" i="6"/>
  <c r="P334" i="6" s="1"/>
  <c r="D334" i="6"/>
  <c r="M334" i="6"/>
  <c r="C334" i="6"/>
  <c r="Z333" i="6"/>
  <c r="V336" i="3"/>
  <c r="N336" i="3"/>
  <c r="I334" i="5"/>
  <c r="T337" i="4"/>
  <c r="X337" i="4"/>
  <c r="F334" i="6" l="1"/>
  <c r="O334" i="6" s="1"/>
  <c r="H334" i="6"/>
  <c r="K336" i="3"/>
  <c r="W336" i="3" s="1"/>
  <c r="X336" i="3"/>
  <c r="E338" i="4"/>
  <c r="D338" i="4"/>
  <c r="Q338" i="4"/>
  <c r="G338" i="4"/>
  <c r="AA339" i="4" s="1"/>
  <c r="R338" i="4"/>
  <c r="C338" i="4"/>
  <c r="M338" i="4"/>
  <c r="Z337" i="4"/>
  <c r="T336" i="3"/>
  <c r="U334" i="5"/>
  <c r="J334" i="5"/>
  <c r="K334" i="5" s="1"/>
  <c r="W334" i="5" s="1"/>
  <c r="L334" i="5"/>
  <c r="F338" i="4" l="1"/>
  <c r="O338" i="4" s="1"/>
  <c r="P338" i="4"/>
  <c r="Q337" i="3"/>
  <c r="G337" i="3"/>
  <c r="AA338" i="3" s="1"/>
  <c r="P337" i="3"/>
  <c r="E337" i="3"/>
  <c r="D337" i="3"/>
  <c r="C337" i="3"/>
  <c r="F337" i="3" s="1"/>
  <c r="R337" i="3"/>
  <c r="Z336" i="3"/>
  <c r="V334" i="5"/>
  <c r="N334" i="5"/>
  <c r="I334" i="6"/>
  <c r="H338" i="4" l="1"/>
  <c r="I338" i="4" s="1"/>
  <c r="U338" i="4" s="1"/>
  <c r="O337" i="3"/>
  <c r="U334" i="6"/>
  <c r="J334" i="6"/>
  <c r="K334" i="6" s="1"/>
  <c r="W334" i="6" s="1"/>
  <c r="J338" i="4"/>
  <c r="T334" i="5"/>
  <c r="Z334" i="5"/>
  <c r="H337" i="3"/>
  <c r="I337" i="3" s="1"/>
  <c r="L338" i="4"/>
  <c r="X334" i="5"/>
  <c r="L334" i="6"/>
  <c r="U337" i="3" l="1"/>
  <c r="J337" i="3"/>
  <c r="K337" i="3" s="1"/>
  <c r="W337" i="3" s="1"/>
  <c r="D335" i="5"/>
  <c r="M335" i="5"/>
  <c r="P335" i="5"/>
  <c r="C335" i="5"/>
  <c r="R335" i="5"/>
  <c r="Q335" i="5"/>
  <c r="G335" i="5"/>
  <c r="AA336" i="5" s="1"/>
  <c r="F335" i="5"/>
  <c r="E335" i="5"/>
  <c r="V338" i="4"/>
  <c r="N338" i="4"/>
  <c r="K338" i="4"/>
  <c r="W338" i="4" s="1"/>
  <c r="X338" i="4"/>
  <c r="V334" i="6"/>
  <c r="N334" i="6"/>
  <c r="L337" i="3"/>
  <c r="V337" i="3" l="1"/>
  <c r="N337" i="3"/>
  <c r="T337" i="3" s="1"/>
  <c r="H335" i="5"/>
  <c r="O335" i="5"/>
  <c r="T334" i="6"/>
  <c r="X334" i="6"/>
  <c r="T338" i="4"/>
  <c r="G338" i="3" l="1"/>
  <c r="AA339" i="3" s="1"/>
  <c r="E338" i="3"/>
  <c r="Q338" i="3"/>
  <c r="C338" i="3"/>
  <c r="F338" i="3" s="1"/>
  <c r="R338" i="3"/>
  <c r="D338" i="3"/>
  <c r="R339" i="4"/>
  <c r="Q339" i="4"/>
  <c r="G339" i="4"/>
  <c r="AA340" i="4" s="1"/>
  <c r="E339" i="4"/>
  <c r="D339" i="4"/>
  <c r="C339" i="4"/>
  <c r="M339" i="4"/>
  <c r="Z338" i="4"/>
  <c r="Z337" i="3"/>
  <c r="M335" i="6"/>
  <c r="C335" i="6"/>
  <c r="D335" i="6"/>
  <c r="E335" i="6"/>
  <c r="R335" i="6"/>
  <c r="Q335" i="6"/>
  <c r="G335" i="6"/>
  <c r="AA336" i="6" s="1"/>
  <c r="Z334" i="6"/>
  <c r="X337" i="3"/>
  <c r="I335" i="5"/>
  <c r="P339" i="4" l="1"/>
  <c r="F339" i="4"/>
  <c r="P338" i="3"/>
  <c r="P335" i="6"/>
  <c r="U335" i="5"/>
  <c r="J335" i="5"/>
  <c r="K335" i="5" s="1"/>
  <c r="W335" i="5" s="1"/>
  <c r="L335" i="5"/>
  <c r="O338" i="3"/>
  <c r="F335" i="6"/>
  <c r="H335" i="6" s="1"/>
  <c r="O339" i="4"/>
  <c r="H338" i="3"/>
  <c r="H339" i="4"/>
  <c r="I335" i="6" l="1"/>
  <c r="U335" i="6" s="1"/>
  <c r="O335" i="6"/>
  <c r="J335" i="6"/>
  <c r="K335" i="6" s="1"/>
  <c r="W335" i="6" s="1"/>
  <c r="I339" i="4"/>
  <c r="V335" i="5"/>
  <c r="N335" i="5"/>
  <c r="T335" i="5" s="1"/>
  <c r="Z335" i="5" s="1"/>
  <c r="I338" i="3"/>
  <c r="L338" i="3" s="1"/>
  <c r="X335" i="5" l="1"/>
  <c r="V338" i="3"/>
  <c r="N338" i="3"/>
  <c r="U338" i="3"/>
  <c r="J338" i="3"/>
  <c r="K338" i="3" s="1"/>
  <c r="W338" i="3" s="1"/>
  <c r="L335" i="6"/>
  <c r="U339" i="4"/>
  <c r="J339" i="4"/>
  <c r="K339" i="4" s="1"/>
  <c r="W339" i="4" s="1"/>
  <c r="L339" i="4"/>
  <c r="M336" i="5"/>
  <c r="C336" i="5"/>
  <c r="G336" i="5"/>
  <c r="AA337" i="5" s="1"/>
  <c r="E336" i="5"/>
  <c r="D336" i="5"/>
  <c r="R336" i="5"/>
  <c r="Q336" i="5"/>
  <c r="P336" i="5"/>
  <c r="V335" i="6" l="1"/>
  <c r="N335" i="6"/>
  <c r="X335" i="6"/>
  <c r="T338" i="3"/>
  <c r="X338" i="3"/>
  <c r="F336" i="5"/>
  <c r="V339" i="4"/>
  <c r="N339" i="4"/>
  <c r="T339" i="4" s="1"/>
  <c r="Z339" i="4" l="1"/>
  <c r="O336" i="5"/>
  <c r="H336" i="5"/>
  <c r="I336" i="5" s="1"/>
  <c r="T335" i="6"/>
  <c r="Z335" i="6" s="1"/>
  <c r="C339" i="3"/>
  <c r="E339" i="3"/>
  <c r="P339" i="3" s="1"/>
  <c r="R339" i="3"/>
  <c r="D339" i="3"/>
  <c r="G339" i="3"/>
  <c r="AA340" i="3" s="1"/>
  <c r="Q339" i="3"/>
  <c r="Z338" i="3"/>
  <c r="M340" i="4"/>
  <c r="C340" i="4"/>
  <c r="G340" i="4"/>
  <c r="AA341" i="4" s="1"/>
  <c r="E340" i="4"/>
  <c r="P340" i="4" s="1"/>
  <c r="D340" i="4"/>
  <c r="R340" i="4"/>
  <c r="Q340" i="4"/>
  <c r="X339" i="4"/>
  <c r="F339" i="3" l="1"/>
  <c r="U336" i="5"/>
  <c r="J336" i="5"/>
  <c r="K336" i="5" s="1"/>
  <c r="W336" i="5" s="1"/>
  <c r="F340" i="4"/>
  <c r="H339" i="3"/>
  <c r="L336" i="5"/>
  <c r="G336" i="6"/>
  <c r="AA337" i="6" s="1"/>
  <c r="E336" i="6"/>
  <c r="F336" i="6" s="1"/>
  <c r="D336" i="6"/>
  <c r="R336" i="6"/>
  <c r="Q336" i="6"/>
  <c r="M336" i="6"/>
  <c r="C336" i="6"/>
  <c r="O339" i="3"/>
  <c r="O336" i="6" l="1"/>
  <c r="H336" i="6"/>
  <c r="O340" i="4"/>
  <c r="P336" i="6"/>
  <c r="I339" i="3"/>
  <c r="L339" i="3" s="1"/>
  <c r="H340" i="4"/>
  <c r="V336" i="5"/>
  <c r="N336" i="5"/>
  <c r="V339" i="3" l="1"/>
  <c r="N339" i="3"/>
  <c r="T336" i="5"/>
  <c r="X336" i="5"/>
  <c r="I340" i="4"/>
  <c r="U339" i="3"/>
  <c r="J339" i="3"/>
  <c r="K339" i="3" s="1"/>
  <c r="W339" i="3" s="1"/>
  <c r="I336" i="6"/>
  <c r="X339" i="3" l="1"/>
  <c r="U340" i="4"/>
  <c r="J340" i="4"/>
  <c r="K340" i="4" s="1"/>
  <c r="W340" i="4" s="1"/>
  <c r="Q337" i="5"/>
  <c r="E337" i="5"/>
  <c r="P337" i="5" s="1"/>
  <c r="R337" i="5"/>
  <c r="C337" i="5"/>
  <c r="M337" i="5"/>
  <c r="G337" i="5"/>
  <c r="AA338" i="5" s="1"/>
  <c r="D337" i="5"/>
  <c r="T339" i="3"/>
  <c r="L340" i="4"/>
  <c r="Z336" i="5"/>
  <c r="U336" i="6"/>
  <c r="J336" i="6"/>
  <c r="L336" i="6"/>
  <c r="K336" i="6" l="1"/>
  <c r="V340" i="4"/>
  <c r="N340" i="4"/>
  <c r="T340" i="4" s="1"/>
  <c r="X340" i="4"/>
  <c r="F337" i="5"/>
  <c r="H337" i="5" s="1"/>
  <c r="E340" i="3"/>
  <c r="P340" i="3" s="1"/>
  <c r="G340" i="3"/>
  <c r="AA341" i="3" s="1"/>
  <c r="R340" i="3"/>
  <c r="D340" i="3"/>
  <c r="C340" i="3"/>
  <c r="Q340" i="3"/>
  <c r="Z339" i="3"/>
  <c r="V336" i="6"/>
  <c r="N336" i="6"/>
  <c r="T336" i="6" s="1"/>
  <c r="E337" i="6" l="1"/>
  <c r="D337" i="6"/>
  <c r="C337" i="6"/>
  <c r="F337" i="6" s="1"/>
  <c r="Q337" i="6"/>
  <c r="R337" i="6"/>
  <c r="M337" i="6"/>
  <c r="G337" i="6"/>
  <c r="AA338" i="6" s="1"/>
  <c r="O337" i="5"/>
  <c r="I337" i="5"/>
  <c r="L337" i="5" s="1"/>
  <c r="E341" i="4"/>
  <c r="P341" i="4" s="1"/>
  <c r="D341" i="4"/>
  <c r="M341" i="4"/>
  <c r="C341" i="4"/>
  <c r="R341" i="4"/>
  <c r="Q341" i="4"/>
  <c r="G341" i="4"/>
  <c r="AA342" i="4" s="1"/>
  <c r="X336" i="6"/>
  <c r="Z340" i="4"/>
  <c r="W336" i="6"/>
  <c r="Z336" i="6"/>
  <c r="F340" i="3"/>
  <c r="P337" i="6" l="1"/>
  <c r="O337" i="6"/>
  <c r="H340" i="3"/>
  <c r="O340" i="3"/>
  <c r="V337" i="5"/>
  <c r="N337" i="5"/>
  <c r="U337" i="5"/>
  <c r="H337" i="6"/>
  <c r="I337" i="6" s="1"/>
  <c r="J337" i="5"/>
  <c r="F341" i="4"/>
  <c r="U337" i="6" l="1"/>
  <c r="J337" i="6"/>
  <c r="K337" i="6" s="1"/>
  <c r="W337" i="6" s="1"/>
  <c r="L337" i="6"/>
  <c r="O341" i="4"/>
  <c r="H341" i="4"/>
  <c r="K337" i="5"/>
  <c r="W337" i="5" s="1"/>
  <c r="X337" i="5"/>
  <c r="T337" i="5"/>
  <c r="I340" i="3"/>
  <c r="L340" i="3" s="1"/>
  <c r="V340" i="3" l="1"/>
  <c r="N340" i="3"/>
  <c r="I341" i="4"/>
  <c r="L341" i="4" s="1"/>
  <c r="R338" i="5"/>
  <c r="Q338" i="5"/>
  <c r="E338" i="5"/>
  <c r="P338" i="5"/>
  <c r="D338" i="5"/>
  <c r="G338" i="5"/>
  <c r="AA339" i="5" s="1"/>
  <c r="M338" i="5"/>
  <c r="C338" i="5"/>
  <c r="V337" i="6"/>
  <c r="N337" i="6"/>
  <c r="U340" i="3"/>
  <c r="J340" i="3"/>
  <c r="K340" i="3" s="1"/>
  <c r="W340" i="3" s="1"/>
  <c r="Z337" i="5"/>
  <c r="X340" i="3" l="1"/>
  <c r="V341" i="4"/>
  <c r="N341" i="4"/>
  <c r="T340" i="3"/>
  <c r="Z340" i="3" s="1"/>
  <c r="T337" i="6"/>
  <c r="Z337" i="6" s="1"/>
  <c r="X337" i="6"/>
  <c r="F338" i="5"/>
  <c r="U341" i="4"/>
  <c r="J341" i="4"/>
  <c r="K341" i="4" s="1"/>
  <c r="W341" i="4" s="1"/>
  <c r="X341" i="4"/>
  <c r="R341" i="3" l="1"/>
  <c r="C341" i="3"/>
  <c r="D341" i="3"/>
  <c r="G341" i="3"/>
  <c r="AA342" i="3" s="1"/>
  <c r="E341" i="3"/>
  <c r="P341" i="3" s="1"/>
  <c r="Q341" i="3"/>
  <c r="M338" i="6"/>
  <c r="G338" i="6"/>
  <c r="AA339" i="6" s="1"/>
  <c r="E338" i="6"/>
  <c r="R338" i="6"/>
  <c r="Q338" i="6"/>
  <c r="D338" i="6"/>
  <c r="C338" i="6"/>
  <c r="T341" i="4"/>
  <c r="Z341" i="4"/>
  <c r="O338" i="5"/>
  <c r="H338" i="5"/>
  <c r="F341" i="3" l="1"/>
  <c r="F338" i="6"/>
  <c r="H338" i="6"/>
  <c r="O338" i="6"/>
  <c r="I338" i="5"/>
  <c r="L338" i="5" s="1"/>
  <c r="P338" i="6"/>
  <c r="H341" i="3"/>
  <c r="R342" i="4"/>
  <c r="Q342" i="4"/>
  <c r="G342" i="4"/>
  <c r="AA343" i="4" s="1"/>
  <c r="D342" i="4"/>
  <c r="C342" i="4"/>
  <c r="E342" i="4"/>
  <c r="P342" i="4" s="1"/>
  <c r="M342" i="4"/>
  <c r="O341" i="3"/>
  <c r="F342" i="4" l="1"/>
  <c r="I341" i="3"/>
  <c r="L341" i="3" s="1"/>
  <c r="V338" i="5"/>
  <c r="N338" i="5"/>
  <c r="U338" i="5"/>
  <c r="J338" i="5"/>
  <c r="I338" i="6"/>
  <c r="V341" i="3" l="1"/>
  <c r="N341" i="3"/>
  <c r="U341" i="3"/>
  <c r="J341" i="3"/>
  <c r="K341" i="3" s="1"/>
  <c r="W341" i="3" s="1"/>
  <c r="O342" i="4"/>
  <c r="H342" i="4"/>
  <c r="U338" i="6"/>
  <c r="J338" i="6"/>
  <c r="K338" i="6" s="1"/>
  <c r="W338" i="6" s="1"/>
  <c r="K338" i="5"/>
  <c r="W338" i="5" s="1"/>
  <c r="L338" i="6"/>
  <c r="X341" i="3" l="1"/>
  <c r="T338" i="5"/>
  <c r="C339" i="5" s="1"/>
  <c r="Z338" i="5"/>
  <c r="X338" i="5"/>
  <c r="V338" i="6"/>
  <c r="N338" i="6"/>
  <c r="X338" i="6"/>
  <c r="R339" i="5"/>
  <c r="G339" i="5"/>
  <c r="AA340" i="5" s="1"/>
  <c r="D339" i="5"/>
  <c r="E339" i="5"/>
  <c r="M339" i="5"/>
  <c r="T341" i="3"/>
  <c r="I342" i="4"/>
  <c r="F339" i="5" l="1"/>
  <c r="P339" i="5"/>
  <c r="Q339" i="5"/>
  <c r="T338" i="6"/>
  <c r="Z338" i="6" s="1"/>
  <c r="H339" i="5"/>
  <c r="U342" i="4"/>
  <c r="J342" i="4"/>
  <c r="K342" i="4" s="1"/>
  <c r="W342" i="4" s="1"/>
  <c r="Q342" i="3"/>
  <c r="C342" i="3"/>
  <c r="G342" i="3"/>
  <c r="AA343" i="3" s="1"/>
  <c r="E342" i="3"/>
  <c r="D342" i="3"/>
  <c r="R342" i="3"/>
  <c r="Z341" i="3"/>
  <c r="O339" i="5"/>
  <c r="L342" i="4"/>
  <c r="P342" i="3" l="1"/>
  <c r="V342" i="4"/>
  <c r="N342" i="4"/>
  <c r="E339" i="6"/>
  <c r="R339" i="6"/>
  <c r="G339" i="6"/>
  <c r="AA340" i="6" s="1"/>
  <c r="Q339" i="6"/>
  <c r="D339" i="6"/>
  <c r="M339" i="6"/>
  <c r="C339" i="6"/>
  <c r="F342" i="3"/>
  <c r="I339" i="5"/>
  <c r="L339" i="5" s="1"/>
  <c r="P339" i="6" l="1"/>
  <c r="V339" i="5"/>
  <c r="N339" i="5"/>
  <c r="O342" i="3"/>
  <c r="T342" i="4"/>
  <c r="Z342" i="4"/>
  <c r="X342" i="4"/>
  <c r="U339" i="5"/>
  <c r="J339" i="5"/>
  <c r="K339" i="5" s="1"/>
  <c r="W339" i="5" s="1"/>
  <c r="X339" i="5"/>
  <c r="H342" i="3"/>
  <c r="F339" i="6"/>
  <c r="I342" i="3" l="1"/>
  <c r="H339" i="6"/>
  <c r="O339" i="6"/>
  <c r="T339" i="5"/>
  <c r="Z339" i="5" s="1"/>
  <c r="G343" i="4"/>
  <c r="AA344" i="4" s="1"/>
  <c r="R343" i="4"/>
  <c r="D343" i="4"/>
  <c r="Q343" i="4"/>
  <c r="M343" i="4"/>
  <c r="E343" i="4"/>
  <c r="P343" i="4" s="1"/>
  <c r="C343" i="4"/>
  <c r="I339" i="6"/>
  <c r="U339" i="6" s="1"/>
  <c r="L339" i="6" l="1"/>
  <c r="F343" i="4"/>
  <c r="H343" i="4"/>
  <c r="E340" i="5"/>
  <c r="M340" i="5"/>
  <c r="C340" i="5"/>
  <c r="P340" i="5" s="1"/>
  <c r="R340" i="5"/>
  <c r="Q340" i="5"/>
  <c r="G340" i="5"/>
  <c r="AA341" i="5" s="1"/>
  <c r="D340" i="5"/>
  <c r="J339" i="6"/>
  <c r="K339" i="6" s="1"/>
  <c r="W339" i="6" s="1"/>
  <c r="U342" i="3"/>
  <c r="J342" i="3"/>
  <c r="L342" i="3"/>
  <c r="K342" i="3" l="1"/>
  <c r="W342" i="3" s="1"/>
  <c r="O343" i="4"/>
  <c r="V339" i="6"/>
  <c r="N339" i="6"/>
  <c r="T339" i="6" s="1"/>
  <c r="F340" i="5"/>
  <c r="V342" i="3"/>
  <c r="N342" i="3"/>
  <c r="T342" i="3" s="1"/>
  <c r="H340" i="5"/>
  <c r="I343" i="4"/>
  <c r="U343" i="4" s="1"/>
  <c r="X339" i="6" l="1"/>
  <c r="Z339" i="6"/>
  <c r="Z342" i="3"/>
  <c r="J343" i="4"/>
  <c r="K343" i="4" s="1"/>
  <c r="W343" i="4" s="1"/>
  <c r="L343" i="4"/>
  <c r="E343" i="3"/>
  <c r="D343" i="3"/>
  <c r="C343" i="3"/>
  <c r="F343" i="3" s="1"/>
  <c r="R343" i="3"/>
  <c r="Q343" i="3"/>
  <c r="G343" i="3"/>
  <c r="AA344" i="3" s="1"/>
  <c r="O340" i="5"/>
  <c r="I340" i="5"/>
  <c r="U340" i="5" s="1"/>
  <c r="X342" i="3"/>
  <c r="R340" i="6"/>
  <c r="M340" i="6"/>
  <c r="C340" i="6"/>
  <c r="G340" i="6"/>
  <c r="AA341" i="6" s="1"/>
  <c r="E340" i="6"/>
  <c r="Q340" i="6"/>
  <c r="D340" i="6"/>
  <c r="J340" i="5" l="1"/>
  <c r="K340" i="5" s="1"/>
  <c r="W340" i="5" s="1"/>
  <c r="F340" i="6"/>
  <c r="O340" i="6"/>
  <c r="O343" i="3"/>
  <c r="P343" i="3"/>
  <c r="P340" i="6"/>
  <c r="H340" i="6"/>
  <c r="L340" i="5"/>
  <c r="V343" i="4"/>
  <c r="N343" i="4"/>
  <c r="H343" i="3"/>
  <c r="I343" i="3" s="1"/>
  <c r="U343" i="3" l="1"/>
  <c r="J343" i="3"/>
  <c r="K343" i="3" s="1"/>
  <c r="W343" i="3" s="1"/>
  <c r="T343" i="4"/>
  <c r="X343" i="4"/>
  <c r="L343" i="3"/>
  <c r="V340" i="5"/>
  <c r="N340" i="5"/>
  <c r="T340" i="5" s="1"/>
  <c r="Z343" i="4"/>
  <c r="I340" i="6"/>
  <c r="R341" i="5" l="1"/>
  <c r="G341" i="5"/>
  <c r="AA342" i="5" s="1"/>
  <c r="E341" i="5"/>
  <c r="D341" i="5"/>
  <c r="C341" i="5"/>
  <c r="Q341" i="5"/>
  <c r="M341" i="5"/>
  <c r="V343" i="3"/>
  <c r="N343" i="3"/>
  <c r="T343" i="3" s="1"/>
  <c r="U340" i="6"/>
  <c r="J340" i="6"/>
  <c r="K340" i="6" s="1"/>
  <c r="W340" i="6" s="1"/>
  <c r="D344" i="4"/>
  <c r="M344" i="4"/>
  <c r="C344" i="4"/>
  <c r="F344" i="4" s="1"/>
  <c r="E344" i="4"/>
  <c r="Q344" i="4"/>
  <c r="R344" i="4"/>
  <c r="G344" i="4"/>
  <c r="AA345" i="4" s="1"/>
  <c r="L340" i="6"/>
  <c r="X340" i="5"/>
  <c r="Z340" i="5"/>
  <c r="P344" i="4" l="1"/>
  <c r="P341" i="5"/>
  <c r="O344" i="4"/>
  <c r="R344" i="3"/>
  <c r="Q344" i="3"/>
  <c r="G344" i="3"/>
  <c r="AA345" i="3" s="1"/>
  <c r="E344" i="3"/>
  <c r="D344" i="3"/>
  <c r="C344" i="3"/>
  <c r="H344" i="4"/>
  <c r="I344" i="4" s="1"/>
  <c r="U344" i="4" s="1"/>
  <c r="X343" i="3"/>
  <c r="Z343" i="3"/>
  <c r="F341" i="5"/>
  <c r="H341" i="5" s="1"/>
  <c r="V340" i="6"/>
  <c r="N340" i="6"/>
  <c r="P344" i="3" l="1"/>
  <c r="F344" i="3"/>
  <c r="H344" i="3"/>
  <c r="T340" i="6"/>
  <c r="X340" i="6"/>
  <c r="L344" i="4"/>
  <c r="J344" i="4"/>
  <c r="K344" i="4" s="1"/>
  <c r="W344" i="4" s="1"/>
  <c r="O341" i="5"/>
  <c r="I341" i="5"/>
  <c r="U341" i="5" s="1"/>
  <c r="O344" i="3"/>
  <c r="V344" i="4" l="1"/>
  <c r="N344" i="4"/>
  <c r="T344" i="4" s="1"/>
  <c r="I344" i="3"/>
  <c r="L344" i="3" s="1"/>
  <c r="X344" i="4"/>
  <c r="R341" i="6"/>
  <c r="G341" i="6"/>
  <c r="AA342" i="6" s="1"/>
  <c r="Q341" i="6"/>
  <c r="E341" i="6"/>
  <c r="M341" i="6"/>
  <c r="C341" i="6"/>
  <c r="D341" i="6"/>
  <c r="Z340" i="6"/>
  <c r="J341" i="5"/>
  <c r="Z344" i="4"/>
  <c r="L341" i="5"/>
  <c r="F341" i="6" l="1"/>
  <c r="P341" i="6"/>
  <c r="H341" i="6"/>
  <c r="O341" i="6"/>
  <c r="V344" i="3"/>
  <c r="N344" i="3"/>
  <c r="I341" i="6"/>
  <c r="U341" i="6" s="1"/>
  <c r="V341" i="5"/>
  <c r="N341" i="5"/>
  <c r="K341" i="5"/>
  <c r="W341" i="5" s="1"/>
  <c r="Q345" i="4"/>
  <c r="G345" i="4"/>
  <c r="AA346" i="4" s="1"/>
  <c r="E345" i="4"/>
  <c r="R345" i="4"/>
  <c r="M345" i="4"/>
  <c r="C345" i="4"/>
  <c r="D345" i="4"/>
  <c r="U344" i="3"/>
  <c r="J344" i="3"/>
  <c r="K344" i="3" s="1"/>
  <c r="W344" i="3" s="1"/>
  <c r="P345" i="4" l="1"/>
  <c r="X341" i="5"/>
  <c r="F345" i="4"/>
  <c r="O345" i="4" s="1"/>
  <c r="J341" i="6"/>
  <c r="T344" i="3"/>
  <c r="X344" i="3"/>
  <c r="L341" i="6"/>
  <c r="T341" i="5"/>
  <c r="H345" i="4" l="1"/>
  <c r="I345" i="4" s="1"/>
  <c r="D345" i="3"/>
  <c r="C345" i="3"/>
  <c r="Q345" i="3"/>
  <c r="E345" i="3"/>
  <c r="R345" i="3"/>
  <c r="G345" i="3"/>
  <c r="AA346" i="3" s="1"/>
  <c r="Z344" i="3"/>
  <c r="U345" i="4"/>
  <c r="J345" i="4"/>
  <c r="V341" i="6"/>
  <c r="N341" i="6"/>
  <c r="K341" i="6"/>
  <c r="W341" i="6" s="1"/>
  <c r="L345" i="4"/>
  <c r="X341" i="6"/>
  <c r="M342" i="5"/>
  <c r="R342" i="5"/>
  <c r="Q342" i="5"/>
  <c r="E342" i="5"/>
  <c r="D342" i="5"/>
  <c r="G342" i="5"/>
  <c r="AA343" i="5" s="1"/>
  <c r="C342" i="5"/>
  <c r="Z341" i="5"/>
  <c r="F342" i="5" l="1"/>
  <c r="K345" i="4"/>
  <c r="W345" i="4" s="1"/>
  <c r="F345" i="3"/>
  <c r="V345" i="4"/>
  <c r="N345" i="4"/>
  <c r="T345" i="4" s="1"/>
  <c r="P342" i="5"/>
  <c r="P345" i="3"/>
  <c r="H342" i="5"/>
  <c r="T341" i="6"/>
  <c r="Z345" i="4" l="1"/>
  <c r="R346" i="4"/>
  <c r="E346" i="4"/>
  <c r="D346" i="4"/>
  <c r="G346" i="4"/>
  <c r="AA347" i="4" s="1"/>
  <c r="C346" i="4"/>
  <c r="P346" i="4" s="1"/>
  <c r="Q346" i="4"/>
  <c r="M346" i="4"/>
  <c r="D342" i="6"/>
  <c r="M342" i="6"/>
  <c r="C342" i="6"/>
  <c r="G342" i="6"/>
  <c r="AA343" i="6" s="1"/>
  <c r="E342" i="6"/>
  <c r="P342" i="6" s="1"/>
  <c r="R342" i="6"/>
  <c r="Q342" i="6"/>
  <c r="Z341" i="6"/>
  <c r="O345" i="3"/>
  <c r="L342" i="5"/>
  <c r="O342" i="5"/>
  <c r="H345" i="3"/>
  <c r="I345" i="3" s="1"/>
  <c r="U345" i="3" s="1"/>
  <c r="X345" i="4"/>
  <c r="I342" i="5"/>
  <c r="U342" i="5" s="1"/>
  <c r="F346" i="4" l="1"/>
  <c r="H346" i="4"/>
  <c r="J345" i="3"/>
  <c r="K345" i="3" s="1"/>
  <c r="W345" i="3" s="1"/>
  <c r="F342" i="6"/>
  <c r="L345" i="3"/>
  <c r="I346" i="4"/>
  <c r="U346" i="4" s="1"/>
  <c r="V342" i="5"/>
  <c r="N342" i="5"/>
  <c r="J346" i="4"/>
  <c r="O346" i="4"/>
  <c r="J342" i="5"/>
  <c r="L346" i="4" l="1"/>
  <c r="O342" i="6"/>
  <c r="H342" i="6"/>
  <c r="I342" i="6" s="1"/>
  <c r="U342" i="6" s="1"/>
  <c r="K342" i="5"/>
  <c r="W342" i="5" s="1"/>
  <c r="V346" i="4"/>
  <c r="N346" i="4"/>
  <c r="V345" i="3"/>
  <c r="N345" i="3"/>
  <c r="T345" i="3" s="1"/>
  <c r="K346" i="4"/>
  <c r="W346" i="4" s="1"/>
  <c r="T342" i="5"/>
  <c r="L342" i="6" l="1"/>
  <c r="Z345" i="3"/>
  <c r="X346" i="4"/>
  <c r="X345" i="3"/>
  <c r="D343" i="5"/>
  <c r="C343" i="5"/>
  <c r="M343" i="5"/>
  <c r="Q343" i="5"/>
  <c r="E343" i="5"/>
  <c r="P343" i="5" s="1"/>
  <c r="G343" i="5"/>
  <c r="AA344" i="5" s="1"/>
  <c r="R343" i="5"/>
  <c r="J342" i="6"/>
  <c r="K342" i="6" s="1"/>
  <c r="W342" i="6" s="1"/>
  <c r="D346" i="3"/>
  <c r="C346" i="3"/>
  <c r="G346" i="3"/>
  <c r="AA347" i="3" s="1"/>
  <c r="R346" i="3"/>
  <c r="E346" i="3"/>
  <c r="P346" i="3" s="1"/>
  <c r="Q346" i="3"/>
  <c r="T346" i="4"/>
  <c r="Z346" i="4" s="1"/>
  <c r="X342" i="5"/>
  <c r="Z342" i="5"/>
  <c r="F343" i="5" l="1"/>
  <c r="O343" i="5"/>
  <c r="H343" i="5"/>
  <c r="F346" i="3"/>
  <c r="H346" i="3" s="1"/>
  <c r="M347" i="4"/>
  <c r="C347" i="4"/>
  <c r="D347" i="4"/>
  <c r="G347" i="4"/>
  <c r="AA348" i="4" s="1"/>
  <c r="E347" i="4"/>
  <c r="P347" i="4" s="1"/>
  <c r="R347" i="4"/>
  <c r="Q347" i="4"/>
  <c r="V342" i="6"/>
  <c r="N342" i="6"/>
  <c r="F347" i="4" l="1"/>
  <c r="O347" i="4" s="1"/>
  <c r="H347" i="4"/>
  <c r="I346" i="3"/>
  <c r="U346" i="3" s="1"/>
  <c r="I343" i="5"/>
  <c r="O346" i="3"/>
  <c r="T342" i="6"/>
  <c r="X342" i="6"/>
  <c r="U343" i="5" l="1"/>
  <c r="J343" i="5"/>
  <c r="K343" i="5" s="1"/>
  <c r="W343" i="5" s="1"/>
  <c r="L343" i="5"/>
  <c r="Q343" i="6"/>
  <c r="G343" i="6"/>
  <c r="AA344" i="6" s="1"/>
  <c r="R343" i="6"/>
  <c r="M343" i="6"/>
  <c r="C343" i="6"/>
  <c r="F343" i="6" s="1"/>
  <c r="O343" i="6" s="1"/>
  <c r="D343" i="6"/>
  <c r="E343" i="6"/>
  <c r="Z342" i="6"/>
  <c r="L346" i="3"/>
  <c r="J346" i="3"/>
  <c r="K346" i="3" s="1"/>
  <c r="W346" i="3" s="1"/>
  <c r="I347" i="4"/>
  <c r="P343" i="6" l="1"/>
  <c r="V346" i="3"/>
  <c r="N346" i="3"/>
  <c r="T346" i="3" s="1"/>
  <c r="U347" i="4"/>
  <c r="J347" i="4"/>
  <c r="K347" i="4" s="1"/>
  <c r="W347" i="4" s="1"/>
  <c r="L347" i="4"/>
  <c r="V343" i="5"/>
  <c r="N343" i="5"/>
  <c r="H343" i="6"/>
  <c r="V347" i="4" l="1"/>
  <c r="N347" i="4"/>
  <c r="T347" i="4" s="1"/>
  <c r="Q347" i="3"/>
  <c r="G347" i="3"/>
  <c r="AA348" i="3" s="1"/>
  <c r="E347" i="3"/>
  <c r="P347" i="3" s="1"/>
  <c r="D347" i="3"/>
  <c r="C347" i="3"/>
  <c r="F347" i="3" s="1"/>
  <c r="O347" i="3" s="1"/>
  <c r="R347" i="3"/>
  <c r="Z347" i="4"/>
  <c r="X346" i="3"/>
  <c r="X347" i="4"/>
  <c r="I343" i="6"/>
  <c r="L343" i="6" s="1"/>
  <c r="T343" i="5"/>
  <c r="Z343" i="5"/>
  <c r="X343" i="5"/>
  <c r="Z346" i="3"/>
  <c r="V343" i="6" l="1"/>
  <c r="N343" i="6"/>
  <c r="E348" i="4"/>
  <c r="D348" i="4"/>
  <c r="Q348" i="4"/>
  <c r="G348" i="4"/>
  <c r="AA349" i="4" s="1"/>
  <c r="M348" i="4"/>
  <c r="R348" i="4"/>
  <c r="C348" i="4"/>
  <c r="Q344" i="5"/>
  <c r="G344" i="5"/>
  <c r="AA345" i="5" s="1"/>
  <c r="C344" i="5"/>
  <c r="M344" i="5"/>
  <c r="R344" i="5"/>
  <c r="D344" i="5"/>
  <c r="E344" i="5"/>
  <c r="P344" i="5" s="1"/>
  <c r="U343" i="6"/>
  <c r="J343" i="6"/>
  <c r="K343" i="6" s="1"/>
  <c r="W343" i="6" s="1"/>
  <c r="H347" i="3"/>
  <c r="F348" i="4" l="1"/>
  <c r="T343" i="6"/>
  <c r="G344" i="6" s="1"/>
  <c r="AA345" i="6" s="1"/>
  <c r="O348" i="4"/>
  <c r="H348" i="4"/>
  <c r="F344" i="5"/>
  <c r="P348" i="4"/>
  <c r="D344" i="6"/>
  <c r="C344" i="6"/>
  <c r="M344" i="6"/>
  <c r="E344" i="6"/>
  <c r="P344" i="6" s="1"/>
  <c r="Q344" i="6"/>
  <c r="Z343" i="6"/>
  <c r="X343" i="6"/>
  <c r="I347" i="3"/>
  <c r="L347" i="3" s="1"/>
  <c r="R344" i="6" l="1"/>
  <c r="F344" i="6"/>
  <c r="I348" i="4"/>
  <c r="V347" i="3"/>
  <c r="N347" i="3"/>
  <c r="H344" i="6"/>
  <c r="H344" i="5"/>
  <c r="O344" i="5"/>
  <c r="U347" i="3"/>
  <c r="J347" i="3"/>
  <c r="K347" i="3" l="1"/>
  <c r="W347" i="3" s="1"/>
  <c r="T347" i="3"/>
  <c r="U348" i="4"/>
  <c r="J348" i="4"/>
  <c r="O344" i="6"/>
  <c r="I344" i="5"/>
  <c r="L344" i="5" s="1"/>
  <c r="L348" i="4"/>
  <c r="X347" i="3"/>
  <c r="I344" i="6"/>
  <c r="U344" i="6" s="1"/>
  <c r="G348" i="3" l="1"/>
  <c r="AA349" i="3" s="1"/>
  <c r="R348" i="3"/>
  <c r="C348" i="3"/>
  <c r="Q348" i="3"/>
  <c r="E348" i="3"/>
  <c r="P348" i="3" s="1"/>
  <c r="D348" i="3"/>
  <c r="K348" i="4"/>
  <c r="W348" i="4" s="1"/>
  <c r="V348" i="4"/>
  <c r="N348" i="4"/>
  <c r="Z347" i="3"/>
  <c r="U344" i="5"/>
  <c r="J344" i="5"/>
  <c r="V344" i="5"/>
  <c r="N344" i="5"/>
  <c r="L344" i="6"/>
  <c r="J344" i="6"/>
  <c r="F348" i="3" l="1"/>
  <c r="H348" i="3" s="1"/>
  <c r="V344" i="6"/>
  <c r="N344" i="6"/>
  <c r="K344" i="5"/>
  <c r="W344" i="5" s="1"/>
  <c r="X348" i="4"/>
  <c r="K344" i="6"/>
  <c r="X344" i="6"/>
  <c r="O348" i="3"/>
  <c r="T348" i="4"/>
  <c r="Z348" i="4" s="1"/>
  <c r="X344" i="5" l="1"/>
  <c r="I348" i="3"/>
  <c r="U348" i="3" s="1"/>
  <c r="W344" i="6"/>
  <c r="R349" i="4"/>
  <c r="Q349" i="4"/>
  <c r="G349" i="4"/>
  <c r="AA350" i="4" s="1"/>
  <c r="C349" i="4"/>
  <c r="D349" i="4"/>
  <c r="M349" i="4"/>
  <c r="E349" i="4"/>
  <c r="P349" i="4" s="1"/>
  <c r="T344" i="6"/>
  <c r="J348" i="3"/>
  <c r="K348" i="3" s="1"/>
  <c r="W348" i="3" s="1"/>
  <c r="T344" i="5"/>
  <c r="L348" i="3"/>
  <c r="F349" i="4" l="1"/>
  <c r="O349" i="4"/>
  <c r="M345" i="6"/>
  <c r="C345" i="6"/>
  <c r="Q345" i="6"/>
  <c r="R345" i="6"/>
  <c r="D345" i="6"/>
  <c r="G345" i="6"/>
  <c r="AA346" i="6" s="1"/>
  <c r="E345" i="6"/>
  <c r="F345" i="6" s="1"/>
  <c r="V348" i="3"/>
  <c r="N348" i="3"/>
  <c r="T348" i="3" s="1"/>
  <c r="H349" i="4"/>
  <c r="Z348" i="3"/>
  <c r="G345" i="5"/>
  <c r="AA346" i="5" s="1"/>
  <c r="M345" i="5"/>
  <c r="E345" i="5"/>
  <c r="P345" i="5" s="1"/>
  <c r="D345" i="5"/>
  <c r="R345" i="5"/>
  <c r="Q345" i="5"/>
  <c r="C345" i="5"/>
  <c r="Z344" i="5"/>
  <c r="Z344" i="6"/>
  <c r="X348" i="3"/>
  <c r="H345" i="6" l="1"/>
  <c r="I345" i="6"/>
  <c r="U345" i="6" s="1"/>
  <c r="F345" i="5"/>
  <c r="O345" i="6"/>
  <c r="P345" i="6"/>
  <c r="L349" i="4"/>
  <c r="C349" i="3"/>
  <c r="R349" i="3"/>
  <c r="G349" i="3"/>
  <c r="AA350" i="3" s="1"/>
  <c r="Q349" i="3"/>
  <c r="E349" i="3"/>
  <c r="D349" i="3"/>
  <c r="H345" i="5"/>
  <c r="I349" i="4"/>
  <c r="J345" i="6" l="1"/>
  <c r="K345" i="6" s="1"/>
  <c r="F349" i="3"/>
  <c r="W345" i="6"/>
  <c r="O349" i="3"/>
  <c r="H349" i="3"/>
  <c r="I349" i="3" s="1"/>
  <c r="U349" i="3" s="1"/>
  <c r="P349" i="3"/>
  <c r="L345" i="5"/>
  <c r="V349" i="4"/>
  <c r="N349" i="4"/>
  <c r="L345" i="6"/>
  <c r="O345" i="5"/>
  <c r="I345" i="5"/>
  <c r="U345" i="5" s="1"/>
  <c r="U349" i="4"/>
  <c r="J349" i="4"/>
  <c r="V345" i="5" l="1"/>
  <c r="N345" i="5"/>
  <c r="J345" i="5"/>
  <c r="K345" i="5" s="1"/>
  <c r="W345" i="5" s="1"/>
  <c r="V345" i="6"/>
  <c r="N345" i="6"/>
  <c r="T345" i="6" s="1"/>
  <c r="L349" i="3"/>
  <c r="J349" i="3"/>
  <c r="K349" i="3" s="1"/>
  <c r="W349" i="3" s="1"/>
  <c r="K349" i="4"/>
  <c r="W349" i="4" s="1"/>
  <c r="X349" i="4"/>
  <c r="T349" i="4" l="1"/>
  <c r="V349" i="3"/>
  <c r="N349" i="3"/>
  <c r="T349" i="3" s="1"/>
  <c r="Q346" i="6"/>
  <c r="E346" i="6"/>
  <c r="P346" i="6" s="1"/>
  <c r="D346" i="6"/>
  <c r="C346" i="6"/>
  <c r="R346" i="6"/>
  <c r="G346" i="6"/>
  <c r="AA347" i="6" s="1"/>
  <c r="M346" i="6"/>
  <c r="M350" i="4"/>
  <c r="C350" i="4"/>
  <c r="G350" i="4"/>
  <c r="AA351" i="4" s="1"/>
  <c r="R350" i="4"/>
  <c r="D350" i="4"/>
  <c r="Q350" i="4"/>
  <c r="E350" i="4"/>
  <c r="P350" i="4"/>
  <c r="Z345" i="6"/>
  <c r="Z349" i="4"/>
  <c r="X349" i="3"/>
  <c r="T345" i="5"/>
  <c r="Z345" i="5" s="1"/>
  <c r="X345" i="5"/>
  <c r="X345" i="6"/>
  <c r="Z349" i="3" l="1"/>
  <c r="F350" i="4"/>
  <c r="F346" i="6"/>
  <c r="H346" i="6"/>
  <c r="E350" i="3"/>
  <c r="Q350" i="3"/>
  <c r="C350" i="3"/>
  <c r="R350" i="3"/>
  <c r="D350" i="3"/>
  <c r="G350" i="3"/>
  <c r="AA351" i="3" s="1"/>
  <c r="M346" i="5"/>
  <c r="C346" i="5"/>
  <c r="P346" i="5"/>
  <c r="E346" i="5"/>
  <c r="G346" i="5"/>
  <c r="AA347" i="5" s="1"/>
  <c r="R346" i="5"/>
  <c r="Q346" i="5"/>
  <c r="D346" i="5"/>
  <c r="I346" i="6" l="1"/>
  <c r="U346" i="6" s="1"/>
  <c r="P350" i="3"/>
  <c r="L346" i="6"/>
  <c r="J346" i="6"/>
  <c r="K346" i="6" s="1"/>
  <c r="W346" i="6" s="1"/>
  <c r="O346" i="6"/>
  <c r="F346" i="5"/>
  <c r="O350" i="4"/>
  <c r="H346" i="5"/>
  <c r="I346" i="5" s="1"/>
  <c r="U346" i="5" s="1"/>
  <c r="H350" i="4"/>
  <c r="I350" i="4" s="1"/>
  <c r="U350" i="4" s="1"/>
  <c r="F350" i="3"/>
  <c r="H350" i="3" l="1"/>
  <c r="I350" i="3" s="1"/>
  <c r="L346" i="5"/>
  <c r="J350" i="4"/>
  <c r="K350" i="4" s="1"/>
  <c r="W350" i="4" s="1"/>
  <c r="V346" i="6"/>
  <c r="N346" i="6"/>
  <c r="T346" i="6" s="1"/>
  <c r="O350" i="3"/>
  <c r="L350" i="4"/>
  <c r="J346" i="5"/>
  <c r="K346" i="5" s="1"/>
  <c r="W346" i="5" s="1"/>
  <c r="O346" i="5"/>
  <c r="U350" i="3" l="1"/>
  <c r="L350" i="3"/>
  <c r="J350" i="3"/>
  <c r="K350" i="3" s="1"/>
  <c r="W350" i="3" s="1"/>
  <c r="V350" i="3"/>
  <c r="N350" i="3"/>
  <c r="T350" i="3" s="1"/>
  <c r="M347" i="6"/>
  <c r="Q347" i="6"/>
  <c r="R347" i="6"/>
  <c r="C347" i="6"/>
  <c r="P347" i="6" s="1"/>
  <c r="E347" i="6"/>
  <c r="D347" i="6"/>
  <c r="G347" i="6"/>
  <c r="AA348" i="6" s="1"/>
  <c r="X346" i="6"/>
  <c r="Z346" i="6"/>
  <c r="V350" i="4"/>
  <c r="N350" i="4"/>
  <c r="X350" i="4"/>
  <c r="X350" i="3"/>
  <c r="V346" i="5"/>
  <c r="N346" i="5"/>
  <c r="T346" i="5" s="1"/>
  <c r="Z350" i="3" l="1"/>
  <c r="R347" i="5"/>
  <c r="E347" i="5"/>
  <c r="Q347" i="5"/>
  <c r="D347" i="5"/>
  <c r="C347" i="5"/>
  <c r="G347" i="5"/>
  <c r="AA348" i="5" s="1"/>
  <c r="M347" i="5"/>
  <c r="F347" i="6"/>
  <c r="H347" i="6" s="1"/>
  <c r="X346" i="5"/>
  <c r="T350" i="4"/>
  <c r="Z350" i="4"/>
  <c r="R351" i="3"/>
  <c r="E351" i="3"/>
  <c r="D351" i="3"/>
  <c r="Q351" i="3"/>
  <c r="C351" i="3"/>
  <c r="P351" i="3"/>
  <c r="G351" i="3"/>
  <c r="AA352" i="3" s="1"/>
  <c r="Z346" i="5"/>
  <c r="F347" i="5" l="1"/>
  <c r="I347" i="6"/>
  <c r="U347" i="6" s="1"/>
  <c r="H347" i="5"/>
  <c r="I347" i="5" s="1"/>
  <c r="U347" i="5" s="1"/>
  <c r="O347" i="5"/>
  <c r="P347" i="5"/>
  <c r="L347" i="6"/>
  <c r="E351" i="4"/>
  <c r="F351" i="4" s="1"/>
  <c r="O351" i="4" s="1"/>
  <c r="D351" i="4"/>
  <c r="M351" i="4"/>
  <c r="C351" i="4"/>
  <c r="Q351" i="4"/>
  <c r="R351" i="4"/>
  <c r="G351" i="4"/>
  <c r="AA352" i="4" s="1"/>
  <c r="F351" i="3"/>
  <c r="J347" i="6"/>
  <c r="K347" i="6" s="1"/>
  <c r="W347" i="6" s="1"/>
  <c r="O347" i="6"/>
  <c r="P351" i="4" l="1"/>
  <c r="V347" i="6"/>
  <c r="N347" i="6"/>
  <c r="T347" i="6" s="1"/>
  <c r="H351" i="3"/>
  <c r="O351" i="3"/>
  <c r="I351" i="3"/>
  <c r="U351" i="3" s="1"/>
  <c r="H351" i="4"/>
  <c r="L347" i="5"/>
  <c r="J347" i="5"/>
  <c r="K347" i="5" s="1"/>
  <c r="W347" i="5" s="1"/>
  <c r="X347" i="6" l="1"/>
  <c r="L351" i="3"/>
  <c r="R348" i="6"/>
  <c r="G348" i="6"/>
  <c r="AA349" i="6" s="1"/>
  <c r="Q348" i="6"/>
  <c r="E348" i="6"/>
  <c r="P348" i="6" s="1"/>
  <c r="D348" i="6"/>
  <c r="C348" i="6"/>
  <c r="F348" i="6" s="1"/>
  <c r="M348" i="6"/>
  <c r="I351" i="4"/>
  <c r="L351" i="4" s="1"/>
  <c r="Z347" i="6"/>
  <c r="V347" i="5"/>
  <c r="N347" i="5"/>
  <c r="J351" i="3"/>
  <c r="K351" i="3" s="1"/>
  <c r="W351" i="3" s="1"/>
  <c r="O348" i="6" l="1"/>
  <c r="T347" i="5"/>
  <c r="Z347" i="5"/>
  <c r="X347" i="5"/>
  <c r="V351" i="3"/>
  <c r="N351" i="3"/>
  <c r="T351" i="3" s="1"/>
  <c r="V351" i="4"/>
  <c r="N351" i="4"/>
  <c r="U351" i="4"/>
  <c r="J351" i="4"/>
  <c r="K351" i="4" s="1"/>
  <c r="W351" i="4" s="1"/>
  <c r="H348" i="6"/>
  <c r="Z351" i="3" l="1"/>
  <c r="X351" i="3"/>
  <c r="X351" i="4"/>
  <c r="Q348" i="5"/>
  <c r="C348" i="5"/>
  <c r="M348" i="5"/>
  <c r="D348" i="5"/>
  <c r="G348" i="5"/>
  <c r="AA349" i="5" s="1"/>
  <c r="E348" i="5"/>
  <c r="P348" i="5" s="1"/>
  <c r="R348" i="5"/>
  <c r="T351" i="4"/>
  <c r="Z351" i="4" s="1"/>
  <c r="G352" i="3"/>
  <c r="AA353" i="3" s="1"/>
  <c r="E352" i="3"/>
  <c r="D352" i="3"/>
  <c r="R352" i="3"/>
  <c r="C352" i="3"/>
  <c r="Q352" i="3"/>
  <c r="P352" i="3"/>
  <c r="I348" i="6"/>
  <c r="U348" i="6" l="1"/>
  <c r="J348" i="6"/>
  <c r="K348" i="6" s="1"/>
  <c r="W348" i="6" s="1"/>
  <c r="F348" i="5"/>
  <c r="L348" i="6"/>
  <c r="F352" i="3"/>
  <c r="R352" i="4"/>
  <c r="Q352" i="4"/>
  <c r="G352" i="4"/>
  <c r="AA353" i="4" s="1"/>
  <c r="M352" i="4"/>
  <c r="C352" i="4"/>
  <c r="F352" i="4" s="1"/>
  <c r="E352" i="4"/>
  <c r="D352" i="4"/>
  <c r="O352" i="4" l="1"/>
  <c r="O348" i="5"/>
  <c r="H348" i="5"/>
  <c r="I348" i="5" s="1"/>
  <c r="U348" i="5" s="1"/>
  <c r="H352" i="3"/>
  <c r="O352" i="3"/>
  <c r="V348" i="6"/>
  <c r="N348" i="6"/>
  <c r="T348" i="6" s="1"/>
  <c r="P352" i="4"/>
  <c r="H352" i="4"/>
  <c r="Z348" i="6" l="1"/>
  <c r="X348" i="6"/>
  <c r="I352" i="3"/>
  <c r="L348" i="5"/>
  <c r="I352" i="4"/>
  <c r="J348" i="5"/>
  <c r="E349" i="6"/>
  <c r="P349" i="6" s="1"/>
  <c r="M349" i="6"/>
  <c r="C349" i="6"/>
  <c r="Q349" i="6"/>
  <c r="R349" i="6"/>
  <c r="D349" i="6"/>
  <c r="G349" i="6"/>
  <c r="AA350" i="6" s="1"/>
  <c r="F349" i="6" l="1"/>
  <c r="O349" i="6"/>
  <c r="V348" i="5"/>
  <c r="N348" i="5"/>
  <c r="U352" i="4"/>
  <c r="J352" i="4"/>
  <c r="U352" i="3"/>
  <c r="J352" i="3"/>
  <c r="K348" i="5"/>
  <c r="H349" i="6"/>
  <c r="L352" i="4"/>
  <c r="L352" i="3"/>
  <c r="T348" i="5" l="1"/>
  <c r="K352" i="4"/>
  <c r="W352" i="4" s="1"/>
  <c r="V352" i="4"/>
  <c r="N352" i="4"/>
  <c r="T352" i="4" s="1"/>
  <c r="M349" i="5"/>
  <c r="R349" i="5"/>
  <c r="Q349" i="5"/>
  <c r="C349" i="5"/>
  <c r="G349" i="5"/>
  <c r="AA350" i="5" s="1"/>
  <c r="E349" i="5"/>
  <c r="P349" i="5" s="1"/>
  <c r="D349" i="5"/>
  <c r="K352" i="3"/>
  <c r="V352" i="3"/>
  <c r="N352" i="3"/>
  <c r="T352" i="3" s="1"/>
  <c r="Z348" i="5"/>
  <c r="W348" i="5"/>
  <c r="X348" i="5"/>
  <c r="I349" i="6"/>
  <c r="L349" i="6" s="1"/>
  <c r="F349" i="5" l="1"/>
  <c r="E353" i="3"/>
  <c r="D353" i="3"/>
  <c r="G353" i="3"/>
  <c r="AA354" i="3" s="1"/>
  <c r="Q353" i="3"/>
  <c r="C353" i="3"/>
  <c r="R353" i="3"/>
  <c r="E353" i="4"/>
  <c r="P353" i="4" s="1"/>
  <c r="R353" i="4"/>
  <c r="D353" i="4"/>
  <c r="M353" i="4"/>
  <c r="C353" i="4"/>
  <c r="Q353" i="4"/>
  <c r="G353" i="4"/>
  <c r="AA354" i="4" s="1"/>
  <c r="Z352" i="3"/>
  <c r="Z352" i="4"/>
  <c r="V349" i="6"/>
  <c r="N349" i="6"/>
  <c r="W352" i="3"/>
  <c r="X352" i="3"/>
  <c r="X352" i="4"/>
  <c r="U349" i="6"/>
  <c r="J349" i="6"/>
  <c r="F353" i="4" l="1"/>
  <c r="P353" i="3"/>
  <c r="H353" i="4"/>
  <c r="F353" i="3"/>
  <c r="K349" i="6"/>
  <c r="W349" i="6" s="1"/>
  <c r="X349" i="6"/>
  <c r="O353" i="4"/>
  <c r="H349" i="5"/>
  <c r="I349" i="5" s="1"/>
  <c r="O349" i="5"/>
  <c r="U349" i="5" l="1"/>
  <c r="J349" i="5"/>
  <c r="K349" i="5" s="1"/>
  <c r="W349" i="5" s="1"/>
  <c r="T349" i="6"/>
  <c r="E350" i="6" s="1"/>
  <c r="O353" i="3"/>
  <c r="H353" i="3"/>
  <c r="I353" i="3"/>
  <c r="U353" i="3" s="1"/>
  <c r="R350" i="6"/>
  <c r="G350" i="6"/>
  <c r="AA351" i="6" s="1"/>
  <c r="Q350" i="6"/>
  <c r="M350" i="6"/>
  <c r="L349" i="5"/>
  <c r="I353" i="4"/>
  <c r="Z349" i="6" l="1"/>
  <c r="C350" i="6"/>
  <c r="P350" i="6" s="1"/>
  <c r="D350" i="6"/>
  <c r="J353" i="3"/>
  <c r="K353" i="3" s="1"/>
  <c r="W353" i="3" s="1"/>
  <c r="L353" i="3"/>
  <c r="V349" i="5"/>
  <c r="N349" i="5"/>
  <c r="F350" i="6"/>
  <c r="U353" i="4"/>
  <c r="J353" i="4"/>
  <c r="L353" i="4"/>
  <c r="O350" i="6" l="1"/>
  <c r="H350" i="6"/>
  <c r="T349" i="5"/>
  <c r="Z349" i="5"/>
  <c r="X349" i="5"/>
  <c r="V353" i="3"/>
  <c r="N353" i="3"/>
  <c r="T353" i="3" s="1"/>
  <c r="V353" i="4"/>
  <c r="N353" i="4"/>
  <c r="K353" i="4"/>
  <c r="W353" i="4" s="1"/>
  <c r="I350" i="6"/>
  <c r="U350" i="6" s="1"/>
  <c r="X353" i="4" l="1"/>
  <c r="X353" i="3"/>
  <c r="L350" i="6"/>
  <c r="J350" i="6"/>
  <c r="R354" i="3"/>
  <c r="Q354" i="3"/>
  <c r="G354" i="3"/>
  <c r="AA355" i="3" s="1"/>
  <c r="P354" i="3"/>
  <c r="D354" i="3"/>
  <c r="C354" i="3"/>
  <c r="E354" i="3"/>
  <c r="F354" i="3" s="1"/>
  <c r="O354" i="3" s="1"/>
  <c r="E350" i="5"/>
  <c r="P350" i="5" s="1"/>
  <c r="G350" i="5"/>
  <c r="AA351" i="5" s="1"/>
  <c r="F350" i="5"/>
  <c r="D350" i="5"/>
  <c r="C350" i="5"/>
  <c r="M350" i="5"/>
  <c r="R350" i="5"/>
  <c r="Q350" i="5"/>
  <c r="T353" i="4"/>
  <c r="Z353" i="3"/>
  <c r="H354" i="3" l="1"/>
  <c r="H350" i="5"/>
  <c r="I350" i="5"/>
  <c r="U350" i="5" s="1"/>
  <c r="J350" i="5"/>
  <c r="K350" i="5" s="1"/>
  <c r="W350" i="5" s="1"/>
  <c r="O350" i="5"/>
  <c r="I354" i="3"/>
  <c r="K350" i="6"/>
  <c r="V350" i="6"/>
  <c r="N350" i="6"/>
  <c r="D354" i="4"/>
  <c r="M354" i="4"/>
  <c r="C354" i="4"/>
  <c r="E354" i="4"/>
  <c r="P354" i="4" s="1"/>
  <c r="G354" i="4"/>
  <c r="AA355" i="4" s="1"/>
  <c r="R354" i="4"/>
  <c r="Q354" i="4"/>
  <c r="Z353" i="4"/>
  <c r="U354" i="3" l="1"/>
  <c r="J354" i="3"/>
  <c r="K354" i="3" s="1"/>
  <c r="W354" i="3" s="1"/>
  <c r="F354" i="4"/>
  <c r="H354" i="4" s="1"/>
  <c r="L350" i="5"/>
  <c r="W350" i="6"/>
  <c r="X350" i="6"/>
  <c r="T350" i="6"/>
  <c r="L354" i="3"/>
  <c r="C351" i="6" l="1"/>
  <c r="M351" i="6"/>
  <c r="D351" i="6"/>
  <c r="E351" i="6"/>
  <c r="F351" i="6"/>
  <c r="O351" i="6" s="1"/>
  <c r="G351" i="6"/>
  <c r="AA352" i="6" s="1"/>
  <c r="R351" i="6"/>
  <c r="Q351" i="6"/>
  <c r="Z350" i="6"/>
  <c r="O354" i="4"/>
  <c r="V354" i="3"/>
  <c r="N354" i="3"/>
  <c r="T354" i="3" s="1"/>
  <c r="V350" i="5"/>
  <c r="N350" i="5"/>
  <c r="T350" i="5" s="1"/>
  <c r="I354" i="4"/>
  <c r="U354" i="4" s="1"/>
  <c r="J354" i="4" l="1"/>
  <c r="K354" i="4" s="1"/>
  <c r="W354" i="4" s="1"/>
  <c r="L354" i="4"/>
  <c r="R351" i="5"/>
  <c r="M351" i="5"/>
  <c r="Q351" i="5"/>
  <c r="E351" i="5"/>
  <c r="F351" i="5" s="1"/>
  <c r="P351" i="5"/>
  <c r="D351" i="5"/>
  <c r="G351" i="5"/>
  <c r="AA352" i="5" s="1"/>
  <c r="C351" i="5"/>
  <c r="C355" i="3"/>
  <c r="G355" i="3"/>
  <c r="AA356" i="3" s="1"/>
  <c r="E355" i="3"/>
  <c r="P355" i="3" s="1"/>
  <c r="R355" i="3"/>
  <c r="D355" i="3"/>
  <c r="Q355" i="3"/>
  <c r="I351" i="6"/>
  <c r="U351" i="6" s="1"/>
  <c r="Z350" i="5"/>
  <c r="P351" i="6"/>
  <c r="H351" i="6"/>
  <c r="X350" i="5"/>
  <c r="V354" i="4"/>
  <c r="N354" i="4"/>
  <c r="X354" i="4"/>
  <c r="X354" i="3"/>
  <c r="Z354" i="3"/>
  <c r="O351" i="5" l="1"/>
  <c r="F355" i="3"/>
  <c r="L351" i="6"/>
  <c r="J351" i="6"/>
  <c r="K351" i="6" s="1"/>
  <c r="W351" i="6" s="1"/>
  <c r="T354" i="4"/>
  <c r="Z354" i="4"/>
  <c r="H351" i="5"/>
  <c r="I351" i="5" s="1"/>
  <c r="U351" i="5" s="1"/>
  <c r="V351" i="6" l="1"/>
  <c r="N351" i="6"/>
  <c r="T351" i="6" s="1"/>
  <c r="Z351" i="6"/>
  <c r="O355" i="3"/>
  <c r="Q355" i="4"/>
  <c r="G355" i="4"/>
  <c r="AA356" i="4" s="1"/>
  <c r="P355" i="4"/>
  <c r="E355" i="4"/>
  <c r="R355" i="4"/>
  <c r="M355" i="4"/>
  <c r="D355" i="4"/>
  <c r="C355" i="4"/>
  <c r="X351" i="6"/>
  <c r="L351" i="5"/>
  <c r="J351" i="5"/>
  <c r="K351" i="5" s="1"/>
  <c r="W351" i="5" s="1"/>
  <c r="H355" i="3"/>
  <c r="I355" i="3" s="1"/>
  <c r="U355" i="3" s="1"/>
  <c r="V351" i="5" l="1"/>
  <c r="N351" i="5"/>
  <c r="J355" i="3"/>
  <c r="D352" i="6"/>
  <c r="R352" i="6"/>
  <c r="G352" i="6"/>
  <c r="AA353" i="6" s="1"/>
  <c r="Q352" i="6"/>
  <c r="P352" i="6"/>
  <c r="C352" i="6"/>
  <c r="F352" i="6" s="1"/>
  <c r="O352" i="6" s="1"/>
  <c r="E352" i="6"/>
  <c r="M352" i="6"/>
  <c r="L355" i="3"/>
  <c r="F355" i="4"/>
  <c r="K355" i="3" l="1"/>
  <c r="W355" i="3" s="1"/>
  <c r="O355" i="4"/>
  <c r="V355" i="3"/>
  <c r="N355" i="3"/>
  <c r="T351" i="5"/>
  <c r="X351" i="5"/>
  <c r="Z351" i="5"/>
  <c r="X355" i="3"/>
  <c r="H352" i="6"/>
  <c r="H355" i="4"/>
  <c r="I355" i="4" s="1"/>
  <c r="U355" i="4" l="1"/>
  <c r="J355" i="4"/>
  <c r="K355" i="4" s="1"/>
  <c r="W355" i="4" s="1"/>
  <c r="R352" i="5"/>
  <c r="G352" i="5"/>
  <c r="AA353" i="5" s="1"/>
  <c r="C352" i="5"/>
  <c r="M352" i="5"/>
  <c r="D352" i="5"/>
  <c r="Q352" i="5"/>
  <c r="E352" i="5"/>
  <c r="F352" i="5" s="1"/>
  <c r="O352" i="5" s="1"/>
  <c r="I352" i="6"/>
  <c r="L352" i="6" s="1"/>
  <c r="L355" i="4"/>
  <c r="T355" i="3"/>
  <c r="V355" i="4" l="1"/>
  <c r="N355" i="4"/>
  <c r="T355" i="4" s="1"/>
  <c r="U352" i="6"/>
  <c r="J352" i="6"/>
  <c r="X355" i="4"/>
  <c r="Z355" i="4"/>
  <c r="D356" i="3"/>
  <c r="C356" i="3"/>
  <c r="G356" i="3"/>
  <c r="AA357" i="3" s="1"/>
  <c r="E356" i="3"/>
  <c r="F356" i="3" s="1"/>
  <c r="R356" i="3"/>
  <c r="Q356" i="3"/>
  <c r="Z355" i="3"/>
  <c r="H352" i="5"/>
  <c r="I352" i="5" s="1"/>
  <c r="V352" i="6"/>
  <c r="N352" i="6"/>
  <c r="P352" i="5"/>
  <c r="U352" i="5" l="1"/>
  <c r="J352" i="5"/>
  <c r="K352" i="5" s="1"/>
  <c r="W352" i="5" s="1"/>
  <c r="P356" i="3"/>
  <c r="O356" i="3"/>
  <c r="H356" i="3"/>
  <c r="K352" i="6"/>
  <c r="W352" i="6" s="1"/>
  <c r="R356" i="4"/>
  <c r="Q356" i="4"/>
  <c r="C356" i="4"/>
  <c r="P356" i="4"/>
  <c r="D356" i="4"/>
  <c r="E356" i="4"/>
  <c r="M356" i="4"/>
  <c r="G356" i="4"/>
  <c r="AA357" i="4" s="1"/>
  <c r="L352" i="5"/>
  <c r="T352" i="6" l="1"/>
  <c r="Z352" i="6" s="1"/>
  <c r="V352" i="5"/>
  <c r="N352" i="5"/>
  <c r="I356" i="3"/>
  <c r="Q353" i="6"/>
  <c r="G353" i="6"/>
  <c r="AA354" i="6" s="1"/>
  <c r="D353" i="6"/>
  <c r="C353" i="6"/>
  <c r="P353" i="6" s="1"/>
  <c r="M353" i="6"/>
  <c r="E353" i="6"/>
  <c r="R353" i="6"/>
  <c r="F356" i="4"/>
  <c r="X352" i="6"/>
  <c r="F353" i="6" l="1"/>
  <c r="H353" i="6"/>
  <c r="I353" i="6"/>
  <c r="U353" i="6" s="1"/>
  <c r="O353" i="6"/>
  <c r="J353" i="6"/>
  <c r="K353" i="6" s="1"/>
  <c r="W353" i="6" s="1"/>
  <c r="O356" i="4"/>
  <c r="T352" i="5"/>
  <c r="X352" i="5"/>
  <c r="U356" i="3"/>
  <c r="J356" i="3"/>
  <c r="H356" i="4"/>
  <c r="L356" i="3"/>
  <c r="V356" i="3" l="1"/>
  <c r="N356" i="3"/>
  <c r="K356" i="3"/>
  <c r="X356" i="3" s="1"/>
  <c r="I356" i="4"/>
  <c r="L356" i="4" s="1"/>
  <c r="L353" i="6"/>
  <c r="D353" i="5"/>
  <c r="M353" i="5"/>
  <c r="C353" i="5"/>
  <c r="R353" i="5"/>
  <c r="Q353" i="5"/>
  <c r="E353" i="5"/>
  <c r="G353" i="5"/>
  <c r="AA354" i="5" s="1"/>
  <c r="Z352" i="5"/>
  <c r="V356" i="4" l="1"/>
  <c r="N356" i="4"/>
  <c r="V353" i="6"/>
  <c r="N353" i="6"/>
  <c r="W356" i="3"/>
  <c r="T356" i="3"/>
  <c r="F353" i="5"/>
  <c r="U356" i="4"/>
  <c r="J356" i="4"/>
  <c r="P353" i="5"/>
  <c r="Q357" i="3" l="1"/>
  <c r="G357" i="3"/>
  <c r="AA358" i="3" s="1"/>
  <c r="C357" i="3"/>
  <c r="R357" i="3"/>
  <c r="D357" i="3"/>
  <c r="E357" i="3"/>
  <c r="P357" i="3" s="1"/>
  <c r="Z356" i="3"/>
  <c r="T353" i="6"/>
  <c r="X353" i="6"/>
  <c r="K356" i="4"/>
  <c r="W356" i="4" s="1"/>
  <c r="O353" i="5"/>
  <c r="H353" i="5"/>
  <c r="F357" i="3" l="1"/>
  <c r="M354" i="6"/>
  <c r="C354" i="6"/>
  <c r="R354" i="6"/>
  <c r="Q354" i="6"/>
  <c r="P354" i="6"/>
  <c r="D354" i="6"/>
  <c r="E354" i="6"/>
  <c r="F354" i="6" s="1"/>
  <c r="G354" i="6"/>
  <c r="AA355" i="6" s="1"/>
  <c r="Z353" i="6"/>
  <c r="I353" i="5"/>
  <c r="T356" i="4"/>
  <c r="X356" i="4"/>
  <c r="M357" i="4" l="1"/>
  <c r="C357" i="4"/>
  <c r="D357" i="4"/>
  <c r="E357" i="4"/>
  <c r="P357" i="4" s="1"/>
  <c r="Q357" i="4"/>
  <c r="G357" i="4"/>
  <c r="AA358" i="4" s="1"/>
  <c r="R357" i="4"/>
  <c r="Z356" i="4"/>
  <c r="U353" i="5"/>
  <c r="J353" i="5"/>
  <c r="O357" i="3"/>
  <c r="H354" i="6"/>
  <c r="H357" i="3"/>
  <c r="I357" i="3" s="1"/>
  <c r="O354" i="6"/>
  <c r="L353" i="5"/>
  <c r="U357" i="3" l="1"/>
  <c r="J357" i="3"/>
  <c r="K357" i="3" s="1"/>
  <c r="W357" i="3" s="1"/>
  <c r="F357" i="4"/>
  <c r="H357" i="4" s="1"/>
  <c r="I357" i="4"/>
  <c r="U357" i="4" s="1"/>
  <c r="O357" i="4"/>
  <c r="K353" i="5"/>
  <c r="W353" i="5" s="1"/>
  <c r="X353" i="5"/>
  <c r="V353" i="5"/>
  <c r="N353" i="5"/>
  <c r="L357" i="3"/>
  <c r="I354" i="6"/>
  <c r="J357" i="4" l="1"/>
  <c r="K357" i="4" s="1"/>
  <c r="W357" i="4"/>
  <c r="V357" i="3"/>
  <c r="N357" i="3"/>
  <c r="U354" i="6"/>
  <c r="J354" i="6"/>
  <c r="K354" i="6" s="1"/>
  <c r="W354" i="6" s="1"/>
  <c r="X357" i="3"/>
  <c r="T353" i="5"/>
  <c r="L354" i="6"/>
  <c r="L357" i="4"/>
  <c r="T357" i="3" l="1"/>
  <c r="Z357" i="3"/>
  <c r="V357" i="4"/>
  <c r="N357" i="4"/>
  <c r="V354" i="6"/>
  <c r="N354" i="6"/>
  <c r="T354" i="6" s="1"/>
  <c r="Q354" i="5"/>
  <c r="G354" i="5"/>
  <c r="AA355" i="5" s="1"/>
  <c r="M354" i="5"/>
  <c r="E354" i="5"/>
  <c r="P354" i="5" s="1"/>
  <c r="D354" i="5"/>
  <c r="C354" i="5"/>
  <c r="R354" i="5"/>
  <c r="Z353" i="5"/>
  <c r="F354" i="5" l="1"/>
  <c r="D355" i="6"/>
  <c r="M355" i="6"/>
  <c r="C355" i="6"/>
  <c r="E355" i="6"/>
  <c r="P355" i="6" s="1"/>
  <c r="Q355" i="6"/>
  <c r="R355" i="6"/>
  <c r="G355" i="6"/>
  <c r="AA356" i="6" s="1"/>
  <c r="F355" i="6"/>
  <c r="X354" i="6"/>
  <c r="T357" i="4"/>
  <c r="X357" i="4"/>
  <c r="H354" i="5"/>
  <c r="R358" i="3"/>
  <c r="Q358" i="3"/>
  <c r="E358" i="3"/>
  <c r="G358" i="3"/>
  <c r="AA359" i="3" s="1"/>
  <c r="D358" i="3"/>
  <c r="C358" i="3"/>
  <c r="F358" i="3" s="1"/>
  <c r="Z354" i="6"/>
  <c r="P358" i="3" l="1"/>
  <c r="O358" i="3"/>
  <c r="O355" i="6"/>
  <c r="H355" i="6"/>
  <c r="E358" i="4"/>
  <c r="D358" i="4"/>
  <c r="Q358" i="4"/>
  <c r="G358" i="4"/>
  <c r="AA359" i="4" s="1"/>
  <c r="M358" i="4"/>
  <c r="R358" i="4"/>
  <c r="C358" i="4"/>
  <c r="Z357" i="4"/>
  <c r="O354" i="5"/>
  <c r="H358" i="3"/>
  <c r="I354" i="5"/>
  <c r="P358" i="4" l="1"/>
  <c r="U354" i="5"/>
  <c r="I358" i="3"/>
  <c r="J354" i="5"/>
  <c r="K354" i="5" s="1"/>
  <c r="W354" i="5" s="1"/>
  <c r="F358" i="4"/>
  <c r="L354" i="5"/>
  <c r="I355" i="6"/>
  <c r="U358" i="3" l="1"/>
  <c r="J358" i="3"/>
  <c r="K358" i="3" s="1"/>
  <c r="W358" i="3" s="1"/>
  <c r="O358" i="4"/>
  <c r="U355" i="6"/>
  <c r="J355" i="6"/>
  <c r="K355" i="6" s="1"/>
  <c r="W355" i="6" s="1"/>
  <c r="H358" i="4"/>
  <c r="V354" i="5"/>
  <c r="N354" i="5"/>
  <c r="T354" i="5" s="1"/>
  <c r="L358" i="3"/>
  <c r="L355" i="6"/>
  <c r="Z354" i="5" l="1"/>
  <c r="X354" i="5"/>
  <c r="V355" i="6"/>
  <c r="N355" i="6"/>
  <c r="T355" i="6" s="1"/>
  <c r="I358" i="4"/>
  <c r="D355" i="5"/>
  <c r="G355" i="5"/>
  <c r="AA356" i="5" s="1"/>
  <c r="R355" i="5"/>
  <c r="Q355" i="5"/>
  <c r="E355" i="5"/>
  <c r="C355" i="5"/>
  <c r="M355" i="5"/>
  <c r="V358" i="3"/>
  <c r="N358" i="3"/>
  <c r="X355" i="6" l="1"/>
  <c r="Z355" i="6"/>
  <c r="P355" i="5"/>
  <c r="T358" i="3"/>
  <c r="Z358" i="3"/>
  <c r="X358" i="3"/>
  <c r="U358" i="4"/>
  <c r="J358" i="4"/>
  <c r="Q356" i="6"/>
  <c r="G356" i="6"/>
  <c r="AA357" i="6" s="1"/>
  <c r="E356" i="6"/>
  <c r="R356" i="6"/>
  <c r="C356" i="6"/>
  <c r="D356" i="6"/>
  <c r="M356" i="6"/>
  <c r="F355" i="5"/>
  <c r="L358" i="4"/>
  <c r="P356" i="6" l="1"/>
  <c r="K358" i="4"/>
  <c r="W358" i="4" s="1"/>
  <c r="V358" i="4"/>
  <c r="N358" i="4"/>
  <c r="T358" i="4" s="1"/>
  <c r="C359" i="3"/>
  <c r="E359" i="3"/>
  <c r="P359" i="3" s="1"/>
  <c r="D359" i="3"/>
  <c r="Q359" i="3"/>
  <c r="R359" i="3"/>
  <c r="G359" i="3"/>
  <c r="AA360" i="3" s="1"/>
  <c r="F356" i="6"/>
  <c r="O355" i="5"/>
  <c r="H355" i="5"/>
  <c r="X358" i="4" l="1"/>
  <c r="F359" i="3"/>
  <c r="O356" i="6"/>
  <c r="Z358" i="4"/>
  <c r="R359" i="4"/>
  <c r="Q359" i="4"/>
  <c r="G359" i="4"/>
  <c r="AA360" i="4" s="1"/>
  <c r="C359" i="4"/>
  <c r="M359" i="4"/>
  <c r="E359" i="4"/>
  <c r="D359" i="4"/>
  <c r="H359" i="3"/>
  <c r="H356" i="6"/>
  <c r="I355" i="5"/>
  <c r="L355" i="5" s="1"/>
  <c r="P359" i="4" l="1"/>
  <c r="I356" i="6"/>
  <c r="V355" i="5"/>
  <c r="N355" i="5"/>
  <c r="L359" i="3"/>
  <c r="J359" i="3"/>
  <c r="K359" i="3" s="1"/>
  <c r="W359" i="3" s="1"/>
  <c r="O359" i="3"/>
  <c r="F359" i="4"/>
  <c r="H359" i="4" s="1"/>
  <c r="U355" i="5"/>
  <c r="J355" i="5"/>
  <c r="K355" i="5" s="1"/>
  <c r="W355" i="5" s="1"/>
  <c r="I359" i="3"/>
  <c r="U359" i="3" s="1"/>
  <c r="O359" i="4" l="1"/>
  <c r="I359" i="4"/>
  <c r="U359" i="4" s="1"/>
  <c r="U356" i="6"/>
  <c r="J356" i="6"/>
  <c r="L356" i="6"/>
  <c r="V359" i="3"/>
  <c r="N359" i="3"/>
  <c r="T359" i="3" s="1"/>
  <c r="T355" i="5"/>
  <c r="X355" i="5"/>
  <c r="J359" i="4" l="1"/>
  <c r="K359" i="4" s="1"/>
  <c r="W359" i="4" s="1"/>
  <c r="L359" i="4"/>
  <c r="K356" i="6"/>
  <c r="W356" i="6" s="1"/>
  <c r="E360" i="3"/>
  <c r="G360" i="3"/>
  <c r="AA361" i="3" s="1"/>
  <c r="D360" i="3"/>
  <c r="C360" i="3"/>
  <c r="R360" i="3"/>
  <c r="Q360" i="3"/>
  <c r="X359" i="3"/>
  <c r="V356" i="6"/>
  <c r="N356" i="6"/>
  <c r="T356" i="6" s="1"/>
  <c r="Z359" i="3"/>
  <c r="M356" i="5"/>
  <c r="C356" i="5"/>
  <c r="Q356" i="5"/>
  <c r="E356" i="5"/>
  <c r="P356" i="5" s="1"/>
  <c r="D356" i="5"/>
  <c r="R356" i="5"/>
  <c r="G356" i="5"/>
  <c r="AA357" i="5" s="1"/>
  <c r="Z355" i="5"/>
  <c r="V359" i="4"/>
  <c r="N359" i="4"/>
  <c r="T359" i="4" s="1"/>
  <c r="P360" i="3" l="1"/>
  <c r="Z356" i="6"/>
  <c r="F360" i="3"/>
  <c r="H360" i="3" s="1"/>
  <c r="M360" i="4"/>
  <c r="C360" i="4"/>
  <c r="E360" i="4"/>
  <c r="P360" i="4" s="1"/>
  <c r="R360" i="4"/>
  <c r="D360" i="4"/>
  <c r="Q360" i="4"/>
  <c r="G360" i="4"/>
  <c r="AA361" i="4" s="1"/>
  <c r="R357" i="6"/>
  <c r="G357" i="6"/>
  <c r="AA358" i="6" s="1"/>
  <c r="E357" i="6"/>
  <c r="M357" i="6"/>
  <c r="Q357" i="6"/>
  <c r="D357" i="6"/>
  <c r="C357" i="6"/>
  <c r="Z359" i="4"/>
  <c r="F356" i="5"/>
  <c r="X359" i="4"/>
  <c r="X356" i="6"/>
  <c r="F360" i="4" l="1"/>
  <c r="P357" i="6"/>
  <c r="F357" i="6"/>
  <c r="H360" i="4"/>
  <c r="O357" i="6"/>
  <c r="I360" i="4"/>
  <c r="U360" i="4" s="1"/>
  <c r="I357" i="6"/>
  <c r="U357" i="6" s="1"/>
  <c r="L360" i="3"/>
  <c r="H357" i="6"/>
  <c r="O360" i="3"/>
  <c r="I360" i="3"/>
  <c r="U360" i="3" s="1"/>
  <c r="O356" i="5"/>
  <c r="H356" i="5"/>
  <c r="I356" i="5" s="1"/>
  <c r="O360" i="4"/>
  <c r="U356" i="5" l="1"/>
  <c r="J356" i="5"/>
  <c r="K356" i="5" s="1"/>
  <c r="W356" i="5" s="1"/>
  <c r="L360" i="4"/>
  <c r="V360" i="4" s="1"/>
  <c r="J360" i="4"/>
  <c r="K360" i="4" s="1"/>
  <c r="W360" i="4" s="1"/>
  <c r="L357" i="6"/>
  <c r="V360" i="3"/>
  <c r="N360" i="3"/>
  <c r="N360" i="4"/>
  <c r="J360" i="3"/>
  <c r="K360" i="3" s="1"/>
  <c r="W360" i="3" s="1"/>
  <c r="L356" i="5"/>
  <c r="J357" i="6"/>
  <c r="K357" i="6" s="1"/>
  <c r="W357" i="6" s="1"/>
  <c r="T360" i="3" l="1"/>
  <c r="V356" i="5"/>
  <c r="N356" i="5"/>
  <c r="X360" i="3"/>
  <c r="Z360" i="3"/>
  <c r="T360" i="4"/>
  <c r="Z360" i="4" s="1"/>
  <c r="X360" i="4"/>
  <c r="V357" i="6"/>
  <c r="N357" i="6"/>
  <c r="X357" i="6" s="1"/>
  <c r="T356" i="5" l="1"/>
  <c r="Z356" i="5"/>
  <c r="X356" i="5"/>
  <c r="E361" i="4"/>
  <c r="D361" i="4"/>
  <c r="M361" i="4"/>
  <c r="C361" i="4"/>
  <c r="G361" i="4"/>
  <c r="AA362" i="4" s="1"/>
  <c r="R361" i="4"/>
  <c r="Q361" i="4"/>
  <c r="T357" i="6"/>
  <c r="Z357" i="6"/>
  <c r="R361" i="3"/>
  <c r="Q361" i="3"/>
  <c r="E361" i="3"/>
  <c r="G361" i="3"/>
  <c r="AA362" i="3" s="1"/>
  <c r="D361" i="3"/>
  <c r="C361" i="3"/>
  <c r="P361" i="4" l="1"/>
  <c r="P361" i="3"/>
  <c r="F361" i="3"/>
  <c r="H361" i="3"/>
  <c r="M358" i="6"/>
  <c r="C358" i="6"/>
  <c r="D358" i="6"/>
  <c r="Q358" i="6"/>
  <c r="G358" i="6"/>
  <c r="AA359" i="6" s="1"/>
  <c r="R358" i="6"/>
  <c r="E358" i="6"/>
  <c r="F361" i="4"/>
  <c r="Q357" i="5"/>
  <c r="E357" i="5"/>
  <c r="M357" i="5"/>
  <c r="C357" i="5"/>
  <c r="G357" i="5"/>
  <c r="AA358" i="5" s="1"/>
  <c r="R357" i="5"/>
  <c r="D357" i="5"/>
  <c r="P358" i="6" l="1"/>
  <c r="P357" i="5"/>
  <c r="O361" i="4"/>
  <c r="F358" i="6"/>
  <c r="O361" i="3"/>
  <c r="F357" i="5"/>
  <c r="H361" i="4"/>
  <c r="I361" i="4" s="1"/>
  <c r="U361" i="4" s="1"/>
  <c r="I361" i="3"/>
  <c r="U361" i="3" s="1"/>
  <c r="J361" i="3" l="1"/>
  <c r="K361" i="3" s="1"/>
  <c r="W361" i="3" s="1"/>
  <c r="L361" i="3"/>
  <c r="O357" i="5"/>
  <c r="H357" i="5"/>
  <c r="O358" i="6"/>
  <c r="J361" i="4"/>
  <c r="K361" i="4" s="1"/>
  <c r="W361" i="4" s="1"/>
  <c r="V361" i="3"/>
  <c r="N361" i="3"/>
  <c r="X361" i="3" s="1"/>
  <c r="H358" i="6"/>
  <c r="I358" i="6" s="1"/>
  <c r="L361" i="4"/>
  <c r="U358" i="6" l="1"/>
  <c r="J358" i="6"/>
  <c r="K358" i="6" s="1"/>
  <c r="W358" i="6" s="1"/>
  <c r="V361" i="4"/>
  <c r="N361" i="4"/>
  <c r="T361" i="4" s="1"/>
  <c r="T361" i="3"/>
  <c r="Z361" i="3" s="1"/>
  <c r="X361" i="4"/>
  <c r="L358" i="6"/>
  <c r="I357" i="5"/>
  <c r="L357" i="5" s="1"/>
  <c r="Z361" i="4" l="1"/>
  <c r="V357" i="5"/>
  <c r="N357" i="5"/>
  <c r="V358" i="6"/>
  <c r="N358" i="6"/>
  <c r="G362" i="3"/>
  <c r="AA363" i="3" s="1"/>
  <c r="R362" i="3"/>
  <c r="C362" i="3"/>
  <c r="P362" i="3" s="1"/>
  <c r="E362" i="3"/>
  <c r="D362" i="3"/>
  <c r="Q362" i="3"/>
  <c r="U357" i="5"/>
  <c r="J357" i="5"/>
  <c r="R362" i="4"/>
  <c r="Q362" i="4"/>
  <c r="G362" i="4"/>
  <c r="AA363" i="4" s="1"/>
  <c r="M362" i="4"/>
  <c r="E362" i="4"/>
  <c r="D362" i="4"/>
  <c r="C362" i="4"/>
  <c r="F362" i="4" s="1"/>
  <c r="P362" i="4" l="1"/>
  <c r="F362" i="3"/>
  <c r="O362" i="3" s="1"/>
  <c r="O362" i="4"/>
  <c r="H362" i="4"/>
  <c r="I362" i="4" s="1"/>
  <c r="H362" i="3"/>
  <c r="I362" i="3" s="1"/>
  <c r="U362" i="3" s="1"/>
  <c r="T358" i="6"/>
  <c r="X358" i="6"/>
  <c r="Z358" i="6"/>
  <c r="K357" i="5"/>
  <c r="T357" i="5"/>
  <c r="U362" i="4" l="1"/>
  <c r="J362" i="4"/>
  <c r="K362" i="4" s="1"/>
  <c r="W362" i="4" s="1"/>
  <c r="M358" i="5"/>
  <c r="R358" i="5"/>
  <c r="Q358" i="5"/>
  <c r="C358" i="5"/>
  <c r="G358" i="5"/>
  <c r="AA359" i="5" s="1"/>
  <c r="E358" i="5"/>
  <c r="D358" i="5"/>
  <c r="W357" i="5"/>
  <c r="Z357" i="5"/>
  <c r="X357" i="5"/>
  <c r="E359" i="6"/>
  <c r="P359" i="6" s="1"/>
  <c r="D359" i="6"/>
  <c r="Q359" i="6"/>
  <c r="G359" i="6"/>
  <c r="AA360" i="6" s="1"/>
  <c r="R359" i="6"/>
  <c r="C359" i="6"/>
  <c r="M359" i="6"/>
  <c r="J362" i="3"/>
  <c r="L362" i="3"/>
  <c r="L362" i="4"/>
  <c r="F359" i="6" l="1"/>
  <c r="P358" i="5"/>
  <c r="O359" i="6"/>
  <c r="H359" i="6"/>
  <c r="F358" i="5"/>
  <c r="V362" i="4"/>
  <c r="N362" i="4"/>
  <c r="T362" i="4" s="1"/>
  <c r="V362" i="3"/>
  <c r="N362" i="3"/>
  <c r="K362" i="3"/>
  <c r="W362" i="3" s="1"/>
  <c r="Z362" i="4" l="1"/>
  <c r="H358" i="5"/>
  <c r="I358" i="5" s="1"/>
  <c r="X362" i="3"/>
  <c r="T362" i="3"/>
  <c r="Q363" i="4"/>
  <c r="C363" i="4"/>
  <c r="R363" i="4"/>
  <c r="D363" i="4"/>
  <c r="G363" i="4"/>
  <c r="AA364" i="4" s="1"/>
  <c r="E363" i="4"/>
  <c r="M363" i="4"/>
  <c r="O358" i="5"/>
  <c r="I359" i="6"/>
  <c r="X362" i="4"/>
  <c r="Z362" i="3"/>
  <c r="U358" i="5" l="1"/>
  <c r="L358" i="5"/>
  <c r="J358" i="5"/>
  <c r="K358" i="5" s="1"/>
  <c r="W358" i="5" s="1"/>
  <c r="P363" i="4"/>
  <c r="F363" i="4"/>
  <c r="U359" i="6"/>
  <c r="J359" i="6"/>
  <c r="L359" i="6"/>
  <c r="E363" i="3"/>
  <c r="P363" i="3" s="1"/>
  <c r="D363" i="3"/>
  <c r="R363" i="3"/>
  <c r="Q363" i="3"/>
  <c r="C363" i="3"/>
  <c r="G363" i="3"/>
  <c r="AA364" i="3" s="1"/>
  <c r="V358" i="5"/>
  <c r="N358" i="5"/>
  <c r="F363" i="3" l="1"/>
  <c r="H363" i="3" s="1"/>
  <c r="T358" i="5"/>
  <c r="V359" i="6"/>
  <c r="N359" i="6"/>
  <c r="H363" i="4"/>
  <c r="I363" i="4" s="1"/>
  <c r="U363" i="4" s="1"/>
  <c r="K359" i="6"/>
  <c r="W359" i="6" s="1"/>
  <c r="X358" i="5"/>
  <c r="O363" i="4"/>
  <c r="O363" i="3" l="1"/>
  <c r="T359" i="6"/>
  <c r="R360" i="6" s="1"/>
  <c r="R359" i="5"/>
  <c r="G359" i="5"/>
  <c r="AA360" i="5" s="1"/>
  <c r="M359" i="5"/>
  <c r="E359" i="5"/>
  <c r="P359" i="5" s="1"/>
  <c r="D359" i="5"/>
  <c r="C359" i="5"/>
  <c r="F359" i="5" s="1"/>
  <c r="O359" i="5" s="1"/>
  <c r="Q359" i="5"/>
  <c r="Z359" i="6"/>
  <c r="Q360" i="6"/>
  <c r="G360" i="6"/>
  <c r="AA361" i="6" s="1"/>
  <c r="E360" i="6"/>
  <c r="M360" i="6"/>
  <c r="D360" i="6"/>
  <c r="C360" i="6"/>
  <c r="J363" i="4"/>
  <c r="K363" i="4" s="1"/>
  <c r="W363" i="4" s="1"/>
  <c r="Z358" i="5"/>
  <c r="X359" i="6"/>
  <c r="I363" i="3"/>
  <c r="L363" i="3" s="1"/>
  <c r="L363" i="4"/>
  <c r="F360" i="6" l="1"/>
  <c r="O360" i="6"/>
  <c r="P360" i="6"/>
  <c r="V363" i="4"/>
  <c r="N363" i="4"/>
  <c r="V363" i="3"/>
  <c r="N363" i="3"/>
  <c r="H359" i="5"/>
  <c r="I359" i="5" s="1"/>
  <c r="U363" i="3"/>
  <c r="J363" i="3"/>
  <c r="H360" i="6"/>
  <c r="T363" i="4" l="1"/>
  <c r="X363" i="4"/>
  <c r="Z363" i="4"/>
  <c r="K363" i="3"/>
  <c r="X363" i="3"/>
  <c r="I360" i="6"/>
  <c r="U359" i="5"/>
  <c r="J359" i="5"/>
  <c r="L359" i="5"/>
  <c r="K359" i="5" l="1"/>
  <c r="W359" i="5" s="1"/>
  <c r="D364" i="4"/>
  <c r="M364" i="4"/>
  <c r="C364" i="4"/>
  <c r="E364" i="4"/>
  <c r="G364" i="4"/>
  <c r="AA365" i="4" s="1"/>
  <c r="R364" i="4"/>
  <c r="Q364" i="4"/>
  <c r="U360" i="6"/>
  <c r="J360" i="6"/>
  <c r="K360" i="6" s="1"/>
  <c r="W360" i="6" s="1"/>
  <c r="W363" i="3"/>
  <c r="T363" i="3"/>
  <c r="V359" i="5"/>
  <c r="N359" i="5"/>
  <c r="T359" i="5" s="1"/>
  <c r="L360" i="6"/>
  <c r="V360" i="6" l="1"/>
  <c r="N360" i="6"/>
  <c r="T360" i="6" s="1"/>
  <c r="Z359" i="5"/>
  <c r="R364" i="3"/>
  <c r="Q364" i="3"/>
  <c r="G364" i="3"/>
  <c r="AA365" i="3" s="1"/>
  <c r="C364" i="3"/>
  <c r="D364" i="3"/>
  <c r="E364" i="3"/>
  <c r="Z363" i="3"/>
  <c r="X359" i="5"/>
  <c r="H364" i="4"/>
  <c r="E360" i="5"/>
  <c r="M360" i="5"/>
  <c r="G360" i="5"/>
  <c r="AA361" i="5" s="1"/>
  <c r="R360" i="5"/>
  <c r="F360" i="5"/>
  <c r="Q360" i="5"/>
  <c r="D360" i="5"/>
  <c r="C360" i="5"/>
  <c r="F364" i="4"/>
  <c r="P364" i="4"/>
  <c r="Z360" i="6"/>
  <c r="P364" i="3" l="1"/>
  <c r="P360" i="5"/>
  <c r="F364" i="3"/>
  <c r="H364" i="3" s="1"/>
  <c r="I364" i="3" s="1"/>
  <c r="X360" i="6"/>
  <c r="O360" i="5"/>
  <c r="I364" i="4"/>
  <c r="U364" i="4" s="1"/>
  <c r="O364" i="4"/>
  <c r="H360" i="5"/>
  <c r="O364" i="3"/>
  <c r="M361" i="6"/>
  <c r="C361" i="6"/>
  <c r="G361" i="6"/>
  <c r="AA362" i="6" s="1"/>
  <c r="E361" i="6"/>
  <c r="P361" i="6" s="1"/>
  <c r="D361" i="6"/>
  <c r="Q361" i="6"/>
  <c r="R361" i="6"/>
  <c r="L364" i="4" l="1"/>
  <c r="F361" i="6"/>
  <c r="H361" i="6" s="1"/>
  <c r="J364" i="4"/>
  <c r="K364" i="4" s="1"/>
  <c r="W364" i="4" s="1"/>
  <c r="V364" i="4"/>
  <c r="N364" i="4"/>
  <c r="T364" i="4" s="1"/>
  <c r="L360" i="5"/>
  <c r="O361" i="6"/>
  <c r="U364" i="3"/>
  <c r="J364" i="3"/>
  <c r="I361" i="6"/>
  <c r="U361" i="6" s="1"/>
  <c r="I360" i="5"/>
  <c r="L364" i="3"/>
  <c r="Z364" i="4" l="1"/>
  <c r="Q365" i="4"/>
  <c r="G365" i="4"/>
  <c r="P365" i="4"/>
  <c r="F365" i="4"/>
  <c r="O365" i="4"/>
  <c r="E365" i="4"/>
  <c r="R365" i="4"/>
  <c r="H365" i="4"/>
  <c r="L365" i="4"/>
  <c r="K365" i="4"/>
  <c r="J365" i="4"/>
  <c r="I365" i="4"/>
  <c r="M365" i="4"/>
  <c r="N365" i="4"/>
  <c r="D365" i="4"/>
  <c r="C365" i="4"/>
  <c r="T365" i="4"/>
  <c r="U360" i="5"/>
  <c r="J360" i="5"/>
  <c r="K364" i="3"/>
  <c r="W364" i="3" s="1"/>
  <c r="J361" i="6"/>
  <c r="K361" i="6" s="1"/>
  <c r="W361" i="6" s="1"/>
  <c r="V364" i="3"/>
  <c r="N364" i="3"/>
  <c r="T364" i="3" s="1"/>
  <c r="V360" i="5"/>
  <c r="N360" i="5"/>
  <c r="X364" i="4"/>
  <c r="L361" i="6"/>
  <c r="U365" i="4" l="1"/>
  <c r="W365" i="4"/>
  <c r="T366" i="4"/>
  <c r="J366" i="4"/>
  <c r="I366" i="4"/>
  <c r="R366" i="4"/>
  <c r="H366" i="4"/>
  <c r="K366" i="4"/>
  <c r="W366" i="4" s="1"/>
  <c r="O366" i="4"/>
  <c r="N366" i="4"/>
  <c r="M366" i="4"/>
  <c r="L366" i="4"/>
  <c r="P366" i="4"/>
  <c r="E366" i="4"/>
  <c r="D366" i="4"/>
  <c r="C366" i="4"/>
  <c r="Q366" i="4"/>
  <c r="G366" i="4"/>
  <c r="AA367" i="4" s="1"/>
  <c r="F366" i="4"/>
  <c r="Z365" i="4"/>
  <c r="X365" i="4"/>
  <c r="C365" i="3"/>
  <c r="Q365" i="3"/>
  <c r="D365" i="3"/>
  <c r="G365" i="3"/>
  <c r="E365" i="3"/>
  <c r="P365" i="3" s="1"/>
  <c r="R365" i="3"/>
  <c r="Z364" i="3"/>
  <c r="V361" i="6"/>
  <c r="N361" i="6"/>
  <c r="X364" i="3"/>
  <c r="K360" i="5"/>
  <c r="W360" i="5" s="1"/>
  <c r="V365" i="4"/>
  <c r="X360" i="5"/>
  <c r="V366" i="4" l="1"/>
  <c r="F365" i="3"/>
  <c r="H365" i="3" s="1"/>
  <c r="U366" i="4"/>
  <c r="T361" i="6"/>
  <c r="X361" i="6"/>
  <c r="X366" i="4"/>
  <c r="Z366" i="4"/>
  <c r="AA366" i="4"/>
  <c r="T360" i="5"/>
  <c r="M367" i="4"/>
  <c r="C367" i="4"/>
  <c r="L367" i="4"/>
  <c r="K367" i="4"/>
  <c r="N367" i="4"/>
  <c r="D367" i="4"/>
  <c r="R367" i="4"/>
  <c r="Q367" i="4"/>
  <c r="P367" i="4"/>
  <c r="O367" i="4"/>
  <c r="E367" i="4"/>
  <c r="F367" i="4"/>
  <c r="T367" i="4"/>
  <c r="J367" i="4"/>
  <c r="I367" i="4"/>
  <c r="H367" i="4"/>
  <c r="G367" i="4"/>
  <c r="AA368" i="4" s="1"/>
  <c r="U367" i="4" l="1"/>
  <c r="W367" i="4"/>
  <c r="E362" i="6"/>
  <c r="D362" i="6"/>
  <c r="M362" i="6"/>
  <c r="C362" i="6"/>
  <c r="P362" i="6"/>
  <c r="R362" i="6"/>
  <c r="Q362" i="6"/>
  <c r="G362" i="6"/>
  <c r="AA363" i="6" s="1"/>
  <c r="R361" i="5"/>
  <c r="G361" i="5"/>
  <c r="AA362" i="5" s="1"/>
  <c r="C361" i="5"/>
  <c r="M361" i="5"/>
  <c r="D361" i="5"/>
  <c r="Q361" i="5"/>
  <c r="E361" i="5"/>
  <c r="P361" i="5" s="1"/>
  <c r="P368" i="4"/>
  <c r="F368" i="4"/>
  <c r="O368" i="4"/>
  <c r="E368" i="4"/>
  <c r="N368" i="4"/>
  <c r="D368" i="4"/>
  <c r="Q368" i="4"/>
  <c r="G368" i="4"/>
  <c r="AA369" i="4" s="1"/>
  <c r="I368" i="4"/>
  <c r="H368" i="4"/>
  <c r="C368" i="4"/>
  <c r="T368" i="4"/>
  <c r="J368" i="4"/>
  <c r="K368" i="4"/>
  <c r="M368" i="4"/>
  <c r="R368" i="4"/>
  <c r="L368" i="4"/>
  <c r="X367" i="4"/>
  <c r="Z367" i="4"/>
  <c r="Z360" i="5"/>
  <c r="V367" i="4"/>
  <c r="O365" i="3"/>
  <c r="I365" i="3"/>
  <c r="U365" i="3" s="1"/>
  <c r="Z361" i="6"/>
  <c r="X368" i="4" l="1"/>
  <c r="I369" i="4"/>
  <c r="R369" i="4"/>
  <c r="H369" i="4"/>
  <c r="Q369" i="4"/>
  <c r="G369" i="4"/>
  <c r="AA370" i="4" s="1"/>
  <c r="T369" i="4"/>
  <c r="J369" i="4"/>
  <c r="M369" i="4"/>
  <c r="L369" i="4"/>
  <c r="K369" i="4"/>
  <c r="F369" i="4"/>
  <c r="N369" i="4"/>
  <c r="E369" i="4"/>
  <c r="D369" i="4"/>
  <c r="C369" i="4"/>
  <c r="P369" i="4"/>
  <c r="O369" i="4"/>
  <c r="Z368" i="4"/>
  <c r="U368" i="4"/>
  <c r="F361" i="5"/>
  <c r="V368" i="4"/>
  <c r="J365" i="3"/>
  <c r="W368" i="4"/>
  <c r="F362" i="6"/>
  <c r="H362" i="6" s="1"/>
  <c r="L365" i="3"/>
  <c r="O361" i="5" l="1"/>
  <c r="Z369" i="4"/>
  <c r="H361" i="5"/>
  <c r="X369" i="4"/>
  <c r="U369" i="4"/>
  <c r="W369" i="4"/>
  <c r="V369" i="4"/>
  <c r="V365" i="3"/>
  <c r="N365" i="3"/>
  <c r="O362" i="6"/>
  <c r="I362" i="6"/>
  <c r="L362" i="6"/>
  <c r="K365" i="3"/>
  <c r="W365" i="3" s="1"/>
  <c r="L370" i="4"/>
  <c r="K370" i="4"/>
  <c r="T370" i="4"/>
  <c r="J370" i="4"/>
  <c r="M370" i="4"/>
  <c r="C370" i="4"/>
  <c r="Q370" i="4"/>
  <c r="P370" i="4"/>
  <c r="O370" i="4"/>
  <c r="N370" i="4"/>
  <c r="R370" i="4"/>
  <c r="D370" i="4"/>
  <c r="G370" i="4"/>
  <c r="AA371" i="4" s="1"/>
  <c r="F370" i="4"/>
  <c r="E370" i="4"/>
  <c r="I370" i="4"/>
  <c r="H370" i="4"/>
  <c r="X365" i="3" l="1"/>
  <c r="U370" i="4"/>
  <c r="O371" i="4"/>
  <c r="E371" i="4"/>
  <c r="N371" i="4"/>
  <c r="D371" i="4"/>
  <c r="M371" i="4"/>
  <c r="C371" i="4"/>
  <c r="P371" i="4"/>
  <c r="F371" i="4"/>
  <c r="H371" i="4"/>
  <c r="G371" i="4"/>
  <c r="AA372" i="4" s="1"/>
  <c r="T371" i="4"/>
  <c r="I371" i="4"/>
  <c r="J371" i="4"/>
  <c r="R371" i="4"/>
  <c r="Q371" i="4"/>
  <c r="L371" i="4"/>
  <c r="K371" i="4"/>
  <c r="W370" i="4"/>
  <c r="Z370" i="4"/>
  <c r="V362" i="6"/>
  <c r="N362" i="6"/>
  <c r="U362" i="6"/>
  <c r="J362" i="6"/>
  <c r="K362" i="6" s="1"/>
  <c r="W362" i="6" s="1"/>
  <c r="X370" i="4"/>
  <c r="I361" i="5"/>
  <c r="T365" i="3"/>
  <c r="Z365" i="3" s="1"/>
  <c r="V370" i="4"/>
  <c r="U361" i="5" l="1"/>
  <c r="J361" i="5"/>
  <c r="V371" i="4"/>
  <c r="Z371" i="4"/>
  <c r="T362" i="6"/>
  <c r="R372" i="4"/>
  <c r="H372" i="4"/>
  <c r="Q372" i="4"/>
  <c r="G372" i="4"/>
  <c r="AA373" i="4" s="1"/>
  <c r="P372" i="4"/>
  <c r="F372" i="4"/>
  <c r="I372" i="4"/>
  <c r="L372" i="4"/>
  <c r="K372" i="4"/>
  <c r="J372" i="4"/>
  <c r="E372" i="4"/>
  <c r="M372" i="4"/>
  <c r="D372" i="4"/>
  <c r="C372" i="4"/>
  <c r="O372" i="4"/>
  <c r="T372" i="4"/>
  <c r="N372" i="4"/>
  <c r="U371" i="4"/>
  <c r="L361" i="5"/>
  <c r="X371" i="4"/>
  <c r="D366" i="3"/>
  <c r="C366" i="3"/>
  <c r="E366" i="3"/>
  <c r="G366" i="3" s="1"/>
  <c r="AA367" i="3" s="1"/>
  <c r="Q366" i="3"/>
  <c r="R366" i="3"/>
  <c r="W371" i="4"/>
  <c r="X362" i="6"/>
  <c r="Z372" i="4" l="1"/>
  <c r="W372" i="4"/>
  <c r="F366" i="3"/>
  <c r="R363" i="6"/>
  <c r="Q363" i="6"/>
  <c r="G363" i="6"/>
  <c r="AA364" i="6" s="1"/>
  <c r="E363" i="6"/>
  <c r="P363" i="6" s="1"/>
  <c r="D363" i="6"/>
  <c r="C363" i="6"/>
  <c r="M363" i="6"/>
  <c r="Z362" i="6"/>
  <c r="AA366" i="3"/>
  <c r="K373" i="4"/>
  <c r="T373" i="4"/>
  <c r="J373" i="4"/>
  <c r="I373" i="4"/>
  <c r="U373" i="4" s="1"/>
  <c r="L373" i="4"/>
  <c r="O373" i="4"/>
  <c r="N373" i="4"/>
  <c r="M373" i="4"/>
  <c r="H373" i="4"/>
  <c r="P373" i="4"/>
  <c r="D373" i="4"/>
  <c r="C373" i="4"/>
  <c r="E373" i="4"/>
  <c r="Q373" i="4"/>
  <c r="R373" i="4"/>
  <c r="G373" i="4"/>
  <c r="AA374" i="4" s="1"/>
  <c r="F373" i="4"/>
  <c r="X372" i="4"/>
  <c r="K361" i="5"/>
  <c r="V361" i="5"/>
  <c r="N361" i="5"/>
  <c r="T361" i="5" s="1"/>
  <c r="P366" i="3"/>
  <c r="V372" i="4"/>
  <c r="U372" i="4"/>
  <c r="V373" i="4" l="1"/>
  <c r="N374" i="4"/>
  <c r="D374" i="4"/>
  <c r="M374" i="4"/>
  <c r="C374" i="4"/>
  <c r="L374" i="4"/>
  <c r="O374" i="4"/>
  <c r="E374" i="4"/>
  <c r="T374" i="4"/>
  <c r="F374" i="4"/>
  <c r="X374" i="4" s="1"/>
  <c r="R374" i="4"/>
  <c r="Q374" i="4"/>
  <c r="G374" i="4"/>
  <c r="AA375" i="4" s="1"/>
  <c r="H374" i="4"/>
  <c r="J374" i="4"/>
  <c r="I374" i="4"/>
  <c r="K374" i="4"/>
  <c r="W374" i="4" s="1"/>
  <c r="P374" i="4"/>
  <c r="Z373" i="4"/>
  <c r="H366" i="3"/>
  <c r="I366" i="3" s="1"/>
  <c r="U366" i="3" s="1"/>
  <c r="W373" i="4"/>
  <c r="M362" i="5"/>
  <c r="D362" i="5"/>
  <c r="C362" i="5"/>
  <c r="R362" i="5"/>
  <c r="E362" i="5"/>
  <c r="F362" i="5" s="1"/>
  <c r="Q362" i="5"/>
  <c r="P362" i="5"/>
  <c r="G362" i="5"/>
  <c r="AA363" i="5" s="1"/>
  <c r="X361" i="5"/>
  <c r="W361" i="5"/>
  <c r="Z361" i="5"/>
  <c r="X373" i="4"/>
  <c r="F363" i="6"/>
  <c r="O366" i="3"/>
  <c r="O362" i="5" l="1"/>
  <c r="H362" i="5"/>
  <c r="U374" i="4"/>
  <c r="V374" i="4"/>
  <c r="Z374" i="4"/>
  <c r="L366" i="3"/>
  <c r="O363" i="6"/>
  <c r="H363" i="6"/>
  <c r="I363" i="6" s="1"/>
  <c r="U363" i="6" s="1"/>
  <c r="J366" i="3"/>
  <c r="K366" i="3" s="1"/>
  <c r="W366" i="3" s="1"/>
  <c r="Q375" i="4"/>
  <c r="G375" i="4"/>
  <c r="AA376" i="4" s="1"/>
  <c r="P375" i="4"/>
  <c r="F375" i="4"/>
  <c r="O375" i="4"/>
  <c r="E375" i="4"/>
  <c r="R375" i="4"/>
  <c r="H375" i="4"/>
  <c r="J375" i="4"/>
  <c r="I375" i="4"/>
  <c r="D375" i="4"/>
  <c r="C375" i="4"/>
  <c r="K375" i="4"/>
  <c r="L375" i="4"/>
  <c r="T375" i="4"/>
  <c r="N375" i="4"/>
  <c r="M375" i="4"/>
  <c r="U375" i="4" l="1"/>
  <c r="V366" i="3"/>
  <c r="N366" i="3"/>
  <c r="T376" i="4"/>
  <c r="J376" i="4"/>
  <c r="I376" i="4"/>
  <c r="R376" i="4"/>
  <c r="H376" i="4"/>
  <c r="K376" i="4"/>
  <c r="M376" i="4"/>
  <c r="L376" i="4"/>
  <c r="G376" i="4"/>
  <c r="AA377" i="4" s="1"/>
  <c r="F376" i="4"/>
  <c r="N376" i="4"/>
  <c r="E376" i="4"/>
  <c r="D376" i="4"/>
  <c r="C376" i="4"/>
  <c r="P376" i="4"/>
  <c r="O376" i="4"/>
  <c r="Q376" i="4"/>
  <c r="V375" i="4"/>
  <c r="J363" i="6"/>
  <c r="K363" i="6" s="1"/>
  <c r="W363" i="6" s="1"/>
  <c r="L363" i="6"/>
  <c r="I362" i="5"/>
  <c r="X375" i="4"/>
  <c r="W375" i="4"/>
  <c r="Z375" i="4"/>
  <c r="X376" i="4" l="1"/>
  <c r="W376" i="4"/>
  <c r="U362" i="5"/>
  <c r="J362" i="5"/>
  <c r="K362" i="5" s="1"/>
  <c r="W362" i="5" s="1"/>
  <c r="V363" i="6"/>
  <c r="N363" i="6"/>
  <c r="X363" i="6" s="1"/>
  <c r="M377" i="4"/>
  <c r="C377" i="4"/>
  <c r="L377" i="4"/>
  <c r="K377" i="4"/>
  <c r="N377" i="4"/>
  <c r="D377" i="4"/>
  <c r="P377" i="4"/>
  <c r="O377" i="4"/>
  <c r="J377" i="4"/>
  <c r="I377" i="4"/>
  <c r="Q377" i="4"/>
  <c r="F377" i="4"/>
  <c r="X377" i="4" s="1"/>
  <c r="E377" i="4"/>
  <c r="H377" i="4"/>
  <c r="T377" i="4"/>
  <c r="R377" i="4"/>
  <c r="G377" i="4"/>
  <c r="AA378" i="4" s="1"/>
  <c r="U376" i="4"/>
  <c r="V376" i="4"/>
  <c r="T366" i="3"/>
  <c r="Z366" i="3" s="1"/>
  <c r="X366" i="3"/>
  <c r="Z376" i="4"/>
  <c r="L362" i="5"/>
  <c r="V377" i="4" l="1"/>
  <c r="Z377" i="4"/>
  <c r="U377" i="4"/>
  <c r="Q367" i="3"/>
  <c r="G367" i="3"/>
  <c r="AA368" i="3" s="1"/>
  <c r="R367" i="3"/>
  <c r="C367" i="3"/>
  <c r="E367" i="3"/>
  <c r="D367" i="3"/>
  <c r="T363" i="6"/>
  <c r="P378" i="4"/>
  <c r="F378" i="4"/>
  <c r="O378" i="4"/>
  <c r="E378" i="4"/>
  <c r="N378" i="4"/>
  <c r="D378" i="4"/>
  <c r="Q378" i="4"/>
  <c r="G378" i="4"/>
  <c r="AA379" i="4" s="1"/>
  <c r="C378" i="4"/>
  <c r="T378" i="4"/>
  <c r="R378" i="4"/>
  <c r="H378" i="4"/>
  <c r="J378" i="4"/>
  <c r="I378" i="4"/>
  <c r="K378" i="4"/>
  <c r="M378" i="4"/>
  <c r="L378" i="4"/>
  <c r="V378" i="4" s="1"/>
  <c r="V362" i="5"/>
  <c r="N362" i="5"/>
  <c r="T362" i="5" s="1"/>
  <c r="W377" i="4"/>
  <c r="P367" i="3" l="1"/>
  <c r="X362" i="5"/>
  <c r="Z362" i="5"/>
  <c r="X378" i="4"/>
  <c r="D363" i="5"/>
  <c r="G363" i="5"/>
  <c r="AA364" i="5" s="1"/>
  <c r="Q363" i="5"/>
  <c r="M363" i="5"/>
  <c r="R363" i="5"/>
  <c r="E363" i="5"/>
  <c r="P363" i="5" s="1"/>
  <c r="C363" i="5"/>
  <c r="Z378" i="4"/>
  <c r="M364" i="6"/>
  <c r="G364" i="6"/>
  <c r="AA365" i="6" s="1"/>
  <c r="D364" i="6"/>
  <c r="C364" i="6"/>
  <c r="E364" i="6"/>
  <c r="P364" i="6" s="1"/>
  <c r="R364" i="6"/>
  <c r="Q364" i="6"/>
  <c r="F367" i="3"/>
  <c r="H367" i="3" s="1"/>
  <c r="W378" i="4"/>
  <c r="U378" i="4"/>
  <c r="I379" i="4"/>
  <c r="R379" i="4"/>
  <c r="H379" i="4"/>
  <c r="Q379" i="4"/>
  <c r="G379" i="4"/>
  <c r="AA380" i="4" s="1"/>
  <c r="T379" i="4"/>
  <c r="J379" i="4"/>
  <c r="K379" i="4"/>
  <c r="F379" i="4"/>
  <c r="E379" i="4"/>
  <c r="D379" i="4"/>
  <c r="L379" i="4"/>
  <c r="N379" i="4"/>
  <c r="M379" i="4"/>
  <c r="C379" i="4"/>
  <c r="P379" i="4"/>
  <c r="O379" i="4"/>
  <c r="Z363" i="6"/>
  <c r="F364" i="6" l="1"/>
  <c r="O364" i="6" s="1"/>
  <c r="X379" i="4"/>
  <c r="W379" i="4"/>
  <c r="I367" i="3"/>
  <c r="U367" i="3" s="1"/>
  <c r="J367" i="3"/>
  <c r="K367" i="3" s="1"/>
  <c r="W367" i="3" s="1"/>
  <c r="O367" i="3"/>
  <c r="L367" i="3"/>
  <c r="L380" i="4"/>
  <c r="K380" i="4"/>
  <c r="T380" i="4"/>
  <c r="J380" i="4"/>
  <c r="M380" i="4"/>
  <c r="C380" i="4"/>
  <c r="O380" i="4"/>
  <c r="N380" i="4"/>
  <c r="I380" i="4"/>
  <c r="H380" i="4"/>
  <c r="P380" i="4"/>
  <c r="Q380" i="4"/>
  <c r="G380" i="4"/>
  <c r="AA381" i="4" s="1"/>
  <c r="F380" i="4"/>
  <c r="E380" i="4"/>
  <c r="D380" i="4"/>
  <c r="R380" i="4"/>
  <c r="H364" i="6"/>
  <c r="F363" i="5"/>
  <c r="Z379" i="4"/>
  <c r="V379" i="4"/>
  <c r="U379" i="4"/>
  <c r="I364" i="6" l="1"/>
  <c r="U380" i="4"/>
  <c r="V380" i="4"/>
  <c r="V367" i="3"/>
  <c r="N367" i="3"/>
  <c r="T367" i="3" s="1"/>
  <c r="H363" i="5"/>
  <c r="I363" i="5" s="1"/>
  <c r="O363" i="5"/>
  <c r="Z367" i="3"/>
  <c r="X380" i="4"/>
  <c r="L364" i="6"/>
  <c r="Z380" i="4"/>
  <c r="O381" i="4"/>
  <c r="E381" i="4"/>
  <c r="N381" i="4"/>
  <c r="D381" i="4"/>
  <c r="M381" i="4"/>
  <c r="C381" i="4"/>
  <c r="P381" i="4"/>
  <c r="F381" i="4"/>
  <c r="T381" i="4"/>
  <c r="R381" i="4"/>
  <c r="Q381" i="4"/>
  <c r="G381" i="4"/>
  <c r="AA382" i="4" s="1"/>
  <c r="L381" i="4"/>
  <c r="K381" i="4"/>
  <c r="J381" i="4"/>
  <c r="I381" i="4"/>
  <c r="H381" i="4"/>
  <c r="W380" i="4"/>
  <c r="X367" i="3" l="1"/>
  <c r="U363" i="5"/>
  <c r="J363" i="5"/>
  <c r="K363" i="5" s="1"/>
  <c r="W363" i="5" s="1"/>
  <c r="L363" i="5"/>
  <c r="Q382" i="4"/>
  <c r="H382" i="4"/>
  <c r="R382" i="4"/>
  <c r="G382" i="4"/>
  <c r="AA383" i="4" s="1"/>
  <c r="P382" i="4"/>
  <c r="F382" i="4"/>
  <c r="T382" i="4"/>
  <c r="I382" i="4"/>
  <c r="J382" i="4"/>
  <c r="E382" i="4"/>
  <c r="D382" i="4"/>
  <c r="C382" i="4"/>
  <c r="K382" i="4"/>
  <c r="W382" i="4" s="1"/>
  <c r="O382" i="4"/>
  <c r="N382" i="4"/>
  <c r="M382" i="4"/>
  <c r="L382" i="4"/>
  <c r="V364" i="6"/>
  <c r="N364" i="6"/>
  <c r="X381" i="4"/>
  <c r="C368" i="3"/>
  <c r="Q368" i="3"/>
  <c r="D368" i="3"/>
  <c r="G368" i="3"/>
  <c r="AA369" i="3" s="1"/>
  <c r="E368" i="3"/>
  <c r="P368" i="3" s="1"/>
  <c r="R368" i="3"/>
  <c r="U364" i="6"/>
  <c r="J364" i="6"/>
  <c r="U381" i="4"/>
  <c r="Z381" i="4"/>
  <c r="W381" i="4"/>
  <c r="V381" i="4"/>
  <c r="Z382" i="4" l="1"/>
  <c r="K364" i="6"/>
  <c r="V382" i="4"/>
  <c r="T383" i="4"/>
  <c r="J383" i="4"/>
  <c r="N383" i="4"/>
  <c r="C383" i="4"/>
  <c r="M383" i="4"/>
  <c r="L383" i="4"/>
  <c r="O383" i="4"/>
  <c r="D383" i="4"/>
  <c r="P383" i="4"/>
  <c r="K383" i="4"/>
  <c r="I383" i="4"/>
  <c r="H383" i="4"/>
  <c r="Q383" i="4"/>
  <c r="G383" i="4"/>
  <c r="AA384" i="4" s="1"/>
  <c r="F383" i="4"/>
  <c r="E383" i="4"/>
  <c r="R383" i="4"/>
  <c r="F368" i="3"/>
  <c r="X382" i="4"/>
  <c r="V363" i="5"/>
  <c r="N363" i="5"/>
  <c r="T363" i="5" s="1"/>
  <c r="X363" i="5"/>
  <c r="T364" i="6"/>
  <c r="U382" i="4"/>
  <c r="Z383" i="4" l="1"/>
  <c r="D365" i="6"/>
  <c r="M365" i="6"/>
  <c r="C365" i="6"/>
  <c r="E365" i="6"/>
  <c r="P365" i="6" s="1"/>
  <c r="R365" i="6"/>
  <c r="Q365" i="6"/>
  <c r="G365" i="6"/>
  <c r="Q364" i="5"/>
  <c r="G364" i="5"/>
  <c r="AA365" i="5" s="1"/>
  <c r="C364" i="5"/>
  <c r="D364" i="5"/>
  <c r="M364" i="5"/>
  <c r="E364" i="5"/>
  <c r="P364" i="5" s="1"/>
  <c r="R364" i="5"/>
  <c r="W364" i="6"/>
  <c r="X364" i="6"/>
  <c r="U383" i="4"/>
  <c r="O368" i="3"/>
  <c r="H368" i="3"/>
  <c r="V383" i="4"/>
  <c r="M384" i="4"/>
  <c r="C384" i="4"/>
  <c r="T384" i="4"/>
  <c r="I384" i="4"/>
  <c r="H384" i="4"/>
  <c r="R384" i="4"/>
  <c r="G384" i="4"/>
  <c r="AA385" i="4" s="1"/>
  <c r="J384" i="4"/>
  <c r="D384" i="4"/>
  <c r="Q384" i="4"/>
  <c r="P384" i="4"/>
  <c r="E384" i="4"/>
  <c r="N384" i="4"/>
  <c r="L384" i="4"/>
  <c r="K384" i="4"/>
  <c r="F384" i="4"/>
  <c r="O384" i="4"/>
  <c r="W383" i="4"/>
  <c r="Z364" i="6"/>
  <c r="X383" i="4"/>
  <c r="Z363" i="5"/>
  <c r="V384" i="4" l="1"/>
  <c r="U384" i="4"/>
  <c r="Z384" i="4"/>
  <c r="X384" i="4"/>
  <c r="W384" i="4"/>
  <c r="F365" i="6"/>
  <c r="P385" i="4"/>
  <c r="F385" i="4"/>
  <c r="O385" i="4"/>
  <c r="D385" i="4"/>
  <c r="N385" i="4"/>
  <c r="C385" i="4"/>
  <c r="M385" i="4"/>
  <c r="Q385" i="4"/>
  <c r="E385" i="4"/>
  <c r="L385" i="4"/>
  <c r="K385" i="4"/>
  <c r="J385" i="4"/>
  <c r="I385" i="4"/>
  <c r="R385" i="4"/>
  <c r="T385" i="4"/>
  <c r="H385" i="4"/>
  <c r="G385" i="4"/>
  <c r="AA386" i="4" s="1"/>
  <c r="I368" i="3"/>
  <c r="L368" i="3" s="1"/>
  <c r="F364" i="5"/>
  <c r="H364" i="5" s="1"/>
  <c r="V385" i="4" l="1"/>
  <c r="I364" i="5"/>
  <c r="U364" i="5" s="1"/>
  <c r="V368" i="3"/>
  <c r="N368" i="3"/>
  <c r="U368" i="3"/>
  <c r="J368" i="3"/>
  <c r="X385" i="4"/>
  <c r="Z385" i="4"/>
  <c r="I386" i="4"/>
  <c r="K386" i="4"/>
  <c r="J386" i="4"/>
  <c r="T386" i="4"/>
  <c r="H386" i="4"/>
  <c r="L386" i="4"/>
  <c r="R386" i="4"/>
  <c r="C386" i="4"/>
  <c r="Q386" i="4"/>
  <c r="P386" i="4"/>
  <c r="O386" i="4"/>
  <c r="D386" i="4"/>
  <c r="N386" i="4"/>
  <c r="E386" i="4"/>
  <c r="M386" i="4"/>
  <c r="G386" i="4"/>
  <c r="AA387" i="4" s="1"/>
  <c r="F386" i="4"/>
  <c r="W385" i="4"/>
  <c r="O365" i="6"/>
  <c r="H365" i="6"/>
  <c r="I365" i="6" s="1"/>
  <c r="O364" i="5"/>
  <c r="J364" i="5"/>
  <c r="K364" i="5" s="1"/>
  <c r="W364" i="5" s="1"/>
  <c r="U385" i="4"/>
  <c r="U365" i="6" l="1"/>
  <c r="J365" i="6"/>
  <c r="K365" i="6" s="1"/>
  <c r="W365" i="6" s="1"/>
  <c r="X386" i="4"/>
  <c r="Z386" i="4"/>
  <c r="U386" i="4"/>
  <c r="V386" i="4"/>
  <c r="K368" i="3"/>
  <c r="L387" i="4"/>
  <c r="Q387" i="4"/>
  <c r="F387" i="4"/>
  <c r="P387" i="4"/>
  <c r="E387" i="4"/>
  <c r="O387" i="4"/>
  <c r="D387" i="4"/>
  <c r="R387" i="4"/>
  <c r="G387" i="4"/>
  <c r="AA388" i="4" s="1"/>
  <c r="K387" i="4"/>
  <c r="J387" i="4"/>
  <c r="I387" i="4"/>
  <c r="H387" i="4"/>
  <c r="M387" i="4"/>
  <c r="C387" i="4"/>
  <c r="T387" i="4"/>
  <c r="N387" i="4"/>
  <c r="L365" i="6"/>
  <c r="W386" i="4"/>
  <c r="L364" i="5"/>
  <c r="U387" i="4" l="1"/>
  <c r="V364" i="5"/>
  <c r="N364" i="5"/>
  <c r="T364" i="5" s="1"/>
  <c r="W387" i="4"/>
  <c r="V365" i="6"/>
  <c r="N365" i="6"/>
  <c r="T365" i="6" s="1"/>
  <c r="X365" i="6"/>
  <c r="W368" i="3"/>
  <c r="X368" i="3"/>
  <c r="O388" i="4"/>
  <c r="E388" i="4"/>
  <c r="L388" i="4"/>
  <c r="K388" i="4"/>
  <c r="J388" i="4"/>
  <c r="M388" i="4"/>
  <c r="R388" i="4"/>
  <c r="Q388" i="4"/>
  <c r="P388" i="4"/>
  <c r="N388" i="4"/>
  <c r="C388" i="4"/>
  <c r="D388" i="4"/>
  <c r="G388" i="4"/>
  <c r="AA389" i="4" s="1"/>
  <c r="F388" i="4"/>
  <c r="T388" i="4"/>
  <c r="I388" i="4"/>
  <c r="H388" i="4"/>
  <c r="X364" i="5"/>
  <c r="V387" i="4"/>
  <c r="Z364" i="5"/>
  <c r="T368" i="3"/>
  <c r="Z387" i="4"/>
  <c r="X387" i="4"/>
  <c r="Z365" i="6" l="1"/>
  <c r="C369" i="3"/>
  <c r="D369" i="3"/>
  <c r="Q369" i="3"/>
  <c r="E369" i="3"/>
  <c r="P369" i="3" s="1"/>
  <c r="R369" i="3"/>
  <c r="F369" i="3"/>
  <c r="G369" i="3"/>
  <c r="AA370" i="3" s="1"/>
  <c r="Z368" i="3"/>
  <c r="Z388" i="4"/>
  <c r="N366" i="6"/>
  <c r="R366" i="6"/>
  <c r="G366" i="6"/>
  <c r="AA367" i="6" s="1"/>
  <c r="Q366" i="6"/>
  <c r="F366" i="6"/>
  <c r="P366" i="6"/>
  <c r="E366" i="6"/>
  <c r="H366" i="6"/>
  <c r="I366" i="6"/>
  <c r="D366" i="6"/>
  <c r="C366" i="6"/>
  <c r="J366" i="6"/>
  <c r="T366" i="6"/>
  <c r="O366" i="6"/>
  <c r="M366" i="6"/>
  <c r="L366" i="6"/>
  <c r="K366" i="6"/>
  <c r="R389" i="4"/>
  <c r="H389" i="4"/>
  <c r="Q389" i="4"/>
  <c r="F389" i="4"/>
  <c r="P389" i="4"/>
  <c r="E389" i="4"/>
  <c r="O389" i="4"/>
  <c r="D389" i="4"/>
  <c r="G389" i="4"/>
  <c r="AA390" i="4" s="1"/>
  <c r="J389" i="4"/>
  <c r="I389" i="4"/>
  <c r="C389" i="4"/>
  <c r="K389" i="4"/>
  <c r="L389" i="4"/>
  <c r="T389" i="4"/>
  <c r="N389" i="4"/>
  <c r="M389" i="4"/>
  <c r="X388" i="4"/>
  <c r="W388" i="4"/>
  <c r="V388" i="4"/>
  <c r="G365" i="5"/>
  <c r="M365" i="5"/>
  <c r="D365" i="5"/>
  <c r="C365" i="5"/>
  <c r="F365" i="5" s="1"/>
  <c r="R365" i="5"/>
  <c r="E365" i="5"/>
  <c r="Q365" i="5"/>
  <c r="U388" i="4"/>
  <c r="U389" i="4" l="1"/>
  <c r="P365" i="5"/>
  <c r="O365" i="5"/>
  <c r="K390" i="4"/>
  <c r="L390" i="4"/>
  <c r="J390" i="4"/>
  <c r="T390" i="4"/>
  <c r="I390" i="4"/>
  <c r="M390" i="4"/>
  <c r="O390" i="4"/>
  <c r="N390" i="4"/>
  <c r="H390" i="4"/>
  <c r="G390" i="4"/>
  <c r="AA391" i="4" s="1"/>
  <c r="P390" i="4"/>
  <c r="E390" i="4"/>
  <c r="D390" i="4"/>
  <c r="C390" i="4"/>
  <c r="R390" i="4"/>
  <c r="Q390" i="4"/>
  <c r="F390" i="4"/>
  <c r="Z366" i="6"/>
  <c r="W389" i="4"/>
  <c r="V389" i="4"/>
  <c r="X389" i="4"/>
  <c r="Z389" i="4"/>
  <c r="U366" i="6"/>
  <c r="W366" i="6"/>
  <c r="AA366" i="6"/>
  <c r="H369" i="3"/>
  <c r="I369" i="3" s="1"/>
  <c r="U369" i="3" s="1"/>
  <c r="V366" i="6"/>
  <c r="X366" i="6"/>
  <c r="O369" i="3"/>
  <c r="H365" i="5"/>
  <c r="Q367" i="6"/>
  <c r="G367" i="6"/>
  <c r="AA368" i="6" s="1"/>
  <c r="M367" i="6"/>
  <c r="L367" i="6"/>
  <c r="K367" i="6"/>
  <c r="N367" i="6"/>
  <c r="C367" i="6"/>
  <c r="O367" i="6"/>
  <c r="J367" i="6"/>
  <c r="I367" i="6"/>
  <c r="P367" i="6"/>
  <c r="T367" i="6"/>
  <c r="D367" i="6"/>
  <c r="E367" i="6"/>
  <c r="R367" i="6"/>
  <c r="H367" i="6"/>
  <c r="F367" i="6"/>
  <c r="V390" i="4" l="1"/>
  <c r="U367" i="6"/>
  <c r="U390" i="4"/>
  <c r="N391" i="4"/>
  <c r="D391" i="4"/>
  <c r="R391" i="4"/>
  <c r="G391" i="4"/>
  <c r="AA392" i="4" s="1"/>
  <c r="Q391" i="4"/>
  <c r="F391" i="4"/>
  <c r="P391" i="4"/>
  <c r="E391" i="4"/>
  <c r="H391" i="4"/>
  <c r="C391" i="4"/>
  <c r="T391" i="4"/>
  <c r="I391" i="4"/>
  <c r="L391" i="4"/>
  <c r="V391" i="4" s="1"/>
  <c r="K391" i="4"/>
  <c r="J391" i="4"/>
  <c r="O391" i="4"/>
  <c r="M391" i="4"/>
  <c r="Z390" i="4"/>
  <c r="J369" i="3"/>
  <c r="K369" i="3" s="1"/>
  <c r="W369" i="3" s="1"/>
  <c r="W390" i="4"/>
  <c r="Z367" i="6"/>
  <c r="V367" i="6"/>
  <c r="W367" i="6"/>
  <c r="L369" i="3"/>
  <c r="T368" i="6"/>
  <c r="J368" i="6"/>
  <c r="H368" i="6"/>
  <c r="R368" i="6"/>
  <c r="G368" i="6"/>
  <c r="AA369" i="6" s="1"/>
  <c r="Q368" i="6"/>
  <c r="F368" i="6"/>
  <c r="I368" i="6"/>
  <c r="C368" i="6"/>
  <c r="P368" i="6"/>
  <c r="D368" i="6"/>
  <c r="O368" i="6"/>
  <c r="N368" i="6"/>
  <c r="K368" i="6"/>
  <c r="E368" i="6"/>
  <c r="L368" i="6"/>
  <c r="M368" i="6"/>
  <c r="X367" i="6"/>
  <c r="I365" i="5"/>
  <c r="L365" i="5" s="1"/>
  <c r="X390" i="4"/>
  <c r="X368" i="6" l="1"/>
  <c r="V365" i="5"/>
  <c r="N365" i="5"/>
  <c r="M369" i="6"/>
  <c r="C369" i="6"/>
  <c r="O369" i="6"/>
  <c r="D369" i="6"/>
  <c r="N369" i="6"/>
  <c r="L369" i="6"/>
  <c r="P369" i="6"/>
  <c r="E369" i="6"/>
  <c r="J369" i="6"/>
  <c r="I369" i="6"/>
  <c r="H369" i="6"/>
  <c r="K369" i="6"/>
  <c r="T369" i="6"/>
  <c r="R369" i="6"/>
  <c r="Q369" i="6"/>
  <c r="G369" i="6"/>
  <c r="AA370" i="6" s="1"/>
  <c r="F369" i="6"/>
  <c r="X391" i="4"/>
  <c r="U365" i="5"/>
  <c r="J365" i="5"/>
  <c r="V368" i="6"/>
  <c r="U391" i="4"/>
  <c r="V369" i="3"/>
  <c r="N369" i="3"/>
  <c r="T369" i="3" s="1"/>
  <c r="Z368" i="6"/>
  <c r="U368" i="6"/>
  <c r="W391" i="4"/>
  <c r="Q392" i="4"/>
  <c r="G392" i="4"/>
  <c r="AA393" i="4" s="1"/>
  <c r="M392" i="4"/>
  <c r="L392" i="4"/>
  <c r="K392" i="4"/>
  <c r="N392" i="4"/>
  <c r="C392" i="4"/>
  <c r="O392" i="4"/>
  <c r="J392" i="4"/>
  <c r="I392" i="4"/>
  <c r="H392" i="4"/>
  <c r="P392" i="4"/>
  <c r="R392" i="4"/>
  <c r="F392" i="4"/>
  <c r="T392" i="4"/>
  <c r="E392" i="4"/>
  <c r="D392" i="4"/>
  <c r="W368" i="6"/>
  <c r="Z391" i="4"/>
  <c r="Z369" i="3" l="1"/>
  <c r="V369" i="6"/>
  <c r="U392" i="4"/>
  <c r="X369" i="6"/>
  <c r="V392" i="4"/>
  <c r="W369" i="6"/>
  <c r="E370" i="3"/>
  <c r="P370" i="3" s="1"/>
  <c r="Q370" i="3"/>
  <c r="G370" i="3"/>
  <c r="AA371" i="3" s="1"/>
  <c r="C370" i="3"/>
  <c r="R370" i="3"/>
  <c r="D370" i="3"/>
  <c r="T393" i="4"/>
  <c r="J393" i="4"/>
  <c r="H393" i="4"/>
  <c r="R393" i="4"/>
  <c r="G393" i="4"/>
  <c r="AA394" i="4" s="1"/>
  <c r="Q393" i="4"/>
  <c r="F393" i="4"/>
  <c r="I393" i="4"/>
  <c r="C393" i="4"/>
  <c r="P393" i="4"/>
  <c r="O393" i="4"/>
  <c r="D393" i="4"/>
  <c r="N393" i="4"/>
  <c r="M393" i="4"/>
  <c r="K393" i="4"/>
  <c r="W393" i="4" s="1"/>
  <c r="E393" i="4"/>
  <c r="L393" i="4"/>
  <c r="Z369" i="6"/>
  <c r="K365" i="5"/>
  <c r="U369" i="6"/>
  <c r="Z392" i="4"/>
  <c r="W392" i="4"/>
  <c r="P370" i="6"/>
  <c r="F370" i="6"/>
  <c r="J370" i="6"/>
  <c r="T370" i="6"/>
  <c r="I370" i="6"/>
  <c r="H370" i="6"/>
  <c r="K370" i="6"/>
  <c r="C370" i="6"/>
  <c r="R370" i="6"/>
  <c r="Q370" i="6"/>
  <c r="D370" i="6"/>
  <c r="O370" i="6"/>
  <c r="N370" i="6"/>
  <c r="E370" i="6"/>
  <c r="M370" i="6"/>
  <c r="L370" i="6"/>
  <c r="G370" i="6"/>
  <c r="AA371" i="6" s="1"/>
  <c r="X392" i="4"/>
  <c r="X369" i="3"/>
  <c r="U393" i="4" l="1"/>
  <c r="Z393" i="4"/>
  <c r="V393" i="4"/>
  <c r="X393" i="4"/>
  <c r="V370" i="6"/>
  <c r="U370" i="6"/>
  <c r="I371" i="6"/>
  <c r="P371" i="6"/>
  <c r="E371" i="6"/>
  <c r="O371" i="6"/>
  <c r="D371" i="6"/>
  <c r="N371" i="6"/>
  <c r="C371" i="6"/>
  <c r="Q371" i="6"/>
  <c r="F371" i="6"/>
  <c r="L371" i="6"/>
  <c r="K371" i="6"/>
  <c r="J371" i="6"/>
  <c r="M371" i="6"/>
  <c r="R371" i="6"/>
  <c r="H371" i="6"/>
  <c r="G371" i="6"/>
  <c r="AA372" i="6" s="1"/>
  <c r="T371" i="6"/>
  <c r="F370" i="3"/>
  <c r="H370" i="3" s="1"/>
  <c r="W365" i="5"/>
  <c r="X365" i="5"/>
  <c r="X370" i="6"/>
  <c r="Z370" i="6"/>
  <c r="T365" i="5"/>
  <c r="Z365" i="5" s="1"/>
  <c r="W370" i="6"/>
  <c r="M394" i="4"/>
  <c r="C394" i="4"/>
  <c r="O394" i="4"/>
  <c r="D394" i="4"/>
  <c r="N394" i="4"/>
  <c r="L394" i="4"/>
  <c r="P394" i="4"/>
  <c r="E394" i="4"/>
  <c r="I394" i="4"/>
  <c r="H394" i="4"/>
  <c r="G394" i="4"/>
  <c r="AA395" i="4" s="1"/>
  <c r="F394" i="4"/>
  <c r="J394" i="4"/>
  <c r="T394" i="4"/>
  <c r="K394" i="4"/>
  <c r="R394" i="4"/>
  <c r="Q394" i="4"/>
  <c r="W394" i="4" l="1"/>
  <c r="X371" i="6"/>
  <c r="W371" i="6"/>
  <c r="V394" i="4"/>
  <c r="U371" i="6"/>
  <c r="V371" i="6"/>
  <c r="Z371" i="6"/>
  <c r="Z394" i="4"/>
  <c r="P395" i="4"/>
  <c r="F395" i="4"/>
  <c r="J395" i="4"/>
  <c r="T395" i="4"/>
  <c r="I395" i="4"/>
  <c r="H395" i="4"/>
  <c r="K395" i="4"/>
  <c r="Q395" i="4"/>
  <c r="O395" i="4"/>
  <c r="N395" i="4"/>
  <c r="M395" i="4"/>
  <c r="R395" i="4"/>
  <c r="L395" i="4"/>
  <c r="G395" i="4"/>
  <c r="AA396" i="4" s="1"/>
  <c r="E395" i="4"/>
  <c r="D395" i="4"/>
  <c r="C395" i="4"/>
  <c r="L372" i="6"/>
  <c r="K372" i="6"/>
  <c r="J372" i="6"/>
  <c r="T372" i="6"/>
  <c r="I372" i="6"/>
  <c r="M372" i="6"/>
  <c r="D372" i="6"/>
  <c r="R372" i="6"/>
  <c r="C372" i="6"/>
  <c r="Q372" i="6"/>
  <c r="E372" i="6"/>
  <c r="P372" i="6"/>
  <c r="O372" i="6"/>
  <c r="N372" i="6"/>
  <c r="H372" i="6"/>
  <c r="F372" i="6"/>
  <c r="G372" i="6"/>
  <c r="AA373" i="6" s="1"/>
  <c r="X394" i="4"/>
  <c r="U394" i="4"/>
  <c r="O370" i="3"/>
  <c r="I370" i="3"/>
  <c r="U370" i="3" s="1"/>
  <c r="M366" i="5"/>
  <c r="C366" i="5"/>
  <c r="E366" i="5"/>
  <c r="P366" i="5" s="1"/>
  <c r="Q366" i="5"/>
  <c r="R366" i="5"/>
  <c r="D366" i="5"/>
  <c r="V395" i="4" l="1"/>
  <c r="X372" i="6"/>
  <c r="X395" i="4"/>
  <c r="U395" i="4"/>
  <c r="AA366" i="5"/>
  <c r="I396" i="4"/>
  <c r="P396" i="4"/>
  <c r="E396" i="4"/>
  <c r="O396" i="4"/>
  <c r="D396" i="4"/>
  <c r="N396" i="4"/>
  <c r="C396" i="4"/>
  <c r="Q396" i="4"/>
  <c r="F396" i="4"/>
  <c r="J396" i="4"/>
  <c r="H396" i="4"/>
  <c r="G396" i="4"/>
  <c r="AA397" i="4" s="1"/>
  <c r="K396" i="4"/>
  <c r="T396" i="4"/>
  <c r="R396" i="4"/>
  <c r="M396" i="4"/>
  <c r="L396" i="4"/>
  <c r="U372" i="6"/>
  <c r="O373" i="6"/>
  <c r="E373" i="6"/>
  <c r="R373" i="6"/>
  <c r="G373" i="6"/>
  <c r="AA374" i="6" s="1"/>
  <c r="Q373" i="6"/>
  <c r="F373" i="6"/>
  <c r="P373" i="6"/>
  <c r="D373" i="6"/>
  <c r="H373" i="6"/>
  <c r="L373" i="6"/>
  <c r="K373" i="6"/>
  <c r="J373" i="6"/>
  <c r="M373" i="6"/>
  <c r="C373" i="6"/>
  <c r="N373" i="6"/>
  <c r="T373" i="6"/>
  <c r="I373" i="6"/>
  <c r="J370" i="3"/>
  <c r="K370" i="3" s="1"/>
  <c r="W370" i="3" s="1"/>
  <c r="W372" i="6"/>
  <c r="V372" i="6"/>
  <c r="Z395" i="4"/>
  <c r="W395" i="4"/>
  <c r="G366" i="5"/>
  <c r="AA367" i="5" s="1"/>
  <c r="F366" i="5"/>
  <c r="Z372" i="6"/>
  <c r="L370" i="3"/>
  <c r="U373" i="6" l="1"/>
  <c r="H366" i="5"/>
  <c r="O366" i="5"/>
  <c r="W396" i="4"/>
  <c r="U396" i="4"/>
  <c r="R374" i="6"/>
  <c r="H374" i="6"/>
  <c r="M374" i="6"/>
  <c r="L374" i="6"/>
  <c r="K374" i="6"/>
  <c r="N374" i="6"/>
  <c r="C374" i="6"/>
  <c r="Q374" i="6"/>
  <c r="P374" i="6"/>
  <c r="T374" i="6"/>
  <c r="D374" i="6"/>
  <c r="O374" i="6"/>
  <c r="J374" i="6"/>
  <c r="I374" i="6"/>
  <c r="G374" i="6"/>
  <c r="AA375" i="6" s="1"/>
  <c r="F374" i="6"/>
  <c r="E374" i="6"/>
  <c r="X373" i="6"/>
  <c r="L397" i="4"/>
  <c r="K397" i="4"/>
  <c r="J397" i="4"/>
  <c r="T397" i="4"/>
  <c r="I397" i="4"/>
  <c r="M397" i="4"/>
  <c r="P397" i="4"/>
  <c r="O397" i="4"/>
  <c r="N397" i="4"/>
  <c r="H397" i="4"/>
  <c r="Q397" i="4"/>
  <c r="C397" i="4"/>
  <c r="F397" i="4"/>
  <c r="E397" i="4"/>
  <c r="D397" i="4"/>
  <c r="R397" i="4"/>
  <c r="G397" i="4"/>
  <c r="AA398" i="4" s="1"/>
  <c r="Z373" i="6"/>
  <c r="W373" i="6"/>
  <c r="X396" i="4"/>
  <c r="V373" i="6"/>
  <c r="V370" i="3"/>
  <c r="N370" i="3"/>
  <c r="T370" i="3" s="1"/>
  <c r="V396" i="4"/>
  <c r="Z396" i="4"/>
  <c r="V397" i="4" l="1"/>
  <c r="Z370" i="3"/>
  <c r="X370" i="3"/>
  <c r="U397" i="4"/>
  <c r="O398" i="4"/>
  <c r="E398" i="4"/>
  <c r="R398" i="4"/>
  <c r="G398" i="4"/>
  <c r="AA399" i="4" s="1"/>
  <c r="Q398" i="4"/>
  <c r="F398" i="4"/>
  <c r="P398" i="4"/>
  <c r="D398" i="4"/>
  <c r="H398" i="4"/>
  <c r="I398" i="4"/>
  <c r="C398" i="4"/>
  <c r="J398" i="4"/>
  <c r="K398" i="4"/>
  <c r="N398" i="4"/>
  <c r="M398" i="4"/>
  <c r="T398" i="4"/>
  <c r="L398" i="4"/>
  <c r="X397" i="4"/>
  <c r="Z397" i="4"/>
  <c r="W397" i="4"/>
  <c r="K375" i="6"/>
  <c r="R375" i="6"/>
  <c r="G375" i="6"/>
  <c r="AA376" i="6" s="1"/>
  <c r="Q375" i="6"/>
  <c r="F375" i="6"/>
  <c r="P375" i="6"/>
  <c r="E375" i="6"/>
  <c r="H375" i="6"/>
  <c r="I375" i="6"/>
  <c r="D375" i="6"/>
  <c r="C375" i="6"/>
  <c r="J375" i="6"/>
  <c r="T375" i="6"/>
  <c r="O375" i="6"/>
  <c r="N375" i="6"/>
  <c r="M375" i="6"/>
  <c r="L375" i="6"/>
  <c r="X374" i="6"/>
  <c r="I366" i="5"/>
  <c r="L366" i="5" s="1"/>
  <c r="Z374" i="6"/>
  <c r="W374" i="6"/>
  <c r="R371" i="3"/>
  <c r="Q371" i="3"/>
  <c r="D371" i="3"/>
  <c r="C371" i="3"/>
  <c r="F371" i="3" s="1"/>
  <c r="O371" i="3" s="1"/>
  <c r="E371" i="3"/>
  <c r="G371" i="3"/>
  <c r="AA372" i="3" s="1"/>
  <c r="U374" i="6"/>
  <c r="V374" i="6"/>
  <c r="P371" i="3" l="1"/>
  <c r="V398" i="4"/>
  <c r="U375" i="6"/>
  <c r="W398" i="4"/>
  <c r="V366" i="5"/>
  <c r="N366" i="5"/>
  <c r="V375" i="6"/>
  <c r="X398" i="4"/>
  <c r="X375" i="6"/>
  <c r="N376" i="6"/>
  <c r="D376" i="6"/>
  <c r="M376" i="6"/>
  <c r="L376" i="6"/>
  <c r="K376" i="6"/>
  <c r="O376" i="6"/>
  <c r="C376" i="6"/>
  <c r="P376" i="6"/>
  <c r="J376" i="6"/>
  <c r="I376" i="6"/>
  <c r="Q376" i="6"/>
  <c r="T376" i="6"/>
  <c r="R376" i="6"/>
  <c r="H376" i="6"/>
  <c r="E376" i="6"/>
  <c r="F376" i="6"/>
  <c r="G376" i="6"/>
  <c r="AA377" i="6" s="1"/>
  <c r="Z375" i="6"/>
  <c r="W375" i="6"/>
  <c r="Z398" i="4"/>
  <c r="R399" i="4"/>
  <c r="H399" i="4"/>
  <c r="L399" i="4"/>
  <c r="K399" i="4"/>
  <c r="J399" i="4"/>
  <c r="M399" i="4"/>
  <c r="N399" i="4"/>
  <c r="I399" i="4"/>
  <c r="G399" i="4"/>
  <c r="AA400" i="4" s="1"/>
  <c r="F399" i="4"/>
  <c r="O399" i="4"/>
  <c r="C399" i="4"/>
  <c r="P399" i="4"/>
  <c r="E399" i="4"/>
  <c r="D399" i="4"/>
  <c r="T399" i="4"/>
  <c r="Q399" i="4"/>
  <c r="H371" i="3"/>
  <c r="U366" i="5"/>
  <c r="J366" i="5"/>
  <c r="U398" i="4"/>
  <c r="W399" i="4" l="1"/>
  <c r="V376" i="6"/>
  <c r="U399" i="4"/>
  <c r="K400" i="4"/>
  <c r="Q400" i="4"/>
  <c r="F400" i="4"/>
  <c r="P400" i="4"/>
  <c r="E400" i="4"/>
  <c r="O400" i="4"/>
  <c r="D400" i="4"/>
  <c r="R400" i="4"/>
  <c r="G400" i="4"/>
  <c r="AA401" i="4" s="1"/>
  <c r="T400" i="4"/>
  <c r="N400" i="4"/>
  <c r="C400" i="4"/>
  <c r="H400" i="4"/>
  <c r="M400" i="4"/>
  <c r="L400" i="4"/>
  <c r="J400" i="4"/>
  <c r="I400" i="4"/>
  <c r="Z376" i="6"/>
  <c r="X376" i="6"/>
  <c r="U376" i="6"/>
  <c r="V399" i="4"/>
  <c r="W376" i="6"/>
  <c r="Q377" i="6"/>
  <c r="G377" i="6"/>
  <c r="AA378" i="6" s="1"/>
  <c r="T377" i="6"/>
  <c r="I377" i="6"/>
  <c r="H377" i="6"/>
  <c r="R377" i="6"/>
  <c r="F377" i="6"/>
  <c r="J377" i="6"/>
  <c r="C377" i="6"/>
  <c r="P377" i="6"/>
  <c r="D377" i="6"/>
  <c r="N377" i="6"/>
  <c r="M377" i="6"/>
  <c r="L377" i="6"/>
  <c r="K377" i="6"/>
  <c r="O377" i="6"/>
  <c r="E377" i="6"/>
  <c r="Z399" i="4"/>
  <c r="K366" i="5"/>
  <c r="X366" i="5" s="1"/>
  <c r="X399" i="4"/>
  <c r="I371" i="3"/>
  <c r="N401" i="4" l="1"/>
  <c r="D401" i="4"/>
  <c r="L401" i="4"/>
  <c r="K401" i="4"/>
  <c r="J401" i="4"/>
  <c r="M401" i="4"/>
  <c r="H401" i="4"/>
  <c r="G401" i="4"/>
  <c r="AA402" i="4" s="1"/>
  <c r="F401" i="4"/>
  <c r="T401" i="4"/>
  <c r="E401" i="4"/>
  <c r="I401" i="4"/>
  <c r="O401" i="4"/>
  <c r="C401" i="4"/>
  <c r="R401" i="4"/>
  <c r="P401" i="4"/>
  <c r="Q401" i="4"/>
  <c r="W377" i="6"/>
  <c r="V377" i="6"/>
  <c r="U377" i="6"/>
  <c r="U371" i="3"/>
  <c r="J371" i="3"/>
  <c r="K371" i="3" s="1"/>
  <c r="W371" i="3" s="1"/>
  <c r="W366" i="5"/>
  <c r="Z377" i="6"/>
  <c r="X400" i="4"/>
  <c r="T366" i="5"/>
  <c r="Z366" i="5" s="1"/>
  <c r="Z400" i="4"/>
  <c r="T378" i="6"/>
  <c r="J378" i="6"/>
  <c r="O378" i="6"/>
  <c r="D378" i="6"/>
  <c r="N378" i="6"/>
  <c r="C378" i="6"/>
  <c r="M378" i="6"/>
  <c r="P378" i="6"/>
  <c r="E378" i="6"/>
  <c r="L378" i="6"/>
  <c r="K378" i="6"/>
  <c r="I378" i="6"/>
  <c r="Q378" i="6"/>
  <c r="R378" i="6"/>
  <c r="H378" i="6"/>
  <c r="F378" i="6"/>
  <c r="G378" i="6"/>
  <c r="AA379" i="6" s="1"/>
  <c r="U400" i="4"/>
  <c r="V400" i="4"/>
  <c r="X377" i="6"/>
  <c r="L371" i="3"/>
  <c r="W400" i="4"/>
  <c r="W401" i="4" l="1"/>
  <c r="W378" i="6"/>
  <c r="V378" i="6"/>
  <c r="Q402" i="4"/>
  <c r="G402" i="4"/>
  <c r="AA403" i="4" s="1"/>
  <c r="H402" i="4"/>
  <c r="R402" i="4"/>
  <c r="F402" i="4"/>
  <c r="P402" i="4"/>
  <c r="E402" i="4"/>
  <c r="T402" i="4"/>
  <c r="I402" i="4"/>
  <c r="O402" i="4"/>
  <c r="N402" i="4"/>
  <c r="M402" i="4"/>
  <c r="L402" i="4"/>
  <c r="J402" i="4"/>
  <c r="D402" i="4"/>
  <c r="C402" i="4"/>
  <c r="K402" i="4"/>
  <c r="X401" i="4"/>
  <c r="M379" i="6"/>
  <c r="C379" i="6"/>
  <c r="J379" i="6"/>
  <c r="T379" i="6"/>
  <c r="I379" i="6"/>
  <c r="H379" i="6"/>
  <c r="K379" i="6"/>
  <c r="E379" i="6"/>
  <c r="D379" i="6"/>
  <c r="R379" i="6"/>
  <c r="F379" i="6"/>
  <c r="Q379" i="6"/>
  <c r="P379" i="6"/>
  <c r="O379" i="6"/>
  <c r="N379" i="6"/>
  <c r="L379" i="6"/>
  <c r="G379" i="6"/>
  <c r="AA380" i="6" s="1"/>
  <c r="M367" i="5"/>
  <c r="G367" i="5"/>
  <c r="AA368" i="5" s="1"/>
  <c r="E367" i="5"/>
  <c r="Q367" i="5"/>
  <c r="R367" i="5"/>
  <c r="D367" i="5"/>
  <c r="C367" i="5"/>
  <c r="X378" i="6"/>
  <c r="V401" i="4"/>
  <c r="U401" i="4"/>
  <c r="Z378" i="6"/>
  <c r="Z401" i="4"/>
  <c r="V371" i="3"/>
  <c r="N371" i="3"/>
  <c r="U378" i="6"/>
  <c r="W402" i="4" l="1"/>
  <c r="P367" i="5"/>
  <c r="V379" i="6"/>
  <c r="X379" i="6"/>
  <c r="U402" i="4"/>
  <c r="Z379" i="6"/>
  <c r="T403" i="4"/>
  <c r="J403" i="4"/>
  <c r="N403" i="4"/>
  <c r="C403" i="4"/>
  <c r="M403" i="4"/>
  <c r="L403" i="4"/>
  <c r="O403" i="4"/>
  <c r="D403" i="4"/>
  <c r="F403" i="4"/>
  <c r="E403" i="4"/>
  <c r="R403" i="4"/>
  <c r="G403" i="4"/>
  <c r="AA404" i="4" s="1"/>
  <c r="I403" i="4"/>
  <c r="H403" i="4"/>
  <c r="K403" i="4"/>
  <c r="Q403" i="4"/>
  <c r="P403" i="4"/>
  <c r="F367" i="5"/>
  <c r="X402" i="4"/>
  <c r="U379" i="6"/>
  <c r="V402" i="4"/>
  <c r="P380" i="6"/>
  <c r="F380" i="6"/>
  <c r="Q380" i="6"/>
  <c r="E380" i="6"/>
  <c r="O380" i="6"/>
  <c r="D380" i="6"/>
  <c r="N380" i="6"/>
  <c r="C380" i="6"/>
  <c r="R380" i="6"/>
  <c r="G380" i="6"/>
  <c r="AA381" i="6" s="1"/>
  <c r="M380" i="6"/>
  <c r="L380" i="6"/>
  <c r="K380" i="6"/>
  <c r="W380" i="6" s="1"/>
  <c r="H380" i="6"/>
  <c r="I380" i="6"/>
  <c r="T380" i="6"/>
  <c r="J380" i="6"/>
  <c r="T371" i="3"/>
  <c r="Z371" i="3" s="1"/>
  <c r="X371" i="3"/>
  <c r="Z402" i="4"/>
  <c r="W379" i="6"/>
  <c r="W403" i="4" l="1"/>
  <c r="U403" i="4"/>
  <c r="Z403" i="4"/>
  <c r="V380" i="6"/>
  <c r="X380" i="6"/>
  <c r="I381" i="6"/>
  <c r="L381" i="6"/>
  <c r="K381" i="6"/>
  <c r="J381" i="6"/>
  <c r="M381" i="6"/>
  <c r="E381" i="6"/>
  <c r="T381" i="6"/>
  <c r="D381" i="6"/>
  <c r="R381" i="6"/>
  <c r="C381" i="6"/>
  <c r="F381" i="6"/>
  <c r="Q381" i="6"/>
  <c r="P381" i="6"/>
  <c r="O381" i="6"/>
  <c r="N381" i="6"/>
  <c r="H381" i="6"/>
  <c r="G381" i="6"/>
  <c r="AA382" i="6" s="1"/>
  <c r="U380" i="6"/>
  <c r="V403" i="4"/>
  <c r="Z380" i="6"/>
  <c r="M404" i="4"/>
  <c r="C404" i="4"/>
  <c r="T404" i="4"/>
  <c r="I404" i="4"/>
  <c r="H404" i="4"/>
  <c r="R404" i="4"/>
  <c r="G404" i="4"/>
  <c r="AA405" i="4" s="1"/>
  <c r="J404" i="4"/>
  <c r="N404" i="4"/>
  <c r="L404" i="4"/>
  <c r="K404" i="4"/>
  <c r="W404" i="4" s="1"/>
  <c r="F404" i="4"/>
  <c r="O404" i="4"/>
  <c r="P404" i="4"/>
  <c r="E404" i="4"/>
  <c r="D404" i="4"/>
  <c r="Q404" i="4"/>
  <c r="C372" i="3"/>
  <c r="Q372" i="3"/>
  <c r="E372" i="3"/>
  <c r="F372" i="3" s="1"/>
  <c r="P372" i="3"/>
  <c r="D372" i="3"/>
  <c r="R372" i="3"/>
  <c r="G372" i="3"/>
  <c r="AA373" i="3" s="1"/>
  <c r="X403" i="4"/>
  <c r="O367" i="5"/>
  <c r="H367" i="5"/>
  <c r="U404" i="4" l="1"/>
  <c r="V381" i="6"/>
  <c r="O372" i="3"/>
  <c r="W381" i="6"/>
  <c r="X404" i="4"/>
  <c r="I372" i="3"/>
  <c r="U372" i="3" s="1"/>
  <c r="P405" i="4"/>
  <c r="F405" i="4"/>
  <c r="O405" i="4"/>
  <c r="D405" i="4"/>
  <c r="N405" i="4"/>
  <c r="C405" i="4"/>
  <c r="M405" i="4"/>
  <c r="Q405" i="4"/>
  <c r="E405" i="4"/>
  <c r="G405" i="4"/>
  <c r="AA406" i="4" s="1"/>
  <c r="T405" i="4"/>
  <c r="H405" i="4"/>
  <c r="R405" i="4"/>
  <c r="L405" i="4"/>
  <c r="K405" i="4"/>
  <c r="J405" i="4"/>
  <c r="I405" i="4"/>
  <c r="H372" i="3"/>
  <c r="L382" i="6"/>
  <c r="R382" i="6"/>
  <c r="G382" i="6"/>
  <c r="AA383" i="6" s="1"/>
  <c r="Q382" i="6"/>
  <c r="F382" i="6"/>
  <c r="P382" i="6"/>
  <c r="E382" i="6"/>
  <c r="H382" i="6"/>
  <c r="N382" i="6"/>
  <c r="M382" i="6"/>
  <c r="K382" i="6"/>
  <c r="O382" i="6"/>
  <c r="C382" i="6"/>
  <c r="D382" i="6"/>
  <c r="I382" i="6"/>
  <c r="T382" i="6"/>
  <c r="J382" i="6"/>
  <c r="Z404" i="4"/>
  <c r="V404" i="4"/>
  <c r="Z381" i="6"/>
  <c r="U381" i="6"/>
  <c r="X381" i="6"/>
  <c r="I367" i="5"/>
  <c r="U382" i="6" l="1"/>
  <c r="I406" i="4"/>
  <c r="K406" i="4"/>
  <c r="J406" i="4"/>
  <c r="T406" i="4"/>
  <c r="H406" i="4"/>
  <c r="L406" i="4"/>
  <c r="V406" i="4" s="1"/>
  <c r="M406" i="4"/>
  <c r="G406" i="4"/>
  <c r="AA407" i="4" s="1"/>
  <c r="F406" i="4"/>
  <c r="E406" i="4"/>
  <c r="N406" i="4"/>
  <c r="R406" i="4"/>
  <c r="Q406" i="4"/>
  <c r="P406" i="4"/>
  <c r="O406" i="4"/>
  <c r="D406" i="4"/>
  <c r="C406" i="4"/>
  <c r="V382" i="6"/>
  <c r="L372" i="3"/>
  <c r="Z382" i="6"/>
  <c r="W405" i="4"/>
  <c r="U367" i="5"/>
  <c r="J367" i="5"/>
  <c r="K367" i="5" s="1"/>
  <c r="W367" i="5" s="1"/>
  <c r="X382" i="6"/>
  <c r="L367" i="5"/>
  <c r="X405" i="4"/>
  <c r="W382" i="6"/>
  <c r="U405" i="4"/>
  <c r="J372" i="3"/>
  <c r="Z405" i="4"/>
  <c r="O383" i="6"/>
  <c r="E383" i="6"/>
  <c r="M383" i="6"/>
  <c r="L383" i="6"/>
  <c r="K383" i="6"/>
  <c r="N383" i="6"/>
  <c r="C383" i="6"/>
  <c r="T383" i="6"/>
  <c r="D383" i="6"/>
  <c r="R383" i="6"/>
  <c r="F383" i="6"/>
  <c r="Q383" i="6"/>
  <c r="P383" i="6"/>
  <c r="G383" i="6"/>
  <c r="AA384" i="6" s="1"/>
  <c r="H383" i="6"/>
  <c r="I383" i="6"/>
  <c r="U383" i="6" s="1"/>
  <c r="J383" i="6"/>
  <c r="V405" i="4"/>
  <c r="W383" i="6" l="1"/>
  <c r="X406" i="4"/>
  <c r="Z383" i="6"/>
  <c r="V372" i="3"/>
  <c r="N372" i="3"/>
  <c r="V367" i="5"/>
  <c r="N367" i="5"/>
  <c r="T367" i="5" s="1"/>
  <c r="L407" i="4"/>
  <c r="V407" i="4" s="1"/>
  <c r="Q407" i="4"/>
  <c r="F407" i="4"/>
  <c r="P407" i="4"/>
  <c r="E407" i="4"/>
  <c r="O407" i="4"/>
  <c r="D407" i="4"/>
  <c r="R407" i="4"/>
  <c r="G407" i="4"/>
  <c r="AA408" i="4" s="1"/>
  <c r="T407" i="4"/>
  <c r="N407" i="4"/>
  <c r="C407" i="4"/>
  <c r="M407" i="4"/>
  <c r="H407" i="4"/>
  <c r="K407" i="4"/>
  <c r="J407" i="4"/>
  <c r="I407" i="4"/>
  <c r="V383" i="6"/>
  <c r="Z406" i="4"/>
  <c r="X383" i="6"/>
  <c r="W406" i="4"/>
  <c r="R384" i="6"/>
  <c r="H384" i="6"/>
  <c r="T384" i="6"/>
  <c r="I384" i="6"/>
  <c r="G384" i="6"/>
  <c r="AA385" i="6" s="1"/>
  <c r="Q384" i="6"/>
  <c r="F384" i="6"/>
  <c r="J384" i="6"/>
  <c r="M384" i="6"/>
  <c r="L384" i="6"/>
  <c r="V384" i="6" s="1"/>
  <c r="K384" i="6"/>
  <c r="N384" i="6"/>
  <c r="P384" i="6"/>
  <c r="O384" i="6"/>
  <c r="E384" i="6"/>
  <c r="D384" i="6"/>
  <c r="C384" i="6"/>
  <c r="K372" i="3"/>
  <c r="U406" i="4"/>
  <c r="Z367" i="5" l="1"/>
  <c r="X367" i="5"/>
  <c r="X407" i="4"/>
  <c r="W384" i="6"/>
  <c r="Z407" i="4"/>
  <c r="Z384" i="6"/>
  <c r="X384" i="6"/>
  <c r="T372" i="3"/>
  <c r="U384" i="6"/>
  <c r="U407" i="4"/>
  <c r="W372" i="3"/>
  <c r="X372" i="3"/>
  <c r="Q368" i="5"/>
  <c r="R368" i="5"/>
  <c r="G368" i="5"/>
  <c r="AA369" i="5" s="1"/>
  <c r="M368" i="5"/>
  <c r="E368" i="5"/>
  <c r="P368" i="5" s="1"/>
  <c r="D368" i="5"/>
  <c r="C368" i="5"/>
  <c r="K385" i="6"/>
  <c r="N385" i="6"/>
  <c r="C385" i="6"/>
  <c r="M385" i="6"/>
  <c r="L385" i="6"/>
  <c r="O385" i="6"/>
  <c r="D385" i="6"/>
  <c r="R385" i="6"/>
  <c r="Q385" i="6"/>
  <c r="P385" i="6"/>
  <c r="T385" i="6"/>
  <c r="J385" i="6"/>
  <c r="I385" i="6"/>
  <c r="H385" i="6"/>
  <c r="G385" i="6"/>
  <c r="AA386" i="6" s="1"/>
  <c r="F385" i="6"/>
  <c r="E385" i="6"/>
  <c r="O408" i="4"/>
  <c r="E408" i="4"/>
  <c r="L408" i="4"/>
  <c r="K408" i="4"/>
  <c r="J408" i="4"/>
  <c r="M408" i="4"/>
  <c r="H408" i="4"/>
  <c r="G408" i="4"/>
  <c r="AA409" i="4" s="1"/>
  <c r="F408" i="4"/>
  <c r="T408" i="4"/>
  <c r="D408" i="4"/>
  <c r="I408" i="4"/>
  <c r="P408" i="4"/>
  <c r="N408" i="4"/>
  <c r="R408" i="4"/>
  <c r="Q408" i="4"/>
  <c r="C408" i="4"/>
  <c r="W407" i="4"/>
  <c r="F368" i="5" l="1"/>
  <c r="O368" i="5" s="1"/>
  <c r="U408" i="4"/>
  <c r="U385" i="6"/>
  <c r="V408" i="4"/>
  <c r="Z385" i="6"/>
  <c r="W408" i="4"/>
  <c r="N386" i="6"/>
  <c r="D386" i="6"/>
  <c r="T386" i="6"/>
  <c r="I386" i="6"/>
  <c r="H386" i="6"/>
  <c r="R386" i="6"/>
  <c r="G386" i="6"/>
  <c r="AA387" i="6" s="1"/>
  <c r="J386" i="6"/>
  <c r="F386" i="6"/>
  <c r="E386" i="6"/>
  <c r="C386" i="6"/>
  <c r="K386" i="6"/>
  <c r="W386" i="6" s="1"/>
  <c r="Q386" i="6"/>
  <c r="P386" i="6"/>
  <c r="O386" i="6"/>
  <c r="L386" i="6"/>
  <c r="M386" i="6"/>
  <c r="W385" i="6"/>
  <c r="E373" i="3"/>
  <c r="D373" i="3"/>
  <c r="C373" i="3"/>
  <c r="R373" i="3"/>
  <c r="G373" i="3"/>
  <c r="AA374" i="3" s="1"/>
  <c r="Q373" i="3"/>
  <c r="Z372" i="3"/>
  <c r="V385" i="6"/>
  <c r="R409" i="4"/>
  <c r="H409" i="4"/>
  <c r="Q409" i="4"/>
  <c r="F409" i="4"/>
  <c r="P409" i="4"/>
  <c r="E409" i="4"/>
  <c r="O409" i="4"/>
  <c r="D409" i="4"/>
  <c r="G409" i="4"/>
  <c r="AA410" i="4" s="1"/>
  <c r="T409" i="4"/>
  <c r="N409" i="4"/>
  <c r="M409" i="4"/>
  <c r="L409" i="4"/>
  <c r="C409" i="4"/>
  <c r="K409" i="4"/>
  <c r="J409" i="4"/>
  <c r="I409" i="4"/>
  <c r="X408" i="4"/>
  <c r="X385" i="6"/>
  <c r="H368" i="5"/>
  <c r="Z408" i="4"/>
  <c r="V409" i="4" l="1"/>
  <c r="P373" i="3"/>
  <c r="F373" i="3"/>
  <c r="U409" i="4"/>
  <c r="H373" i="3"/>
  <c r="V386" i="6"/>
  <c r="W409" i="4"/>
  <c r="U386" i="6"/>
  <c r="Z386" i="6"/>
  <c r="O373" i="3"/>
  <c r="K410" i="4"/>
  <c r="L410" i="4"/>
  <c r="J410" i="4"/>
  <c r="T410" i="4"/>
  <c r="I410" i="4"/>
  <c r="M410" i="4"/>
  <c r="E410" i="4"/>
  <c r="D410" i="4"/>
  <c r="R410" i="4"/>
  <c r="C410" i="4"/>
  <c r="Q410" i="4"/>
  <c r="F410" i="4"/>
  <c r="G410" i="4"/>
  <c r="AA411" i="4" s="1"/>
  <c r="O410" i="4"/>
  <c r="N410" i="4"/>
  <c r="P410" i="4"/>
  <c r="H410" i="4"/>
  <c r="X386" i="6"/>
  <c r="I373" i="3"/>
  <c r="U373" i="3" s="1"/>
  <c r="Z409" i="4"/>
  <c r="X409" i="4"/>
  <c r="Q387" i="6"/>
  <c r="G387" i="6"/>
  <c r="AA388" i="6" s="1"/>
  <c r="O387" i="6"/>
  <c r="D387" i="6"/>
  <c r="N387" i="6"/>
  <c r="C387" i="6"/>
  <c r="M387" i="6"/>
  <c r="P387" i="6"/>
  <c r="E387" i="6"/>
  <c r="R387" i="6"/>
  <c r="L387" i="6"/>
  <c r="T387" i="6"/>
  <c r="K387" i="6"/>
  <c r="J387" i="6"/>
  <c r="I387" i="6"/>
  <c r="H387" i="6"/>
  <c r="F387" i="6"/>
  <c r="I368" i="5"/>
  <c r="L368" i="5" s="1"/>
  <c r="Z387" i="6" l="1"/>
  <c r="U387" i="6"/>
  <c r="V368" i="5"/>
  <c r="N368" i="5"/>
  <c r="X387" i="6"/>
  <c r="T388" i="6"/>
  <c r="J388" i="6"/>
  <c r="K388" i="6"/>
  <c r="W388" i="6" s="1"/>
  <c r="I388" i="6"/>
  <c r="H388" i="6"/>
  <c r="L388" i="6"/>
  <c r="F388" i="6"/>
  <c r="E388" i="6"/>
  <c r="D388" i="6"/>
  <c r="G388" i="6"/>
  <c r="AA389" i="6" s="1"/>
  <c r="R388" i="6"/>
  <c r="Q388" i="6"/>
  <c r="C388" i="6"/>
  <c r="P388" i="6"/>
  <c r="O388" i="6"/>
  <c r="N388" i="6"/>
  <c r="M388" i="6"/>
  <c r="U410" i="4"/>
  <c r="V387" i="6"/>
  <c r="N411" i="4"/>
  <c r="D411" i="4"/>
  <c r="R411" i="4"/>
  <c r="G411" i="4"/>
  <c r="AA412" i="4" s="1"/>
  <c r="Q411" i="4"/>
  <c r="F411" i="4"/>
  <c r="P411" i="4"/>
  <c r="E411" i="4"/>
  <c r="H411" i="4"/>
  <c r="M411" i="4"/>
  <c r="L411" i="4"/>
  <c r="K411" i="4"/>
  <c r="J411" i="4"/>
  <c r="O411" i="4"/>
  <c r="C411" i="4"/>
  <c r="T411" i="4"/>
  <c r="I411" i="4"/>
  <c r="J373" i="3"/>
  <c r="K373" i="3" s="1"/>
  <c r="W373" i="3" s="1"/>
  <c r="X410" i="4"/>
  <c r="V410" i="4"/>
  <c r="Z410" i="4"/>
  <c r="W387" i="6"/>
  <c r="U368" i="5"/>
  <c r="J368" i="5"/>
  <c r="W410" i="4"/>
  <c r="L373" i="3"/>
  <c r="U411" i="4" l="1"/>
  <c r="V388" i="6"/>
  <c r="X388" i="6"/>
  <c r="X411" i="4"/>
  <c r="Q412" i="4"/>
  <c r="G412" i="4"/>
  <c r="AA413" i="4" s="1"/>
  <c r="M412" i="4"/>
  <c r="L412" i="4"/>
  <c r="K412" i="4"/>
  <c r="N412" i="4"/>
  <c r="C412" i="4"/>
  <c r="E412" i="4"/>
  <c r="T412" i="4"/>
  <c r="D412" i="4"/>
  <c r="R412" i="4"/>
  <c r="F412" i="4"/>
  <c r="J412" i="4"/>
  <c r="I412" i="4"/>
  <c r="H412" i="4"/>
  <c r="O412" i="4"/>
  <c r="P412" i="4"/>
  <c r="Z411" i="4"/>
  <c r="W411" i="4"/>
  <c r="K368" i="5"/>
  <c r="Z388" i="6"/>
  <c r="M389" i="6"/>
  <c r="C389" i="6"/>
  <c r="Q389" i="6"/>
  <c r="F389" i="6"/>
  <c r="P389" i="6"/>
  <c r="E389" i="6"/>
  <c r="O389" i="6"/>
  <c r="D389" i="6"/>
  <c r="R389" i="6"/>
  <c r="G389" i="6"/>
  <c r="AA390" i="6" s="1"/>
  <c r="N389" i="6"/>
  <c r="L389" i="6"/>
  <c r="T389" i="6"/>
  <c r="I389" i="6"/>
  <c r="H389" i="6"/>
  <c r="J389" i="6"/>
  <c r="K389" i="6"/>
  <c r="V411" i="4"/>
  <c r="T368" i="5"/>
  <c r="U388" i="6"/>
  <c r="V373" i="3"/>
  <c r="N373" i="3"/>
  <c r="V412" i="4" l="1"/>
  <c r="U389" i="6"/>
  <c r="Z412" i="4"/>
  <c r="X389" i="6"/>
  <c r="P390" i="6"/>
  <c r="F390" i="6"/>
  <c r="L390" i="6"/>
  <c r="K390" i="6"/>
  <c r="J390" i="6"/>
  <c r="M390" i="6"/>
  <c r="G390" i="6"/>
  <c r="AA391" i="6" s="1"/>
  <c r="E390" i="6"/>
  <c r="T390" i="6"/>
  <c r="D390" i="6"/>
  <c r="H390" i="6"/>
  <c r="C390" i="6"/>
  <c r="R390" i="6"/>
  <c r="Q390" i="6"/>
  <c r="O390" i="6"/>
  <c r="N390" i="6"/>
  <c r="I390" i="6"/>
  <c r="W412" i="4"/>
  <c r="T373" i="3"/>
  <c r="Z373" i="3" s="1"/>
  <c r="X373" i="3"/>
  <c r="V389" i="6"/>
  <c r="U412" i="4"/>
  <c r="X412" i="4"/>
  <c r="W368" i="5"/>
  <c r="X368" i="5"/>
  <c r="Z389" i="6"/>
  <c r="M369" i="5"/>
  <c r="C369" i="5"/>
  <c r="R369" i="5"/>
  <c r="Q369" i="5"/>
  <c r="D369" i="5"/>
  <c r="G369" i="5"/>
  <c r="AA370" i="5" s="1"/>
  <c r="E369" i="5"/>
  <c r="P369" i="5" s="1"/>
  <c r="Z368" i="5"/>
  <c r="W389" i="6"/>
  <c r="T413" i="4"/>
  <c r="J413" i="4"/>
  <c r="H413" i="4"/>
  <c r="R413" i="4"/>
  <c r="G413" i="4"/>
  <c r="AA414" i="4" s="1"/>
  <c r="Q413" i="4"/>
  <c r="F413" i="4"/>
  <c r="I413" i="4"/>
  <c r="M413" i="4"/>
  <c r="L413" i="4"/>
  <c r="K413" i="4"/>
  <c r="E413" i="4"/>
  <c r="N413" i="4"/>
  <c r="P413" i="4"/>
  <c r="O413" i="4"/>
  <c r="D413" i="4"/>
  <c r="C413" i="4"/>
  <c r="V413" i="4" l="1"/>
  <c r="U390" i="6"/>
  <c r="W413" i="4"/>
  <c r="W390" i="6"/>
  <c r="X413" i="4"/>
  <c r="F369" i="5"/>
  <c r="V390" i="6"/>
  <c r="Z390" i="6"/>
  <c r="X390" i="6"/>
  <c r="U413" i="4"/>
  <c r="M414" i="4"/>
  <c r="C414" i="4"/>
  <c r="O414" i="4"/>
  <c r="D414" i="4"/>
  <c r="N414" i="4"/>
  <c r="L414" i="4"/>
  <c r="P414" i="4"/>
  <c r="E414" i="4"/>
  <c r="R414" i="4"/>
  <c r="Q414" i="4"/>
  <c r="K414" i="4"/>
  <c r="T414" i="4"/>
  <c r="I414" i="4"/>
  <c r="H414" i="4"/>
  <c r="G414" i="4"/>
  <c r="AA415" i="4" s="1"/>
  <c r="J414" i="4"/>
  <c r="F414" i="4"/>
  <c r="Z413" i="4"/>
  <c r="R374" i="3"/>
  <c r="Q374" i="3"/>
  <c r="G374" i="3"/>
  <c r="AA375" i="3" s="1"/>
  <c r="D374" i="3"/>
  <c r="C374" i="3"/>
  <c r="E374" i="3"/>
  <c r="P374" i="3" s="1"/>
  <c r="I391" i="6"/>
  <c r="R391" i="6"/>
  <c r="G391" i="6"/>
  <c r="AA392" i="6" s="1"/>
  <c r="Q391" i="6"/>
  <c r="F391" i="6"/>
  <c r="P391" i="6"/>
  <c r="E391" i="6"/>
  <c r="T391" i="6"/>
  <c r="H391" i="6"/>
  <c r="O391" i="6"/>
  <c r="N391" i="6"/>
  <c r="M391" i="6"/>
  <c r="C391" i="6"/>
  <c r="L391" i="6"/>
  <c r="K391" i="6"/>
  <c r="J391" i="6"/>
  <c r="D391" i="6"/>
  <c r="F374" i="3" l="1"/>
  <c r="X414" i="4"/>
  <c r="U391" i="6"/>
  <c r="O374" i="3"/>
  <c r="V391" i="6"/>
  <c r="Z391" i="6"/>
  <c r="L392" i="6"/>
  <c r="N392" i="6"/>
  <c r="C392" i="6"/>
  <c r="M392" i="6"/>
  <c r="K392" i="6"/>
  <c r="O392" i="6"/>
  <c r="D392" i="6"/>
  <c r="G392" i="6"/>
  <c r="AA393" i="6" s="1"/>
  <c r="F392" i="6"/>
  <c r="T392" i="6"/>
  <c r="E392" i="6"/>
  <c r="H392" i="6"/>
  <c r="I392" i="6"/>
  <c r="R392" i="6"/>
  <c r="Q392" i="6"/>
  <c r="P392" i="6"/>
  <c r="J392" i="6"/>
  <c r="O369" i="5"/>
  <c r="P415" i="4"/>
  <c r="F415" i="4"/>
  <c r="J415" i="4"/>
  <c r="T415" i="4"/>
  <c r="I415" i="4"/>
  <c r="H415" i="4"/>
  <c r="K415" i="4"/>
  <c r="G415" i="4"/>
  <c r="AA416" i="4" s="1"/>
  <c r="E415" i="4"/>
  <c r="D415" i="4"/>
  <c r="C415" i="4"/>
  <c r="L415" i="4"/>
  <c r="Q415" i="4"/>
  <c r="O415" i="4"/>
  <c r="N415" i="4"/>
  <c r="R415" i="4"/>
  <c r="M415" i="4"/>
  <c r="Z414" i="4"/>
  <c r="W414" i="4"/>
  <c r="H374" i="3"/>
  <c r="V414" i="4"/>
  <c r="U414" i="4"/>
  <c r="W391" i="6"/>
  <c r="X391" i="6"/>
  <c r="H369" i="5"/>
  <c r="U392" i="6" l="1"/>
  <c r="Z392" i="6"/>
  <c r="V415" i="4"/>
  <c r="X415" i="4"/>
  <c r="V392" i="6"/>
  <c r="O393" i="6"/>
  <c r="E393" i="6"/>
  <c r="T393" i="6"/>
  <c r="I393" i="6"/>
  <c r="H393" i="6"/>
  <c r="R393" i="6"/>
  <c r="G393" i="6"/>
  <c r="AA394" i="6" s="1"/>
  <c r="J393" i="6"/>
  <c r="N393" i="6"/>
  <c r="M393" i="6"/>
  <c r="L393" i="6"/>
  <c r="P393" i="6"/>
  <c r="C393" i="6"/>
  <c r="K393" i="6"/>
  <c r="F393" i="6"/>
  <c r="D393" i="6"/>
  <c r="Q393" i="6"/>
  <c r="I369" i="5"/>
  <c r="L369" i="5" s="1"/>
  <c r="Z415" i="4"/>
  <c r="I416" i="4"/>
  <c r="P416" i="4"/>
  <c r="E416" i="4"/>
  <c r="O416" i="4"/>
  <c r="D416" i="4"/>
  <c r="N416" i="4"/>
  <c r="C416" i="4"/>
  <c r="Q416" i="4"/>
  <c r="F416" i="4"/>
  <c r="T416" i="4"/>
  <c r="R416" i="4"/>
  <c r="M416" i="4"/>
  <c r="L416" i="4"/>
  <c r="G416" i="4"/>
  <c r="AA417" i="4" s="1"/>
  <c r="K416" i="4"/>
  <c r="H416" i="4"/>
  <c r="J416" i="4"/>
  <c r="W415" i="4"/>
  <c r="I374" i="3"/>
  <c r="X392" i="6"/>
  <c r="U415" i="4"/>
  <c r="W392" i="6"/>
  <c r="Z416" i="4" l="1"/>
  <c r="U369" i="5"/>
  <c r="J369" i="5"/>
  <c r="K369" i="5" s="1"/>
  <c r="W369" i="5" s="1"/>
  <c r="V369" i="5"/>
  <c r="N369" i="5"/>
  <c r="T369" i="5" s="1"/>
  <c r="W416" i="4"/>
  <c r="W393" i="6"/>
  <c r="U374" i="3"/>
  <c r="J374" i="3"/>
  <c r="U416" i="4"/>
  <c r="X393" i="6"/>
  <c r="V393" i="6"/>
  <c r="V416" i="4"/>
  <c r="U393" i="6"/>
  <c r="Z393" i="6"/>
  <c r="R394" i="6"/>
  <c r="H394" i="6"/>
  <c r="O394" i="6"/>
  <c r="D394" i="6"/>
  <c r="N394" i="6"/>
  <c r="C394" i="6"/>
  <c r="M394" i="6"/>
  <c r="P394" i="6"/>
  <c r="E394" i="6"/>
  <c r="G394" i="6"/>
  <c r="AA395" i="6" s="1"/>
  <c r="F394" i="6"/>
  <c r="I394" i="6"/>
  <c r="T394" i="6"/>
  <c r="Q394" i="6"/>
  <c r="L394" i="6"/>
  <c r="J394" i="6"/>
  <c r="K394" i="6"/>
  <c r="L417" i="4"/>
  <c r="K417" i="4"/>
  <c r="J417" i="4"/>
  <c r="T417" i="4"/>
  <c r="I417" i="4"/>
  <c r="U417" i="4" s="1"/>
  <c r="M417" i="4"/>
  <c r="F417" i="4"/>
  <c r="E417" i="4"/>
  <c r="D417" i="4"/>
  <c r="R417" i="4"/>
  <c r="C417" i="4"/>
  <c r="G417" i="4"/>
  <c r="AA418" i="4" s="1"/>
  <c r="N417" i="4"/>
  <c r="Q417" i="4"/>
  <c r="P417" i="4"/>
  <c r="O417" i="4"/>
  <c r="H417" i="4"/>
  <c r="X416" i="4"/>
  <c r="L374" i="3"/>
  <c r="U394" i="6" l="1"/>
  <c r="Z417" i="4"/>
  <c r="O418" i="4"/>
  <c r="E418" i="4"/>
  <c r="R418" i="4"/>
  <c r="G418" i="4"/>
  <c r="AA419" i="4" s="1"/>
  <c r="Q418" i="4"/>
  <c r="F418" i="4"/>
  <c r="P418" i="4"/>
  <c r="D418" i="4"/>
  <c r="H418" i="4"/>
  <c r="N418" i="4"/>
  <c r="M418" i="4"/>
  <c r="L418" i="4"/>
  <c r="K418" i="4"/>
  <c r="T418" i="4"/>
  <c r="J418" i="4"/>
  <c r="I418" i="4"/>
  <c r="C418" i="4"/>
  <c r="W417" i="4"/>
  <c r="X417" i="4"/>
  <c r="K374" i="3"/>
  <c r="W374" i="3" s="1"/>
  <c r="K395" i="6"/>
  <c r="T395" i="6"/>
  <c r="I395" i="6"/>
  <c r="H395" i="6"/>
  <c r="R395" i="6"/>
  <c r="G395" i="6"/>
  <c r="AA396" i="6" s="1"/>
  <c r="J395" i="6"/>
  <c r="O395" i="6"/>
  <c r="N395" i="6"/>
  <c r="M395" i="6"/>
  <c r="P395" i="6"/>
  <c r="C395" i="6"/>
  <c r="D395" i="6"/>
  <c r="E395" i="6"/>
  <c r="Q395" i="6"/>
  <c r="L395" i="6"/>
  <c r="F395" i="6"/>
  <c r="X394" i="6"/>
  <c r="E370" i="5"/>
  <c r="R370" i="5"/>
  <c r="G370" i="5"/>
  <c r="AA371" i="5" s="1"/>
  <c r="M370" i="5"/>
  <c r="Q370" i="5"/>
  <c r="D370" i="5"/>
  <c r="C370" i="5"/>
  <c r="P370" i="5" s="1"/>
  <c r="W394" i="6"/>
  <c r="Z369" i="5"/>
  <c r="Z394" i="6"/>
  <c r="V417" i="4"/>
  <c r="V374" i="3"/>
  <c r="N374" i="3"/>
  <c r="X369" i="5"/>
  <c r="V394" i="6"/>
  <c r="V395" i="6" l="1"/>
  <c r="X395" i="6"/>
  <c r="R419" i="4"/>
  <c r="H419" i="4"/>
  <c r="L419" i="4"/>
  <c r="K419" i="4"/>
  <c r="J419" i="4"/>
  <c r="M419" i="4"/>
  <c r="T419" i="4"/>
  <c r="D419" i="4"/>
  <c r="C419" i="4"/>
  <c r="Q419" i="4"/>
  <c r="P419" i="4"/>
  <c r="F419" i="4"/>
  <c r="E419" i="4"/>
  <c r="I419" i="4"/>
  <c r="G419" i="4"/>
  <c r="AA420" i="4" s="1"/>
  <c r="O419" i="4"/>
  <c r="N419" i="4"/>
  <c r="X418" i="4"/>
  <c r="U395" i="6"/>
  <c r="W395" i="6"/>
  <c r="W418" i="4"/>
  <c r="Z395" i="6"/>
  <c r="N396" i="6"/>
  <c r="D396" i="6"/>
  <c r="P396" i="6"/>
  <c r="E396" i="6"/>
  <c r="O396" i="6"/>
  <c r="C396" i="6"/>
  <c r="M396" i="6"/>
  <c r="Q396" i="6"/>
  <c r="F396" i="6"/>
  <c r="H396" i="6"/>
  <c r="G396" i="6"/>
  <c r="AA397" i="6" s="1"/>
  <c r="I396" i="6"/>
  <c r="T396" i="6"/>
  <c r="L396" i="6"/>
  <c r="K396" i="6"/>
  <c r="J396" i="6"/>
  <c r="R396" i="6"/>
  <c r="X374" i="3"/>
  <c r="V418" i="4"/>
  <c r="Z418" i="4"/>
  <c r="U418" i="4"/>
  <c r="F370" i="5"/>
  <c r="H370" i="5" s="1"/>
  <c r="T374" i="3"/>
  <c r="Z396" i="6" l="1"/>
  <c r="W396" i="6"/>
  <c r="K420" i="4"/>
  <c r="Q420" i="4"/>
  <c r="F420" i="4"/>
  <c r="P420" i="4"/>
  <c r="E420" i="4"/>
  <c r="O420" i="4"/>
  <c r="D420" i="4"/>
  <c r="R420" i="4"/>
  <c r="G420" i="4"/>
  <c r="AA421" i="4" s="1"/>
  <c r="L420" i="4"/>
  <c r="J420" i="4"/>
  <c r="I420" i="4"/>
  <c r="H420" i="4"/>
  <c r="N420" i="4"/>
  <c r="M420" i="4"/>
  <c r="T420" i="4"/>
  <c r="C420" i="4"/>
  <c r="O370" i="5"/>
  <c r="U396" i="6"/>
  <c r="U419" i="4"/>
  <c r="V396" i="6"/>
  <c r="Q397" i="6"/>
  <c r="G397" i="6"/>
  <c r="AA398" i="6" s="1"/>
  <c r="K397" i="6"/>
  <c r="J397" i="6"/>
  <c r="T397" i="6"/>
  <c r="I397" i="6"/>
  <c r="L397" i="6"/>
  <c r="O397" i="6"/>
  <c r="N397" i="6"/>
  <c r="M397" i="6"/>
  <c r="P397" i="6"/>
  <c r="C397" i="6"/>
  <c r="D397" i="6"/>
  <c r="R397" i="6"/>
  <c r="H397" i="6"/>
  <c r="F397" i="6"/>
  <c r="E397" i="6"/>
  <c r="W419" i="4"/>
  <c r="X419" i="4"/>
  <c r="X396" i="6"/>
  <c r="V419" i="4"/>
  <c r="Q375" i="3"/>
  <c r="D375" i="3"/>
  <c r="C375" i="3"/>
  <c r="R375" i="3"/>
  <c r="E375" i="3"/>
  <c r="P375" i="3" s="1"/>
  <c r="G375" i="3"/>
  <c r="AA376" i="3" s="1"/>
  <c r="Z374" i="3"/>
  <c r="Z419" i="4"/>
  <c r="I370" i="5"/>
  <c r="U370" i="5" s="1"/>
  <c r="T398" i="6" l="1"/>
  <c r="J398" i="6"/>
  <c r="Q398" i="6"/>
  <c r="F398" i="6"/>
  <c r="P398" i="6"/>
  <c r="E398" i="6"/>
  <c r="O398" i="6"/>
  <c r="D398" i="6"/>
  <c r="R398" i="6"/>
  <c r="G398" i="6"/>
  <c r="AA399" i="6" s="1"/>
  <c r="H398" i="6"/>
  <c r="C398" i="6"/>
  <c r="I398" i="6"/>
  <c r="K398" i="6"/>
  <c r="M398" i="6"/>
  <c r="L398" i="6"/>
  <c r="V398" i="6" s="1"/>
  <c r="N398" i="6"/>
  <c r="Z420" i="4"/>
  <c r="W397" i="6"/>
  <c r="Z397" i="6"/>
  <c r="X420" i="4"/>
  <c r="W420" i="4"/>
  <c r="U420" i="4"/>
  <c r="V397" i="6"/>
  <c r="J370" i="5"/>
  <c r="V420" i="4"/>
  <c r="N421" i="4"/>
  <c r="D421" i="4"/>
  <c r="L421" i="4"/>
  <c r="K421" i="4"/>
  <c r="J421" i="4"/>
  <c r="M421" i="4"/>
  <c r="R421" i="4"/>
  <c r="Q421" i="4"/>
  <c r="P421" i="4"/>
  <c r="O421" i="4"/>
  <c r="F421" i="4"/>
  <c r="T421" i="4"/>
  <c r="E421" i="4"/>
  <c r="C421" i="4"/>
  <c r="I421" i="4"/>
  <c r="H421" i="4"/>
  <c r="G421" i="4"/>
  <c r="AA422" i="4" s="1"/>
  <c r="F375" i="3"/>
  <c r="X397" i="6"/>
  <c r="U397" i="6"/>
  <c r="L370" i="5"/>
  <c r="V370" i="5" l="1"/>
  <c r="N370" i="5"/>
  <c r="X421" i="4"/>
  <c r="U398" i="6"/>
  <c r="O375" i="3"/>
  <c r="H375" i="3"/>
  <c r="W398" i="6"/>
  <c r="Z421" i="4"/>
  <c r="V421" i="4"/>
  <c r="Z398" i="6"/>
  <c r="K370" i="5"/>
  <c r="W370" i="5" s="1"/>
  <c r="U421" i="4"/>
  <c r="X398" i="6"/>
  <c r="W421" i="4"/>
  <c r="Q422" i="4"/>
  <c r="G422" i="4"/>
  <c r="AA423" i="4" s="1"/>
  <c r="H422" i="4"/>
  <c r="R422" i="4"/>
  <c r="F422" i="4"/>
  <c r="P422" i="4"/>
  <c r="E422" i="4"/>
  <c r="T422" i="4"/>
  <c r="I422" i="4"/>
  <c r="J422" i="4"/>
  <c r="D422" i="4"/>
  <c r="C422" i="4"/>
  <c r="M422" i="4"/>
  <c r="L422" i="4"/>
  <c r="K422" i="4"/>
  <c r="O422" i="4"/>
  <c r="N422" i="4"/>
  <c r="M399" i="6"/>
  <c r="C399" i="6"/>
  <c r="L399" i="6"/>
  <c r="K399" i="6"/>
  <c r="J399" i="6"/>
  <c r="N399" i="6"/>
  <c r="P399" i="6"/>
  <c r="O399" i="6"/>
  <c r="I399" i="6"/>
  <c r="Q399" i="6"/>
  <c r="F399" i="6"/>
  <c r="E399" i="6"/>
  <c r="D399" i="6"/>
  <c r="G399" i="6"/>
  <c r="AA400" i="6" s="1"/>
  <c r="R399" i="6"/>
  <c r="H399" i="6"/>
  <c r="T399" i="6"/>
  <c r="W422" i="4" l="1"/>
  <c r="U422" i="4"/>
  <c r="X399" i="6"/>
  <c r="V399" i="6"/>
  <c r="Z399" i="6"/>
  <c r="P400" i="6"/>
  <c r="F400" i="6"/>
  <c r="H400" i="6"/>
  <c r="R400" i="6"/>
  <c r="G400" i="6"/>
  <c r="AA401" i="6" s="1"/>
  <c r="Q400" i="6"/>
  <c r="E400" i="6"/>
  <c r="T400" i="6"/>
  <c r="I400" i="6"/>
  <c r="D400" i="6"/>
  <c r="C400" i="6"/>
  <c r="J400" i="6"/>
  <c r="L400" i="6"/>
  <c r="V400" i="6" s="1"/>
  <c r="K400" i="6"/>
  <c r="M400" i="6"/>
  <c r="O400" i="6"/>
  <c r="N400" i="6"/>
  <c r="X422" i="4"/>
  <c r="T370" i="5"/>
  <c r="L375" i="3"/>
  <c r="U399" i="6"/>
  <c r="T423" i="4"/>
  <c r="J423" i="4"/>
  <c r="N423" i="4"/>
  <c r="C423" i="4"/>
  <c r="M423" i="4"/>
  <c r="L423" i="4"/>
  <c r="O423" i="4"/>
  <c r="D423" i="4"/>
  <c r="P423" i="4"/>
  <c r="K423" i="4"/>
  <c r="I423" i="4"/>
  <c r="H423" i="4"/>
  <c r="R423" i="4"/>
  <c r="Q423" i="4"/>
  <c r="F423" i="4"/>
  <c r="E423" i="4"/>
  <c r="G423" i="4"/>
  <c r="AA424" i="4" s="1"/>
  <c r="I375" i="3"/>
  <c r="V422" i="4"/>
  <c r="Z422" i="4"/>
  <c r="W399" i="6"/>
  <c r="X370" i="5"/>
  <c r="W400" i="6" l="1"/>
  <c r="X423" i="4"/>
  <c r="Z423" i="4"/>
  <c r="U423" i="4"/>
  <c r="V375" i="3"/>
  <c r="N375" i="3"/>
  <c r="U400" i="6"/>
  <c r="M424" i="4"/>
  <c r="C424" i="4"/>
  <c r="T424" i="4"/>
  <c r="I424" i="4"/>
  <c r="H424" i="4"/>
  <c r="R424" i="4"/>
  <c r="G424" i="4"/>
  <c r="AA425" i="4" s="1"/>
  <c r="J424" i="4"/>
  <c r="D424" i="4"/>
  <c r="Q424" i="4"/>
  <c r="P424" i="4"/>
  <c r="K424" i="4"/>
  <c r="F424" i="4"/>
  <c r="E424" i="4"/>
  <c r="O424" i="4"/>
  <c r="N424" i="4"/>
  <c r="L424" i="4"/>
  <c r="X400" i="6"/>
  <c r="W423" i="4"/>
  <c r="Z400" i="6"/>
  <c r="I401" i="6"/>
  <c r="U401" i="6" s="1"/>
  <c r="R401" i="6"/>
  <c r="Q401" i="6"/>
  <c r="G401" i="6"/>
  <c r="AA402" i="6" s="1"/>
  <c r="O401" i="6"/>
  <c r="C401" i="6"/>
  <c r="N401" i="6"/>
  <c r="M401" i="6"/>
  <c r="P401" i="6"/>
  <c r="D401" i="6"/>
  <c r="T401" i="6"/>
  <c r="L401" i="6"/>
  <c r="K401" i="6"/>
  <c r="J401" i="6"/>
  <c r="H401" i="6"/>
  <c r="F401" i="6"/>
  <c r="E401" i="6"/>
  <c r="U375" i="3"/>
  <c r="J375" i="3"/>
  <c r="K375" i="3" s="1"/>
  <c r="W375" i="3" s="1"/>
  <c r="R371" i="5"/>
  <c r="M371" i="5"/>
  <c r="C371" i="5"/>
  <c r="Q371" i="5"/>
  <c r="G371" i="5"/>
  <c r="AA372" i="5" s="1"/>
  <c r="E371" i="5"/>
  <c r="D371" i="5"/>
  <c r="Z370" i="5"/>
  <c r="V423" i="4"/>
  <c r="P371" i="5" l="1"/>
  <c r="V401" i="6"/>
  <c r="W424" i="4"/>
  <c r="T375" i="3"/>
  <c r="D376" i="3" s="1"/>
  <c r="U424" i="4"/>
  <c r="Z424" i="4"/>
  <c r="L402" i="6"/>
  <c r="K402" i="6"/>
  <c r="T402" i="6"/>
  <c r="J402" i="6"/>
  <c r="P402" i="6"/>
  <c r="C402" i="6"/>
  <c r="O402" i="6"/>
  <c r="N402" i="6"/>
  <c r="Q402" i="6"/>
  <c r="D402" i="6"/>
  <c r="H402" i="6"/>
  <c r="G402" i="6"/>
  <c r="AA403" i="6" s="1"/>
  <c r="F402" i="6"/>
  <c r="I402" i="6"/>
  <c r="R402" i="6"/>
  <c r="M402" i="6"/>
  <c r="E402" i="6"/>
  <c r="E376" i="3"/>
  <c r="R376" i="3"/>
  <c r="X424" i="4"/>
  <c r="V424" i="4"/>
  <c r="F371" i="5"/>
  <c r="W401" i="6"/>
  <c r="P425" i="4"/>
  <c r="F425" i="4"/>
  <c r="O425" i="4"/>
  <c r="D425" i="4"/>
  <c r="N425" i="4"/>
  <c r="C425" i="4"/>
  <c r="M425" i="4"/>
  <c r="Q425" i="4"/>
  <c r="E425" i="4"/>
  <c r="L425" i="4"/>
  <c r="K425" i="4"/>
  <c r="J425" i="4"/>
  <c r="I425" i="4"/>
  <c r="T425" i="4"/>
  <c r="R425" i="4"/>
  <c r="H425" i="4"/>
  <c r="G425" i="4"/>
  <c r="X401" i="6"/>
  <c r="Z401" i="6"/>
  <c r="X375" i="3"/>
  <c r="C376" i="3" l="1"/>
  <c r="F376" i="3" s="1"/>
  <c r="G376" i="3"/>
  <c r="AA377" i="3" s="1"/>
  <c r="Q376" i="3"/>
  <c r="Z375" i="3"/>
  <c r="P376" i="3"/>
  <c r="U402" i="6"/>
  <c r="W425" i="4"/>
  <c r="V425" i="4"/>
  <c r="I426" i="4"/>
  <c r="K426" i="4"/>
  <c r="J426" i="4"/>
  <c r="T426" i="4"/>
  <c r="H426" i="4"/>
  <c r="L426" i="4"/>
  <c r="R426" i="4"/>
  <c r="C426" i="4"/>
  <c r="Q426" i="4"/>
  <c r="P426" i="4"/>
  <c r="O426" i="4"/>
  <c r="F426" i="4"/>
  <c r="E426" i="4"/>
  <c r="D426" i="4"/>
  <c r="M426" i="4"/>
  <c r="G426" i="4"/>
  <c r="AA427" i="4" s="1"/>
  <c r="N426" i="4"/>
  <c r="W402" i="6"/>
  <c r="O371" i="5"/>
  <c r="H371" i="5"/>
  <c r="I371" i="5" s="1"/>
  <c r="Z402" i="6"/>
  <c r="Z425" i="4"/>
  <c r="O403" i="6"/>
  <c r="E403" i="6"/>
  <c r="N403" i="6"/>
  <c r="D403" i="6"/>
  <c r="M403" i="6"/>
  <c r="C403" i="6"/>
  <c r="R403" i="6"/>
  <c r="Q403" i="6"/>
  <c r="P403" i="6"/>
  <c r="F403" i="6"/>
  <c r="G403" i="6"/>
  <c r="AA404" i="6" s="1"/>
  <c r="T403" i="6"/>
  <c r="L403" i="6"/>
  <c r="K403" i="6"/>
  <c r="J403" i="6"/>
  <c r="I403" i="6"/>
  <c r="H403" i="6"/>
  <c r="U425" i="4"/>
  <c r="O376" i="3"/>
  <c r="V402" i="6"/>
  <c r="X402" i="6"/>
  <c r="X425" i="4"/>
  <c r="H376" i="3" l="1"/>
  <c r="I376" i="3" s="1"/>
  <c r="U376" i="3" s="1"/>
  <c r="V426" i="4"/>
  <c r="X403" i="6"/>
  <c r="U371" i="5"/>
  <c r="J371" i="5"/>
  <c r="K371" i="5" s="1"/>
  <c r="W371" i="5" s="1"/>
  <c r="Z426" i="4"/>
  <c r="J376" i="3"/>
  <c r="K376" i="3" s="1"/>
  <c r="W376" i="3" s="1"/>
  <c r="L427" i="4"/>
  <c r="Q427" i="4"/>
  <c r="F427" i="4"/>
  <c r="P427" i="4"/>
  <c r="E427" i="4"/>
  <c r="O427" i="4"/>
  <c r="D427" i="4"/>
  <c r="R427" i="4"/>
  <c r="G427" i="4"/>
  <c r="AA428" i="4" s="1"/>
  <c r="K427" i="4"/>
  <c r="J427" i="4"/>
  <c r="I427" i="4"/>
  <c r="H427" i="4"/>
  <c r="T427" i="4"/>
  <c r="N427" i="4"/>
  <c r="M427" i="4"/>
  <c r="C427" i="4"/>
  <c r="Z403" i="6"/>
  <c r="U426" i="4"/>
  <c r="L376" i="3"/>
  <c r="U403" i="6"/>
  <c r="AA426" i="4"/>
  <c r="L371" i="5"/>
  <c r="X426" i="4"/>
  <c r="W426" i="4"/>
  <c r="W403" i="6"/>
  <c r="V403" i="6"/>
  <c r="R404" i="6"/>
  <c r="H404" i="6"/>
  <c r="Q404" i="6"/>
  <c r="G404" i="6"/>
  <c r="AA405" i="6" s="1"/>
  <c r="P404" i="6"/>
  <c r="F404" i="6"/>
  <c r="T404" i="6"/>
  <c r="D404" i="6"/>
  <c r="C404" i="6"/>
  <c r="O404" i="6"/>
  <c r="E404" i="6"/>
  <c r="N404" i="6"/>
  <c r="I404" i="6"/>
  <c r="J404" i="6"/>
  <c r="M404" i="6"/>
  <c r="L404" i="6"/>
  <c r="K404" i="6"/>
  <c r="U404" i="6" l="1"/>
  <c r="X427" i="4"/>
  <c r="V404" i="6"/>
  <c r="X404" i="6"/>
  <c r="V371" i="5"/>
  <c r="N371" i="5"/>
  <c r="O428" i="4"/>
  <c r="E428" i="4"/>
  <c r="L428" i="4"/>
  <c r="V428" i="4" s="1"/>
  <c r="K428" i="4"/>
  <c r="J428" i="4"/>
  <c r="M428" i="4"/>
  <c r="R428" i="4"/>
  <c r="Q428" i="4"/>
  <c r="P428" i="4"/>
  <c r="N428" i="4"/>
  <c r="G428" i="4"/>
  <c r="AA429" i="4" s="1"/>
  <c r="F428" i="4"/>
  <c r="T428" i="4"/>
  <c r="D428" i="4"/>
  <c r="C428" i="4"/>
  <c r="H428" i="4"/>
  <c r="I428" i="4"/>
  <c r="U427" i="4"/>
  <c r="V427" i="4"/>
  <c r="V376" i="3"/>
  <c r="N376" i="3"/>
  <c r="W427" i="4"/>
  <c r="Z404" i="6"/>
  <c r="W404" i="6"/>
  <c r="K405" i="6"/>
  <c r="T405" i="6"/>
  <c r="J405" i="6"/>
  <c r="I405" i="6"/>
  <c r="R405" i="6"/>
  <c r="E405" i="6"/>
  <c r="Q405" i="6"/>
  <c r="D405" i="6"/>
  <c r="P405" i="6"/>
  <c r="C405" i="6"/>
  <c r="F405" i="6"/>
  <c r="O405" i="6"/>
  <c r="N405" i="6"/>
  <c r="M405" i="6"/>
  <c r="G405" i="6"/>
  <c r="AA406" i="6" s="1"/>
  <c r="H405" i="6"/>
  <c r="L405" i="6"/>
  <c r="Z427" i="4"/>
  <c r="W428" i="4" l="1"/>
  <c r="T371" i="5"/>
  <c r="Z371" i="5"/>
  <c r="U428" i="4"/>
  <c r="Z405" i="6"/>
  <c r="X371" i="5"/>
  <c r="Z428" i="4"/>
  <c r="R429" i="4"/>
  <c r="H429" i="4"/>
  <c r="Q429" i="4"/>
  <c r="F429" i="4"/>
  <c r="P429" i="4"/>
  <c r="E429" i="4"/>
  <c r="O429" i="4"/>
  <c r="D429" i="4"/>
  <c r="G429" i="4"/>
  <c r="AA430" i="4" s="1"/>
  <c r="J429" i="4"/>
  <c r="I429" i="4"/>
  <c r="C429" i="4"/>
  <c r="N429" i="4"/>
  <c r="M429" i="4"/>
  <c r="L429" i="4"/>
  <c r="K429" i="4"/>
  <c r="T429" i="4"/>
  <c r="T376" i="3"/>
  <c r="X376" i="3"/>
  <c r="Z376" i="3"/>
  <c r="V405" i="6"/>
  <c r="W405" i="6"/>
  <c r="X428" i="4"/>
  <c r="U405" i="6"/>
  <c r="N406" i="6"/>
  <c r="D406" i="6"/>
  <c r="M406" i="6"/>
  <c r="C406" i="6"/>
  <c r="L406" i="6"/>
  <c r="T406" i="6"/>
  <c r="G406" i="6"/>
  <c r="AA407" i="6" s="1"/>
  <c r="F406" i="6"/>
  <c r="R406" i="6"/>
  <c r="E406" i="6"/>
  <c r="H406" i="6"/>
  <c r="O406" i="6"/>
  <c r="K406" i="6"/>
  <c r="J406" i="6"/>
  <c r="P406" i="6"/>
  <c r="Q406" i="6"/>
  <c r="I406" i="6"/>
  <c r="U406" i="6" s="1"/>
  <c r="X405" i="6"/>
  <c r="W406" i="6" l="1"/>
  <c r="V406" i="6"/>
  <c r="Q407" i="6"/>
  <c r="G407" i="6"/>
  <c r="AA408" i="6" s="1"/>
  <c r="P407" i="6"/>
  <c r="F407" i="6"/>
  <c r="O407" i="6"/>
  <c r="E407" i="6"/>
  <c r="I407" i="6"/>
  <c r="H407" i="6"/>
  <c r="T407" i="6"/>
  <c r="D407" i="6"/>
  <c r="J407" i="6"/>
  <c r="L407" i="6"/>
  <c r="K407" i="6"/>
  <c r="C407" i="6"/>
  <c r="M407" i="6"/>
  <c r="R407" i="6"/>
  <c r="N407" i="6"/>
  <c r="X429" i="4"/>
  <c r="X406" i="6"/>
  <c r="Z429" i="4"/>
  <c r="U429" i="4"/>
  <c r="Z406" i="6"/>
  <c r="Q377" i="3"/>
  <c r="G377" i="3"/>
  <c r="AA378" i="3" s="1"/>
  <c r="P377" i="3"/>
  <c r="R377" i="3"/>
  <c r="C377" i="3"/>
  <c r="D377" i="3"/>
  <c r="E377" i="3"/>
  <c r="K430" i="4"/>
  <c r="L430" i="4"/>
  <c r="J430" i="4"/>
  <c r="T430" i="4"/>
  <c r="I430" i="4"/>
  <c r="M430" i="4"/>
  <c r="O430" i="4"/>
  <c r="N430" i="4"/>
  <c r="H430" i="4"/>
  <c r="G430" i="4"/>
  <c r="AA431" i="4" s="1"/>
  <c r="D430" i="4"/>
  <c r="R430" i="4"/>
  <c r="C430" i="4"/>
  <c r="Q430" i="4"/>
  <c r="P430" i="4"/>
  <c r="E430" i="4"/>
  <c r="F430" i="4"/>
  <c r="W429" i="4"/>
  <c r="V429" i="4"/>
  <c r="R372" i="5"/>
  <c r="G372" i="5"/>
  <c r="AA373" i="5" s="1"/>
  <c r="Q372" i="5"/>
  <c r="C372" i="5"/>
  <c r="D372" i="5"/>
  <c r="E372" i="5"/>
  <c r="P372" i="5" s="1"/>
  <c r="M372" i="5"/>
  <c r="U407" i="6" l="1"/>
  <c r="V430" i="4"/>
  <c r="W430" i="4"/>
  <c r="T408" i="6"/>
  <c r="J408" i="6"/>
  <c r="I408" i="6"/>
  <c r="R408" i="6"/>
  <c r="H408" i="6"/>
  <c r="K408" i="6"/>
  <c r="G408" i="6"/>
  <c r="AA409" i="6" s="1"/>
  <c r="F408" i="6"/>
  <c r="L408" i="6"/>
  <c r="E408" i="6"/>
  <c r="D408" i="6"/>
  <c r="C408" i="6"/>
  <c r="M408" i="6"/>
  <c r="N408" i="6"/>
  <c r="O408" i="6"/>
  <c r="P408" i="6"/>
  <c r="Q408" i="6"/>
  <c r="X430" i="4"/>
  <c r="Z407" i="6"/>
  <c r="U430" i="4"/>
  <c r="W407" i="6"/>
  <c r="F377" i="3"/>
  <c r="H377" i="3" s="1"/>
  <c r="N431" i="4"/>
  <c r="D431" i="4"/>
  <c r="R431" i="4"/>
  <c r="G431" i="4"/>
  <c r="AA432" i="4" s="1"/>
  <c r="Q431" i="4"/>
  <c r="F431" i="4"/>
  <c r="P431" i="4"/>
  <c r="E431" i="4"/>
  <c r="H431" i="4"/>
  <c r="C431" i="4"/>
  <c r="T431" i="4"/>
  <c r="L431" i="4"/>
  <c r="K431" i="4"/>
  <c r="J431" i="4"/>
  <c r="I431" i="4"/>
  <c r="M431" i="4"/>
  <c r="O431" i="4"/>
  <c r="V407" i="6"/>
  <c r="X407" i="6"/>
  <c r="F372" i="5"/>
  <c r="Z430" i="4"/>
  <c r="V408" i="6" l="1"/>
  <c r="M409" i="6"/>
  <c r="C409" i="6"/>
  <c r="L409" i="6"/>
  <c r="K409" i="6"/>
  <c r="I409" i="6"/>
  <c r="H409" i="6"/>
  <c r="T409" i="6"/>
  <c r="G409" i="6"/>
  <c r="AA410" i="6" s="1"/>
  <c r="J409" i="6"/>
  <c r="D409" i="6"/>
  <c r="E409" i="6"/>
  <c r="O409" i="6"/>
  <c r="N409" i="6"/>
  <c r="F409" i="6"/>
  <c r="P409" i="6"/>
  <c r="R409" i="6"/>
  <c r="Q409" i="6"/>
  <c r="U408" i="6"/>
  <c r="Z408" i="6"/>
  <c r="W431" i="4"/>
  <c r="V431" i="4"/>
  <c r="X408" i="6"/>
  <c r="W408" i="6"/>
  <c r="X431" i="4"/>
  <c r="Q432" i="4"/>
  <c r="G432" i="4"/>
  <c r="AA433" i="4" s="1"/>
  <c r="M432" i="4"/>
  <c r="L432" i="4"/>
  <c r="K432" i="4"/>
  <c r="N432" i="4"/>
  <c r="C432" i="4"/>
  <c r="O432" i="4"/>
  <c r="J432" i="4"/>
  <c r="I432" i="4"/>
  <c r="H432" i="4"/>
  <c r="T432" i="4"/>
  <c r="D432" i="4"/>
  <c r="R432" i="4"/>
  <c r="P432" i="4"/>
  <c r="F432" i="4"/>
  <c r="E432" i="4"/>
  <c r="O372" i="5"/>
  <c r="H372" i="5"/>
  <c r="I377" i="3"/>
  <c r="U377" i="3" s="1"/>
  <c r="O377" i="3"/>
  <c r="U431" i="4"/>
  <c r="Z431" i="4"/>
  <c r="V432" i="4" l="1"/>
  <c r="P410" i="6"/>
  <c r="F410" i="6"/>
  <c r="O410" i="6"/>
  <c r="E410" i="6"/>
  <c r="N410" i="6"/>
  <c r="D410" i="6"/>
  <c r="K410" i="6"/>
  <c r="J410" i="6"/>
  <c r="I410" i="6"/>
  <c r="L410" i="6"/>
  <c r="T410" i="6"/>
  <c r="R410" i="6"/>
  <c r="M410" i="6"/>
  <c r="H410" i="6"/>
  <c r="G410" i="6"/>
  <c r="AA411" i="6" s="1"/>
  <c r="C410" i="6"/>
  <c r="Q410" i="6"/>
  <c r="J377" i="3"/>
  <c r="K377" i="3" s="1"/>
  <c r="W377" i="3" s="1"/>
  <c r="W432" i="4"/>
  <c r="T433" i="4"/>
  <c r="J433" i="4"/>
  <c r="H433" i="4"/>
  <c r="R433" i="4"/>
  <c r="G433" i="4"/>
  <c r="AA434" i="4" s="1"/>
  <c r="Q433" i="4"/>
  <c r="F433" i="4"/>
  <c r="I433" i="4"/>
  <c r="C433" i="4"/>
  <c r="P433" i="4"/>
  <c r="O433" i="4"/>
  <c r="L433" i="4"/>
  <c r="K433" i="4"/>
  <c r="E433" i="4"/>
  <c r="D433" i="4"/>
  <c r="N433" i="4"/>
  <c r="M433" i="4"/>
  <c r="I372" i="5"/>
  <c r="U432" i="4"/>
  <c r="U409" i="6"/>
  <c r="V409" i="6"/>
  <c r="W409" i="6"/>
  <c r="Z432" i="4"/>
  <c r="Z409" i="6"/>
  <c r="L377" i="3"/>
  <c r="X409" i="6"/>
  <c r="X432" i="4"/>
  <c r="U410" i="6" l="1"/>
  <c r="U433" i="4"/>
  <c r="W410" i="6"/>
  <c r="V377" i="3"/>
  <c r="N377" i="3"/>
  <c r="X377" i="3" s="1"/>
  <c r="X433" i="4"/>
  <c r="Z410" i="6"/>
  <c r="Z433" i="4"/>
  <c r="X410" i="6"/>
  <c r="L372" i="5"/>
  <c r="W433" i="4"/>
  <c r="I411" i="6"/>
  <c r="R411" i="6"/>
  <c r="H411" i="6"/>
  <c r="Q411" i="6"/>
  <c r="G411" i="6"/>
  <c r="AA412" i="6" s="1"/>
  <c r="M411" i="6"/>
  <c r="L411" i="6"/>
  <c r="V411" i="6" s="1"/>
  <c r="K411" i="6"/>
  <c r="N411" i="6"/>
  <c r="P411" i="6"/>
  <c r="O411" i="6"/>
  <c r="J411" i="6"/>
  <c r="T411" i="6"/>
  <c r="F411" i="6"/>
  <c r="E411" i="6"/>
  <c r="D411" i="6"/>
  <c r="C411" i="6"/>
  <c r="U372" i="5"/>
  <c r="J372" i="5"/>
  <c r="K372" i="5" s="1"/>
  <c r="W372" i="5" s="1"/>
  <c r="V433" i="4"/>
  <c r="M434" i="4"/>
  <c r="C434" i="4"/>
  <c r="O434" i="4"/>
  <c r="D434" i="4"/>
  <c r="N434" i="4"/>
  <c r="L434" i="4"/>
  <c r="P434" i="4"/>
  <c r="E434" i="4"/>
  <c r="I434" i="4"/>
  <c r="H434" i="4"/>
  <c r="G434" i="4"/>
  <c r="AA435" i="4" s="1"/>
  <c r="F434" i="4"/>
  <c r="R434" i="4"/>
  <c r="Q434" i="4"/>
  <c r="K434" i="4"/>
  <c r="J434" i="4"/>
  <c r="T434" i="4"/>
  <c r="V410" i="6"/>
  <c r="V434" i="4" l="1"/>
  <c r="Z411" i="6"/>
  <c r="V372" i="5"/>
  <c r="N372" i="5"/>
  <c r="U434" i="4"/>
  <c r="P435" i="4"/>
  <c r="F435" i="4"/>
  <c r="J435" i="4"/>
  <c r="T435" i="4"/>
  <c r="I435" i="4"/>
  <c r="H435" i="4"/>
  <c r="K435" i="4"/>
  <c r="Q435" i="4"/>
  <c r="O435" i="4"/>
  <c r="N435" i="4"/>
  <c r="M435" i="4"/>
  <c r="E435" i="4"/>
  <c r="D435" i="4"/>
  <c r="C435" i="4"/>
  <c r="R435" i="4"/>
  <c r="L435" i="4"/>
  <c r="G435" i="4"/>
  <c r="AA436" i="4" s="1"/>
  <c r="W411" i="6"/>
  <c r="W434" i="4"/>
  <c r="X411" i="6"/>
  <c r="T377" i="3"/>
  <c r="Z377" i="3"/>
  <c r="X434" i="4"/>
  <c r="Z434" i="4"/>
  <c r="L412" i="6"/>
  <c r="K412" i="6"/>
  <c r="T412" i="6"/>
  <c r="J412" i="6"/>
  <c r="N412" i="6"/>
  <c r="M412" i="6"/>
  <c r="I412" i="6"/>
  <c r="O412" i="6"/>
  <c r="G412" i="6"/>
  <c r="AA413" i="6" s="1"/>
  <c r="F412" i="6"/>
  <c r="E412" i="6"/>
  <c r="H412" i="6"/>
  <c r="Q412" i="6"/>
  <c r="P412" i="6"/>
  <c r="D412" i="6"/>
  <c r="C412" i="6"/>
  <c r="R412" i="6"/>
  <c r="U411" i="6"/>
  <c r="X372" i="5"/>
  <c r="V412" i="6" l="1"/>
  <c r="U435" i="4"/>
  <c r="X412" i="6"/>
  <c r="Z435" i="4"/>
  <c r="Q378" i="3"/>
  <c r="D378" i="3"/>
  <c r="C378" i="3"/>
  <c r="R378" i="3"/>
  <c r="E378" i="3"/>
  <c r="P378" i="3" s="1"/>
  <c r="G378" i="3"/>
  <c r="AA379" i="3" s="1"/>
  <c r="W412" i="6"/>
  <c r="V435" i="4"/>
  <c r="I436" i="4"/>
  <c r="P436" i="4"/>
  <c r="E436" i="4"/>
  <c r="O436" i="4"/>
  <c r="D436" i="4"/>
  <c r="N436" i="4"/>
  <c r="C436" i="4"/>
  <c r="Q436" i="4"/>
  <c r="F436" i="4"/>
  <c r="J436" i="4"/>
  <c r="H436" i="4"/>
  <c r="G436" i="4"/>
  <c r="AA437" i="4" s="1"/>
  <c r="R436" i="4"/>
  <c r="M436" i="4"/>
  <c r="L436" i="4"/>
  <c r="V436" i="4" s="1"/>
  <c r="K436" i="4"/>
  <c r="T436" i="4"/>
  <c r="T372" i="5"/>
  <c r="Z372" i="5" s="1"/>
  <c r="X435" i="4"/>
  <c r="U412" i="6"/>
  <c r="Z412" i="6"/>
  <c r="M413" i="6"/>
  <c r="P413" i="6"/>
  <c r="E413" i="6"/>
  <c r="O413" i="6"/>
  <c r="D413" i="6"/>
  <c r="N413" i="6"/>
  <c r="C413" i="6"/>
  <c r="Q413" i="6"/>
  <c r="L413" i="6"/>
  <c r="K413" i="6"/>
  <c r="R413" i="6"/>
  <c r="F413" i="6"/>
  <c r="T413" i="6"/>
  <c r="J413" i="6"/>
  <c r="I413" i="6"/>
  <c r="H413" i="6"/>
  <c r="G413" i="6"/>
  <c r="AA414" i="6" s="1"/>
  <c r="W435" i="4"/>
  <c r="F378" i="3" l="1"/>
  <c r="O378" i="3" s="1"/>
  <c r="W436" i="4"/>
  <c r="X436" i="4"/>
  <c r="D373" i="5"/>
  <c r="M373" i="5"/>
  <c r="C373" i="5"/>
  <c r="E373" i="5"/>
  <c r="P373" i="5" s="1"/>
  <c r="R373" i="5"/>
  <c r="G373" i="5"/>
  <c r="AA374" i="5" s="1"/>
  <c r="Q373" i="5"/>
  <c r="Z436" i="4"/>
  <c r="L437" i="4"/>
  <c r="K437" i="4"/>
  <c r="J437" i="4"/>
  <c r="T437" i="4"/>
  <c r="I437" i="4"/>
  <c r="M437" i="4"/>
  <c r="P437" i="4"/>
  <c r="O437" i="4"/>
  <c r="N437" i="4"/>
  <c r="H437" i="4"/>
  <c r="E437" i="4"/>
  <c r="D437" i="4"/>
  <c r="R437" i="4"/>
  <c r="C437" i="4"/>
  <c r="Q437" i="4"/>
  <c r="G437" i="4"/>
  <c r="AA438" i="4" s="1"/>
  <c r="F437" i="4"/>
  <c r="Z413" i="6"/>
  <c r="U413" i="6"/>
  <c r="P414" i="6"/>
  <c r="F414" i="6"/>
  <c r="K414" i="6"/>
  <c r="J414" i="6"/>
  <c r="T414" i="6"/>
  <c r="I414" i="6"/>
  <c r="D414" i="6"/>
  <c r="R414" i="6"/>
  <c r="C414" i="6"/>
  <c r="Q414" i="6"/>
  <c r="E414" i="6"/>
  <c r="G414" i="6"/>
  <c r="AA415" i="6" s="1"/>
  <c r="H414" i="6"/>
  <c r="L414" i="6"/>
  <c r="M414" i="6"/>
  <c r="O414" i="6"/>
  <c r="N414" i="6"/>
  <c r="H378" i="3"/>
  <c r="I378" i="3" s="1"/>
  <c r="X413" i="6"/>
  <c r="W413" i="6"/>
  <c r="V413" i="6"/>
  <c r="U436" i="4"/>
  <c r="F373" i="5" l="1"/>
  <c r="H373" i="5"/>
  <c r="U414" i="6"/>
  <c r="W414" i="6"/>
  <c r="U378" i="3"/>
  <c r="J378" i="3"/>
  <c r="K378" i="3" s="1"/>
  <c r="W378" i="3" s="1"/>
  <c r="I373" i="5"/>
  <c r="U373" i="5" s="1"/>
  <c r="O373" i="5"/>
  <c r="Z414" i="6"/>
  <c r="L378" i="3"/>
  <c r="U437" i="4"/>
  <c r="I415" i="6"/>
  <c r="Q415" i="6"/>
  <c r="F415" i="6"/>
  <c r="P415" i="6"/>
  <c r="E415" i="6"/>
  <c r="O415" i="6"/>
  <c r="D415" i="6"/>
  <c r="J415" i="6"/>
  <c r="H415" i="6"/>
  <c r="G415" i="6"/>
  <c r="AA416" i="6" s="1"/>
  <c r="K415" i="6"/>
  <c r="T415" i="6"/>
  <c r="M415" i="6"/>
  <c r="L415" i="6"/>
  <c r="C415" i="6"/>
  <c r="N415" i="6"/>
  <c r="R415" i="6"/>
  <c r="X437" i="4"/>
  <c r="V414" i="6"/>
  <c r="Z437" i="4"/>
  <c r="O438" i="4"/>
  <c r="E438" i="4"/>
  <c r="R438" i="4"/>
  <c r="G438" i="4"/>
  <c r="AA439" i="4" s="1"/>
  <c r="Q438" i="4"/>
  <c r="F438" i="4"/>
  <c r="P438" i="4"/>
  <c r="D438" i="4"/>
  <c r="H438" i="4"/>
  <c r="I438" i="4"/>
  <c r="C438" i="4"/>
  <c r="M438" i="4"/>
  <c r="L438" i="4"/>
  <c r="K438" i="4"/>
  <c r="J438" i="4"/>
  <c r="T438" i="4"/>
  <c r="N438" i="4"/>
  <c r="X414" i="6"/>
  <c r="W437" i="4"/>
  <c r="V437" i="4"/>
  <c r="V415" i="6" l="1"/>
  <c r="V438" i="4"/>
  <c r="X438" i="4"/>
  <c r="J373" i="5"/>
  <c r="K373" i="5" s="1"/>
  <c r="W373" i="5" s="1"/>
  <c r="R439" i="4"/>
  <c r="H439" i="4"/>
  <c r="L439" i="4"/>
  <c r="K439" i="4"/>
  <c r="J439" i="4"/>
  <c r="M439" i="4"/>
  <c r="N439" i="4"/>
  <c r="I439" i="4"/>
  <c r="G439" i="4"/>
  <c r="AA440" i="4" s="1"/>
  <c r="F439" i="4"/>
  <c r="C439" i="4"/>
  <c r="Q439" i="4"/>
  <c r="P439" i="4"/>
  <c r="O439" i="4"/>
  <c r="E439" i="4"/>
  <c r="T439" i="4"/>
  <c r="D439" i="4"/>
  <c r="Z415" i="6"/>
  <c r="W438" i="4"/>
  <c r="X415" i="6"/>
  <c r="L416" i="6"/>
  <c r="M416" i="6"/>
  <c r="K416" i="6"/>
  <c r="J416" i="6"/>
  <c r="N416" i="6"/>
  <c r="I416" i="6"/>
  <c r="H416" i="6"/>
  <c r="O416" i="6"/>
  <c r="T416" i="6"/>
  <c r="R416" i="6"/>
  <c r="C416" i="6"/>
  <c r="Q416" i="6"/>
  <c r="P416" i="6"/>
  <c r="G416" i="6"/>
  <c r="AA417" i="6" s="1"/>
  <c r="F416" i="6"/>
  <c r="E416" i="6"/>
  <c r="D416" i="6"/>
  <c r="Z438" i="4"/>
  <c r="L373" i="5"/>
  <c r="W415" i="6"/>
  <c r="U415" i="6"/>
  <c r="U438" i="4"/>
  <c r="V378" i="3"/>
  <c r="N378" i="3"/>
  <c r="U416" i="6" l="1"/>
  <c r="K440" i="4"/>
  <c r="Q440" i="4"/>
  <c r="F440" i="4"/>
  <c r="P440" i="4"/>
  <c r="E440" i="4"/>
  <c r="O440" i="4"/>
  <c r="D440" i="4"/>
  <c r="R440" i="4"/>
  <c r="G440" i="4"/>
  <c r="AA441" i="4" s="1"/>
  <c r="T440" i="4"/>
  <c r="N440" i="4"/>
  <c r="J440" i="4"/>
  <c r="I440" i="4"/>
  <c r="H440" i="4"/>
  <c r="C440" i="4"/>
  <c r="L440" i="4"/>
  <c r="M440" i="4"/>
  <c r="X416" i="6"/>
  <c r="T378" i="3"/>
  <c r="Z378" i="3" s="1"/>
  <c r="X378" i="3"/>
  <c r="W439" i="4"/>
  <c r="W416" i="6"/>
  <c r="V439" i="4"/>
  <c r="Z416" i="6"/>
  <c r="X439" i="4"/>
  <c r="V416" i="6"/>
  <c r="V373" i="5"/>
  <c r="N373" i="5"/>
  <c r="T373" i="5" s="1"/>
  <c r="O417" i="6"/>
  <c r="E417" i="6"/>
  <c r="H417" i="6"/>
  <c r="R417" i="6"/>
  <c r="G417" i="6"/>
  <c r="AA418" i="6" s="1"/>
  <c r="Q417" i="6"/>
  <c r="F417" i="6"/>
  <c r="P417" i="6"/>
  <c r="N417" i="6"/>
  <c r="M417" i="6"/>
  <c r="T417" i="6"/>
  <c r="L417" i="6"/>
  <c r="K417" i="6"/>
  <c r="J417" i="6"/>
  <c r="I417" i="6"/>
  <c r="D417" i="6"/>
  <c r="C417" i="6"/>
  <c r="Z439" i="4"/>
  <c r="U439" i="4"/>
  <c r="X373" i="5" l="1"/>
  <c r="W440" i="4"/>
  <c r="Z440" i="4"/>
  <c r="U417" i="6"/>
  <c r="Z417" i="6"/>
  <c r="X417" i="6"/>
  <c r="V440" i="4"/>
  <c r="U440" i="4"/>
  <c r="W417" i="6"/>
  <c r="V417" i="6"/>
  <c r="R418" i="6"/>
  <c r="H418" i="6"/>
  <c r="N418" i="6"/>
  <c r="C418" i="6"/>
  <c r="M418" i="6"/>
  <c r="L418" i="6"/>
  <c r="O418" i="6"/>
  <c r="D418" i="6"/>
  <c r="E418" i="6"/>
  <c r="T418" i="6"/>
  <c r="F418" i="6"/>
  <c r="J418" i="6"/>
  <c r="I418" i="6"/>
  <c r="G418" i="6"/>
  <c r="AA419" i="6" s="1"/>
  <c r="K418" i="6"/>
  <c r="P418" i="6"/>
  <c r="Q418" i="6"/>
  <c r="N441" i="4"/>
  <c r="D441" i="4"/>
  <c r="L441" i="4"/>
  <c r="K441" i="4"/>
  <c r="J441" i="4"/>
  <c r="M441" i="4"/>
  <c r="H441" i="4"/>
  <c r="G441" i="4"/>
  <c r="AA442" i="4" s="1"/>
  <c r="F441" i="4"/>
  <c r="T441" i="4"/>
  <c r="E441" i="4"/>
  <c r="Q441" i="4"/>
  <c r="P441" i="4"/>
  <c r="O441" i="4"/>
  <c r="I441" i="4"/>
  <c r="C441" i="4"/>
  <c r="R441" i="4"/>
  <c r="X440" i="4"/>
  <c r="Q374" i="5"/>
  <c r="G374" i="5"/>
  <c r="AA375" i="5" s="1"/>
  <c r="R374" i="5"/>
  <c r="E374" i="5"/>
  <c r="D374" i="5"/>
  <c r="M374" i="5"/>
  <c r="C374" i="5"/>
  <c r="C379" i="3"/>
  <c r="D379" i="3"/>
  <c r="R379" i="3"/>
  <c r="Q379" i="3"/>
  <c r="E379" i="3"/>
  <c r="G379" i="3"/>
  <c r="AA380" i="3" s="1"/>
  <c r="Z373" i="5"/>
  <c r="F374" i="5" l="1"/>
  <c r="P379" i="3"/>
  <c r="H374" i="5"/>
  <c r="I374" i="5" s="1"/>
  <c r="U418" i="6"/>
  <c r="W441" i="4"/>
  <c r="X418" i="6"/>
  <c r="V441" i="4"/>
  <c r="K419" i="6"/>
  <c r="H419" i="6"/>
  <c r="R419" i="6"/>
  <c r="G419" i="6"/>
  <c r="AA420" i="6" s="1"/>
  <c r="Q419" i="6"/>
  <c r="F419" i="6"/>
  <c r="T419" i="6"/>
  <c r="I419" i="6"/>
  <c r="M419" i="6"/>
  <c r="L419" i="6"/>
  <c r="J419" i="6"/>
  <c r="N419" i="6"/>
  <c r="O419" i="6"/>
  <c r="E419" i="6"/>
  <c r="D419" i="6"/>
  <c r="C419" i="6"/>
  <c r="P419" i="6"/>
  <c r="X441" i="4"/>
  <c r="V418" i="6"/>
  <c r="Z441" i="4"/>
  <c r="F379" i="3"/>
  <c r="H379" i="3" s="1"/>
  <c r="W418" i="6"/>
  <c r="U441" i="4"/>
  <c r="O374" i="5"/>
  <c r="P374" i="5"/>
  <c r="Q442" i="4"/>
  <c r="G442" i="4"/>
  <c r="AA443" i="4" s="1"/>
  <c r="H442" i="4"/>
  <c r="R442" i="4"/>
  <c r="F442" i="4"/>
  <c r="P442" i="4"/>
  <c r="E442" i="4"/>
  <c r="T442" i="4"/>
  <c r="I442" i="4"/>
  <c r="O442" i="4"/>
  <c r="N442" i="4"/>
  <c r="M442" i="4"/>
  <c r="L442" i="4"/>
  <c r="D442" i="4"/>
  <c r="C442" i="4"/>
  <c r="J442" i="4"/>
  <c r="K442" i="4"/>
  <c r="Z418" i="6"/>
  <c r="W442" i="4" l="1"/>
  <c r="U442" i="4"/>
  <c r="U419" i="6"/>
  <c r="V419" i="6"/>
  <c r="W419" i="6"/>
  <c r="U374" i="5"/>
  <c r="J374" i="5"/>
  <c r="K374" i="5" s="1"/>
  <c r="W374" i="5" s="1"/>
  <c r="T443" i="4"/>
  <c r="J443" i="4"/>
  <c r="N443" i="4"/>
  <c r="C443" i="4"/>
  <c r="M443" i="4"/>
  <c r="L443" i="4"/>
  <c r="O443" i="4"/>
  <c r="D443" i="4"/>
  <c r="F443" i="4"/>
  <c r="E443" i="4"/>
  <c r="R443" i="4"/>
  <c r="K443" i="4"/>
  <c r="I443" i="4"/>
  <c r="H443" i="4"/>
  <c r="G443" i="4"/>
  <c r="AA444" i="4" s="1"/>
  <c r="Q443" i="4"/>
  <c r="P443" i="4"/>
  <c r="V442" i="4"/>
  <c r="O379" i="3"/>
  <c r="I379" i="3"/>
  <c r="L379" i="3" s="1"/>
  <c r="Z419" i="6"/>
  <c r="X419" i="6"/>
  <c r="N420" i="6"/>
  <c r="D420" i="6"/>
  <c r="O420" i="6"/>
  <c r="C420" i="6"/>
  <c r="M420" i="6"/>
  <c r="L420" i="6"/>
  <c r="V420" i="6" s="1"/>
  <c r="P420" i="6"/>
  <c r="E420" i="6"/>
  <c r="T420" i="6"/>
  <c r="R420" i="6"/>
  <c r="F420" i="6"/>
  <c r="J420" i="6"/>
  <c r="I420" i="6"/>
  <c r="H420" i="6"/>
  <c r="G420" i="6"/>
  <c r="AA421" i="6" s="1"/>
  <c r="K420" i="6"/>
  <c r="Q420" i="6"/>
  <c r="Z442" i="4"/>
  <c r="X442" i="4"/>
  <c r="L374" i="5"/>
  <c r="W443" i="4" l="1"/>
  <c r="W420" i="6"/>
  <c r="X443" i="4"/>
  <c r="V374" i="5"/>
  <c r="N374" i="5"/>
  <c r="T374" i="5" s="1"/>
  <c r="V379" i="3"/>
  <c r="N379" i="3"/>
  <c r="X379" i="3" s="1"/>
  <c r="V443" i="4"/>
  <c r="Z443" i="4"/>
  <c r="U379" i="3"/>
  <c r="X420" i="6"/>
  <c r="Q421" i="6"/>
  <c r="G421" i="6"/>
  <c r="AA422" i="6" s="1"/>
  <c r="J421" i="6"/>
  <c r="T421" i="6"/>
  <c r="I421" i="6"/>
  <c r="H421" i="6"/>
  <c r="K421" i="6"/>
  <c r="M421" i="6"/>
  <c r="L421" i="6"/>
  <c r="F421" i="6"/>
  <c r="N421" i="6"/>
  <c r="P421" i="6"/>
  <c r="O421" i="6"/>
  <c r="E421" i="6"/>
  <c r="D421" i="6"/>
  <c r="R421" i="6"/>
  <c r="C421" i="6"/>
  <c r="X374" i="5"/>
  <c r="U443" i="4"/>
  <c r="J379" i="3"/>
  <c r="K379" i="3" s="1"/>
  <c r="W379" i="3" s="1"/>
  <c r="M444" i="4"/>
  <c r="C444" i="4"/>
  <c r="T444" i="4"/>
  <c r="I444" i="4"/>
  <c r="H444" i="4"/>
  <c r="R444" i="4"/>
  <c r="G444" i="4"/>
  <c r="AA445" i="4" s="1"/>
  <c r="J444" i="4"/>
  <c r="N444" i="4"/>
  <c r="L444" i="4"/>
  <c r="K444" i="4"/>
  <c r="F444" i="4"/>
  <c r="Q444" i="4"/>
  <c r="P444" i="4"/>
  <c r="O444" i="4"/>
  <c r="D444" i="4"/>
  <c r="E444" i="4"/>
  <c r="Z420" i="6"/>
  <c r="U420" i="6"/>
  <c r="W421" i="6" l="1"/>
  <c r="Z374" i="5"/>
  <c r="W444" i="4"/>
  <c r="V444" i="4"/>
  <c r="V421" i="6"/>
  <c r="X421" i="6"/>
  <c r="U421" i="6"/>
  <c r="T422" i="6"/>
  <c r="J422" i="6"/>
  <c r="P422" i="6"/>
  <c r="E422" i="6"/>
  <c r="O422" i="6"/>
  <c r="D422" i="6"/>
  <c r="N422" i="6"/>
  <c r="C422" i="6"/>
  <c r="Q422" i="6"/>
  <c r="F422" i="6"/>
  <c r="G422" i="6"/>
  <c r="AA423" i="6" s="1"/>
  <c r="L422" i="6"/>
  <c r="K422" i="6"/>
  <c r="I422" i="6"/>
  <c r="H422" i="6"/>
  <c r="M422" i="6"/>
  <c r="R422" i="6"/>
  <c r="T379" i="3"/>
  <c r="Z379" i="3" s="1"/>
  <c r="Z421" i="6"/>
  <c r="U444" i="4"/>
  <c r="P445" i="4"/>
  <c r="F445" i="4"/>
  <c r="O445" i="4"/>
  <c r="D445" i="4"/>
  <c r="N445" i="4"/>
  <c r="C445" i="4"/>
  <c r="M445" i="4"/>
  <c r="Q445" i="4"/>
  <c r="E445" i="4"/>
  <c r="G445" i="4"/>
  <c r="AA446" i="4" s="1"/>
  <c r="T445" i="4"/>
  <c r="K445" i="4"/>
  <c r="J445" i="4"/>
  <c r="I445" i="4"/>
  <c r="H445" i="4"/>
  <c r="R445" i="4"/>
  <c r="L445" i="4"/>
  <c r="X444" i="4"/>
  <c r="Z444" i="4"/>
  <c r="D375" i="5"/>
  <c r="C375" i="5"/>
  <c r="M375" i="5"/>
  <c r="E375" i="5"/>
  <c r="R375" i="5"/>
  <c r="Q375" i="5"/>
  <c r="G375" i="5"/>
  <c r="AA376" i="5" s="1"/>
  <c r="W422" i="6" l="1"/>
  <c r="F375" i="5"/>
  <c r="P375" i="5"/>
  <c r="V445" i="4"/>
  <c r="Z445" i="4"/>
  <c r="V422" i="6"/>
  <c r="M423" i="6"/>
  <c r="C423" i="6"/>
  <c r="K423" i="6"/>
  <c r="J423" i="6"/>
  <c r="T423" i="6"/>
  <c r="I423" i="6"/>
  <c r="L423" i="6"/>
  <c r="N423" i="6"/>
  <c r="H423" i="6"/>
  <c r="G423" i="6"/>
  <c r="AA424" i="6" s="1"/>
  <c r="O423" i="6"/>
  <c r="Q423" i="6"/>
  <c r="P423" i="6"/>
  <c r="F423" i="6"/>
  <c r="E423" i="6"/>
  <c r="R423" i="6"/>
  <c r="D423" i="6"/>
  <c r="X422" i="6"/>
  <c r="W445" i="4"/>
  <c r="U445" i="4"/>
  <c r="U422" i="6"/>
  <c r="X445" i="4"/>
  <c r="I446" i="4"/>
  <c r="K446" i="4"/>
  <c r="J446" i="4"/>
  <c r="T446" i="4"/>
  <c r="H446" i="4"/>
  <c r="L446" i="4"/>
  <c r="V446" i="4" s="1"/>
  <c r="M446" i="4"/>
  <c r="G446" i="4"/>
  <c r="AA447" i="4" s="1"/>
  <c r="F446" i="4"/>
  <c r="E446" i="4"/>
  <c r="Q446" i="4"/>
  <c r="P446" i="4"/>
  <c r="O446" i="4"/>
  <c r="N446" i="4"/>
  <c r="D446" i="4"/>
  <c r="C446" i="4"/>
  <c r="R446" i="4"/>
  <c r="E380" i="3"/>
  <c r="P380" i="3" s="1"/>
  <c r="Q380" i="3"/>
  <c r="G380" i="3"/>
  <c r="AA381" i="3" s="1"/>
  <c r="D380" i="3"/>
  <c r="C380" i="3"/>
  <c r="R380" i="3"/>
  <c r="Z422" i="6"/>
  <c r="F380" i="3" l="1"/>
  <c r="O380" i="3"/>
  <c r="V423" i="6"/>
  <c r="Z423" i="6"/>
  <c r="X446" i="4"/>
  <c r="L447" i="4"/>
  <c r="Q447" i="4"/>
  <c r="F447" i="4"/>
  <c r="P447" i="4"/>
  <c r="E447" i="4"/>
  <c r="O447" i="4"/>
  <c r="D447" i="4"/>
  <c r="R447" i="4"/>
  <c r="G447" i="4"/>
  <c r="AA448" i="4" s="1"/>
  <c r="T447" i="4"/>
  <c r="N447" i="4"/>
  <c r="J447" i="4"/>
  <c r="I447" i="4"/>
  <c r="H447" i="4"/>
  <c r="C447" i="4"/>
  <c r="M447" i="4"/>
  <c r="K447" i="4"/>
  <c r="P424" i="6"/>
  <c r="F424" i="6"/>
  <c r="R424" i="6"/>
  <c r="G424" i="6"/>
  <c r="AA425" i="6" s="1"/>
  <c r="Q424" i="6"/>
  <c r="E424" i="6"/>
  <c r="O424" i="6"/>
  <c r="D424" i="6"/>
  <c r="H424" i="6"/>
  <c r="T424" i="6"/>
  <c r="C424" i="6"/>
  <c r="L424" i="6"/>
  <c r="K424" i="6"/>
  <c r="J424" i="6"/>
  <c r="I424" i="6"/>
  <c r="M424" i="6"/>
  <c r="N424" i="6"/>
  <c r="O375" i="5"/>
  <c r="H375" i="5"/>
  <c r="W446" i="4"/>
  <c r="X423" i="6"/>
  <c r="H380" i="3"/>
  <c r="Z446" i="4"/>
  <c r="U423" i="6"/>
  <c r="U446" i="4"/>
  <c r="W423" i="6"/>
  <c r="V424" i="6" l="1"/>
  <c r="V447" i="4"/>
  <c r="W424" i="6"/>
  <c r="U424" i="6"/>
  <c r="X424" i="6"/>
  <c r="I375" i="5"/>
  <c r="L375" i="5" s="1"/>
  <c r="Z424" i="6"/>
  <c r="I380" i="3"/>
  <c r="O448" i="4"/>
  <c r="E448" i="4"/>
  <c r="L448" i="4"/>
  <c r="K448" i="4"/>
  <c r="J448" i="4"/>
  <c r="M448" i="4"/>
  <c r="H448" i="4"/>
  <c r="G448" i="4"/>
  <c r="AA449" i="4" s="1"/>
  <c r="F448" i="4"/>
  <c r="T448" i="4"/>
  <c r="D448" i="4"/>
  <c r="Q448" i="4"/>
  <c r="P448" i="4"/>
  <c r="N448" i="4"/>
  <c r="I448" i="4"/>
  <c r="R448" i="4"/>
  <c r="C448" i="4"/>
  <c r="I425" i="6"/>
  <c r="M425" i="6"/>
  <c r="L425" i="6"/>
  <c r="K425" i="6"/>
  <c r="N425" i="6"/>
  <c r="C425" i="6"/>
  <c r="J425" i="6"/>
  <c r="H425" i="6"/>
  <c r="G425" i="6"/>
  <c r="O425" i="6"/>
  <c r="Q425" i="6"/>
  <c r="P425" i="6"/>
  <c r="F425" i="6"/>
  <c r="E425" i="6"/>
  <c r="R425" i="6"/>
  <c r="T425" i="6"/>
  <c r="D425" i="6"/>
  <c r="W447" i="4"/>
  <c r="Z447" i="4"/>
  <c r="U447" i="4"/>
  <c r="X447" i="4"/>
  <c r="V425" i="6" l="1"/>
  <c r="X448" i="4"/>
  <c r="Z448" i="4"/>
  <c r="V375" i="5"/>
  <c r="N375" i="5"/>
  <c r="T375" i="5" s="1"/>
  <c r="W425" i="6"/>
  <c r="U380" i="3"/>
  <c r="J380" i="3"/>
  <c r="U425" i="6"/>
  <c r="U448" i="4"/>
  <c r="L380" i="3"/>
  <c r="R449" i="4"/>
  <c r="H449" i="4"/>
  <c r="I449" i="4"/>
  <c r="T449" i="4"/>
  <c r="F449" i="4"/>
  <c r="Q449" i="4"/>
  <c r="E449" i="4"/>
  <c r="P449" i="4"/>
  <c r="D449" i="4"/>
  <c r="G449" i="4"/>
  <c r="AA450" i="4" s="1"/>
  <c r="O449" i="4"/>
  <c r="N449" i="4"/>
  <c r="M449" i="4"/>
  <c r="J449" i="4"/>
  <c r="C449" i="4"/>
  <c r="L449" i="4"/>
  <c r="K449" i="4"/>
  <c r="W448" i="4"/>
  <c r="X425" i="6"/>
  <c r="U375" i="5"/>
  <c r="J375" i="5"/>
  <c r="K375" i="5" s="1"/>
  <c r="W375" i="5" s="1"/>
  <c r="L426" i="6"/>
  <c r="H426" i="6"/>
  <c r="R426" i="6"/>
  <c r="G426" i="6"/>
  <c r="AA427" i="6" s="1"/>
  <c r="Q426" i="6"/>
  <c r="F426" i="6"/>
  <c r="T426" i="6"/>
  <c r="I426" i="6"/>
  <c r="P426" i="6"/>
  <c r="O426" i="6"/>
  <c r="C426" i="6"/>
  <c r="M426" i="6"/>
  <c r="K426" i="6"/>
  <c r="J426" i="6"/>
  <c r="E426" i="6"/>
  <c r="AA426" i="6" s="1"/>
  <c r="N426" i="6"/>
  <c r="D426" i="6"/>
  <c r="Z425" i="6"/>
  <c r="V448" i="4"/>
  <c r="W449" i="4" l="1"/>
  <c r="V449" i="4"/>
  <c r="W426" i="6"/>
  <c r="K450" i="4"/>
  <c r="L450" i="4"/>
  <c r="O450" i="4"/>
  <c r="C450" i="4"/>
  <c r="N450" i="4"/>
  <c r="M450" i="4"/>
  <c r="P450" i="4"/>
  <c r="D450" i="4"/>
  <c r="G450" i="4"/>
  <c r="AA451" i="4" s="1"/>
  <c r="F450" i="4"/>
  <c r="E450" i="4"/>
  <c r="T450" i="4"/>
  <c r="Q450" i="4"/>
  <c r="J450" i="4"/>
  <c r="I450" i="4"/>
  <c r="H450" i="4"/>
  <c r="R450" i="4"/>
  <c r="U426" i="6"/>
  <c r="O427" i="6"/>
  <c r="E427" i="6"/>
  <c r="N427" i="6"/>
  <c r="C427" i="6"/>
  <c r="M427" i="6"/>
  <c r="L427" i="6"/>
  <c r="P427" i="6"/>
  <c r="D427" i="6"/>
  <c r="I427" i="6"/>
  <c r="H427" i="6"/>
  <c r="G427" i="6"/>
  <c r="AA428" i="6" s="1"/>
  <c r="J427" i="6"/>
  <c r="R427" i="6"/>
  <c r="Q427" i="6"/>
  <c r="K427" i="6"/>
  <c r="F427" i="6"/>
  <c r="T427" i="6"/>
  <c r="K380" i="3"/>
  <c r="W380" i="3" s="1"/>
  <c r="M376" i="5"/>
  <c r="C376" i="5"/>
  <c r="G376" i="5"/>
  <c r="AA377" i="5" s="1"/>
  <c r="E376" i="5"/>
  <c r="R376" i="5"/>
  <c r="Q376" i="5"/>
  <c r="D376" i="5"/>
  <c r="U449" i="4"/>
  <c r="Z426" i="6"/>
  <c r="V426" i="6"/>
  <c r="Z375" i="5"/>
  <c r="X375" i="5"/>
  <c r="X426" i="6"/>
  <c r="Z449" i="4"/>
  <c r="X449" i="4"/>
  <c r="V380" i="3"/>
  <c r="N380" i="3"/>
  <c r="P376" i="5" l="1"/>
  <c r="X450" i="4"/>
  <c r="U427" i="6"/>
  <c r="X380" i="3"/>
  <c r="X427" i="6"/>
  <c r="Z450" i="4"/>
  <c r="F376" i="5"/>
  <c r="U450" i="4"/>
  <c r="V427" i="6"/>
  <c r="W427" i="6"/>
  <c r="R428" i="6"/>
  <c r="H428" i="6"/>
  <c r="J428" i="6"/>
  <c r="T428" i="6"/>
  <c r="I428" i="6"/>
  <c r="G428" i="6"/>
  <c r="AA429" i="6" s="1"/>
  <c r="K428" i="6"/>
  <c r="Q428" i="6"/>
  <c r="P428" i="6"/>
  <c r="O428" i="6"/>
  <c r="C428" i="6"/>
  <c r="M428" i="6"/>
  <c r="L428" i="6"/>
  <c r="F428" i="6"/>
  <c r="E428" i="6"/>
  <c r="N428" i="6"/>
  <c r="D428" i="6"/>
  <c r="T380" i="3"/>
  <c r="Z427" i="6"/>
  <c r="N451" i="4"/>
  <c r="D451" i="4"/>
  <c r="O451" i="4"/>
  <c r="E451" i="4"/>
  <c r="L451" i="4"/>
  <c r="K451" i="4"/>
  <c r="J451" i="4"/>
  <c r="M451" i="4"/>
  <c r="R451" i="4"/>
  <c r="Q451" i="4"/>
  <c r="P451" i="4"/>
  <c r="I451" i="4"/>
  <c r="F451" i="4"/>
  <c r="C451" i="4"/>
  <c r="T451" i="4"/>
  <c r="G451" i="4"/>
  <c r="AA452" i="4" s="1"/>
  <c r="H451" i="4"/>
  <c r="V450" i="4"/>
  <c r="W450" i="4"/>
  <c r="W428" i="6" l="1"/>
  <c r="Z451" i="4"/>
  <c r="R381" i="3"/>
  <c r="Q381" i="3"/>
  <c r="G381" i="3"/>
  <c r="AA382" i="3" s="1"/>
  <c r="E381" i="3"/>
  <c r="D381" i="3"/>
  <c r="C381" i="3"/>
  <c r="Z380" i="3"/>
  <c r="O376" i="5"/>
  <c r="V451" i="4"/>
  <c r="Q452" i="4"/>
  <c r="G452" i="4"/>
  <c r="AA453" i="4" s="1"/>
  <c r="R452" i="4"/>
  <c r="H452" i="4"/>
  <c r="J452" i="4"/>
  <c r="I452" i="4"/>
  <c r="T452" i="4"/>
  <c r="F452" i="4"/>
  <c r="K452" i="4"/>
  <c r="E452" i="4"/>
  <c r="D452" i="4"/>
  <c r="C452" i="4"/>
  <c r="O452" i="4"/>
  <c r="N452" i="4"/>
  <c r="M452" i="4"/>
  <c r="L452" i="4"/>
  <c r="P452" i="4"/>
  <c r="W451" i="4"/>
  <c r="U428" i="6"/>
  <c r="K429" i="6"/>
  <c r="O429" i="6"/>
  <c r="D429" i="6"/>
  <c r="N429" i="6"/>
  <c r="C429" i="6"/>
  <c r="M429" i="6"/>
  <c r="P429" i="6"/>
  <c r="E429" i="6"/>
  <c r="H429" i="6"/>
  <c r="G429" i="6"/>
  <c r="AA430" i="6" s="1"/>
  <c r="F429" i="6"/>
  <c r="I429" i="6"/>
  <c r="Q429" i="6"/>
  <c r="L429" i="6"/>
  <c r="V429" i="6" s="1"/>
  <c r="J429" i="6"/>
  <c r="R429" i="6"/>
  <c r="T429" i="6"/>
  <c r="X451" i="4"/>
  <c r="X428" i="6"/>
  <c r="U451" i="4"/>
  <c r="V428" i="6"/>
  <c r="Z428" i="6"/>
  <c r="H376" i="5"/>
  <c r="I376" i="5"/>
  <c r="U376" i="5" s="1"/>
  <c r="U452" i="4" l="1"/>
  <c r="P381" i="3"/>
  <c r="U429" i="6"/>
  <c r="T453" i="4"/>
  <c r="J453" i="4"/>
  <c r="K453" i="4"/>
  <c r="R453" i="4"/>
  <c r="F453" i="4"/>
  <c r="Q453" i="4"/>
  <c r="E453" i="4"/>
  <c r="P453" i="4"/>
  <c r="D453" i="4"/>
  <c r="G453" i="4"/>
  <c r="AA454" i="4" s="1"/>
  <c r="O453" i="4"/>
  <c r="N453" i="4"/>
  <c r="I453" i="4"/>
  <c r="H453" i="4"/>
  <c r="C453" i="4"/>
  <c r="L453" i="4"/>
  <c r="M453" i="4"/>
  <c r="N430" i="6"/>
  <c r="D430" i="6"/>
  <c r="J430" i="6"/>
  <c r="T430" i="6"/>
  <c r="I430" i="6"/>
  <c r="H430" i="6"/>
  <c r="K430" i="6"/>
  <c r="W430" i="6" s="1"/>
  <c r="P430" i="6"/>
  <c r="O430" i="6"/>
  <c r="M430" i="6"/>
  <c r="Q430" i="6"/>
  <c r="G430" i="6"/>
  <c r="AA431" i="6" s="1"/>
  <c r="F430" i="6"/>
  <c r="E430" i="6"/>
  <c r="C430" i="6"/>
  <c r="L430" i="6"/>
  <c r="R430" i="6"/>
  <c r="V452" i="4"/>
  <c r="Z429" i="6"/>
  <c r="W452" i="4"/>
  <c r="J376" i="5"/>
  <c r="X452" i="4"/>
  <c r="L376" i="5"/>
  <c r="Z452" i="4"/>
  <c r="X429" i="6"/>
  <c r="W429" i="6"/>
  <c r="F381" i="3"/>
  <c r="H381" i="3" s="1"/>
  <c r="V453" i="4" l="1"/>
  <c r="V430" i="6"/>
  <c r="O381" i="3"/>
  <c r="Z453" i="4"/>
  <c r="K376" i="5"/>
  <c r="W376" i="5" s="1"/>
  <c r="X376" i="5"/>
  <c r="X453" i="4"/>
  <c r="U453" i="4"/>
  <c r="Z430" i="6"/>
  <c r="U430" i="6"/>
  <c r="W453" i="4"/>
  <c r="V376" i="5"/>
  <c r="N376" i="5"/>
  <c r="Q431" i="6"/>
  <c r="G431" i="6"/>
  <c r="AA432" i="6" s="1"/>
  <c r="P431" i="6"/>
  <c r="E431" i="6"/>
  <c r="O431" i="6"/>
  <c r="D431" i="6"/>
  <c r="N431" i="6"/>
  <c r="C431" i="6"/>
  <c r="R431" i="6"/>
  <c r="F431" i="6"/>
  <c r="I431" i="6"/>
  <c r="H431" i="6"/>
  <c r="J431" i="6"/>
  <c r="M431" i="6"/>
  <c r="L431" i="6"/>
  <c r="K431" i="6"/>
  <c r="T431" i="6"/>
  <c r="M454" i="4"/>
  <c r="C454" i="4"/>
  <c r="N454" i="4"/>
  <c r="D454" i="4"/>
  <c r="Q454" i="4"/>
  <c r="E454" i="4"/>
  <c r="P454" i="4"/>
  <c r="O454" i="4"/>
  <c r="R454" i="4"/>
  <c r="F454" i="4"/>
  <c r="J454" i="4"/>
  <c r="I454" i="4"/>
  <c r="H454" i="4"/>
  <c r="G454" i="4"/>
  <c r="AA455" i="4" s="1"/>
  <c r="T454" i="4"/>
  <c r="L454" i="4"/>
  <c r="V454" i="4" s="1"/>
  <c r="K454" i="4"/>
  <c r="X430" i="6"/>
  <c r="I381" i="3"/>
  <c r="U381" i="3" s="1"/>
  <c r="V431" i="6" l="1"/>
  <c r="X431" i="6"/>
  <c r="W454" i="4"/>
  <c r="T376" i="5"/>
  <c r="Z454" i="4"/>
  <c r="Z431" i="6"/>
  <c r="J381" i="3"/>
  <c r="K381" i="3" s="1"/>
  <c r="W381" i="3" s="1"/>
  <c r="U431" i="6"/>
  <c r="X454" i="4"/>
  <c r="T432" i="6"/>
  <c r="J432" i="6"/>
  <c r="L432" i="6"/>
  <c r="K432" i="6"/>
  <c r="I432" i="6"/>
  <c r="M432" i="6"/>
  <c r="O432" i="6"/>
  <c r="N432" i="6"/>
  <c r="H432" i="6"/>
  <c r="P432" i="6"/>
  <c r="G432" i="6"/>
  <c r="AA433" i="6" s="1"/>
  <c r="F432" i="6"/>
  <c r="E432" i="6"/>
  <c r="D432" i="6"/>
  <c r="Q432" i="6"/>
  <c r="C432" i="6"/>
  <c r="R432" i="6"/>
  <c r="P455" i="4"/>
  <c r="F455" i="4"/>
  <c r="Q455" i="4"/>
  <c r="G455" i="4"/>
  <c r="AA456" i="4" s="1"/>
  <c r="N455" i="4"/>
  <c r="M455" i="4"/>
  <c r="L455" i="4"/>
  <c r="O455" i="4"/>
  <c r="C455" i="4"/>
  <c r="D455" i="4"/>
  <c r="T455" i="4"/>
  <c r="J455" i="4"/>
  <c r="I455" i="4"/>
  <c r="H455" i="4"/>
  <c r="E455" i="4"/>
  <c r="R455" i="4"/>
  <c r="K455" i="4"/>
  <c r="U454" i="4"/>
  <c r="W431" i="6"/>
  <c r="L381" i="3"/>
  <c r="V455" i="4" l="1"/>
  <c r="W432" i="6"/>
  <c r="W455" i="4"/>
  <c r="X455" i="4"/>
  <c r="I456" i="4"/>
  <c r="U456" i="4" s="1"/>
  <c r="T456" i="4"/>
  <c r="J456" i="4"/>
  <c r="M456" i="4"/>
  <c r="L456" i="4"/>
  <c r="K456" i="4"/>
  <c r="N456" i="4"/>
  <c r="H456" i="4"/>
  <c r="G456" i="4"/>
  <c r="AA457" i="4" s="1"/>
  <c r="F456" i="4"/>
  <c r="E456" i="4"/>
  <c r="C456" i="4"/>
  <c r="R456" i="4"/>
  <c r="Q456" i="4"/>
  <c r="P456" i="4"/>
  <c r="O456" i="4"/>
  <c r="D456" i="4"/>
  <c r="Z455" i="4"/>
  <c r="V432" i="6"/>
  <c r="Z432" i="6"/>
  <c r="X432" i="6"/>
  <c r="V381" i="3"/>
  <c r="N381" i="3"/>
  <c r="T381" i="3" s="1"/>
  <c r="U432" i="6"/>
  <c r="Q377" i="5"/>
  <c r="E377" i="5"/>
  <c r="P377" i="5" s="1"/>
  <c r="D377" i="5"/>
  <c r="C377" i="5"/>
  <c r="R377" i="5"/>
  <c r="G377" i="5"/>
  <c r="AA378" i="5" s="1"/>
  <c r="M377" i="5"/>
  <c r="Z376" i="5"/>
  <c r="U455" i="4"/>
  <c r="M433" i="6"/>
  <c r="C433" i="6"/>
  <c r="R433" i="6"/>
  <c r="G433" i="6"/>
  <c r="AA434" i="6" s="1"/>
  <c r="Q433" i="6"/>
  <c r="F433" i="6"/>
  <c r="P433" i="6"/>
  <c r="E433" i="6"/>
  <c r="H433" i="6"/>
  <c r="D433" i="6"/>
  <c r="I433" i="6"/>
  <c r="U433" i="6" s="1"/>
  <c r="L433" i="6"/>
  <c r="K433" i="6"/>
  <c r="J433" i="6"/>
  <c r="N433" i="6"/>
  <c r="O433" i="6"/>
  <c r="T433" i="6"/>
  <c r="W433" i="6" l="1"/>
  <c r="V456" i="4"/>
  <c r="F377" i="5"/>
  <c r="H377" i="5" s="1"/>
  <c r="I377" i="5" s="1"/>
  <c r="O377" i="5"/>
  <c r="P434" i="6"/>
  <c r="F434" i="6"/>
  <c r="M434" i="6"/>
  <c r="L434" i="6"/>
  <c r="K434" i="6"/>
  <c r="N434" i="6"/>
  <c r="C434" i="6"/>
  <c r="O434" i="6"/>
  <c r="J434" i="6"/>
  <c r="I434" i="6"/>
  <c r="Q434" i="6"/>
  <c r="H434" i="6"/>
  <c r="G434" i="6"/>
  <c r="AA435" i="6" s="1"/>
  <c r="E434" i="6"/>
  <c r="D434" i="6"/>
  <c r="R434" i="6"/>
  <c r="T434" i="6"/>
  <c r="V433" i="6"/>
  <c r="Z433" i="6"/>
  <c r="W456" i="4"/>
  <c r="C382" i="3"/>
  <c r="R382" i="3"/>
  <c r="E382" i="3"/>
  <c r="P382" i="3" s="1"/>
  <c r="G382" i="3"/>
  <c r="AA383" i="3" s="1"/>
  <c r="D382" i="3"/>
  <c r="Q382" i="3"/>
  <c r="L457" i="4"/>
  <c r="K457" i="4"/>
  <c r="M457" i="4"/>
  <c r="C457" i="4"/>
  <c r="J457" i="4"/>
  <c r="I457" i="4"/>
  <c r="H457" i="4"/>
  <c r="N457" i="4"/>
  <c r="D457" i="4"/>
  <c r="T457" i="4"/>
  <c r="R457" i="4"/>
  <c r="P457" i="4"/>
  <c r="O457" i="4"/>
  <c r="G457" i="4"/>
  <c r="AA458" i="4" s="1"/>
  <c r="F457" i="4"/>
  <c r="E457" i="4"/>
  <c r="Q457" i="4"/>
  <c r="X433" i="6"/>
  <c r="Z381" i="3"/>
  <c r="X456" i="4"/>
  <c r="Z456" i="4"/>
  <c r="X381" i="3"/>
  <c r="U377" i="5" l="1"/>
  <c r="J377" i="5"/>
  <c r="K377" i="5" s="1"/>
  <c r="W377" i="5" s="1"/>
  <c r="X457" i="4"/>
  <c r="U434" i="6"/>
  <c r="V434" i="6"/>
  <c r="X434" i="6"/>
  <c r="W457" i="4"/>
  <c r="U457" i="4"/>
  <c r="F382" i="3"/>
  <c r="H382" i="3" s="1"/>
  <c r="W434" i="6"/>
  <c r="Z457" i="4"/>
  <c r="V457" i="4"/>
  <c r="O458" i="4"/>
  <c r="E458" i="4"/>
  <c r="N458" i="4"/>
  <c r="D458" i="4"/>
  <c r="M458" i="4"/>
  <c r="P458" i="4"/>
  <c r="F458" i="4"/>
  <c r="L458" i="4"/>
  <c r="K458" i="4"/>
  <c r="J458" i="4"/>
  <c r="Q458" i="4"/>
  <c r="T458" i="4"/>
  <c r="R458" i="4"/>
  <c r="H458" i="4"/>
  <c r="G458" i="4"/>
  <c r="AA459" i="4" s="1"/>
  <c r="C458" i="4"/>
  <c r="I458" i="4"/>
  <c r="L377" i="5"/>
  <c r="I435" i="6"/>
  <c r="T435" i="6"/>
  <c r="H435" i="6"/>
  <c r="R435" i="6"/>
  <c r="G435" i="6"/>
  <c r="AA436" i="6" s="1"/>
  <c r="Q435" i="6"/>
  <c r="F435" i="6"/>
  <c r="J435" i="6"/>
  <c r="C435" i="6"/>
  <c r="P435" i="6"/>
  <c r="D435" i="6"/>
  <c r="L435" i="6"/>
  <c r="K435" i="6"/>
  <c r="E435" i="6"/>
  <c r="M435" i="6"/>
  <c r="O435" i="6"/>
  <c r="N435" i="6"/>
  <c r="Z434" i="6"/>
  <c r="V458" i="4" l="1"/>
  <c r="X435" i="6"/>
  <c r="Z435" i="6"/>
  <c r="V377" i="5"/>
  <c r="N377" i="5"/>
  <c r="X458" i="4"/>
  <c r="W458" i="4"/>
  <c r="U458" i="4"/>
  <c r="V435" i="6"/>
  <c r="O382" i="3"/>
  <c r="Z458" i="4"/>
  <c r="L436" i="6"/>
  <c r="O436" i="6"/>
  <c r="D436" i="6"/>
  <c r="N436" i="6"/>
  <c r="C436" i="6"/>
  <c r="M436" i="6"/>
  <c r="P436" i="6"/>
  <c r="E436" i="6"/>
  <c r="J436" i="6"/>
  <c r="I436" i="6"/>
  <c r="H436" i="6"/>
  <c r="K436" i="6"/>
  <c r="Q436" i="6"/>
  <c r="G436" i="6"/>
  <c r="AA437" i="6" s="1"/>
  <c r="F436" i="6"/>
  <c r="R436" i="6"/>
  <c r="T436" i="6"/>
  <c r="U435" i="6"/>
  <c r="R459" i="4"/>
  <c r="H459" i="4"/>
  <c r="Q459" i="4"/>
  <c r="G459" i="4"/>
  <c r="AA460" i="4" s="1"/>
  <c r="P459" i="4"/>
  <c r="F459" i="4"/>
  <c r="I459" i="4"/>
  <c r="U459" i="4" s="1"/>
  <c r="T459" i="4"/>
  <c r="O459" i="4"/>
  <c r="N459" i="4"/>
  <c r="C459" i="4"/>
  <c r="M459" i="4"/>
  <c r="L459" i="4"/>
  <c r="K459" i="4"/>
  <c r="E459" i="4"/>
  <c r="D459" i="4"/>
  <c r="J459" i="4"/>
  <c r="W435" i="6"/>
  <c r="X377" i="5"/>
  <c r="I382" i="3"/>
  <c r="U382" i="3" s="1"/>
  <c r="J382" i="3" l="1"/>
  <c r="K382" i="3" s="1"/>
  <c r="W382" i="3" s="1"/>
  <c r="X436" i="6"/>
  <c r="O437" i="6"/>
  <c r="E437" i="6"/>
  <c r="J437" i="6"/>
  <c r="T437" i="6"/>
  <c r="I437" i="6"/>
  <c r="H437" i="6"/>
  <c r="K437" i="6"/>
  <c r="W437" i="6" s="1"/>
  <c r="R437" i="6"/>
  <c r="Q437" i="6"/>
  <c r="P437" i="6"/>
  <c r="C437" i="6"/>
  <c r="F437" i="6"/>
  <c r="D437" i="6"/>
  <c r="G437" i="6"/>
  <c r="AA438" i="6" s="1"/>
  <c r="N437" i="6"/>
  <c r="L437" i="6"/>
  <c r="M437" i="6"/>
  <c r="W459" i="4"/>
  <c r="T377" i="5"/>
  <c r="Z377" i="5"/>
  <c r="U436" i="6"/>
  <c r="K460" i="4"/>
  <c r="T460" i="4"/>
  <c r="J460" i="4"/>
  <c r="I460" i="4"/>
  <c r="L460" i="4"/>
  <c r="E460" i="4"/>
  <c r="R460" i="4"/>
  <c r="D460" i="4"/>
  <c r="Q460" i="4"/>
  <c r="C460" i="4"/>
  <c r="F460" i="4"/>
  <c r="O460" i="4"/>
  <c r="N460" i="4"/>
  <c r="M460" i="4"/>
  <c r="H460" i="4"/>
  <c r="P460" i="4"/>
  <c r="G460" i="4"/>
  <c r="AA461" i="4" s="1"/>
  <c r="Z436" i="6"/>
  <c r="X459" i="4"/>
  <c r="W436" i="6"/>
  <c r="V459" i="4"/>
  <c r="V436" i="6"/>
  <c r="Z459" i="4"/>
  <c r="L382" i="3"/>
  <c r="U460" i="4" l="1"/>
  <c r="M378" i="5"/>
  <c r="E378" i="5"/>
  <c r="D378" i="5"/>
  <c r="R378" i="5"/>
  <c r="C378" i="5"/>
  <c r="Q378" i="5"/>
  <c r="G378" i="5"/>
  <c r="AA379" i="5" s="1"/>
  <c r="V382" i="3"/>
  <c r="N382" i="3"/>
  <c r="T382" i="3" s="1"/>
  <c r="U437" i="6"/>
  <c r="R438" i="6"/>
  <c r="H438" i="6"/>
  <c r="Q438" i="6"/>
  <c r="P438" i="6"/>
  <c r="E438" i="6"/>
  <c r="O438" i="6"/>
  <c r="D438" i="6"/>
  <c r="N438" i="6"/>
  <c r="C438" i="6"/>
  <c r="F438" i="6"/>
  <c r="K438" i="6"/>
  <c r="J438" i="6"/>
  <c r="I438" i="6"/>
  <c r="U438" i="6" s="1"/>
  <c r="L438" i="6"/>
  <c r="G438" i="6"/>
  <c r="AA439" i="6" s="1"/>
  <c r="M438" i="6"/>
  <c r="T438" i="6"/>
  <c r="X460" i="4"/>
  <c r="W460" i="4"/>
  <c r="V460" i="4"/>
  <c r="Z460" i="4"/>
  <c r="X437" i="6"/>
  <c r="V437" i="6"/>
  <c r="N461" i="4"/>
  <c r="D461" i="4"/>
  <c r="M461" i="4"/>
  <c r="C461" i="4"/>
  <c r="L461" i="4"/>
  <c r="O461" i="4"/>
  <c r="E461" i="4"/>
  <c r="J461" i="4"/>
  <c r="I461" i="4"/>
  <c r="H461" i="4"/>
  <c r="K461" i="4"/>
  <c r="R461" i="4"/>
  <c r="Q461" i="4"/>
  <c r="P461" i="4"/>
  <c r="G461" i="4"/>
  <c r="AA462" i="4" s="1"/>
  <c r="T461" i="4"/>
  <c r="F461" i="4"/>
  <c r="Z437" i="6"/>
  <c r="Z382" i="3" l="1"/>
  <c r="W461" i="4"/>
  <c r="U461" i="4"/>
  <c r="P378" i="5"/>
  <c r="X382" i="3"/>
  <c r="V461" i="4"/>
  <c r="Z438" i="6"/>
  <c r="Z461" i="4"/>
  <c r="E383" i="3"/>
  <c r="P383" i="3" s="1"/>
  <c r="D383" i="3"/>
  <c r="C383" i="3"/>
  <c r="Q383" i="3"/>
  <c r="G383" i="3"/>
  <c r="AA384" i="3" s="1"/>
  <c r="R383" i="3"/>
  <c r="V438" i="6"/>
  <c r="K439" i="6"/>
  <c r="T439" i="6"/>
  <c r="J439" i="6"/>
  <c r="N439" i="6"/>
  <c r="M439" i="6"/>
  <c r="L439" i="6"/>
  <c r="O439" i="6"/>
  <c r="C439" i="6"/>
  <c r="R439" i="6"/>
  <c r="Q439" i="6"/>
  <c r="P439" i="6"/>
  <c r="D439" i="6"/>
  <c r="G439" i="6"/>
  <c r="AA440" i="6" s="1"/>
  <c r="F439" i="6"/>
  <c r="E439" i="6"/>
  <c r="H439" i="6"/>
  <c r="I439" i="6"/>
  <c r="X461" i="4"/>
  <c r="W438" i="6"/>
  <c r="Q462" i="4"/>
  <c r="G462" i="4"/>
  <c r="AA463" i="4" s="1"/>
  <c r="P462" i="4"/>
  <c r="F462" i="4"/>
  <c r="O462" i="4"/>
  <c r="E462" i="4"/>
  <c r="R462" i="4"/>
  <c r="H462" i="4"/>
  <c r="N462" i="4"/>
  <c r="M462" i="4"/>
  <c r="L462" i="4"/>
  <c r="J462" i="4"/>
  <c r="I462" i="4"/>
  <c r="D462" i="4"/>
  <c r="C462" i="4"/>
  <c r="T462" i="4"/>
  <c r="K462" i="4"/>
  <c r="X438" i="6"/>
  <c r="F378" i="5"/>
  <c r="V439" i="6" l="1"/>
  <c r="X439" i="6"/>
  <c r="Z439" i="6"/>
  <c r="O378" i="5"/>
  <c r="H378" i="5"/>
  <c r="W462" i="4"/>
  <c r="U439" i="6"/>
  <c r="T463" i="4"/>
  <c r="J463" i="4"/>
  <c r="I463" i="4"/>
  <c r="R463" i="4"/>
  <c r="H463" i="4"/>
  <c r="K463" i="4"/>
  <c r="Q463" i="4"/>
  <c r="C463" i="4"/>
  <c r="P463" i="4"/>
  <c r="O463" i="4"/>
  <c r="D463" i="4"/>
  <c r="E463" i="4"/>
  <c r="N463" i="4"/>
  <c r="M463" i="4"/>
  <c r="L463" i="4"/>
  <c r="G463" i="4"/>
  <c r="AA464" i="4" s="1"/>
  <c r="F463" i="4"/>
  <c r="U462" i="4"/>
  <c r="N440" i="6"/>
  <c r="D440" i="6"/>
  <c r="M440" i="6"/>
  <c r="C440" i="6"/>
  <c r="K440" i="6"/>
  <c r="J440" i="6"/>
  <c r="I440" i="6"/>
  <c r="L440" i="6"/>
  <c r="O440" i="6"/>
  <c r="H440" i="6"/>
  <c r="G440" i="6"/>
  <c r="AA441" i="6" s="1"/>
  <c r="F440" i="6"/>
  <c r="P440" i="6"/>
  <c r="R440" i="6"/>
  <c r="Q440" i="6"/>
  <c r="E440" i="6"/>
  <c r="T440" i="6"/>
  <c r="V462" i="4"/>
  <c r="W439" i="6"/>
  <c r="Z462" i="4"/>
  <c r="X462" i="4"/>
  <c r="F383" i="3"/>
  <c r="I378" i="5"/>
  <c r="U378" i="5" s="1"/>
  <c r="V463" i="4" l="1"/>
  <c r="X440" i="6"/>
  <c r="Z440" i="6"/>
  <c r="H383" i="3"/>
  <c r="O383" i="3"/>
  <c r="M464" i="4"/>
  <c r="C464" i="4"/>
  <c r="L464" i="4"/>
  <c r="K464" i="4"/>
  <c r="N464" i="4"/>
  <c r="D464" i="4"/>
  <c r="G464" i="4"/>
  <c r="AA465" i="4" s="1"/>
  <c r="T464" i="4"/>
  <c r="F464" i="4"/>
  <c r="E464" i="4"/>
  <c r="H464" i="4"/>
  <c r="R464" i="4"/>
  <c r="P464" i="4"/>
  <c r="O464" i="4"/>
  <c r="J464" i="4"/>
  <c r="I464" i="4"/>
  <c r="Q464" i="4"/>
  <c r="W463" i="4"/>
  <c r="U440" i="6"/>
  <c r="L378" i="5"/>
  <c r="X463" i="4"/>
  <c r="Q441" i="6"/>
  <c r="G441" i="6"/>
  <c r="AA442" i="6" s="1"/>
  <c r="P441" i="6"/>
  <c r="F441" i="6"/>
  <c r="J441" i="6"/>
  <c r="I441" i="6"/>
  <c r="T441" i="6"/>
  <c r="H441" i="6"/>
  <c r="K441" i="6"/>
  <c r="D441" i="6"/>
  <c r="C441" i="6"/>
  <c r="E441" i="6"/>
  <c r="R441" i="6"/>
  <c r="O441" i="6"/>
  <c r="N441" i="6"/>
  <c r="L441" i="6"/>
  <c r="M441" i="6"/>
  <c r="Z463" i="4"/>
  <c r="J378" i="5"/>
  <c r="K378" i="5" s="1"/>
  <c r="W378" i="5" s="1"/>
  <c r="V440" i="6"/>
  <c r="W440" i="6"/>
  <c r="U463" i="4"/>
  <c r="W441" i="6" l="1"/>
  <c r="T442" i="6"/>
  <c r="J442" i="6"/>
  <c r="I442" i="6"/>
  <c r="G442" i="6"/>
  <c r="AA443" i="6" s="1"/>
  <c r="R442" i="6"/>
  <c r="F442" i="6"/>
  <c r="Q442" i="6"/>
  <c r="E442" i="6"/>
  <c r="H442" i="6"/>
  <c r="P442" i="6"/>
  <c r="O442" i="6"/>
  <c r="N442" i="6"/>
  <c r="C442" i="6"/>
  <c r="K442" i="6"/>
  <c r="D442" i="6"/>
  <c r="L442" i="6"/>
  <c r="M442" i="6"/>
  <c r="Z441" i="6"/>
  <c r="V464" i="4"/>
  <c r="V378" i="5"/>
  <c r="N378" i="5"/>
  <c r="T378" i="5" s="1"/>
  <c r="Z464" i="4"/>
  <c r="X441" i="6"/>
  <c r="U464" i="4"/>
  <c r="L383" i="3"/>
  <c r="Z378" i="5"/>
  <c r="P465" i="4"/>
  <c r="F465" i="4"/>
  <c r="O465" i="4"/>
  <c r="E465" i="4"/>
  <c r="N465" i="4"/>
  <c r="D465" i="4"/>
  <c r="Q465" i="4"/>
  <c r="G465" i="4"/>
  <c r="AA466" i="4" s="1"/>
  <c r="L465" i="4"/>
  <c r="V465" i="4" s="1"/>
  <c r="K465" i="4"/>
  <c r="J465" i="4"/>
  <c r="M465" i="4"/>
  <c r="T465" i="4"/>
  <c r="R465" i="4"/>
  <c r="I465" i="4"/>
  <c r="H465" i="4"/>
  <c r="C465" i="4"/>
  <c r="I383" i="3"/>
  <c r="X464" i="4"/>
  <c r="V441" i="6"/>
  <c r="U441" i="6"/>
  <c r="W464" i="4"/>
  <c r="X378" i="5"/>
  <c r="U442" i="6" l="1"/>
  <c r="U383" i="3"/>
  <c r="J383" i="3"/>
  <c r="K383" i="3" s="1"/>
  <c r="W383" i="3" s="1"/>
  <c r="W442" i="6"/>
  <c r="I466" i="4"/>
  <c r="R466" i="4"/>
  <c r="H466" i="4"/>
  <c r="Q466" i="4"/>
  <c r="G466" i="4"/>
  <c r="AA467" i="4" s="1"/>
  <c r="T466" i="4"/>
  <c r="J466" i="4"/>
  <c r="P466" i="4"/>
  <c r="O466" i="4"/>
  <c r="N466" i="4"/>
  <c r="C466" i="4"/>
  <c r="M466" i="4"/>
  <c r="L466" i="4"/>
  <c r="F466" i="4"/>
  <c r="E466" i="4"/>
  <c r="D466" i="4"/>
  <c r="K466" i="4"/>
  <c r="X465" i="4"/>
  <c r="W465" i="4"/>
  <c r="V383" i="3"/>
  <c r="N383" i="3"/>
  <c r="T383" i="3" s="1"/>
  <c r="U465" i="4"/>
  <c r="R379" i="5"/>
  <c r="G379" i="5"/>
  <c r="AA380" i="5" s="1"/>
  <c r="Q379" i="5"/>
  <c r="E379" i="5"/>
  <c r="P379" i="5" s="1"/>
  <c r="M379" i="5"/>
  <c r="D379" i="5"/>
  <c r="C379" i="5"/>
  <c r="M443" i="6"/>
  <c r="C443" i="6"/>
  <c r="L443" i="6"/>
  <c r="R443" i="6"/>
  <c r="F443" i="6"/>
  <c r="Q443" i="6"/>
  <c r="E443" i="6"/>
  <c r="P443" i="6"/>
  <c r="D443" i="6"/>
  <c r="G443" i="6"/>
  <c r="AA444" i="6" s="1"/>
  <c r="N443" i="6"/>
  <c r="K443" i="6"/>
  <c r="J443" i="6"/>
  <c r="I443" i="6"/>
  <c r="O443" i="6"/>
  <c r="H443" i="6"/>
  <c r="T443" i="6"/>
  <c r="V442" i="6"/>
  <c r="X442" i="6"/>
  <c r="Z465" i="4"/>
  <c r="Z442" i="6"/>
  <c r="X383" i="3"/>
  <c r="X443" i="6" l="1"/>
  <c r="X466" i="4"/>
  <c r="U443" i="6"/>
  <c r="Z443" i="6"/>
  <c r="Z466" i="4"/>
  <c r="L467" i="4"/>
  <c r="V467" i="4" s="1"/>
  <c r="K467" i="4"/>
  <c r="W467" i="4" s="1"/>
  <c r="T467" i="4"/>
  <c r="J467" i="4"/>
  <c r="M467" i="4"/>
  <c r="C467" i="4"/>
  <c r="F467" i="4"/>
  <c r="E467" i="4"/>
  <c r="R467" i="4"/>
  <c r="D467" i="4"/>
  <c r="G467" i="4"/>
  <c r="AA468" i="4" s="1"/>
  <c r="Q467" i="4"/>
  <c r="P467" i="4"/>
  <c r="O467" i="4"/>
  <c r="N467" i="4"/>
  <c r="H467" i="4"/>
  <c r="I467" i="4"/>
  <c r="P444" i="6"/>
  <c r="F444" i="6"/>
  <c r="O444" i="6"/>
  <c r="E444" i="6"/>
  <c r="Q444" i="6"/>
  <c r="C444" i="6"/>
  <c r="N444" i="6"/>
  <c r="M444" i="6"/>
  <c r="R444" i="6"/>
  <c r="D444" i="6"/>
  <c r="G444" i="6"/>
  <c r="AA445" i="6" s="1"/>
  <c r="T444" i="6"/>
  <c r="H444" i="6"/>
  <c r="K444" i="6"/>
  <c r="J444" i="6"/>
  <c r="I444" i="6"/>
  <c r="U444" i="6" s="1"/>
  <c r="L444" i="6"/>
  <c r="W443" i="6"/>
  <c r="Z383" i="3"/>
  <c r="V466" i="4"/>
  <c r="R384" i="3"/>
  <c r="Q384" i="3"/>
  <c r="G384" i="3"/>
  <c r="AA385" i="3" s="1"/>
  <c r="C384" i="3"/>
  <c r="E384" i="3"/>
  <c r="D384" i="3"/>
  <c r="U466" i="4"/>
  <c r="V443" i="6"/>
  <c r="F379" i="5"/>
  <c r="W466" i="4"/>
  <c r="P384" i="3" l="1"/>
  <c r="F384" i="3"/>
  <c r="H384" i="3"/>
  <c r="O468" i="4"/>
  <c r="E468" i="4"/>
  <c r="N468" i="4"/>
  <c r="D468" i="4"/>
  <c r="M468" i="4"/>
  <c r="C468" i="4"/>
  <c r="P468" i="4"/>
  <c r="F468" i="4"/>
  <c r="K468" i="4"/>
  <c r="J468" i="4"/>
  <c r="I468" i="4"/>
  <c r="L468" i="4"/>
  <c r="R468" i="4"/>
  <c r="Q468" i="4"/>
  <c r="H468" i="4"/>
  <c r="T468" i="4"/>
  <c r="G468" i="4"/>
  <c r="AA469" i="4" s="1"/>
  <c r="I445" i="6"/>
  <c r="R445" i="6"/>
  <c r="H445" i="6"/>
  <c r="N445" i="6"/>
  <c r="M445" i="6"/>
  <c r="L445" i="6"/>
  <c r="O445" i="6"/>
  <c r="C445" i="6"/>
  <c r="Q445" i="6"/>
  <c r="P445" i="6"/>
  <c r="K445" i="6"/>
  <c r="J445" i="6"/>
  <c r="T445" i="6"/>
  <c r="G445" i="6"/>
  <c r="AA446" i="6" s="1"/>
  <c r="F445" i="6"/>
  <c r="E445" i="6"/>
  <c r="D445" i="6"/>
  <c r="I384" i="3"/>
  <c r="U384" i="3" s="1"/>
  <c r="V444" i="6"/>
  <c r="H379" i="5"/>
  <c r="I379" i="5" s="1"/>
  <c r="U379" i="5" s="1"/>
  <c r="O379" i="5"/>
  <c r="U467" i="4"/>
  <c r="X467" i="4"/>
  <c r="Z444" i="6"/>
  <c r="W444" i="6"/>
  <c r="X444" i="6"/>
  <c r="O384" i="3"/>
  <c r="Z467" i="4"/>
  <c r="J384" i="3" l="1"/>
  <c r="K384" i="3" s="1"/>
  <c r="W384" i="3" s="1"/>
  <c r="W468" i="4"/>
  <c r="R469" i="4"/>
  <c r="H469" i="4"/>
  <c r="Q469" i="4"/>
  <c r="G469" i="4"/>
  <c r="AA470" i="4" s="1"/>
  <c r="P469" i="4"/>
  <c r="F469" i="4"/>
  <c r="I469" i="4"/>
  <c r="O469" i="4"/>
  <c r="N469" i="4"/>
  <c r="M469" i="4"/>
  <c r="T469" i="4"/>
  <c r="J469" i="4"/>
  <c r="E469" i="4"/>
  <c r="D469" i="4"/>
  <c r="C469" i="4"/>
  <c r="L469" i="4"/>
  <c r="K469" i="4"/>
  <c r="Z468" i="4"/>
  <c r="W445" i="6"/>
  <c r="U445" i="6"/>
  <c r="X468" i="4"/>
  <c r="Z445" i="6"/>
  <c r="V445" i="6"/>
  <c r="J379" i="5"/>
  <c r="X445" i="6"/>
  <c r="V468" i="4"/>
  <c r="U468" i="4"/>
  <c r="L379" i="5"/>
  <c r="L446" i="6"/>
  <c r="K446" i="6"/>
  <c r="J446" i="6"/>
  <c r="I446" i="6"/>
  <c r="T446" i="6"/>
  <c r="H446" i="6"/>
  <c r="M446" i="6"/>
  <c r="G446" i="6"/>
  <c r="AA447" i="6" s="1"/>
  <c r="F446" i="6"/>
  <c r="E446" i="6"/>
  <c r="D446" i="6"/>
  <c r="N446" i="6"/>
  <c r="Q446" i="6"/>
  <c r="P446" i="6"/>
  <c r="O446" i="6"/>
  <c r="C446" i="6"/>
  <c r="R446" i="6"/>
  <c r="L384" i="3"/>
  <c r="W469" i="4" l="1"/>
  <c r="U469" i="4"/>
  <c r="W446" i="6"/>
  <c r="X446" i="6"/>
  <c r="V379" i="5"/>
  <c r="N379" i="5"/>
  <c r="V384" i="3"/>
  <c r="N384" i="3"/>
  <c r="T384" i="3" s="1"/>
  <c r="K379" i="5"/>
  <c r="X469" i="4"/>
  <c r="O447" i="6"/>
  <c r="E447" i="6"/>
  <c r="N447" i="6"/>
  <c r="D447" i="6"/>
  <c r="I447" i="6"/>
  <c r="T447" i="6"/>
  <c r="H447" i="6"/>
  <c r="G447" i="6"/>
  <c r="AA448" i="6" s="1"/>
  <c r="J447" i="6"/>
  <c r="R447" i="6"/>
  <c r="Q447" i="6"/>
  <c r="P447" i="6"/>
  <c r="C447" i="6"/>
  <c r="M447" i="6"/>
  <c r="L447" i="6"/>
  <c r="K447" i="6"/>
  <c r="F447" i="6"/>
  <c r="U446" i="6"/>
  <c r="Z446" i="6"/>
  <c r="V469" i="4"/>
  <c r="Z469" i="4"/>
  <c r="V446" i="6"/>
  <c r="K470" i="4"/>
  <c r="T470" i="4"/>
  <c r="J470" i="4"/>
  <c r="I470" i="4"/>
  <c r="L470" i="4"/>
  <c r="R470" i="4"/>
  <c r="D470" i="4"/>
  <c r="Q470" i="4"/>
  <c r="C470" i="4"/>
  <c r="P470" i="4"/>
  <c r="E470" i="4"/>
  <c r="F470" i="4"/>
  <c r="O470" i="4"/>
  <c r="N470" i="4"/>
  <c r="M470" i="4"/>
  <c r="H470" i="4"/>
  <c r="G470" i="4"/>
  <c r="AA471" i="4" s="1"/>
  <c r="W447" i="6" l="1"/>
  <c r="X379" i="5"/>
  <c r="X384" i="3"/>
  <c r="V470" i="4"/>
  <c r="X447" i="6"/>
  <c r="U470" i="4"/>
  <c r="U447" i="6"/>
  <c r="N471" i="4"/>
  <c r="D471" i="4"/>
  <c r="M471" i="4"/>
  <c r="C471" i="4"/>
  <c r="L471" i="4"/>
  <c r="O471" i="4"/>
  <c r="E471" i="4"/>
  <c r="I471" i="4"/>
  <c r="H471" i="4"/>
  <c r="G471" i="4"/>
  <c r="AA472" i="4" s="1"/>
  <c r="J471" i="4"/>
  <c r="T471" i="4"/>
  <c r="R471" i="4"/>
  <c r="Q471" i="4"/>
  <c r="P471" i="4"/>
  <c r="K471" i="4"/>
  <c r="F471" i="4"/>
  <c r="W470" i="4"/>
  <c r="R448" i="6"/>
  <c r="H448" i="6"/>
  <c r="Q448" i="6"/>
  <c r="G448" i="6"/>
  <c r="AA449" i="6" s="1"/>
  <c r="T448" i="6"/>
  <c r="F448" i="6"/>
  <c r="E448" i="6"/>
  <c r="P448" i="6"/>
  <c r="D448" i="6"/>
  <c r="I448" i="6"/>
  <c r="N448" i="6"/>
  <c r="M448" i="6"/>
  <c r="L448" i="6"/>
  <c r="K448" i="6"/>
  <c r="O448" i="6"/>
  <c r="J448" i="6"/>
  <c r="C448" i="6"/>
  <c r="W379" i="5"/>
  <c r="E385" i="3"/>
  <c r="R385" i="3"/>
  <c r="D385" i="3"/>
  <c r="Q385" i="3"/>
  <c r="G385" i="3"/>
  <c r="AA386" i="3" s="1"/>
  <c r="C385" i="3"/>
  <c r="V447" i="6"/>
  <c r="X470" i="4"/>
  <c r="T379" i="5"/>
  <c r="Z447" i="6"/>
  <c r="Z470" i="4"/>
  <c r="Z384" i="3"/>
  <c r="V448" i="6" l="1"/>
  <c r="Z471" i="4"/>
  <c r="P385" i="3"/>
  <c r="V471" i="4"/>
  <c r="E380" i="5"/>
  <c r="M380" i="5"/>
  <c r="C380" i="5"/>
  <c r="P380" i="5" s="1"/>
  <c r="D380" i="5"/>
  <c r="G380" i="5"/>
  <c r="AA381" i="5" s="1"/>
  <c r="R380" i="5"/>
  <c r="Q380" i="5"/>
  <c r="W471" i="4"/>
  <c r="Z448" i="6"/>
  <c r="X448" i="6"/>
  <c r="W448" i="6"/>
  <c r="Q472" i="4"/>
  <c r="G472" i="4"/>
  <c r="AA473" i="4" s="1"/>
  <c r="P472" i="4"/>
  <c r="F472" i="4"/>
  <c r="O472" i="4"/>
  <c r="E472" i="4"/>
  <c r="R472" i="4"/>
  <c r="H472" i="4"/>
  <c r="M472" i="4"/>
  <c r="L472" i="4"/>
  <c r="K472" i="4"/>
  <c r="N472" i="4"/>
  <c r="J472" i="4"/>
  <c r="I472" i="4"/>
  <c r="D472" i="4"/>
  <c r="C472" i="4"/>
  <c r="T472" i="4"/>
  <c r="K449" i="6"/>
  <c r="T449" i="6"/>
  <c r="J449" i="6"/>
  <c r="P449" i="6"/>
  <c r="D449" i="6"/>
  <c r="O449" i="6"/>
  <c r="C449" i="6"/>
  <c r="N449" i="6"/>
  <c r="Q449" i="6"/>
  <c r="E449" i="6"/>
  <c r="G449" i="6"/>
  <c r="AA450" i="6" s="1"/>
  <c r="F449" i="6"/>
  <c r="H449" i="6"/>
  <c r="M449" i="6"/>
  <c r="L449" i="6"/>
  <c r="I449" i="6"/>
  <c r="U449" i="6" s="1"/>
  <c r="R449" i="6"/>
  <c r="U448" i="6"/>
  <c r="U471" i="4"/>
  <c r="F385" i="3"/>
  <c r="H385" i="3" s="1"/>
  <c r="Z379" i="5"/>
  <c r="X471" i="4"/>
  <c r="X472" i="4" l="1"/>
  <c r="V449" i="6"/>
  <c r="T473" i="4"/>
  <c r="J473" i="4"/>
  <c r="I473" i="4"/>
  <c r="R473" i="4"/>
  <c r="H473" i="4"/>
  <c r="K473" i="4"/>
  <c r="P473" i="4"/>
  <c r="O473" i="4"/>
  <c r="N473" i="4"/>
  <c r="Q473" i="4"/>
  <c r="C473" i="4"/>
  <c r="M473" i="4"/>
  <c r="L473" i="4"/>
  <c r="G473" i="4"/>
  <c r="AA474" i="4" s="1"/>
  <c r="E473" i="4"/>
  <c r="D473" i="4"/>
  <c r="F473" i="4"/>
  <c r="Z472" i="4"/>
  <c r="F380" i="5"/>
  <c r="H380" i="5" s="1"/>
  <c r="Z449" i="6"/>
  <c r="W472" i="4"/>
  <c r="V472" i="4"/>
  <c r="U472" i="4"/>
  <c r="X449" i="6"/>
  <c r="N450" i="6"/>
  <c r="D450" i="6"/>
  <c r="M450" i="6"/>
  <c r="C450" i="6"/>
  <c r="O450" i="6"/>
  <c r="L450" i="6"/>
  <c r="K450" i="6"/>
  <c r="P450" i="6"/>
  <c r="R450" i="6"/>
  <c r="Q450" i="6"/>
  <c r="J450" i="6"/>
  <c r="I450" i="6"/>
  <c r="T450" i="6"/>
  <c r="H450" i="6"/>
  <c r="G450" i="6"/>
  <c r="AA451" i="6" s="1"/>
  <c r="F450" i="6"/>
  <c r="E450" i="6"/>
  <c r="I385" i="3"/>
  <c r="U385" i="3" s="1"/>
  <c r="O385" i="3"/>
  <c r="W449" i="6"/>
  <c r="V473" i="4" l="1"/>
  <c r="V450" i="6"/>
  <c r="W450" i="6"/>
  <c r="U473" i="4"/>
  <c r="W473" i="4"/>
  <c r="X450" i="6"/>
  <c r="L385" i="3"/>
  <c r="Z450" i="6"/>
  <c r="Z473" i="4"/>
  <c r="M474" i="4"/>
  <c r="C474" i="4"/>
  <c r="L474" i="4"/>
  <c r="K474" i="4"/>
  <c r="N474" i="4"/>
  <c r="D474" i="4"/>
  <c r="T474" i="4"/>
  <c r="F474" i="4"/>
  <c r="E474" i="4"/>
  <c r="R474" i="4"/>
  <c r="G474" i="4"/>
  <c r="AA475" i="4" s="1"/>
  <c r="O474" i="4"/>
  <c r="J474" i="4"/>
  <c r="I474" i="4"/>
  <c r="H474" i="4"/>
  <c r="Q474" i="4"/>
  <c r="P474" i="4"/>
  <c r="I380" i="5"/>
  <c r="U380" i="5" s="1"/>
  <c r="O380" i="5"/>
  <c r="Q451" i="6"/>
  <c r="G451" i="6"/>
  <c r="AA452" i="6" s="1"/>
  <c r="P451" i="6"/>
  <c r="F451" i="6"/>
  <c r="O451" i="6"/>
  <c r="L451" i="6"/>
  <c r="K451" i="6"/>
  <c r="J451" i="6"/>
  <c r="M451" i="6"/>
  <c r="E451" i="6"/>
  <c r="D451" i="6"/>
  <c r="C451" i="6"/>
  <c r="H451" i="6"/>
  <c r="T451" i="6"/>
  <c r="R451" i="6"/>
  <c r="N451" i="6"/>
  <c r="I451" i="6"/>
  <c r="U450" i="6"/>
  <c r="J385" i="3"/>
  <c r="K385" i="3" s="1"/>
  <c r="W385" i="3" s="1"/>
  <c r="X473" i="4"/>
  <c r="U451" i="6" l="1"/>
  <c r="V451" i="6"/>
  <c r="W474" i="4"/>
  <c r="T452" i="6"/>
  <c r="J452" i="6"/>
  <c r="I452" i="6"/>
  <c r="R452" i="6"/>
  <c r="H452" i="6"/>
  <c r="N452" i="6"/>
  <c r="M452" i="6"/>
  <c r="L452" i="6"/>
  <c r="O452" i="6"/>
  <c r="Q452" i="6"/>
  <c r="P452" i="6"/>
  <c r="C452" i="6"/>
  <c r="K452" i="6"/>
  <c r="E452" i="6"/>
  <c r="D452" i="6"/>
  <c r="F452" i="6"/>
  <c r="G452" i="6"/>
  <c r="AA453" i="6" s="1"/>
  <c r="U474" i="4"/>
  <c r="Z451" i="6"/>
  <c r="Z474" i="4"/>
  <c r="J380" i="5"/>
  <c r="K380" i="5" s="1"/>
  <c r="W380" i="5" s="1"/>
  <c r="W451" i="6"/>
  <c r="X474" i="4"/>
  <c r="V385" i="3"/>
  <c r="N385" i="3"/>
  <c r="T385" i="3" s="1"/>
  <c r="P475" i="4"/>
  <c r="F475" i="4"/>
  <c r="O475" i="4"/>
  <c r="E475" i="4"/>
  <c r="N475" i="4"/>
  <c r="D475" i="4"/>
  <c r="Q475" i="4"/>
  <c r="G475" i="4"/>
  <c r="AA476" i="4" s="1"/>
  <c r="K475" i="4"/>
  <c r="J475" i="4"/>
  <c r="I475" i="4"/>
  <c r="L475" i="4"/>
  <c r="M475" i="4"/>
  <c r="H475" i="4"/>
  <c r="C475" i="4"/>
  <c r="T475" i="4"/>
  <c r="R475" i="4"/>
  <c r="X451" i="6"/>
  <c r="V474" i="4"/>
  <c r="L380" i="5"/>
  <c r="X385" i="3" l="1"/>
  <c r="V452" i="6"/>
  <c r="Z385" i="3"/>
  <c r="W475" i="4"/>
  <c r="U475" i="4"/>
  <c r="V380" i="5"/>
  <c r="N380" i="5"/>
  <c r="D386" i="3"/>
  <c r="C386" i="3"/>
  <c r="E386" i="3"/>
  <c r="P386" i="3" s="1"/>
  <c r="R386" i="3"/>
  <c r="Q386" i="3"/>
  <c r="G386" i="3"/>
  <c r="AA387" i="3" s="1"/>
  <c r="X452" i="6"/>
  <c r="Z475" i="4"/>
  <c r="W452" i="6"/>
  <c r="U452" i="6"/>
  <c r="Z452" i="6"/>
  <c r="I476" i="4"/>
  <c r="R476" i="4"/>
  <c r="H476" i="4"/>
  <c r="Q476" i="4"/>
  <c r="G476" i="4"/>
  <c r="AA477" i="4" s="1"/>
  <c r="T476" i="4"/>
  <c r="J476" i="4"/>
  <c r="O476" i="4"/>
  <c r="N476" i="4"/>
  <c r="M476" i="4"/>
  <c r="P476" i="4"/>
  <c r="D476" i="4"/>
  <c r="C476" i="4"/>
  <c r="L476" i="4"/>
  <c r="K476" i="4"/>
  <c r="F476" i="4"/>
  <c r="E476" i="4"/>
  <c r="V475" i="4"/>
  <c r="X475" i="4"/>
  <c r="M453" i="6"/>
  <c r="C453" i="6"/>
  <c r="L453" i="6"/>
  <c r="K453" i="6"/>
  <c r="O453" i="6"/>
  <c r="N453" i="6"/>
  <c r="J453" i="6"/>
  <c r="P453" i="6"/>
  <c r="I453" i="6"/>
  <c r="H453" i="6"/>
  <c r="G453" i="6"/>
  <c r="AA454" i="6" s="1"/>
  <c r="F453" i="6"/>
  <c r="Q453" i="6"/>
  <c r="D453" i="6"/>
  <c r="T453" i="6"/>
  <c r="R453" i="6"/>
  <c r="E453" i="6"/>
  <c r="V453" i="6" l="1"/>
  <c r="W476" i="4"/>
  <c r="Z476" i="4"/>
  <c r="X476" i="4"/>
  <c r="L477" i="4"/>
  <c r="K477" i="4"/>
  <c r="T477" i="4"/>
  <c r="J477" i="4"/>
  <c r="M477" i="4"/>
  <c r="C477" i="4"/>
  <c r="E477" i="4"/>
  <c r="R477" i="4"/>
  <c r="D477" i="4"/>
  <c r="Q477" i="4"/>
  <c r="F477" i="4"/>
  <c r="P477" i="4"/>
  <c r="N477" i="4"/>
  <c r="I477" i="4"/>
  <c r="H477" i="4"/>
  <c r="G477" i="4"/>
  <c r="AA478" i="4" s="1"/>
  <c r="O477" i="4"/>
  <c r="P454" i="6"/>
  <c r="F454" i="6"/>
  <c r="O454" i="6"/>
  <c r="E454" i="6"/>
  <c r="N454" i="6"/>
  <c r="D454" i="6"/>
  <c r="Q454" i="6"/>
  <c r="M454" i="6"/>
  <c r="L454" i="6"/>
  <c r="R454" i="6"/>
  <c r="G454" i="6"/>
  <c r="AA455" i="6" s="1"/>
  <c r="C454" i="6"/>
  <c r="H454" i="6"/>
  <c r="I454" i="6"/>
  <c r="J454" i="6"/>
  <c r="K454" i="6"/>
  <c r="T454" i="6"/>
  <c r="V476" i="4"/>
  <c r="X453" i="6"/>
  <c r="T380" i="5"/>
  <c r="Z380" i="5" s="1"/>
  <c r="X380" i="5"/>
  <c r="U453" i="6"/>
  <c r="F386" i="3"/>
  <c r="Z453" i="6"/>
  <c r="U476" i="4"/>
  <c r="W453" i="6"/>
  <c r="W477" i="4" l="1"/>
  <c r="V477" i="4"/>
  <c r="U454" i="6"/>
  <c r="X477" i="4"/>
  <c r="I455" i="6"/>
  <c r="R455" i="6"/>
  <c r="H455" i="6"/>
  <c r="Q455" i="6"/>
  <c r="G455" i="6"/>
  <c r="AA456" i="6" s="1"/>
  <c r="P455" i="6"/>
  <c r="C455" i="6"/>
  <c r="O455" i="6"/>
  <c r="N455" i="6"/>
  <c r="T455" i="6"/>
  <c r="D455" i="6"/>
  <c r="M455" i="6"/>
  <c r="L455" i="6"/>
  <c r="V455" i="6" s="1"/>
  <c r="K455" i="6"/>
  <c r="J455" i="6"/>
  <c r="F455" i="6"/>
  <c r="E455" i="6"/>
  <c r="U477" i="4"/>
  <c r="O386" i="3"/>
  <c r="O478" i="4"/>
  <c r="E478" i="4"/>
  <c r="N478" i="4"/>
  <c r="D478" i="4"/>
  <c r="M478" i="4"/>
  <c r="C478" i="4"/>
  <c r="P478" i="4"/>
  <c r="F478" i="4"/>
  <c r="J478" i="4"/>
  <c r="I478" i="4"/>
  <c r="H478" i="4"/>
  <c r="K478" i="4"/>
  <c r="T478" i="4"/>
  <c r="Q478" i="4"/>
  <c r="L478" i="4"/>
  <c r="V478" i="4" s="1"/>
  <c r="G478" i="4"/>
  <c r="AA479" i="4" s="1"/>
  <c r="R478" i="4"/>
  <c r="W454" i="6"/>
  <c r="Z454" i="6"/>
  <c r="R381" i="5"/>
  <c r="G381" i="5"/>
  <c r="AA382" i="5" s="1"/>
  <c r="Q381" i="5"/>
  <c r="E381" i="5"/>
  <c r="P381" i="5" s="1"/>
  <c r="M381" i="5"/>
  <c r="D381" i="5"/>
  <c r="C381" i="5"/>
  <c r="X454" i="6"/>
  <c r="H386" i="3"/>
  <c r="V454" i="6"/>
  <c r="Z477" i="4"/>
  <c r="I386" i="3"/>
  <c r="U386" i="3" s="1"/>
  <c r="X455" i="6" l="1"/>
  <c r="F381" i="5"/>
  <c r="H381" i="5" s="1"/>
  <c r="I381" i="5" s="1"/>
  <c r="U381" i="5" s="1"/>
  <c r="O381" i="5"/>
  <c r="R479" i="4"/>
  <c r="H479" i="4"/>
  <c r="Q479" i="4"/>
  <c r="G479" i="4"/>
  <c r="AA480" i="4" s="1"/>
  <c r="P479" i="4"/>
  <c r="F479" i="4"/>
  <c r="I479" i="4"/>
  <c r="N479" i="4"/>
  <c r="M479" i="4"/>
  <c r="L479" i="4"/>
  <c r="O479" i="4"/>
  <c r="T479" i="4"/>
  <c r="K479" i="4"/>
  <c r="E479" i="4"/>
  <c r="D479" i="4"/>
  <c r="C479" i="4"/>
  <c r="J479" i="4"/>
  <c r="L386" i="3"/>
  <c r="X478" i="4"/>
  <c r="W455" i="6"/>
  <c r="W478" i="4"/>
  <c r="Z455" i="6"/>
  <c r="Z478" i="4"/>
  <c r="U478" i="4"/>
  <c r="U455" i="6"/>
  <c r="J386" i="3"/>
  <c r="K386" i="3" s="1"/>
  <c r="W386" i="3" s="1"/>
  <c r="L456" i="6"/>
  <c r="K456" i="6"/>
  <c r="T456" i="6"/>
  <c r="J456" i="6"/>
  <c r="Q456" i="6"/>
  <c r="D456" i="6"/>
  <c r="P456" i="6"/>
  <c r="C456" i="6"/>
  <c r="O456" i="6"/>
  <c r="R456" i="6"/>
  <c r="E456" i="6"/>
  <c r="M456" i="6"/>
  <c r="I456" i="6"/>
  <c r="H456" i="6"/>
  <c r="G456" i="6"/>
  <c r="AA457" i="6" s="1"/>
  <c r="N456" i="6"/>
  <c r="F456" i="6"/>
  <c r="U479" i="4" l="1"/>
  <c r="U456" i="6"/>
  <c r="O457" i="6"/>
  <c r="E457" i="6"/>
  <c r="N457" i="6"/>
  <c r="D457" i="6"/>
  <c r="M457" i="6"/>
  <c r="C457" i="6"/>
  <c r="F457" i="6"/>
  <c r="R457" i="6"/>
  <c r="Q457" i="6"/>
  <c r="T457" i="6"/>
  <c r="G457" i="6"/>
  <c r="AA458" i="6" s="1"/>
  <c r="H457" i="6"/>
  <c r="I457" i="6"/>
  <c r="P457" i="6"/>
  <c r="L457" i="6"/>
  <c r="V457" i="6" s="1"/>
  <c r="K457" i="6"/>
  <c r="J457" i="6"/>
  <c r="Z479" i="4"/>
  <c r="X479" i="4"/>
  <c r="V479" i="4"/>
  <c r="J381" i="5"/>
  <c r="W456" i="6"/>
  <c r="W479" i="4"/>
  <c r="V456" i="6"/>
  <c r="K480" i="4"/>
  <c r="T480" i="4"/>
  <c r="J480" i="4"/>
  <c r="I480" i="4"/>
  <c r="L480" i="4"/>
  <c r="Q480" i="4"/>
  <c r="C480" i="4"/>
  <c r="P480" i="4"/>
  <c r="O480" i="4"/>
  <c r="R480" i="4"/>
  <c r="D480" i="4"/>
  <c r="M480" i="4"/>
  <c r="H480" i="4"/>
  <c r="G480" i="4"/>
  <c r="AA481" i="4" s="1"/>
  <c r="F480" i="4"/>
  <c r="N480" i="4"/>
  <c r="E480" i="4"/>
  <c r="Z456" i="6"/>
  <c r="X456" i="6"/>
  <c r="V386" i="3"/>
  <c r="N386" i="3"/>
  <c r="T386" i="3" s="1"/>
  <c r="L381" i="5"/>
  <c r="Z386" i="3" l="1"/>
  <c r="W457" i="6"/>
  <c r="Z457" i="6"/>
  <c r="V480" i="4"/>
  <c r="Q387" i="3"/>
  <c r="G387" i="3"/>
  <c r="AA388" i="3" s="1"/>
  <c r="E387" i="3"/>
  <c r="R387" i="3"/>
  <c r="D387" i="3"/>
  <c r="C387" i="3"/>
  <c r="N481" i="4"/>
  <c r="D481" i="4"/>
  <c r="M481" i="4"/>
  <c r="C481" i="4"/>
  <c r="L481" i="4"/>
  <c r="O481" i="4"/>
  <c r="E481" i="4"/>
  <c r="H481" i="4"/>
  <c r="G481" i="4"/>
  <c r="AA482" i="4" s="1"/>
  <c r="T481" i="4"/>
  <c r="F481" i="4"/>
  <c r="I481" i="4"/>
  <c r="P481" i="4"/>
  <c r="K481" i="4"/>
  <c r="J481" i="4"/>
  <c r="R481" i="4"/>
  <c r="Q481" i="4"/>
  <c r="X386" i="3"/>
  <c r="W480" i="4"/>
  <c r="X457" i="6"/>
  <c r="U457" i="6"/>
  <c r="X480" i="4"/>
  <c r="Z480" i="4"/>
  <c r="K381" i="5"/>
  <c r="U480" i="4"/>
  <c r="R458" i="6"/>
  <c r="H458" i="6"/>
  <c r="Q458" i="6"/>
  <c r="G458" i="6"/>
  <c r="AA459" i="6" s="1"/>
  <c r="P458" i="6"/>
  <c r="F458" i="6"/>
  <c r="E458" i="6"/>
  <c r="T458" i="6"/>
  <c r="D458" i="6"/>
  <c r="C458" i="6"/>
  <c r="I458" i="6"/>
  <c r="O458" i="6"/>
  <c r="J458" i="6"/>
  <c r="K458" i="6"/>
  <c r="W458" i="6" s="1"/>
  <c r="N458" i="6"/>
  <c r="M458" i="6"/>
  <c r="L458" i="6"/>
  <c r="V381" i="5"/>
  <c r="N381" i="5"/>
  <c r="P387" i="3" l="1"/>
  <c r="V458" i="6"/>
  <c r="W381" i="5"/>
  <c r="X381" i="5"/>
  <c r="K459" i="6"/>
  <c r="T459" i="6"/>
  <c r="J459" i="6"/>
  <c r="I459" i="6"/>
  <c r="F459" i="6"/>
  <c r="R459" i="6"/>
  <c r="E459" i="6"/>
  <c r="Q459" i="6"/>
  <c r="D459" i="6"/>
  <c r="G459" i="6"/>
  <c r="AA460" i="6" s="1"/>
  <c r="P459" i="6"/>
  <c r="O459" i="6"/>
  <c r="N459" i="6"/>
  <c r="M459" i="6"/>
  <c r="L459" i="6"/>
  <c r="H459" i="6"/>
  <c r="C459" i="6"/>
  <c r="W481" i="4"/>
  <c r="Z481" i="4"/>
  <c r="U481" i="4"/>
  <c r="H387" i="3"/>
  <c r="Q482" i="4"/>
  <c r="G482" i="4"/>
  <c r="AA483" i="4" s="1"/>
  <c r="P482" i="4"/>
  <c r="F482" i="4"/>
  <c r="O482" i="4"/>
  <c r="E482" i="4"/>
  <c r="R482" i="4"/>
  <c r="H482" i="4"/>
  <c r="L482" i="4"/>
  <c r="K482" i="4"/>
  <c r="J482" i="4"/>
  <c r="M482" i="4"/>
  <c r="I482" i="4"/>
  <c r="D482" i="4"/>
  <c r="C482" i="4"/>
  <c r="T482" i="4"/>
  <c r="N482" i="4"/>
  <c r="F387" i="3"/>
  <c r="X458" i="6"/>
  <c r="X481" i="4"/>
  <c r="U458" i="6"/>
  <c r="Z458" i="6"/>
  <c r="T381" i="5"/>
  <c r="Z381" i="5" s="1"/>
  <c r="V481" i="4"/>
  <c r="U459" i="6" l="1"/>
  <c r="W482" i="4"/>
  <c r="V482" i="4"/>
  <c r="I387" i="3"/>
  <c r="U387" i="3" s="1"/>
  <c r="Z482" i="4"/>
  <c r="Z459" i="6"/>
  <c r="M382" i="5"/>
  <c r="C382" i="5"/>
  <c r="Q382" i="5"/>
  <c r="R382" i="5"/>
  <c r="G382" i="5"/>
  <c r="AA383" i="5" s="1"/>
  <c r="E382" i="5"/>
  <c r="D382" i="5"/>
  <c r="X482" i="4"/>
  <c r="U482" i="4"/>
  <c r="V459" i="6"/>
  <c r="X459" i="6"/>
  <c r="L387" i="3"/>
  <c r="N460" i="6"/>
  <c r="D460" i="6"/>
  <c r="M460" i="6"/>
  <c r="C460" i="6"/>
  <c r="L460" i="6"/>
  <c r="H460" i="6"/>
  <c r="T460" i="6"/>
  <c r="G460" i="6"/>
  <c r="AA461" i="6" s="1"/>
  <c r="F460" i="6"/>
  <c r="I460" i="6"/>
  <c r="Q460" i="6"/>
  <c r="P460" i="6"/>
  <c r="O460" i="6"/>
  <c r="K460" i="6"/>
  <c r="R460" i="6"/>
  <c r="E460" i="6"/>
  <c r="J460" i="6"/>
  <c r="O387" i="3"/>
  <c r="J387" i="3"/>
  <c r="K387" i="3" s="1"/>
  <c r="W387" i="3" s="1"/>
  <c r="W459" i="6"/>
  <c r="T483" i="4"/>
  <c r="J483" i="4"/>
  <c r="I483" i="4"/>
  <c r="R483" i="4"/>
  <c r="H483" i="4"/>
  <c r="K483" i="4"/>
  <c r="O483" i="4"/>
  <c r="N483" i="4"/>
  <c r="M483" i="4"/>
  <c r="P483" i="4"/>
  <c r="C483" i="4"/>
  <c r="L483" i="4"/>
  <c r="V483" i="4" s="1"/>
  <c r="G483" i="4"/>
  <c r="AA484" i="4" s="1"/>
  <c r="F483" i="4"/>
  <c r="E483" i="4"/>
  <c r="D483" i="4"/>
  <c r="Q483" i="4"/>
  <c r="W460" i="6" l="1"/>
  <c r="P382" i="5"/>
  <c r="Z483" i="4"/>
  <c r="X483" i="4"/>
  <c r="U483" i="4"/>
  <c r="V460" i="6"/>
  <c r="Z460" i="6"/>
  <c r="M484" i="4"/>
  <c r="C484" i="4"/>
  <c r="L484" i="4"/>
  <c r="K484" i="4"/>
  <c r="N484" i="4"/>
  <c r="D484" i="4"/>
  <c r="E484" i="4"/>
  <c r="R484" i="4"/>
  <c r="Q484" i="4"/>
  <c r="T484" i="4"/>
  <c r="F484" i="4"/>
  <c r="P484" i="4"/>
  <c r="O484" i="4"/>
  <c r="I484" i="4"/>
  <c r="H484" i="4"/>
  <c r="G484" i="4"/>
  <c r="AA485" i="4" s="1"/>
  <c r="J484" i="4"/>
  <c r="F382" i="5"/>
  <c r="X460" i="6"/>
  <c r="V387" i="3"/>
  <c r="N387" i="3"/>
  <c r="T387" i="3" s="1"/>
  <c r="W483" i="4"/>
  <c r="U460" i="6"/>
  <c r="Q461" i="6"/>
  <c r="G461" i="6"/>
  <c r="AA462" i="6" s="1"/>
  <c r="P461" i="6"/>
  <c r="F461" i="6"/>
  <c r="O461" i="6"/>
  <c r="E461" i="6"/>
  <c r="J461" i="6"/>
  <c r="I461" i="6"/>
  <c r="H461" i="6"/>
  <c r="K461" i="6"/>
  <c r="N461" i="6"/>
  <c r="M461" i="6"/>
  <c r="L461" i="6"/>
  <c r="D461" i="6"/>
  <c r="R461" i="6"/>
  <c r="C461" i="6"/>
  <c r="T461" i="6"/>
  <c r="X387" i="3" l="1"/>
  <c r="V461" i="6"/>
  <c r="X461" i="6"/>
  <c r="Z387" i="3"/>
  <c r="Z461" i="6"/>
  <c r="Z484" i="4"/>
  <c r="X484" i="4"/>
  <c r="O382" i="5"/>
  <c r="H382" i="5"/>
  <c r="I382" i="5" s="1"/>
  <c r="W461" i="6"/>
  <c r="U461" i="6"/>
  <c r="U484" i="4"/>
  <c r="W484" i="4"/>
  <c r="P485" i="4"/>
  <c r="F485" i="4"/>
  <c r="O485" i="4"/>
  <c r="E485" i="4"/>
  <c r="N485" i="4"/>
  <c r="D485" i="4"/>
  <c r="Q485" i="4"/>
  <c r="G485" i="4"/>
  <c r="J485" i="4"/>
  <c r="I485" i="4"/>
  <c r="H485" i="4"/>
  <c r="K485" i="4"/>
  <c r="T485" i="4"/>
  <c r="R485" i="4"/>
  <c r="L485" i="4"/>
  <c r="C485" i="4"/>
  <c r="M485" i="4"/>
  <c r="T462" i="6"/>
  <c r="J462" i="6"/>
  <c r="I462" i="6"/>
  <c r="R462" i="6"/>
  <c r="H462" i="6"/>
  <c r="L462" i="6"/>
  <c r="K462" i="6"/>
  <c r="W462" i="6" s="1"/>
  <c r="G462" i="6"/>
  <c r="AA463" i="6" s="1"/>
  <c r="M462" i="6"/>
  <c r="N462" i="6"/>
  <c r="F462" i="6"/>
  <c r="E462" i="6"/>
  <c r="D462" i="6"/>
  <c r="O462" i="6"/>
  <c r="Q462" i="6"/>
  <c r="P462" i="6"/>
  <c r="C462" i="6"/>
  <c r="R388" i="3"/>
  <c r="Q388" i="3"/>
  <c r="C388" i="3"/>
  <c r="F388" i="3" s="1"/>
  <c r="G388" i="3"/>
  <c r="AA389" i="3" s="1"/>
  <c r="E388" i="3"/>
  <c r="D388" i="3"/>
  <c r="V484" i="4"/>
  <c r="V485" i="4" l="1"/>
  <c r="P388" i="3"/>
  <c r="U382" i="5"/>
  <c r="J382" i="5"/>
  <c r="K382" i="5" s="1"/>
  <c r="W382" i="5" s="1"/>
  <c r="O388" i="3"/>
  <c r="Z462" i="6"/>
  <c r="H388" i="3"/>
  <c r="I388" i="3" s="1"/>
  <c r="U388" i="3" s="1"/>
  <c r="X462" i="6"/>
  <c r="M463" i="6"/>
  <c r="C463" i="6"/>
  <c r="L463" i="6"/>
  <c r="K463" i="6"/>
  <c r="J463" i="6"/>
  <c r="I463" i="6"/>
  <c r="H463" i="6"/>
  <c r="N463" i="6"/>
  <c r="F463" i="6"/>
  <c r="E463" i="6"/>
  <c r="D463" i="6"/>
  <c r="T463" i="6"/>
  <c r="G463" i="6"/>
  <c r="AA464" i="6" s="1"/>
  <c r="O463" i="6"/>
  <c r="P463" i="6"/>
  <c r="R463" i="6"/>
  <c r="Q463" i="6"/>
  <c r="Z485" i="4"/>
  <c r="L382" i="5"/>
  <c r="W485" i="4"/>
  <c r="V462" i="6"/>
  <c r="I486" i="4"/>
  <c r="R486" i="4"/>
  <c r="H486" i="4"/>
  <c r="Q486" i="4"/>
  <c r="G486" i="4"/>
  <c r="AA487" i="4" s="1"/>
  <c r="T486" i="4"/>
  <c r="J486" i="4"/>
  <c r="N486" i="4"/>
  <c r="M486" i="4"/>
  <c r="L486" i="4"/>
  <c r="O486" i="4"/>
  <c r="P486" i="4"/>
  <c r="K486" i="4"/>
  <c r="F486" i="4"/>
  <c r="D486" i="4"/>
  <c r="C486" i="4"/>
  <c r="E486" i="4"/>
  <c r="X485" i="4"/>
  <c r="U462" i="6"/>
  <c r="U485" i="4"/>
  <c r="Z486" i="4" l="1"/>
  <c r="X486" i="4"/>
  <c r="W486" i="4"/>
  <c r="V382" i="5"/>
  <c r="N382" i="5"/>
  <c r="T382" i="5" s="1"/>
  <c r="L487" i="4"/>
  <c r="K487" i="4"/>
  <c r="T487" i="4"/>
  <c r="J487" i="4"/>
  <c r="M487" i="4"/>
  <c r="C487" i="4"/>
  <c r="R487" i="4"/>
  <c r="D487" i="4"/>
  <c r="Q487" i="4"/>
  <c r="P487" i="4"/>
  <c r="E487" i="4"/>
  <c r="N487" i="4"/>
  <c r="I487" i="4"/>
  <c r="H487" i="4"/>
  <c r="G487" i="4"/>
  <c r="AA488" i="4" s="1"/>
  <c r="O487" i="4"/>
  <c r="F487" i="4"/>
  <c r="X463" i="6"/>
  <c r="L388" i="3"/>
  <c r="X382" i="5"/>
  <c r="V463" i="6"/>
  <c r="J388" i="3"/>
  <c r="K388" i="3" s="1"/>
  <c r="W388" i="3" s="1"/>
  <c r="V486" i="4"/>
  <c r="P464" i="6"/>
  <c r="F464" i="6"/>
  <c r="O464" i="6"/>
  <c r="E464" i="6"/>
  <c r="N464" i="6"/>
  <c r="D464" i="6"/>
  <c r="Q464" i="6"/>
  <c r="G464" i="6"/>
  <c r="AA465" i="6" s="1"/>
  <c r="R464" i="6"/>
  <c r="M464" i="6"/>
  <c r="L464" i="6"/>
  <c r="C464" i="6"/>
  <c r="H464" i="6"/>
  <c r="T464" i="6"/>
  <c r="K464" i="6"/>
  <c r="J464" i="6"/>
  <c r="I464" i="6"/>
  <c r="Z463" i="6"/>
  <c r="U463" i="6"/>
  <c r="U486" i="4"/>
  <c r="W463" i="6"/>
  <c r="AA486" i="4"/>
  <c r="Z382" i="5" l="1"/>
  <c r="V464" i="6"/>
  <c r="Z487" i="4"/>
  <c r="Z464" i="6"/>
  <c r="X464" i="6"/>
  <c r="X487" i="4"/>
  <c r="V487" i="4"/>
  <c r="U487" i="4"/>
  <c r="U464" i="6"/>
  <c r="W487" i="4"/>
  <c r="D383" i="5"/>
  <c r="R383" i="5"/>
  <c r="G383" i="5"/>
  <c r="AA384" i="5" s="1"/>
  <c r="Q383" i="5"/>
  <c r="E383" i="5"/>
  <c r="P383" i="5" s="1"/>
  <c r="C383" i="5"/>
  <c r="M383" i="5"/>
  <c r="O488" i="4"/>
  <c r="E488" i="4"/>
  <c r="N488" i="4"/>
  <c r="D488" i="4"/>
  <c r="M488" i="4"/>
  <c r="C488" i="4"/>
  <c r="P488" i="4"/>
  <c r="F488" i="4"/>
  <c r="I488" i="4"/>
  <c r="H488" i="4"/>
  <c r="G488" i="4"/>
  <c r="AA489" i="4" s="1"/>
  <c r="J488" i="4"/>
  <c r="Q488" i="4"/>
  <c r="L488" i="4"/>
  <c r="K488" i="4"/>
  <c r="T488" i="4"/>
  <c r="R488" i="4"/>
  <c r="W464" i="6"/>
  <c r="V388" i="3"/>
  <c r="N388" i="3"/>
  <c r="I465" i="6"/>
  <c r="R465" i="6"/>
  <c r="H465" i="6"/>
  <c r="Q465" i="6"/>
  <c r="G465" i="6"/>
  <c r="AA466" i="6" s="1"/>
  <c r="T465" i="6"/>
  <c r="J465" i="6"/>
  <c r="E465" i="6"/>
  <c r="D465" i="6"/>
  <c r="C465" i="6"/>
  <c r="F465" i="6"/>
  <c r="P465" i="6"/>
  <c r="M465" i="6"/>
  <c r="L465" i="6"/>
  <c r="K465" i="6"/>
  <c r="N465" i="6"/>
  <c r="O465" i="6"/>
  <c r="V465" i="6" l="1"/>
  <c r="V488" i="4"/>
  <c r="Z465" i="6"/>
  <c r="U465" i="6"/>
  <c r="T388" i="3"/>
  <c r="X388" i="3"/>
  <c r="Z388" i="3"/>
  <c r="L466" i="6"/>
  <c r="K466" i="6"/>
  <c r="T466" i="6"/>
  <c r="J466" i="6"/>
  <c r="M466" i="6"/>
  <c r="C466" i="6"/>
  <c r="I466" i="6"/>
  <c r="H466" i="6"/>
  <c r="G466" i="6"/>
  <c r="AA467" i="6" s="1"/>
  <c r="N466" i="6"/>
  <c r="R466" i="6"/>
  <c r="D466" i="6"/>
  <c r="Q466" i="6"/>
  <c r="P466" i="6"/>
  <c r="O466" i="6"/>
  <c r="F466" i="6"/>
  <c r="E466" i="6"/>
  <c r="R489" i="4"/>
  <c r="H489" i="4"/>
  <c r="Q489" i="4"/>
  <c r="G489" i="4"/>
  <c r="AA490" i="4" s="1"/>
  <c r="P489" i="4"/>
  <c r="F489" i="4"/>
  <c r="I489" i="4"/>
  <c r="M489" i="4"/>
  <c r="L489" i="4"/>
  <c r="K489" i="4"/>
  <c r="N489" i="4"/>
  <c r="J489" i="4"/>
  <c r="E489" i="4"/>
  <c r="D489" i="4"/>
  <c r="C489" i="4"/>
  <c r="T489" i="4"/>
  <c r="O489" i="4"/>
  <c r="Z488" i="4"/>
  <c r="W465" i="6"/>
  <c r="W488" i="4"/>
  <c r="U488" i="4"/>
  <c r="X488" i="4"/>
  <c r="X465" i="6"/>
  <c r="F383" i="5"/>
  <c r="V466" i="6" l="1"/>
  <c r="Z489" i="4"/>
  <c r="U489" i="4"/>
  <c r="O383" i="5"/>
  <c r="K490" i="4"/>
  <c r="T490" i="4"/>
  <c r="J490" i="4"/>
  <c r="I490" i="4"/>
  <c r="L490" i="4"/>
  <c r="P490" i="4"/>
  <c r="O490" i="4"/>
  <c r="N490" i="4"/>
  <c r="Q490" i="4"/>
  <c r="C490" i="4"/>
  <c r="D490" i="4"/>
  <c r="M490" i="4"/>
  <c r="H490" i="4"/>
  <c r="G490" i="4"/>
  <c r="AA491" i="4" s="1"/>
  <c r="F490" i="4"/>
  <c r="E490" i="4"/>
  <c r="R490" i="4"/>
  <c r="X489" i="4"/>
  <c r="O467" i="6"/>
  <c r="E467" i="6"/>
  <c r="N467" i="6"/>
  <c r="D467" i="6"/>
  <c r="M467" i="6"/>
  <c r="C467" i="6"/>
  <c r="P467" i="6"/>
  <c r="F467" i="6"/>
  <c r="R467" i="6"/>
  <c r="Q467" i="6"/>
  <c r="L467" i="6"/>
  <c r="T467" i="6"/>
  <c r="K467" i="6"/>
  <c r="G467" i="6"/>
  <c r="AA468" i="6" s="1"/>
  <c r="I467" i="6"/>
  <c r="J467" i="6"/>
  <c r="H467" i="6"/>
  <c r="W466" i="6"/>
  <c r="W489" i="4"/>
  <c r="U466" i="6"/>
  <c r="C389" i="3"/>
  <c r="D389" i="3"/>
  <c r="R389" i="3"/>
  <c r="E389" i="3"/>
  <c r="P389" i="3" s="1"/>
  <c r="G389" i="3"/>
  <c r="AA390" i="3" s="1"/>
  <c r="Q389" i="3"/>
  <c r="V489" i="4"/>
  <c r="X466" i="6"/>
  <c r="Z466" i="6"/>
  <c r="H383" i="5"/>
  <c r="I383" i="5" s="1"/>
  <c r="U383" i="5" s="1"/>
  <c r="Z467" i="6" l="1"/>
  <c r="U467" i="6"/>
  <c r="F389" i="3"/>
  <c r="O389" i="3" s="1"/>
  <c r="H389" i="3"/>
  <c r="I389" i="3" s="1"/>
  <c r="N491" i="4"/>
  <c r="D491" i="4"/>
  <c r="M491" i="4"/>
  <c r="C491" i="4"/>
  <c r="L491" i="4"/>
  <c r="O491" i="4"/>
  <c r="E491" i="4"/>
  <c r="G491" i="4"/>
  <c r="AA492" i="4" s="1"/>
  <c r="T491" i="4"/>
  <c r="F491" i="4"/>
  <c r="H491" i="4"/>
  <c r="R491" i="4"/>
  <c r="Q491" i="4"/>
  <c r="K491" i="4"/>
  <c r="J491" i="4"/>
  <c r="I491" i="4"/>
  <c r="P491" i="4"/>
  <c r="X490" i="4"/>
  <c r="V490" i="4"/>
  <c r="U490" i="4"/>
  <c r="R468" i="6"/>
  <c r="H468" i="6"/>
  <c r="Q468" i="6"/>
  <c r="G468" i="6"/>
  <c r="AA469" i="6" s="1"/>
  <c r="P468" i="6"/>
  <c r="F468" i="6"/>
  <c r="I468" i="6"/>
  <c r="E468" i="6"/>
  <c r="D468" i="6"/>
  <c r="C468" i="6"/>
  <c r="J468" i="6"/>
  <c r="T468" i="6"/>
  <c r="O468" i="6"/>
  <c r="N468" i="6"/>
  <c r="L468" i="6"/>
  <c r="K468" i="6"/>
  <c r="M468" i="6"/>
  <c r="Z490" i="4"/>
  <c r="J383" i="5"/>
  <c r="K383" i="5" s="1"/>
  <c r="W383" i="5" s="1"/>
  <c r="W467" i="6"/>
  <c r="V467" i="6"/>
  <c r="L383" i="5"/>
  <c r="W490" i="4"/>
  <c r="X467" i="6"/>
  <c r="U389" i="3" l="1"/>
  <c r="J389" i="3"/>
  <c r="V468" i="6"/>
  <c r="U468" i="6"/>
  <c r="W468" i="6"/>
  <c r="U491" i="4"/>
  <c r="W491" i="4"/>
  <c r="K469" i="6"/>
  <c r="T469" i="6"/>
  <c r="J469" i="6"/>
  <c r="I469" i="6"/>
  <c r="L469" i="6"/>
  <c r="H469" i="6"/>
  <c r="G469" i="6"/>
  <c r="AA470" i="6" s="1"/>
  <c r="F469" i="6"/>
  <c r="M469" i="6"/>
  <c r="R469" i="6"/>
  <c r="Q469" i="6"/>
  <c r="P469" i="6"/>
  <c r="O469" i="6"/>
  <c r="N469" i="6"/>
  <c r="E469" i="6"/>
  <c r="D469" i="6"/>
  <c r="C469" i="6"/>
  <c r="X468" i="6"/>
  <c r="Z491" i="4"/>
  <c r="Z468" i="6"/>
  <c r="K389" i="3"/>
  <c r="W389" i="3" s="1"/>
  <c r="V383" i="5"/>
  <c r="N383" i="5"/>
  <c r="T383" i="5" s="1"/>
  <c r="V491" i="4"/>
  <c r="X491" i="4"/>
  <c r="L389" i="3"/>
  <c r="Q492" i="4"/>
  <c r="G492" i="4"/>
  <c r="AA493" i="4" s="1"/>
  <c r="P492" i="4"/>
  <c r="F492" i="4"/>
  <c r="O492" i="4"/>
  <c r="E492" i="4"/>
  <c r="R492" i="4"/>
  <c r="H492" i="4"/>
  <c r="K492" i="4"/>
  <c r="J492" i="4"/>
  <c r="I492" i="4"/>
  <c r="L492" i="4"/>
  <c r="T492" i="4"/>
  <c r="N492" i="4"/>
  <c r="D492" i="4"/>
  <c r="C492" i="4"/>
  <c r="M492" i="4"/>
  <c r="V469" i="6" l="1"/>
  <c r="W492" i="4"/>
  <c r="Q384" i="5"/>
  <c r="G384" i="5"/>
  <c r="AA385" i="5" s="1"/>
  <c r="C384" i="5"/>
  <c r="M384" i="5"/>
  <c r="D384" i="5"/>
  <c r="R384" i="5"/>
  <c r="E384" i="5"/>
  <c r="U469" i="6"/>
  <c r="Z492" i="4"/>
  <c r="N470" i="6"/>
  <c r="D470" i="6"/>
  <c r="M470" i="6"/>
  <c r="C470" i="6"/>
  <c r="L470" i="6"/>
  <c r="O470" i="6"/>
  <c r="E470" i="6"/>
  <c r="Q470" i="6"/>
  <c r="P470" i="6"/>
  <c r="K470" i="6"/>
  <c r="R470" i="6"/>
  <c r="T470" i="6"/>
  <c r="J470" i="6"/>
  <c r="I470" i="6"/>
  <c r="F470" i="6"/>
  <c r="G470" i="6"/>
  <c r="AA471" i="6" s="1"/>
  <c r="H470" i="6"/>
  <c r="X492" i="4"/>
  <c r="T493" i="4"/>
  <c r="J493" i="4"/>
  <c r="I493" i="4"/>
  <c r="R493" i="4"/>
  <c r="H493" i="4"/>
  <c r="K493" i="4"/>
  <c r="N493" i="4"/>
  <c r="M493" i="4"/>
  <c r="L493" i="4"/>
  <c r="O493" i="4"/>
  <c r="P493" i="4"/>
  <c r="G493" i="4"/>
  <c r="AA494" i="4" s="1"/>
  <c r="F493" i="4"/>
  <c r="E493" i="4"/>
  <c r="C493" i="4"/>
  <c r="Q493" i="4"/>
  <c r="D493" i="4"/>
  <c r="V492" i="4"/>
  <c r="Z383" i="5"/>
  <c r="U492" i="4"/>
  <c r="X469" i="6"/>
  <c r="W469" i="6"/>
  <c r="V389" i="3"/>
  <c r="N389" i="3"/>
  <c r="T389" i="3" s="1"/>
  <c r="Z469" i="6"/>
  <c r="X383" i="5"/>
  <c r="V493" i="4" l="1"/>
  <c r="F384" i="5"/>
  <c r="W470" i="6"/>
  <c r="O384" i="5"/>
  <c r="P384" i="5"/>
  <c r="X389" i="3"/>
  <c r="M494" i="4"/>
  <c r="C494" i="4"/>
  <c r="L494" i="4"/>
  <c r="K494" i="4"/>
  <c r="N494" i="4"/>
  <c r="D494" i="4"/>
  <c r="R494" i="4"/>
  <c r="Q494" i="4"/>
  <c r="P494" i="4"/>
  <c r="E494" i="4"/>
  <c r="I494" i="4"/>
  <c r="H494" i="4"/>
  <c r="G494" i="4"/>
  <c r="AA495" i="4" s="1"/>
  <c r="F494" i="4"/>
  <c r="T494" i="4"/>
  <c r="O494" i="4"/>
  <c r="J494" i="4"/>
  <c r="Z470" i="6"/>
  <c r="X470" i="6"/>
  <c r="V470" i="6"/>
  <c r="W493" i="4"/>
  <c r="H384" i="5"/>
  <c r="Z493" i="4"/>
  <c r="Q471" i="6"/>
  <c r="G471" i="6"/>
  <c r="AA472" i="6" s="1"/>
  <c r="P471" i="6"/>
  <c r="F471" i="6"/>
  <c r="O471" i="6"/>
  <c r="E471" i="6"/>
  <c r="R471" i="6"/>
  <c r="H471" i="6"/>
  <c r="D471" i="6"/>
  <c r="C471" i="6"/>
  <c r="T471" i="6"/>
  <c r="I471" i="6"/>
  <c r="N471" i="6"/>
  <c r="M471" i="6"/>
  <c r="L471" i="6"/>
  <c r="K471" i="6"/>
  <c r="J471" i="6"/>
  <c r="E390" i="3"/>
  <c r="F390" i="3" s="1"/>
  <c r="D390" i="3"/>
  <c r="Q390" i="3"/>
  <c r="G390" i="3"/>
  <c r="AA391" i="3" s="1"/>
  <c r="C390" i="3"/>
  <c r="R390" i="3"/>
  <c r="U470" i="6"/>
  <c r="Z389" i="3"/>
  <c r="X493" i="4"/>
  <c r="U493" i="4"/>
  <c r="P390" i="3" l="1"/>
  <c r="H390" i="3"/>
  <c r="U494" i="4"/>
  <c r="V471" i="6"/>
  <c r="I390" i="3"/>
  <c r="L384" i="5"/>
  <c r="V494" i="4"/>
  <c r="Z494" i="4"/>
  <c r="W471" i="6"/>
  <c r="U471" i="6"/>
  <c r="I384" i="5"/>
  <c r="X471" i="6"/>
  <c r="T472" i="6"/>
  <c r="J472" i="6"/>
  <c r="I472" i="6"/>
  <c r="R472" i="6"/>
  <c r="H472" i="6"/>
  <c r="K472" i="6"/>
  <c r="L472" i="6"/>
  <c r="G472" i="6"/>
  <c r="AA473" i="6" s="1"/>
  <c r="F472" i="6"/>
  <c r="M472" i="6"/>
  <c r="Q472" i="6"/>
  <c r="P472" i="6"/>
  <c r="O472" i="6"/>
  <c r="N472" i="6"/>
  <c r="C472" i="6"/>
  <c r="D472" i="6"/>
  <c r="E472" i="6"/>
  <c r="P495" i="4"/>
  <c r="F495" i="4"/>
  <c r="O495" i="4"/>
  <c r="E495" i="4"/>
  <c r="N495" i="4"/>
  <c r="D495" i="4"/>
  <c r="Q495" i="4"/>
  <c r="G495" i="4"/>
  <c r="AA496" i="4" s="1"/>
  <c r="I495" i="4"/>
  <c r="H495" i="4"/>
  <c r="C495" i="4"/>
  <c r="J495" i="4"/>
  <c r="L495" i="4"/>
  <c r="K495" i="4"/>
  <c r="T495" i="4"/>
  <c r="R495" i="4"/>
  <c r="M495" i="4"/>
  <c r="O390" i="3"/>
  <c r="Z471" i="6"/>
  <c r="X494" i="4"/>
  <c r="W494" i="4"/>
  <c r="U495" i="4" l="1"/>
  <c r="W472" i="6"/>
  <c r="V472" i="6"/>
  <c r="X495" i="4"/>
  <c r="X472" i="6"/>
  <c r="U384" i="5"/>
  <c r="J384" i="5"/>
  <c r="W495" i="4"/>
  <c r="Z495" i="4"/>
  <c r="V384" i="5"/>
  <c r="N384" i="5"/>
  <c r="Z472" i="6"/>
  <c r="U472" i="6"/>
  <c r="I496" i="4"/>
  <c r="R496" i="4"/>
  <c r="H496" i="4"/>
  <c r="Q496" i="4"/>
  <c r="G496" i="4"/>
  <c r="AA497" i="4" s="1"/>
  <c r="T496" i="4"/>
  <c r="J496" i="4"/>
  <c r="M496" i="4"/>
  <c r="L496" i="4"/>
  <c r="K496" i="4"/>
  <c r="N496" i="4"/>
  <c r="E496" i="4"/>
  <c r="D496" i="4"/>
  <c r="C496" i="4"/>
  <c r="P496" i="4"/>
  <c r="O496" i="4"/>
  <c r="F496" i="4"/>
  <c r="N473" i="6"/>
  <c r="M473" i="6"/>
  <c r="C473" i="6"/>
  <c r="L473" i="6"/>
  <c r="K473" i="6"/>
  <c r="O473" i="6"/>
  <c r="D473" i="6"/>
  <c r="Q473" i="6"/>
  <c r="P473" i="6"/>
  <c r="J473" i="6"/>
  <c r="R473" i="6"/>
  <c r="I473" i="6"/>
  <c r="H473" i="6"/>
  <c r="G473" i="6"/>
  <c r="AA474" i="6" s="1"/>
  <c r="T473" i="6"/>
  <c r="F473" i="6"/>
  <c r="E473" i="6"/>
  <c r="U390" i="3"/>
  <c r="J390" i="3"/>
  <c r="V495" i="4"/>
  <c r="L390" i="3"/>
  <c r="X473" i="6" l="1"/>
  <c r="K384" i="5"/>
  <c r="W384" i="5" s="1"/>
  <c r="X384" i="5"/>
  <c r="Z473" i="6"/>
  <c r="V390" i="3"/>
  <c r="N390" i="3"/>
  <c r="T384" i="5"/>
  <c r="X496" i="4"/>
  <c r="K390" i="3"/>
  <c r="W390" i="3" s="1"/>
  <c r="Z496" i="4"/>
  <c r="Q474" i="6"/>
  <c r="G474" i="6"/>
  <c r="AA475" i="6" s="1"/>
  <c r="T474" i="6"/>
  <c r="I474" i="6"/>
  <c r="H474" i="6"/>
  <c r="R474" i="6"/>
  <c r="F474" i="6"/>
  <c r="J474" i="6"/>
  <c r="E474" i="6"/>
  <c r="D474" i="6"/>
  <c r="C474" i="6"/>
  <c r="K474" i="6"/>
  <c r="P474" i="6"/>
  <c r="O474" i="6"/>
  <c r="N474" i="6"/>
  <c r="M474" i="6"/>
  <c r="L474" i="6"/>
  <c r="V474" i="6" s="1"/>
  <c r="V473" i="6"/>
  <c r="U496" i="4"/>
  <c r="L497" i="4"/>
  <c r="K497" i="4"/>
  <c r="T497" i="4"/>
  <c r="J497" i="4"/>
  <c r="M497" i="4"/>
  <c r="C497" i="4"/>
  <c r="Q497" i="4"/>
  <c r="P497" i="4"/>
  <c r="O497" i="4"/>
  <c r="R497" i="4"/>
  <c r="D497" i="4"/>
  <c r="E497" i="4"/>
  <c r="N497" i="4"/>
  <c r="I497" i="4"/>
  <c r="H497" i="4"/>
  <c r="G497" i="4"/>
  <c r="AA498" i="4" s="1"/>
  <c r="F497" i="4"/>
  <c r="W473" i="6"/>
  <c r="W496" i="4"/>
  <c r="U473" i="6"/>
  <c r="V496" i="4"/>
  <c r="X497" i="4" l="1"/>
  <c r="W497" i="4"/>
  <c r="X474" i="6"/>
  <c r="R385" i="5"/>
  <c r="G385" i="5"/>
  <c r="AA386" i="5" s="1"/>
  <c r="D385" i="5"/>
  <c r="C385" i="5"/>
  <c r="Q385" i="5"/>
  <c r="E385" i="5"/>
  <c r="P385" i="5" s="1"/>
  <c r="M385" i="5"/>
  <c r="U474" i="6"/>
  <c r="Z497" i="4"/>
  <c r="T390" i="3"/>
  <c r="W474" i="6"/>
  <c r="U497" i="4"/>
  <c r="T475" i="6"/>
  <c r="J475" i="6"/>
  <c r="O475" i="6"/>
  <c r="D475" i="6"/>
  <c r="N475" i="6"/>
  <c r="C475" i="6"/>
  <c r="M475" i="6"/>
  <c r="P475" i="6"/>
  <c r="E475" i="6"/>
  <c r="R475" i="6"/>
  <c r="Q475" i="6"/>
  <c r="L475" i="6"/>
  <c r="K475" i="6"/>
  <c r="I475" i="6"/>
  <c r="G475" i="6"/>
  <c r="AA476" i="6" s="1"/>
  <c r="F475" i="6"/>
  <c r="H475" i="6"/>
  <c r="O498" i="4"/>
  <c r="E498" i="4"/>
  <c r="N498" i="4"/>
  <c r="D498" i="4"/>
  <c r="M498" i="4"/>
  <c r="C498" i="4"/>
  <c r="P498" i="4"/>
  <c r="F498" i="4"/>
  <c r="H498" i="4"/>
  <c r="G498" i="4"/>
  <c r="AA499" i="4" s="1"/>
  <c r="T498" i="4"/>
  <c r="I498" i="4"/>
  <c r="Q498" i="4"/>
  <c r="L498" i="4"/>
  <c r="K498" i="4"/>
  <c r="J498" i="4"/>
  <c r="R498" i="4"/>
  <c r="X390" i="3"/>
  <c r="Z474" i="6"/>
  <c r="V497" i="4"/>
  <c r="Z384" i="5"/>
  <c r="W475" i="6" l="1"/>
  <c r="X475" i="6"/>
  <c r="Z475" i="6"/>
  <c r="X498" i="4"/>
  <c r="W498" i="4"/>
  <c r="V475" i="6"/>
  <c r="U475" i="6"/>
  <c r="M476" i="6"/>
  <c r="C476" i="6"/>
  <c r="J476" i="6"/>
  <c r="T476" i="6"/>
  <c r="I476" i="6"/>
  <c r="H476" i="6"/>
  <c r="K476" i="6"/>
  <c r="G476" i="6"/>
  <c r="AA477" i="6" s="1"/>
  <c r="F476" i="6"/>
  <c r="E476" i="6"/>
  <c r="L476" i="6"/>
  <c r="R476" i="6"/>
  <c r="Q476" i="6"/>
  <c r="D476" i="6"/>
  <c r="N476" i="6"/>
  <c r="O476" i="6"/>
  <c r="P476" i="6"/>
  <c r="Z498" i="4"/>
  <c r="F385" i="5"/>
  <c r="H385" i="5" s="1"/>
  <c r="U498" i="4"/>
  <c r="V498" i="4"/>
  <c r="R499" i="4"/>
  <c r="H499" i="4"/>
  <c r="Q499" i="4"/>
  <c r="G499" i="4"/>
  <c r="AA500" i="4" s="1"/>
  <c r="P499" i="4"/>
  <c r="F499" i="4"/>
  <c r="I499" i="4"/>
  <c r="L499" i="4"/>
  <c r="K499" i="4"/>
  <c r="J499" i="4"/>
  <c r="M499" i="4"/>
  <c r="T499" i="4"/>
  <c r="N499" i="4"/>
  <c r="E499" i="4"/>
  <c r="D499" i="4"/>
  <c r="C499" i="4"/>
  <c r="O499" i="4"/>
  <c r="R391" i="3"/>
  <c r="Q391" i="3"/>
  <c r="G391" i="3"/>
  <c r="AA392" i="3" s="1"/>
  <c r="D391" i="3"/>
  <c r="C391" i="3"/>
  <c r="F391" i="3" s="1"/>
  <c r="O391" i="3" s="1"/>
  <c r="E391" i="3"/>
  <c r="Z390" i="3"/>
  <c r="U499" i="4" l="1"/>
  <c r="P391" i="3"/>
  <c r="X476" i="6"/>
  <c r="W476" i="6"/>
  <c r="W499" i="4"/>
  <c r="Z499" i="4"/>
  <c r="V476" i="6"/>
  <c r="V499" i="4"/>
  <c r="X499" i="4"/>
  <c r="O385" i="5"/>
  <c r="U476" i="6"/>
  <c r="K500" i="4"/>
  <c r="T500" i="4"/>
  <c r="J500" i="4"/>
  <c r="I500" i="4"/>
  <c r="L500" i="4"/>
  <c r="V500" i="4" s="1"/>
  <c r="O500" i="4"/>
  <c r="N500" i="4"/>
  <c r="M500" i="4"/>
  <c r="P500" i="4"/>
  <c r="Q500" i="4"/>
  <c r="H500" i="4"/>
  <c r="G500" i="4"/>
  <c r="AA501" i="4" s="1"/>
  <c r="F500" i="4"/>
  <c r="D500" i="4"/>
  <c r="C500" i="4"/>
  <c r="R500" i="4"/>
  <c r="E500" i="4"/>
  <c r="P477" i="6"/>
  <c r="F477" i="6"/>
  <c r="Q477" i="6"/>
  <c r="E477" i="6"/>
  <c r="O477" i="6"/>
  <c r="D477" i="6"/>
  <c r="N477" i="6"/>
  <c r="C477" i="6"/>
  <c r="R477" i="6"/>
  <c r="G477" i="6"/>
  <c r="AA478" i="6" s="1"/>
  <c r="T477" i="6"/>
  <c r="M477" i="6"/>
  <c r="L477" i="6"/>
  <c r="K477" i="6"/>
  <c r="J477" i="6"/>
  <c r="I477" i="6"/>
  <c r="H477" i="6"/>
  <c r="H391" i="3"/>
  <c r="Z476" i="6"/>
  <c r="I385" i="5"/>
  <c r="U385" i="5" s="1"/>
  <c r="J385" i="5" l="1"/>
  <c r="K385" i="5" s="1"/>
  <c r="W385" i="5" s="1"/>
  <c r="W477" i="6"/>
  <c r="Z477" i="6"/>
  <c r="W500" i="4"/>
  <c r="Z500" i="4"/>
  <c r="U500" i="4"/>
  <c r="P501" i="4"/>
  <c r="F501" i="4"/>
  <c r="Q501" i="4"/>
  <c r="E501" i="4"/>
  <c r="O501" i="4"/>
  <c r="D501" i="4"/>
  <c r="N501" i="4"/>
  <c r="C501" i="4"/>
  <c r="R501" i="4"/>
  <c r="G501" i="4"/>
  <c r="AA502" i="4" s="1"/>
  <c r="H501" i="4"/>
  <c r="T501" i="4"/>
  <c r="I501" i="4"/>
  <c r="M501" i="4"/>
  <c r="L501" i="4"/>
  <c r="K501" i="4"/>
  <c r="J501" i="4"/>
  <c r="X477" i="6"/>
  <c r="L385" i="5"/>
  <c r="U477" i="6"/>
  <c r="X500" i="4"/>
  <c r="V477" i="6"/>
  <c r="I478" i="6"/>
  <c r="L478" i="6"/>
  <c r="K478" i="6"/>
  <c r="J478" i="6"/>
  <c r="M478" i="6"/>
  <c r="F478" i="6"/>
  <c r="E478" i="6"/>
  <c r="T478" i="6"/>
  <c r="D478" i="6"/>
  <c r="G478" i="6"/>
  <c r="AA479" i="6" s="1"/>
  <c r="R478" i="6"/>
  <c r="Q478" i="6"/>
  <c r="P478" i="6"/>
  <c r="C478" i="6"/>
  <c r="H478" i="6"/>
  <c r="N478" i="6"/>
  <c r="O478" i="6"/>
  <c r="I391" i="3"/>
  <c r="X501" i="4" l="1"/>
  <c r="I502" i="4"/>
  <c r="L502" i="4"/>
  <c r="K502" i="4"/>
  <c r="J502" i="4"/>
  <c r="M502" i="4"/>
  <c r="H502" i="4"/>
  <c r="G502" i="4"/>
  <c r="AA503" i="4" s="1"/>
  <c r="F502" i="4"/>
  <c r="E502" i="4"/>
  <c r="N502" i="4"/>
  <c r="R502" i="4"/>
  <c r="Q502" i="4"/>
  <c r="P502" i="4"/>
  <c r="O502" i="4"/>
  <c r="C502" i="4"/>
  <c r="T502" i="4"/>
  <c r="D502" i="4"/>
  <c r="U478" i="6"/>
  <c r="X478" i="6"/>
  <c r="Z501" i="4"/>
  <c r="Z478" i="6"/>
  <c r="U501" i="4"/>
  <c r="U391" i="3"/>
  <c r="J391" i="3"/>
  <c r="K391" i="3" s="1"/>
  <c r="W391" i="3" s="1"/>
  <c r="L479" i="6"/>
  <c r="R479" i="6"/>
  <c r="G479" i="6"/>
  <c r="AA480" i="6" s="1"/>
  <c r="Q479" i="6"/>
  <c r="F479" i="6"/>
  <c r="P479" i="6"/>
  <c r="E479" i="6"/>
  <c r="H479" i="6"/>
  <c r="O479" i="6"/>
  <c r="N479" i="6"/>
  <c r="M479" i="6"/>
  <c r="T479" i="6"/>
  <c r="C479" i="6"/>
  <c r="D479" i="6"/>
  <c r="I479" i="6"/>
  <c r="K479" i="6"/>
  <c r="J479" i="6"/>
  <c r="V385" i="5"/>
  <c r="N385" i="5"/>
  <c r="T385" i="5" s="1"/>
  <c r="W478" i="6"/>
  <c r="W501" i="4"/>
  <c r="V478" i="6"/>
  <c r="V501" i="4"/>
  <c r="L391" i="3"/>
  <c r="U479" i="6" l="1"/>
  <c r="X385" i="5"/>
  <c r="Z385" i="5"/>
  <c r="X479" i="6"/>
  <c r="O480" i="6"/>
  <c r="E480" i="6"/>
  <c r="M480" i="6"/>
  <c r="L480" i="6"/>
  <c r="K480" i="6"/>
  <c r="N480" i="6"/>
  <c r="C480" i="6"/>
  <c r="G480" i="6"/>
  <c r="AA481" i="6" s="1"/>
  <c r="F480" i="6"/>
  <c r="T480" i="6"/>
  <c r="D480" i="6"/>
  <c r="H480" i="6"/>
  <c r="R480" i="6"/>
  <c r="Q480" i="6"/>
  <c r="P480" i="6"/>
  <c r="J480" i="6"/>
  <c r="I480" i="6"/>
  <c r="X502" i="4"/>
  <c r="V479" i="6"/>
  <c r="V502" i="4"/>
  <c r="Z479" i="6"/>
  <c r="L503" i="4"/>
  <c r="R503" i="4"/>
  <c r="G503" i="4"/>
  <c r="AA504" i="4" s="1"/>
  <c r="Q503" i="4"/>
  <c r="F503" i="4"/>
  <c r="P503" i="4"/>
  <c r="E503" i="4"/>
  <c r="H503" i="4"/>
  <c r="T503" i="4"/>
  <c r="O503" i="4"/>
  <c r="N503" i="4"/>
  <c r="C503" i="4"/>
  <c r="M503" i="4"/>
  <c r="K503" i="4"/>
  <c r="I503" i="4"/>
  <c r="D503" i="4"/>
  <c r="J503" i="4"/>
  <c r="Z502" i="4"/>
  <c r="M386" i="5"/>
  <c r="C386" i="5"/>
  <c r="E386" i="5"/>
  <c r="P386" i="5" s="1"/>
  <c r="D386" i="5"/>
  <c r="Q386" i="5"/>
  <c r="R386" i="5"/>
  <c r="G386" i="5"/>
  <c r="AA387" i="5" s="1"/>
  <c r="V391" i="3"/>
  <c r="N391" i="3"/>
  <c r="X391" i="3" s="1"/>
  <c r="U502" i="4"/>
  <c r="W502" i="4"/>
  <c r="W479" i="6"/>
  <c r="U480" i="6" l="1"/>
  <c r="X503" i="4"/>
  <c r="Z480" i="6"/>
  <c r="V480" i="6"/>
  <c r="X480" i="6"/>
  <c r="T391" i="3"/>
  <c r="Z391" i="3"/>
  <c r="F386" i="5"/>
  <c r="H386" i="5" s="1"/>
  <c r="U503" i="4"/>
  <c r="W503" i="4"/>
  <c r="V503" i="4"/>
  <c r="W480" i="6"/>
  <c r="Z503" i="4"/>
  <c r="O504" i="4"/>
  <c r="E504" i="4"/>
  <c r="M504" i="4"/>
  <c r="L504" i="4"/>
  <c r="V504" i="4" s="1"/>
  <c r="K504" i="4"/>
  <c r="N504" i="4"/>
  <c r="C504" i="4"/>
  <c r="I504" i="4"/>
  <c r="H504" i="4"/>
  <c r="G504" i="4"/>
  <c r="AA505" i="4" s="1"/>
  <c r="F504" i="4"/>
  <c r="J504" i="4"/>
  <c r="T504" i="4"/>
  <c r="Q504" i="4"/>
  <c r="P504" i="4"/>
  <c r="D504" i="4"/>
  <c r="R504" i="4"/>
  <c r="R481" i="6"/>
  <c r="H481" i="6"/>
  <c r="T481" i="6"/>
  <c r="I481" i="6"/>
  <c r="G481" i="6"/>
  <c r="AA482" i="6" s="1"/>
  <c r="Q481" i="6"/>
  <c r="F481" i="6"/>
  <c r="J481" i="6"/>
  <c r="O481" i="6"/>
  <c r="N481" i="6"/>
  <c r="M481" i="6"/>
  <c r="P481" i="6"/>
  <c r="C481" i="6"/>
  <c r="D481" i="6"/>
  <c r="L481" i="6"/>
  <c r="K481" i="6"/>
  <c r="E481" i="6"/>
  <c r="W481" i="6" l="1"/>
  <c r="U481" i="6"/>
  <c r="W504" i="4"/>
  <c r="X481" i="6"/>
  <c r="O386" i="5"/>
  <c r="I386" i="5"/>
  <c r="U386" i="5" s="1"/>
  <c r="C392" i="3"/>
  <c r="F392" i="3" s="1"/>
  <c r="Q392" i="3"/>
  <c r="D392" i="3"/>
  <c r="R392" i="3"/>
  <c r="E392" i="3"/>
  <c r="G392" i="3"/>
  <c r="AA393" i="3" s="1"/>
  <c r="K482" i="6"/>
  <c r="N482" i="6"/>
  <c r="C482" i="6"/>
  <c r="M482" i="6"/>
  <c r="L482" i="6"/>
  <c r="O482" i="6"/>
  <c r="D482" i="6"/>
  <c r="T482" i="6"/>
  <c r="E482" i="6"/>
  <c r="R482" i="6"/>
  <c r="Q482" i="6"/>
  <c r="F482" i="6"/>
  <c r="G482" i="6"/>
  <c r="AA483" i="6" s="1"/>
  <c r="H482" i="6"/>
  <c r="P482" i="6"/>
  <c r="J482" i="6"/>
  <c r="I482" i="6"/>
  <c r="V481" i="6"/>
  <c r="Z481" i="6"/>
  <c r="X504" i="4"/>
  <c r="R505" i="4"/>
  <c r="H505" i="4"/>
  <c r="G505" i="4"/>
  <c r="AA506" i="4" s="1"/>
  <c r="Q505" i="4"/>
  <c r="F505" i="4"/>
  <c r="P505" i="4"/>
  <c r="E505" i="4"/>
  <c r="T505" i="4"/>
  <c r="I505" i="4"/>
  <c r="O505" i="4"/>
  <c r="N505" i="4"/>
  <c r="M505" i="4"/>
  <c r="L505" i="4"/>
  <c r="K505" i="4"/>
  <c r="J505" i="4"/>
  <c r="D505" i="4"/>
  <c r="C505" i="4"/>
  <c r="U504" i="4"/>
  <c r="Z504" i="4"/>
  <c r="V482" i="6" l="1"/>
  <c r="V505" i="4"/>
  <c r="W505" i="4"/>
  <c r="Z482" i="6"/>
  <c r="P392" i="3"/>
  <c r="O392" i="3"/>
  <c r="K506" i="4"/>
  <c r="M506" i="4"/>
  <c r="L506" i="4"/>
  <c r="V506" i="4" s="1"/>
  <c r="J506" i="4"/>
  <c r="N506" i="4"/>
  <c r="C506" i="4"/>
  <c r="T506" i="4"/>
  <c r="E506" i="4"/>
  <c r="D506" i="4"/>
  <c r="R506" i="4"/>
  <c r="Q506" i="4"/>
  <c r="F506" i="4"/>
  <c r="P506" i="4"/>
  <c r="I506" i="4"/>
  <c r="H506" i="4"/>
  <c r="G506" i="4"/>
  <c r="AA507" i="4" s="1"/>
  <c r="O506" i="4"/>
  <c r="U482" i="6"/>
  <c r="J386" i="5"/>
  <c r="X505" i="4"/>
  <c r="W482" i="6"/>
  <c r="U505" i="4"/>
  <c r="X482" i="6"/>
  <c r="Z505" i="4"/>
  <c r="N483" i="6"/>
  <c r="D483" i="6"/>
  <c r="T483" i="6"/>
  <c r="I483" i="6"/>
  <c r="H483" i="6"/>
  <c r="R483" i="6"/>
  <c r="G483" i="6"/>
  <c r="AA484" i="6" s="1"/>
  <c r="J483" i="6"/>
  <c r="L483" i="6"/>
  <c r="K483" i="6"/>
  <c r="F483" i="6"/>
  <c r="E483" i="6"/>
  <c r="M483" i="6"/>
  <c r="C483" i="6"/>
  <c r="P483" i="6"/>
  <c r="O483" i="6"/>
  <c r="Q483" i="6"/>
  <c r="H392" i="3"/>
  <c r="L386" i="5"/>
  <c r="W506" i="4" l="1"/>
  <c r="W483" i="6"/>
  <c r="V483" i="6"/>
  <c r="Z506" i="4"/>
  <c r="V386" i="5"/>
  <c r="N386" i="5"/>
  <c r="U506" i="4"/>
  <c r="Q484" i="6"/>
  <c r="G484" i="6"/>
  <c r="AA485" i="6" s="1"/>
  <c r="O484" i="6"/>
  <c r="D484" i="6"/>
  <c r="N484" i="6"/>
  <c r="C484" i="6"/>
  <c r="M484" i="6"/>
  <c r="P484" i="6"/>
  <c r="E484" i="6"/>
  <c r="T484" i="6"/>
  <c r="R484" i="6"/>
  <c r="F484" i="6"/>
  <c r="J484" i="6"/>
  <c r="I484" i="6"/>
  <c r="H484" i="6"/>
  <c r="K484" i="6"/>
  <c r="L484" i="6"/>
  <c r="U483" i="6"/>
  <c r="X506" i="4"/>
  <c r="Z483" i="6"/>
  <c r="K386" i="5"/>
  <c r="X386" i="5"/>
  <c r="X483" i="6"/>
  <c r="N507" i="4"/>
  <c r="D507" i="4"/>
  <c r="H507" i="4"/>
  <c r="R507" i="4"/>
  <c r="G507" i="4"/>
  <c r="AA508" i="4" s="1"/>
  <c r="Q507" i="4"/>
  <c r="F507" i="4"/>
  <c r="T507" i="4"/>
  <c r="I507" i="4"/>
  <c r="U507" i="4" s="1"/>
  <c r="L507" i="4"/>
  <c r="K507" i="4"/>
  <c r="J507" i="4"/>
  <c r="E507" i="4"/>
  <c r="M507" i="4"/>
  <c r="P507" i="4"/>
  <c r="O507" i="4"/>
  <c r="C507" i="4"/>
  <c r="I392" i="3"/>
  <c r="V507" i="4" l="1"/>
  <c r="U484" i="6"/>
  <c r="U392" i="3"/>
  <c r="J392" i="3"/>
  <c r="K392" i="3" s="1"/>
  <c r="W392" i="3" s="1"/>
  <c r="Q508" i="4"/>
  <c r="G508" i="4"/>
  <c r="AA509" i="4" s="1"/>
  <c r="N508" i="4"/>
  <c r="C508" i="4"/>
  <c r="M508" i="4"/>
  <c r="L508" i="4"/>
  <c r="O508" i="4"/>
  <c r="D508" i="4"/>
  <c r="R508" i="4"/>
  <c r="P508" i="4"/>
  <c r="K508" i="4"/>
  <c r="T508" i="4"/>
  <c r="I508" i="4"/>
  <c r="H508" i="4"/>
  <c r="F508" i="4"/>
  <c r="E508" i="4"/>
  <c r="J508" i="4"/>
  <c r="W386" i="5"/>
  <c r="X484" i="6"/>
  <c r="T386" i="5"/>
  <c r="X507" i="4"/>
  <c r="L392" i="3"/>
  <c r="W484" i="6"/>
  <c r="Z507" i="4"/>
  <c r="T485" i="6"/>
  <c r="J485" i="6"/>
  <c r="K485" i="6"/>
  <c r="I485" i="6"/>
  <c r="H485" i="6"/>
  <c r="L485" i="6"/>
  <c r="M485" i="6"/>
  <c r="G485" i="6"/>
  <c r="F485" i="6"/>
  <c r="E485" i="6"/>
  <c r="N485" i="6"/>
  <c r="Q485" i="6"/>
  <c r="P485" i="6"/>
  <c r="O485" i="6"/>
  <c r="D485" i="6"/>
  <c r="R485" i="6"/>
  <c r="C485" i="6"/>
  <c r="V484" i="6"/>
  <c r="Z484" i="6"/>
  <c r="W507" i="4"/>
  <c r="V508" i="4" l="1"/>
  <c r="M486" i="6"/>
  <c r="C486" i="6"/>
  <c r="Q486" i="6"/>
  <c r="F486" i="6"/>
  <c r="P486" i="6"/>
  <c r="E486" i="6"/>
  <c r="AA486" i="6" s="1"/>
  <c r="O486" i="6"/>
  <c r="D486" i="6"/>
  <c r="R486" i="6"/>
  <c r="G486" i="6"/>
  <c r="AA487" i="6" s="1"/>
  <c r="T486" i="6"/>
  <c r="N486" i="6"/>
  <c r="L486" i="6"/>
  <c r="K486" i="6"/>
  <c r="J486" i="6"/>
  <c r="I486" i="6"/>
  <c r="H486" i="6"/>
  <c r="X508" i="4"/>
  <c r="Z508" i="4"/>
  <c r="U508" i="4"/>
  <c r="X485" i="6"/>
  <c r="V392" i="3"/>
  <c r="N392" i="3"/>
  <c r="Z485" i="6"/>
  <c r="V485" i="6"/>
  <c r="T509" i="4"/>
  <c r="J509" i="4"/>
  <c r="I509" i="4"/>
  <c r="H509" i="4"/>
  <c r="R509" i="4"/>
  <c r="G509" i="4"/>
  <c r="AA510" i="4" s="1"/>
  <c r="K509" i="4"/>
  <c r="F509" i="4"/>
  <c r="E509" i="4"/>
  <c r="D509" i="4"/>
  <c r="C509" i="4"/>
  <c r="L509" i="4"/>
  <c r="P509" i="4"/>
  <c r="O509" i="4"/>
  <c r="N509" i="4"/>
  <c r="M509" i="4"/>
  <c r="Q509" i="4"/>
  <c r="C387" i="5"/>
  <c r="R387" i="5"/>
  <c r="Q387" i="5"/>
  <c r="D387" i="5"/>
  <c r="G387" i="5"/>
  <c r="AA388" i="5" s="1"/>
  <c r="E387" i="5"/>
  <c r="M387" i="5"/>
  <c r="W508" i="4"/>
  <c r="U485" i="6"/>
  <c r="W485" i="6"/>
  <c r="Z386" i="5"/>
  <c r="F387" i="5" l="1"/>
  <c r="P387" i="5"/>
  <c r="V509" i="4"/>
  <c r="O387" i="5"/>
  <c r="H387" i="5"/>
  <c r="I387" i="5" s="1"/>
  <c r="U387" i="5" s="1"/>
  <c r="U509" i="4"/>
  <c r="X486" i="6"/>
  <c r="X509" i="4"/>
  <c r="T392" i="3"/>
  <c r="Z392" i="3" s="1"/>
  <c r="X392" i="3"/>
  <c r="V486" i="6"/>
  <c r="U486" i="6"/>
  <c r="W486" i="6"/>
  <c r="W509" i="4"/>
  <c r="Z486" i="6"/>
  <c r="Z509" i="4"/>
  <c r="M510" i="4"/>
  <c r="C510" i="4"/>
  <c r="P510" i="4"/>
  <c r="E510" i="4"/>
  <c r="O510" i="4"/>
  <c r="D510" i="4"/>
  <c r="N510" i="4"/>
  <c r="Q510" i="4"/>
  <c r="F510" i="4"/>
  <c r="R510" i="4"/>
  <c r="L510" i="4"/>
  <c r="V510" i="4" s="1"/>
  <c r="K510" i="4"/>
  <c r="T510" i="4"/>
  <c r="H510" i="4"/>
  <c r="G510" i="4"/>
  <c r="AA511" i="4" s="1"/>
  <c r="J510" i="4"/>
  <c r="I510" i="4"/>
  <c r="P487" i="6"/>
  <c r="F487" i="6"/>
  <c r="L487" i="6"/>
  <c r="V487" i="6" s="1"/>
  <c r="K487" i="6"/>
  <c r="J487" i="6"/>
  <c r="M487" i="6"/>
  <c r="H487" i="6"/>
  <c r="G487" i="6"/>
  <c r="AA488" i="6" s="1"/>
  <c r="E487" i="6"/>
  <c r="T487" i="6"/>
  <c r="D487" i="6"/>
  <c r="I487" i="6"/>
  <c r="R487" i="6"/>
  <c r="Q487" i="6"/>
  <c r="O487" i="6"/>
  <c r="N487" i="6"/>
  <c r="C487" i="6"/>
  <c r="U487" i="6" l="1"/>
  <c r="W487" i="6"/>
  <c r="E393" i="3"/>
  <c r="D393" i="3"/>
  <c r="C393" i="3"/>
  <c r="P393" i="3"/>
  <c r="F393" i="3"/>
  <c r="G393" i="3"/>
  <c r="AA394" i="3" s="1"/>
  <c r="Q393" i="3"/>
  <c r="R393" i="3"/>
  <c r="X510" i="4"/>
  <c r="X487" i="6"/>
  <c r="I488" i="6"/>
  <c r="R488" i="6"/>
  <c r="G488" i="6"/>
  <c r="AA489" i="6" s="1"/>
  <c r="Q488" i="6"/>
  <c r="F488" i="6"/>
  <c r="P488" i="6"/>
  <c r="E488" i="6"/>
  <c r="T488" i="6"/>
  <c r="H488" i="6"/>
  <c r="O488" i="6"/>
  <c r="N488" i="6"/>
  <c r="M488" i="6"/>
  <c r="L488" i="6"/>
  <c r="K488" i="6"/>
  <c r="J488" i="6"/>
  <c r="C488" i="6"/>
  <c r="D488" i="6"/>
  <c r="U510" i="4"/>
  <c r="J387" i="5"/>
  <c r="K387" i="5" s="1"/>
  <c r="W387" i="5" s="1"/>
  <c r="Z487" i="6"/>
  <c r="P511" i="4"/>
  <c r="F511" i="4"/>
  <c r="K511" i="4"/>
  <c r="J511" i="4"/>
  <c r="T511" i="4"/>
  <c r="I511" i="4"/>
  <c r="L511" i="4"/>
  <c r="E511" i="4"/>
  <c r="D511" i="4"/>
  <c r="C511" i="4"/>
  <c r="R511" i="4"/>
  <c r="G511" i="4"/>
  <c r="AA512" i="4" s="1"/>
  <c r="M511" i="4"/>
  <c r="H511" i="4"/>
  <c r="Q511" i="4"/>
  <c r="O511" i="4"/>
  <c r="N511" i="4"/>
  <c r="L387" i="5"/>
  <c r="W510" i="4"/>
  <c r="Z510" i="4"/>
  <c r="V511" i="4" l="1"/>
  <c r="X511" i="4"/>
  <c r="U488" i="6"/>
  <c r="Z511" i="4"/>
  <c r="H393" i="3"/>
  <c r="U511" i="4"/>
  <c r="X488" i="6"/>
  <c r="L489" i="6"/>
  <c r="N489" i="6"/>
  <c r="C489" i="6"/>
  <c r="M489" i="6"/>
  <c r="K489" i="6"/>
  <c r="O489" i="6"/>
  <c r="D489" i="6"/>
  <c r="H489" i="6"/>
  <c r="G489" i="6"/>
  <c r="AA490" i="6" s="1"/>
  <c r="F489" i="6"/>
  <c r="T489" i="6"/>
  <c r="E489" i="6"/>
  <c r="I489" i="6"/>
  <c r="R489" i="6"/>
  <c r="P489" i="6"/>
  <c r="J489" i="6"/>
  <c r="Q489" i="6"/>
  <c r="Z488" i="6"/>
  <c r="I512" i="4"/>
  <c r="Q512" i="4"/>
  <c r="F512" i="4"/>
  <c r="P512" i="4"/>
  <c r="E512" i="4"/>
  <c r="O512" i="4"/>
  <c r="D512" i="4"/>
  <c r="R512" i="4"/>
  <c r="G512" i="4"/>
  <c r="AA513" i="4" s="1"/>
  <c r="N512" i="4"/>
  <c r="M512" i="4"/>
  <c r="L512" i="4"/>
  <c r="K512" i="4"/>
  <c r="T512" i="4"/>
  <c r="J512" i="4"/>
  <c r="H512" i="4"/>
  <c r="C512" i="4"/>
  <c r="W488" i="6"/>
  <c r="V387" i="5"/>
  <c r="N387" i="5"/>
  <c r="T387" i="5" s="1"/>
  <c r="W511" i="4"/>
  <c r="V488" i="6"/>
  <c r="O393" i="3"/>
  <c r="W489" i="6" l="1"/>
  <c r="Z512" i="4"/>
  <c r="Q388" i="5"/>
  <c r="E388" i="5"/>
  <c r="D388" i="5"/>
  <c r="R388" i="5"/>
  <c r="G388" i="5"/>
  <c r="AA389" i="5" s="1"/>
  <c r="M388" i="5"/>
  <c r="C388" i="5"/>
  <c r="X512" i="4"/>
  <c r="U489" i="6"/>
  <c r="Z489" i="6"/>
  <c r="V512" i="4"/>
  <c r="X387" i="5"/>
  <c r="L513" i="4"/>
  <c r="M513" i="4"/>
  <c r="K513" i="4"/>
  <c r="J513" i="4"/>
  <c r="N513" i="4"/>
  <c r="C513" i="4"/>
  <c r="F513" i="4"/>
  <c r="T513" i="4"/>
  <c r="E513" i="4"/>
  <c r="D513" i="4"/>
  <c r="R513" i="4"/>
  <c r="G513" i="4"/>
  <c r="AA514" i="4" s="1"/>
  <c r="Q513" i="4"/>
  <c r="P513" i="4"/>
  <c r="O513" i="4"/>
  <c r="I513" i="4"/>
  <c r="H513" i="4"/>
  <c r="W512" i="4"/>
  <c r="U512" i="4"/>
  <c r="O490" i="6"/>
  <c r="E490" i="6"/>
  <c r="T490" i="6"/>
  <c r="I490" i="6"/>
  <c r="H490" i="6"/>
  <c r="R490" i="6"/>
  <c r="G490" i="6"/>
  <c r="AA491" i="6" s="1"/>
  <c r="J490" i="6"/>
  <c r="Q490" i="6"/>
  <c r="P490" i="6"/>
  <c r="N490" i="6"/>
  <c r="M490" i="6"/>
  <c r="C490" i="6"/>
  <c r="L490" i="6"/>
  <c r="F490" i="6"/>
  <c r="D490" i="6"/>
  <c r="K490" i="6"/>
  <c r="V489" i="6"/>
  <c r="X489" i="6"/>
  <c r="Z387" i="5"/>
  <c r="I393" i="3"/>
  <c r="L393" i="3" s="1"/>
  <c r="V513" i="4" l="1"/>
  <c r="P388" i="5"/>
  <c r="F388" i="5"/>
  <c r="O388" i="5" s="1"/>
  <c r="W490" i="6"/>
  <c r="U513" i="4"/>
  <c r="V393" i="3"/>
  <c r="N393" i="3"/>
  <c r="Z490" i="6"/>
  <c r="Z513" i="4"/>
  <c r="R491" i="6"/>
  <c r="H491" i="6"/>
  <c r="O491" i="6"/>
  <c r="D491" i="6"/>
  <c r="N491" i="6"/>
  <c r="C491" i="6"/>
  <c r="M491" i="6"/>
  <c r="P491" i="6"/>
  <c r="E491" i="6"/>
  <c r="J491" i="6"/>
  <c r="I491" i="6"/>
  <c r="G491" i="6"/>
  <c r="AA492" i="6" s="1"/>
  <c r="F491" i="6"/>
  <c r="K491" i="6"/>
  <c r="L491" i="6"/>
  <c r="Q491" i="6"/>
  <c r="T491" i="6"/>
  <c r="X490" i="6"/>
  <c r="V490" i="6"/>
  <c r="U490" i="6"/>
  <c r="W513" i="4"/>
  <c r="O514" i="4"/>
  <c r="E514" i="4"/>
  <c r="H514" i="4"/>
  <c r="R514" i="4"/>
  <c r="G514" i="4"/>
  <c r="AA515" i="4" s="1"/>
  <c r="Q514" i="4"/>
  <c r="F514" i="4"/>
  <c r="T514" i="4"/>
  <c r="I514" i="4"/>
  <c r="M514" i="4"/>
  <c r="L514" i="4"/>
  <c r="K514" i="4"/>
  <c r="J514" i="4"/>
  <c r="N514" i="4"/>
  <c r="P514" i="4"/>
  <c r="C514" i="4"/>
  <c r="D514" i="4"/>
  <c r="U393" i="3"/>
  <c r="J393" i="3"/>
  <c r="K393" i="3" s="1"/>
  <c r="W393" i="3" s="1"/>
  <c r="X513" i="4"/>
  <c r="V491" i="6" l="1"/>
  <c r="U491" i="6"/>
  <c r="H388" i="5"/>
  <c r="U514" i="4"/>
  <c r="W491" i="6"/>
  <c r="R515" i="4"/>
  <c r="H515" i="4"/>
  <c r="M515" i="4"/>
  <c r="L515" i="4"/>
  <c r="K515" i="4"/>
  <c r="N515" i="4"/>
  <c r="C515" i="4"/>
  <c r="T515" i="4"/>
  <c r="D515" i="4"/>
  <c r="Q515" i="4"/>
  <c r="P515" i="4"/>
  <c r="E515" i="4"/>
  <c r="O515" i="4"/>
  <c r="J515" i="4"/>
  <c r="G515" i="4"/>
  <c r="AA516" i="4" s="1"/>
  <c r="F515" i="4"/>
  <c r="I515" i="4"/>
  <c r="X491" i="6"/>
  <c r="X514" i="4"/>
  <c r="Z514" i="4"/>
  <c r="T393" i="3"/>
  <c r="K492" i="6"/>
  <c r="T492" i="6"/>
  <c r="I492" i="6"/>
  <c r="H492" i="6"/>
  <c r="R492" i="6"/>
  <c r="G492" i="6"/>
  <c r="AA493" i="6" s="1"/>
  <c r="J492" i="6"/>
  <c r="Q492" i="6"/>
  <c r="P492" i="6"/>
  <c r="O492" i="6"/>
  <c r="N492" i="6"/>
  <c r="C492" i="6"/>
  <c r="F492" i="6"/>
  <c r="E492" i="6"/>
  <c r="D492" i="6"/>
  <c r="L492" i="6"/>
  <c r="M492" i="6"/>
  <c r="W514" i="4"/>
  <c r="X393" i="3"/>
  <c r="V514" i="4"/>
  <c r="Z491" i="6"/>
  <c r="V492" i="6" l="1"/>
  <c r="I388" i="5"/>
  <c r="U492" i="6"/>
  <c r="W515" i="4"/>
  <c r="X492" i="6"/>
  <c r="Z492" i="6"/>
  <c r="N493" i="6"/>
  <c r="D493" i="6"/>
  <c r="P493" i="6"/>
  <c r="E493" i="6"/>
  <c r="O493" i="6"/>
  <c r="C493" i="6"/>
  <c r="M493" i="6"/>
  <c r="Q493" i="6"/>
  <c r="F493" i="6"/>
  <c r="J493" i="6"/>
  <c r="I493" i="6"/>
  <c r="H493" i="6"/>
  <c r="G493" i="6"/>
  <c r="AA494" i="6" s="1"/>
  <c r="K493" i="6"/>
  <c r="R493" i="6"/>
  <c r="L493" i="6"/>
  <c r="T493" i="6"/>
  <c r="V515" i="4"/>
  <c r="W492" i="6"/>
  <c r="R394" i="3"/>
  <c r="Q394" i="3"/>
  <c r="G394" i="3"/>
  <c r="AA395" i="3" s="1"/>
  <c r="C394" i="3"/>
  <c r="E394" i="3"/>
  <c r="D394" i="3"/>
  <c r="K516" i="4"/>
  <c r="R516" i="4"/>
  <c r="G516" i="4"/>
  <c r="AA517" i="4" s="1"/>
  <c r="Q516" i="4"/>
  <c r="F516" i="4"/>
  <c r="P516" i="4"/>
  <c r="E516" i="4"/>
  <c r="H516" i="4"/>
  <c r="J516" i="4"/>
  <c r="I516" i="4"/>
  <c r="D516" i="4"/>
  <c r="C516" i="4"/>
  <c r="L516" i="4"/>
  <c r="T516" i="4"/>
  <c r="N516" i="4"/>
  <c r="M516" i="4"/>
  <c r="O516" i="4"/>
  <c r="Z515" i="4"/>
  <c r="Z393" i="3"/>
  <c r="U515" i="4"/>
  <c r="X515" i="4"/>
  <c r="X493" i="6" l="1"/>
  <c r="W516" i="4"/>
  <c r="U388" i="5"/>
  <c r="J388" i="5"/>
  <c r="L388" i="5"/>
  <c r="X516" i="4"/>
  <c r="N517" i="4"/>
  <c r="D517" i="4"/>
  <c r="M517" i="4"/>
  <c r="L517" i="4"/>
  <c r="K517" i="4"/>
  <c r="O517" i="4"/>
  <c r="C517" i="4"/>
  <c r="R517" i="4"/>
  <c r="Q517" i="4"/>
  <c r="P517" i="4"/>
  <c r="J517" i="4"/>
  <c r="I517" i="4"/>
  <c r="H517" i="4"/>
  <c r="G517" i="4"/>
  <c r="AA518" i="4" s="1"/>
  <c r="F517" i="4"/>
  <c r="E517" i="4"/>
  <c r="T517" i="4"/>
  <c r="W493" i="6"/>
  <c r="U516" i="4"/>
  <c r="F394" i="3"/>
  <c r="H394" i="3" s="1"/>
  <c r="P394" i="3"/>
  <c r="U493" i="6"/>
  <c r="V516" i="4"/>
  <c r="Z516" i="4"/>
  <c r="R494" i="6"/>
  <c r="H494" i="6"/>
  <c r="Q494" i="6"/>
  <c r="G494" i="6"/>
  <c r="AA495" i="6" s="1"/>
  <c r="P494" i="6"/>
  <c r="M494" i="6"/>
  <c r="L494" i="6"/>
  <c r="V494" i="6" s="1"/>
  <c r="K494" i="6"/>
  <c r="N494" i="6"/>
  <c r="T494" i="6"/>
  <c r="O494" i="6"/>
  <c r="C494" i="6"/>
  <c r="J494" i="6"/>
  <c r="I494" i="6"/>
  <c r="F494" i="6"/>
  <c r="E494" i="6"/>
  <c r="D494" i="6"/>
  <c r="V493" i="6"/>
  <c r="Z493" i="6"/>
  <c r="V517" i="4" l="1"/>
  <c r="W494" i="6"/>
  <c r="N388" i="5"/>
  <c r="V388" i="5"/>
  <c r="K388" i="5"/>
  <c r="W388" i="5" s="1"/>
  <c r="X388" i="5"/>
  <c r="K495" i="6"/>
  <c r="T495" i="6"/>
  <c r="J495" i="6"/>
  <c r="I495" i="6"/>
  <c r="N495" i="6"/>
  <c r="M495" i="6"/>
  <c r="L495" i="6"/>
  <c r="O495" i="6"/>
  <c r="G495" i="6"/>
  <c r="AA496" i="6" s="1"/>
  <c r="F495" i="6"/>
  <c r="E495" i="6"/>
  <c r="D495" i="6"/>
  <c r="H495" i="6"/>
  <c r="R495" i="6"/>
  <c r="C495" i="6"/>
  <c r="P495" i="6"/>
  <c r="Q495" i="6"/>
  <c r="Q518" i="4"/>
  <c r="G518" i="4"/>
  <c r="AA519" i="4" s="1"/>
  <c r="T518" i="4"/>
  <c r="I518" i="4"/>
  <c r="H518" i="4"/>
  <c r="R518" i="4"/>
  <c r="F518" i="4"/>
  <c r="J518" i="4"/>
  <c r="E518" i="4"/>
  <c r="D518" i="4"/>
  <c r="C518" i="4"/>
  <c r="K518" i="4"/>
  <c r="P518" i="4"/>
  <c r="O518" i="4"/>
  <c r="N518" i="4"/>
  <c r="M518" i="4"/>
  <c r="L518" i="4"/>
  <c r="Z517" i="4"/>
  <c r="X517" i="4"/>
  <c r="W517" i="4"/>
  <c r="O394" i="3"/>
  <c r="X494" i="6"/>
  <c r="Z494" i="6"/>
  <c r="U517" i="4"/>
  <c r="U494" i="6"/>
  <c r="I394" i="3"/>
  <c r="U394" i="3" s="1"/>
  <c r="T388" i="5" l="1"/>
  <c r="V518" i="4"/>
  <c r="U495" i="6"/>
  <c r="X518" i="4"/>
  <c r="V495" i="6"/>
  <c r="Z495" i="6"/>
  <c r="P496" i="6"/>
  <c r="F496" i="6"/>
  <c r="Q496" i="6"/>
  <c r="E496" i="6"/>
  <c r="O496" i="6"/>
  <c r="D496" i="6"/>
  <c r="N496" i="6"/>
  <c r="C496" i="6"/>
  <c r="R496" i="6"/>
  <c r="M496" i="6"/>
  <c r="T496" i="6"/>
  <c r="G496" i="6"/>
  <c r="AA497" i="6" s="1"/>
  <c r="H496" i="6"/>
  <c r="L496" i="6"/>
  <c r="K496" i="6"/>
  <c r="J496" i="6"/>
  <c r="I496" i="6"/>
  <c r="U518" i="4"/>
  <c r="W495" i="6"/>
  <c r="T519" i="4"/>
  <c r="J519" i="4"/>
  <c r="O519" i="4"/>
  <c r="D519" i="4"/>
  <c r="N519" i="4"/>
  <c r="C519" i="4"/>
  <c r="M519" i="4"/>
  <c r="P519" i="4"/>
  <c r="E519" i="4"/>
  <c r="R519" i="4"/>
  <c r="Q519" i="4"/>
  <c r="L519" i="4"/>
  <c r="K519" i="4"/>
  <c r="H519" i="4"/>
  <c r="G519" i="4"/>
  <c r="AA520" i="4" s="1"/>
  <c r="F519" i="4"/>
  <c r="I519" i="4"/>
  <c r="X495" i="6"/>
  <c r="L394" i="3"/>
  <c r="J394" i="3"/>
  <c r="K394" i="3" s="1"/>
  <c r="W394" i="3" s="1"/>
  <c r="W518" i="4"/>
  <c r="Z518" i="4"/>
  <c r="V519" i="4" l="1"/>
  <c r="U519" i="4"/>
  <c r="C389" i="5"/>
  <c r="F389" i="5" s="1"/>
  <c r="O389" i="5" s="1"/>
  <c r="Q389" i="5"/>
  <c r="D389" i="5"/>
  <c r="R389" i="5"/>
  <c r="E389" i="5"/>
  <c r="P389" i="5" s="1"/>
  <c r="G389" i="5"/>
  <c r="AA390" i="5" s="1"/>
  <c r="M389" i="5"/>
  <c r="Z388" i="5"/>
  <c r="X496" i="6"/>
  <c r="M520" i="4"/>
  <c r="C520" i="4"/>
  <c r="J520" i="4"/>
  <c r="T520" i="4"/>
  <c r="I520" i="4"/>
  <c r="H520" i="4"/>
  <c r="K520" i="4"/>
  <c r="F520" i="4"/>
  <c r="E520" i="4"/>
  <c r="D520" i="4"/>
  <c r="R520" i="4"/>
  <c r="G520" i="4"/>
  <c r="AA521" i="4" s="1"/>
  <c r="P520" i="4"/>
  <c r="O520" i="4"/>
  <c r="N520" i="4"/>
  <c r="L520" i="4"/>
  <c r="Q520" i="4"/>
  <c r="I497" i="6"/>
  <c r="L497" i="6"/>
  <c r="K497" i="6"/>
  <c r="J497" i="6"/>
  <c r="T497" i="6"/>
  <c r="E497" i="6"/>
  <c r="R497" i="6"/>
  <c r="D497" i="6"/>
  <c r="Q497" i="6"/>
  <c r="C497" i="6"/>
  <c r="F497" i="6"/>
  <c r="P497" i="6"/>
  <c r="G497" i="6"/>
  <c r="AA498" i="6" s="1"/>
  <c r="H497" i="6"/>
  <c r="O497" i="6"/>
  <c r="N497" i="6"/>
  <c r="M497" i="6"/>
  <c r="V394" i="3"/>
  <c r="N394" i="3"/>
  <c r="T394" i="3" s="1"/>
  <c r="Z496" i="6"/>
  <c r="U496" i="6"/>
  <c r="X519" i="4"/>
  <c r="Z519" i="4"/>
  <c r="W496" i="6"/>
  <c r="V496" i="6"/>
  <c r="W519" i="4"/>
  <c r="V520" i="4" l="1"/>
  <c r="H389" i="5"/>
  <c r="G395" i="3"/>
  <c r="AA396" i="3" s="1"/>
  <c r="E395" i="3"/>
  <c r="D395" i="3"/>
  <c r="C395" i="3"/>
  <c r="F395" i="3" s="1"/>
  <c r="R395" i="3"/>
  <c r="Q395" i="3"/>
  <c r="X394" i="3"/>
  <c r="U520" i="4"/>
  <c r="L498" i="6"/>
  <c r="R498" i="6"/>
  <c r="G498" i="6"/>
  <c r="AA499" i="6" s="1"/>
  <c r="Q498" i="6"/>
  <c r="F498" i="6"/>
  <c r="P498" i="6"/>
  <c r="E498" i="6"/>
  <c r="J498" i="6"/>
  <c r="I498" i="6"/>
  <c r="H498" i="6"/>
  <c r="K498" i="6"/>
  <c r="T498" i="6"/>
  <c r="N498" i="6"/>
  <c r="M498" i="6"/>
  <c r="D498" i="6"/>
  <c r="C498" i="6"/>
  <c r="O498" i="6"/>
  <c r="Z520" i="4"/>
  <c r="Z394" i="3"/>
  <c r="P521" i="4"/>
  <c r="F521" i="4"/>
  <c r="Q521" i="4"/>
  <c r="E521" i="4"/>
  <c r="O521" i="4"/>
  <c r="D521" i="4"/>
  <c r="N521" i="4"/>
  <c r="C521" i="4"/>
  <c r="R521" i="4"/>
  <c r="G521" i="4"/>
  <c r="AA522" i="4" s="1"/>
  <c r="M521" i="4"/>
  <c r="L521" i="4"/>
  <c r="K521" i="4"/>
  <c r="T521" i="4"/>
  <c r="J521" i="4"/>
  <c r="H521" i="4"/>
  <c r="I521" i="4"/>
  <c r="U521" i="4" s="1"/>
  <c r="W497" i="6"/>
  <c r="X497" i="6"/>
  <c r="U497" i="6"/>
  <c r="X520" i="4"/>
  <c r="V497" i="6"/>
  <c r="Z497" i="6"/>
  <c r="W520" i="4"/>
  <c r="P395" i="3" l="1"/>
  <c r="H395" i="3"/>
  <c r="O395" i="3"/>
  <c r="W521" i="4"/>
  <c r="I389" i="5"/>
  <c r="L389" i="5"/>
  <c r="O499" i="6"/>
  <c r="E499" i="6"/>
  <c r="M499" i="6"/>
  <c r="L499" i="6"/>
  <c r="V499" i="6" s="1"/>
  <c r="K499" i="6"/>
  <c r="J499" i="6"/>
  <c r="I499" i="6"/>
  <c r="H499" i="6"/>
  <c r="N499" i="6"/>
  <c r="T499" i="6"/>
  <c r="R499" i="6"/>
  <c r="Q499" i="6"/>
  <c r="P499" i="6"/>
  <c r="G499" i="6"/>
  <c r="AA500" i="6" s="1"/>
  <c r="D499" i="6"/>
  <c r="C499" i="6"/>
  <c r="F499" i="6"/>
  <c r="V521" i="4"/>
  <c r="X521" i="4"/>
  <c r="W498" i="6"/>
  <c r="V498" i="6"/>
  <c r="U498" i="6"/>
  <c r="Z498" i="6"/>
  <c r="I395" i="3"/>
  <c r="U395" i="3" s="1"/>
  <c r="X498" i="6"/>
  <c r="Z521" i="4"/>
  <c r="I522" i="4"/>
  <c r="L522" i="4"/>
  <c r="K522" i="4"/>
  <c r="J522" i="4"/>
  <c r="M522" i="4"/>
  <c r="T522" i="4"/>
  <c r="D522" i="4"/>
  <c r="R522" i="4"/>
  <c r="C522" i="4"/>
  <c r="Q522" i="4"/>
  <c r="P522" i="4"/>
  <c r="E522" i="4"/>
  <c r="O522" i="4"/>
  <c r="N522" i="4"/>
  <c r="H522" i="4"/>
  <c r="F522" i="4"/>
  <c r="G522" i="4"/>
  <c r="AA523" i="4" s="1"/>
  <c r="V389" i="5" l="1"/>
  <c r="N389" i="5"/>
  <c r="U389" i="5"/>
  <c r="J389" i="5"/>
  <c r="K389" i="5" s="1"/>
  <c r="W389" i="5" s="1"/>
  <c r="V522" i="4"/>
  <c r="Z499" i="6"/>
  <c r="W499" i="6"/>
  <c r="X522" i="4"/>
  <c r="L523" i="4"/>
  <c r="R523" i="4"/>
  <c r="G523" i="4"/>
  <c r="AA524" i="4" s="1"/>
  <c r="Q523" i="4"/>
  <c r="F523" i="4"/>
  <c r="P523" i="4"/>
  <c r="E523" i="4"/>
  <c r="H523" i="4"/>
  <c r="M523" i="4"/>
  <c r="K523" i="4"/>
  <c r="J523" i="4"/>
  <c r="I523" i="4"/>
  <c r="N523" i="4"/>
  <c r="T523" i="4"/>
  <c r="D523" i="4"/>
  <c r="C523" i="4"/>
  <c r="O523" i="4"/>
  <c r="J395" i="3"/>
  <c r="K395" i="3" s="1"/>
  <c r="W395" i="3" s="1"/>
  <c r="X499" i="6"/>
  <c r="U499" i="6"/>
  <c r="R500" i="6"/>
  <c r="H500" i="6"/>
  <c r="T500" i="6"/>
  <c r="I500" i="6"/>
  <c r="G500" i="6"/>
  <c r="AA501" i="6" s="1"/>
  <c r="Q500" i="6"/>
  <c r="F500" i="6"/>
  <c r="O500" i="6"/>
  <c r="N500" i="6"/>
  <c r="M500" i="6"/>
  <c r="P500" i="6"/>
  <c r="L500" i="6"/>
  <c r="K500" i="6"/>
  <c r="J500" i="6"/>
  <c r="C500" i="6"/>
  <c r="E500" i="6"/>
  <c r="D500" i="6"/>
  <c r="L395" i="3"/>
  <c r="W522" i="4"/>
  <c r="U522" i="4"/>
  <c r="Z522" i="4"/>
  <c r="Z523" i="4" l="1"/>
  <c r="X389" i="5"/>
  <c r="T389" i="5"/>
  <c r="X523" i="4"/>
  <c r="U500" i="6"/>
  <c r="W500" i="6"/>
  <c r="K501" i="6"/>
  <c r="W501" i="6" s="1"/>
  <c r="N501" i="6"/>
  <c r="C501" i="6"/>
  <c r="M501" i="6"/>
  <c r="L501" i="6"/>
  <c r="O501" i="6"/>
  <c r="D501" i="6"/>
  <c r="T501" i="6"/>
  <c r="E501" i="6"/>
  <c r="R501" i="6"/>
  <c r="F501" i="6"/>
  <c r="I501" i="6"/>
  <c r="H501" i="6"/>
  <c r="G501" i="6"/>
  <c r="AA502" i="6" s="1"/>
  <c r="J501" i="6"/>
  <c r="P501" i="6"/>
  <c r="Q501" i="6"/>
  <c r="V500" i="6"/>
  <c r="V395" i="3"/>
  <c r="N395" i="3"/>
  <c r="T395" i="3" s="1"/>
  <c r="O524" i="4"/>
  <c r="E524" i="4"/>
  <c r="M524" i="4"/>
  <c r="L524" i="4"/>
  <c r="K524" i="4"/>
  <c r="N524" i="4"/>
  <c r="C524" i="4"/>
  <c r="T524" i="4"/>
  <c r="D524" i="4"/>
  <c r="R524" i="4"/>
  <c r="Q524" i="4"/>
  <c r="F524" i="4"/>
  <c r="P524" i="4"/>
  <c r="I524" i="4"/>
  <c r="H524" i="4"/>
  <c r="G524" i="4"/>
  <c r="AA525" i="4" s="1"/>
  <c r="J524" i="4"/>
  <c r="U523" i="4"/>
  <c r="V523" i="4"/>
  <c r="X500" i="6"/>
  <c r="W523" i="4"/>
  <c r="Z500" i="6"/>
  <c r="E390" i="5" l="1"/>
  <c r="R390" i="5"/>
  <c r="Q390" i="5"/>
  <c r="G390" i="5"/>
  <c r="AA391" i="5" s="1"/>
  <c r="C390" i="5"/>
  <c r="F390" i="5" s="1"/>
  <c r="D390" i="5"/>
  <c r="M390" i="5"/>
  <c r="Z389" i="5"/>
  <c r="Z395" i="3"/>
  <c r="X501" i="6"/>
  <c r="W524" i="4"/>
  <c r="U524" i="4"/>
  <c r="V524" i="4"/>
  <c r="V501" i="6"/>
  <c r="D396" i="3"/>
  <c r="C396" i="3"/>
  <c r="E396" i="3"/>
  <c r="R396" i="3"/>
  <c r="Q396" i="3"/>
  <c r="G396" i="3"/>
  <c r="AA397" i="3" s="1"/>
  <c r="X395" i="3"/>
  <c r="R525" i="4"/>
  <c r="H525" i="4"/>
  <c r="G525" i="4"/>
  <c r="AA526" i="4" s="1"/>
  <c r="Q525" i="4"/>
  <c r="F525" i="4"/>
  <c r="P525" i="4"/>
  <c r="E525" i="4"/>
  <c r="T525" i="4"/>
  <c r="I525" i="4"/>
  <c r="K525" i="4"/>
  <c r="J525" i="4"/>
  <c r="D525" i="4"/>
  <c r="C525" i="4"/>
  <c r="L525" i="4"/>
  <c r="O525" i="4"/>
  <c r="N525" i="4"/>
  <c r="M525" i="4"/>
  <c r="Z501" i="6"/>
  <c r="U501" i="6"/>
  <c r="Z524" i="4"/>
  <c r="N502" i="6"/>
  <c r="D502" i="6"/>
  <c r="T502" i="6"/>
  <c r="I502" i="6"/>
  <c r="H502" i="6"/>
  <c r="R502" i="6"/>
  <c r="G502" i="6"/>
  <c r="AA503" i="6" s="1"/>
  <c r="J502" i="6"/>
  <c r="L502" i="6"/>
  <c r="K502" i="6"/>
  <c r="F502" i="6"/>
  <c r="M502" i="6"/>
  <c r="O502" i="6"/>
  <c r="E502" i="6"/>
  <c r="C502" i="6"/>
  <c r="P502" i="6"/>
  <c r="Q502" i="6"/>
  <c r="X524" i="4"/>
  <c r="F396" i="3" l="1"/>
  <c r="O390" i="5"/>
  <c r="H390" i="5"/>
  <c r="L390" i="5" s="1"/>
  <c r="P396" i="3"/>
  <c r="X502" i="6"/>
  <c r="P390" i="5"/>
  <c r="W502" i="6"/>
  <c r="Z502" i="6"/>
  <c r="X525" i="4"/>
  <c r="U502" i="6"/>
  <c r="V525" i="4"/>
  <c r="H396" i="3"/>
  <c r="Q503" i="6"/>
  <c r="G503" i="6"/>
  <c r="AA504" i="6" s="1"/>
  <c r="O503" i="6"/>
  <c r="D503" i="6"/>
  <c r="N503" i="6"/>
  <c r="C503" i="6"/>
  <c r="M503" i="6"/>
  <c r="P503" i="6"/>
  <c r="E503" i="6"/>
  <c r="T503" i="6"/>
  <c r="F503" i="6"/>
  <c r="K503" i="6"/>
  <c r="J503" i="6"/>
  <c r="I503" i="6"/>
  <c r="H503" i="6"/>
  <c r="L503" i="6"/>
  <c r="V503" i="6" s="1"/>
  <c r="R503" i="6"/>
  <c r="W525" i="4"/>
  <c r="V502" i="6"/>
  <c r="I390" i="5"/>
  <c r="K526" i="4"/>
  <c r="M526" i="4"/>
  <c r="L526" i="4"/>
  <c r="J526" i="4"/>
  <c r="N526" i="4"/>
  <c r="C526" i="4"/>
  <c r="P526" i="4"/>
  <c r="O526" i="4"/>
  <c r="I526" i="4"/>
  <c r="H526" i="4"/>
  <c r="Q526" i="4"/>
  <c r="T526" i="4"/>
  <c r="R526" i="4"/>
  <c r="G526" i="4"/>
  <c r="AA527" i="4" s="1"/>
  <c r="F526" i="4"/>
  <c r="E526" i="4"/>
  <c r="D526" i="4"/>
  <c r="O396" i="3"/>
  <c r="Z525" i="4"/>
  <c r="U525" i="4"/>
  <c r="W503" i="6" l="1"/>
  <c r="Z526" i="4"/>
  <c r="X526" i="4"/>
  <c r="U526" i="4"/>
  <c r="I396" i="3"/>
  <c r="X503" i="6"/>
  <c r="T504" i="6"/>
  <c r="J504" i="6"/>
  <c r="K504" i="6"/>
  <c r="I504" i="6"/>
  <c r="H504" i="6"/>
  <c r="L504" i="6"/>
  <c r="M504" i="6"/>
  <c r="G504" i="6"/>
  <c r="AA505" i="6" s="1"/>
  <c r="F504" i="6"/>
  <c r="N504" i="6"/>
  <c r="P504" i="6"/>
  <c r="O504" i="6"/>
  <c r="E504" i="6"/>
  <c r="D504" i="6"/>
  <c r="Q504" i="6"/>
  <c r="R504" i="6"/>
  <c r="C504" i="6"/>
  <c r="V390" i="5"/>
  <c r="N390" i="5"/>
  <c r="V526" i="4"/>
  <c r="Z503" i="6"/>
  <c r="N527" i="4"/>
  <c r="D527" i="4"/>
  <c r="H527" i="4"/>
  <c r="R527" i="4"/>
  <c r="G527" i="4"/>
  <c r="AA528" i="4" s="1"/>
  <c r="Q527" i="4"/>
  <c r="F527" i="4"/>
  <c r="T527" i="4"/>
  <c r="I527" i="4"/>
  <c r="C527" i="4"/>
  <c r="P527" i="4"/>
  <c r="E527" i="4"/>
  <c r="M527" i="4"/>
  <c r="L527" i="4"/>
  <c r="K527" i="4"/>
  <c r="J527" i="4"/>
  <c r="O527" i="4"/>
  <c r="U503" i="6"/>
  <c r="W526" i="4"/>
  <c r="U390" i="5"/>
  <c r="J390" i="5"/>
  <c r="V504" i="6" l="1"/>
  <c r="Z527" i="4"/>
  <c r="M505" i="6"/>
  <c r="C505" i="6"/>
  <c r="Q505" i="6"/>
  <c r="F505" i="6"/>
  <c r="P505" i="6"/>
  <c r="E505" i="6"/>
  <c r="O505" i="6"/>
  <c r="D505" i="6"/>
  <c r="R505" i="6"/>
  <c r="G505" i="6"/>
  <c r="AA506" i="6" s="1"/>
  <c r="T505" i="6"/>
  <c r="K505" i="6"/>
  <c r="J505" i="6"/>
  <c r="I505" i="6"/>
  <c r="H505" i="6"/>
  <c r="L505" i="6"/>
  <c r="N505" i="6"/>
  <c r="W504" i="6"/>
  <c r="Q528" i="4"/>
  <c r="G528" i="4"/>
  <c r="AA529" i="4" s="1"/>
  <c r="N528" i="4"/>
  <c r="C528" i="4"/>
  <c r="M528" i="4"/>
  <c r="L528" i="4"/>
  <c r="O528" i="4"/>
  <c r="D528" i="4"/>
  <c r="J528" i="4"/>
  <c r="I528" i="4"/>
  <c r="H528" i="4"/>
  <c r="F528" i="4"/>
  <c r="K528" i="4"/>
  <c r="R528" i="4"/>
  <c r="P528" i="4"/>
  <c r="E528" i="4"/>
  <c r="T528" i="4"/>
  <c r="X527" i="4"/>
  <c r="X504" i="6"/>
  <c r="U396" i="3"/>
  <c r="J396" i="3"/>
  <c r="Z504" i="6"/>
  <c r="W527" i="4"/>
  <c r="L396" i="3"/>
  <c r="K390" i="5"/>
  <c r="W390" i="5" s="1"/>
  <c r="U527" i="4"/>
  <c r="V527" i="4"/>
  <c r="U504" i="6"/>
  <c r="X390" i="5" l="1"/>
  <c r="V528" i="4"/>
  <c r="V396" i="3"/>
  <c r="N396" i="3"/>
  <c r="U528" i="4"/>
  <c r="V505" i="6"/>
  <c r="T529" i="4"/>
  <c r="J529" i="4"/>
  <c r="I529" i="4"/>
  <c r="H529" i="4"/>
  <c r="R529" i="4"/>
  <c r="G529" i="4"/>
  <c r="AA530" i="4" s="1"/>
  <c r="K529" i="4"/>
  <c r="Q529" i="4"/>
  <c r="P529" i="4"/>
  <c r="O529" i="4"/>
  <c r="N529" i="4"/>
  <c r="C529" i="4"/>
  <c r="D529" i="4"/>
  <c r="M529" i="4"/>
  <c r="L529" i="4"/>
  <c r="F529" i="4"/>
  <c r="E529" i="4"/>
  <c r="T390" i="5"/>
  <c r="Z390" i="5" s="1"/>
  <c r="X505" i="6"/>
  <c r="U505" i="6"/>
  <c r="Z528" i="4"/>
  <c r="W505" i="6"/>
  <c r="Z505" i="6"/>
  <c r="W528" i="4"/>
  <c r="P506" i="6"/>
  <c r="F506" i="6"/>
  <c r="L506" i="6"/>
  <c r="K506" i="6"/>
  <c r="J506" i="6"/>
  <c r="M506" i="6"/>
  <c r="H506" i="6"/>
  <c r="G506" i="6"/>
  <c r="AA507" i="6" s="1"/>
  <c r="E506" i="6"/>
  <c r="I506" i="6"/>
  <c r="O506" i="6"/>
  <c r="N506" i="6"/>
  <c r="D506" i="6"/>
  <c r="C506" i="6"/>
  <c r="Q506" i="6"/>
  <c r="T506" i="6"/>
  <c r="R506" i="6"/>
  <c r="K396" i="3"/>
  <c r="W396" i="3" s="1"/>
  <c r="X528" i="4"/>
  <c r="V529" i="4" l="1"/>
  <c r="I507" i="6"/>
  <c r="R507" i="6"/>
  <c r="G507" i="6"/>
  <c r="AA508" i="6" s="1"/>
  <c r="Q507" i="6"/>
  <c r="F507" i="6"/>
  <c r="P507" i="6"/>
  <c r="E507" i="6"/>
  <c r="T507" i="6"/>
  <c r="H507" i="6"/>
  <c r="O507" i="6"/>
  <c r="N507" i="6"/>
  <c r="J507" i="6"/>
  <c r="D507" i="6"/>
  <c r="C507" i="6"/>
  <c r="K507" i="6"/>
  <c r="W507" i="6" s="1"/>
  <c r="L507" i="6"/>
  <c r="M507" i="6"/>
  <c r="U506" i="6"/>
  <c r="Z529" i="4"/>
  <c r="M530" i="4"/>
  <c r="C530" i="4"/>
  <c r="P530" i="4"/>
  <c r="E530" i="4"/>
  <c r="O530" i="4"/>
  <c r="D530" i="4"/>
  <c r="N530" i="4"/>
  <c r="Q530" i="4"/>
  <c r="F530" i="4"/>
  <c r="J530" i="4"/>
  <c r="I530" i="4"/>
  <c r="H530" i="4"/>
  <c r="G530" i="4"/>
  <c r="AA531" i="4" s="1"/>
  <c r="K530" i="4"/>
  <c r="L530" i="4"/>
  <c r="T530" i="4"/>
  <c r="R530" i="4"/>
  <c r="U529" i="4"/>
  <c r="Z506" i="6"/>
  <c r="W506" i="6"/>
  <c r="R391" i="5"/>
  <c r="M391" i="5"/>
  <c r="C391" i="5"/>
  <c r="Q391" i="5"/>
  <c r="E391" i="5"/>
  <c r="P391" i="5" s="1"/>
  <c r="D391" i="5"/>
  <c r="G391" i="5"/>
  <c r="AA392" i="5" s="1"/>
  <c r="V506" i="6"/>
  <c r="T396" i="3"/>
  <c r="X506" i="6"/>
  <c r="W529" i="4"/>
  <c r="X529" i="4"/>
  <c r="X396" i="3"/>
  <c r="U530" i="4" l="1"/>
  <c r="F391" i="5"/>
  <c r="O391" i="5" s="1"/>
  <c r="V507" i="6"/>
  <c r="Q397" i="3"/>
  <c r="G397" i="3"/>
  <c r="AA398" i="3" s="1"/>
  <c r="E397" i="3"/>
  <c r="R397" i="3"/>
  <c r="D397" i="3"/>
  <c r="C397" i="3"/>
  <c r="Z396" i="3"/>
  <c r="X530" i="4"/>
  <c r="L508" i="6"/>
  <c r="N508" i="6"/>
  <c r="C508" i="6"/>
  <c r="M508" i="6"/>
  <c r="K508" i="6"/>
  <c r="O508" i="6"/>
  <c r="D508" i="6"/>
  <c r="H508" i="6"/>
  <c r="G508" i="6"/>
  <c r="AA509" i="6" s="1"/>
  <c r="F508" i="6"/>
  <c r="I508" i="6"/>
  <c r="J508" i="6"/>
  <c r="E508" i="6"/>
  <c r="P508" i="6"/>
  <c r="T508" i="6"/>
  <c r="R508" i="6"/>
  <c r="Q508" i="6"/>
  <c r="X507" i="6"/>
  <c r="P531" i="4"/>
  <c r="F531" i="4"/>
  <c r="R531" i="4"/>
  <c r="K531" i="4"/>
  <c r="J531" i="4"/>
  <c r="I531" i="4"/>
  <c r="L531" i="4"/>
  <c r="Q531" i="4"/>
  <c r="O531" i="4"/>
  <c r="N531" i="4"/>
  <c r="M531" i="4"/>
  <c r="E531" i="4"/>
  <c r="D531" i="4"/>
  <c r="C531" i="4"/>
  <c r="T531" i="4"/>
  <c r="H531" i="4"/>
  <c r="G531" i="4"/>
  <c r="AA532" i="4" s="1"/>
  <c r="I391" i="5"/>
  <c r="U391" i="5" s="1"/>
  <c r="V530" i="4"/>
  <c r="Z507" i="6"/>
  <c r="W530" i="4"/>
  <c r="H391" i="5"/>
  <c r="Z530" i="4"/>
  <c r="U507" i="6"/>
  <c r="V531" i="4" l="1"/>
  <c r="P397" i="3"/>
  <c r="X508" i="6"/>
  <c r="X531" i="4"/>
  <c r="J391" i="5"/>
  <c r="U508" i="6"/>
  <c r="V508" i="6"/>
  <c r="O509" i="6"/>
  <c r="E509" i="6"/>
  <c r="N509" i="6"/>
  <c r="M509" i="6"/>
  <c r="C509" i="6"/>
  <c r="J509" i="6"/>
  <c r="I509" i="6"/>
  <c r="H509" i="6"/>
  <c r="K509" i="6"/>
  <c r="W509" i="6" s="1"/>
  <c r="R509" i="6"/>
  <c r="Q509" i="6"/>
  <c r="T509" i="6"/>
  <c r="F509" i="6"/>
  <c r="D509" i="6"/>
  <c r="G509" i="6"/>
  <c r="AA510" i="6" s="1"/>
  <c r="L509" i="6"/>
  <c r="P509" i="6"/>
  <c r="W508" i="6"/>
  <c r="U531" i="4"/>
  <c r="F397" i="3"/>
  <c r="I532" i="4"/>
  <c r="K532" i="4"/>
  <c r="T532" i="4"/>
  <c r="G532" i="4"/>
  <c r="AA533" i="4" s="1"/>
  <c r="R532" i="4"/>
  <c r="F532" i="4"/>
  <c r="Q532" i="4"/>
  <c r="E532" i="4"/>
  <c r="H532" i="4"/>
  <c r="L532" i="4"/>
  <c r="J532" i="4"/>
  <c r="D532" i="4"/>
  <c r="C532" i="4"/>
  <c r="M532" i="4"/>
  <c r="P532" i="4"/>
  <c r="O532" i="4"/>
  <c r="N532" i="4"/>
  <c r="Z531" i="4"/>
  <c r="W531" i="4"/>
  <c r="L391" i="5"/>
  <c r="Z508" i="6"/>
  <c r="O397" i="3" l="1"/>
  <c r="H397" i="3"/>
  <c r="W532" i="4"/>
  <c r="Z532" i="4"/>
  <c r="L533" i="4"/>
  <c r="N533" i="4"/>
  <c r="D533" i="4"/>
  <c r="R533" i="4"/>
  <c r="F533" i="4"/>
  <c r="Q533" i="4"/>
  <c r="E533" i="4"/>
  <c r="P533" i="4"/>
  <c r="C533" i="4"/>
  <c r="G533" i="4"/>
  <c r="AA534" i="4" s="1"/>
  <c r="T533" i="4"/>
  <c r="H533" i="4"/>
  <c r="O533" i="4"/>
  <c r="M533" i="4"/>
  <c r="K533" i="4"/>
  <c r="I533" i="4"/>
  <c r="J533" i="4"/>
  <c r="X509" i="6"/>
  <c r="U509" i="6"/>
  <c r="X532" i="4"/>
  <c r="R510" i="6"/>
  <c r="H510" i="6"/>
  <c r="Q510" i="6"/>
  <c r="G510" i="6"/>
  <c r="AA511" i="6" s="1"/>
  <c r="P510" i="6"/>
  <c r="F510" i="6"/>
  <c r="L510" i="6"/>
  <c r="K510" i="6"/>
  <c r="J510" i="6"/>
  <c r="M510" i="6"/>
  <c r="O510" i="6"/>
  <c r="N510" i="6"/>
  <c r="T510" i="6"/>
  <c r="I510" i="6"/>
  <c r="E510" i="6"/>
  <c r="D510" i="6"/>
  <c r="C510" i="6"/>
  <c r="U532" i="4"/>
  <c r="V391" i="5"/>
  <c r="N391" i="5"/>
  <c r="V532" i="4"/>
  <c r="K391" i="5"/>
  <c r="W391" i="5" s="1"/>
  <c r="X391" i="5"/>
  <c r="V509" i="6"/>
  <c r="Z509" i="6"/>
  <c r="I397" i="3"/>
  <c r="U397" i="3" s="1"/>
  <c r="U510" i="6" l="1"/>
  <c r="T391" i="5"/>
  <c r="V510" i="6"/>
  <c r="K511" i="6"/>
  <c r="T511" i="6"/>
  <c r="J511" i="6"/>
  <c r="I511" i="6"/>
  <c r="M511" i="6"/>
  <c r="L511" i="6"/>
  <c r="H511" i="6"/>
  <c r="N511" i="6"/>
  <c r="G511" i="6"/>
  <c r="AA512" i="6" s="1"/>
  <c r="F511" i="6"/>
  <c r="E511" i="6"/>
  <c r="O511" i="6"/>
  <c r="R511" i="6"/>
  <c r="Q511" i="6"/>
  <c r="C511" i="6"/>
  <c r="P511" i="6"/>
  <c r="D511" i="6"/>
  <c r="Z510" i="6"/>
  <c r="X510" i="6"/>
  <c r="J397" i="3"/>
  <c r="R392" i="5"/>
  <c r="G392" i="5"/>
  <c r="AA393" i="5" s="1"/>
  <c r="Q392" i="5"/>
  <c r="E392" i="5"/>
  <c r="D392" i="5"/>
  <c r="C392" i="5"/>
  <c r="M392" i="5"/>
  <c r="O534" i="4"/>
  <c r="E534" i="4"/>
  <c r="Q534" i="4"/>
  <c r="G534" i="4"/>
  <c r="AA535" i="4" s="1"/>
  <c r="P534" i="4"/>
  <c r="C534" i="4"/>
  <c r="N534" i="4"/>
  <c r="M534" i="4"/>
  <c r="R534" i="4"/>
  <c r="D534" i="4"/>
  <c r="L534" i="4"/>
  <c r="K534" i="4"/>
  <c r="J534" i="4"/>
  <c r="I534" i="4"/>
  <c r="H534" i="4"/>
  <c r="F534" i="4"/>
  <c r="T534" i="4"/>
  <c r="Z533" i="4"/>
  <c r="L397" i="3"/>
  <c r="U533" i="4"/>
  <c r="V533" i="4"/>
  <c r="W510" i="6"/>
  <c r="Z391" i="5"/>
  <c r="W533" i="4"/>
  <c r="X533" i="4"/>
  <c r="F392" i="5" l="1"/>
  <c r="V534" i="4"/>
  <c r="H392" i="5"/>
  <c r="I392" i="5" s="1"/>
  <c r="U392" i="5" s="1"/>
  <c r="O392" i="5"/>
  <c r="V397" i="3"/>
  <c r="N397" i="3"/>
  <c r="P392" i="5"/>
  <c r="V511" i="6"/>
  <c r="K397" i="3"/>
  <c r="W397" i="3" s="1"/>
  <c r="X511" i="6"/>
  <c r="W534" i="4"/>
  <c r="U511" i="6"/>
  <c r="X534" i="4"/>
  <c r="Z534" i="4"/>
  <c r="N512" i="6"/>
  <c r="D512" i="6"/>
  <c r="M512" i="6"/>
  <c r="C512" i="6"/>
  <c r="L512" i="6"/>
  <c r="O512" i="6"/>
  <c r="K512" i="6"/>
  <c r="J512" i="6"/>
  <c r="P512" i="6"/>
  <c r="F512" i="6"/>
  <c r="E512" i="6"/>
  <c r="G512" i="6"/>
  <c r="AA513" i="6" s="1"/>
  <c r="T512" i="6"/>
  <c r="R512" i="6"/>
  <c r="Q512" i="6"/>
  <c r="I512" i="6"/>
  <c r="H512" i="6"/>
  <c r="Z511" i="6"/>
  <c r="R535" i="4"/>
  <c r="H535" i="4"/>
  <c r="T535" i="4"/>
  <c r="J535" i="4"/>
  <c r="M535" i="4"/>
  <c r="L535" i="4"/>
  <c r="K535" i="4"/>
  <c r="N535" i="4"/>
  <c r="C535" i="4"/>
  <c r="Q535" i="4"/>
  <c r="P535" i="4"/>
  <c r="D535" i="4"/>
  <c r="O535" i="4"/>
  <c r="I535" i="4"/>
  <c r="F535" i="4"/>
  <c r="E535" i="4"/>
  <c r="G535" i="4"/>
  <c r="AA536" i="4" s="1"/>
  <c r="U534" i="4"/>
  <c r="W511" i="6"/>
  <c r="T397" i="3" l="1"/>
  <c r="Z397" i="3" s="1"/>
  <c r="X397" i="3"/>
  <c r="W512" i="6"/>
  <c r="X512" i="6"/>
  <c r="Z512" i="6"/>
  <c r="X535" i="4"/>
  <c r="U535" i="4"/>
  <c r="Z535" i="4"/>
  <c r="U512" i="6"/>
  <c r="V535" i="4"/>
  <c r="Q513" i="6"/>
  <c r="G513" i="6"/>
  <c r="AA514" i="6" s="1"/>
  <c r="P513" i="6"/>
  <c r="F513" i="6"/>
  <c r="O513" i="6"/>
  <c r="E513" i="6"/>
  <c r="N513" i="6"/>
  <c r="M513" i="6"/>
  <c r="L513" i="6"/>
  <c r="V513" i="6" s="1"/>
  <c r="R513" i="6"/>
  <c r="T513" i="6"/>
  <c r="C513" i="6"/>
  <c r="K513" i="6"/>
  <c r="J513" i="6"/>
  <c r="I513" i="6"/>
  <c r="H513" i="6"/>
  <c r="D513" i="6"/>
  <c r="K536" i="4"/>
  <c r="M536" i="4"/>
  <c r="C536" i="4"/>
  <c r="I536" i="4"/>
  <c r="T536" i="4"/>
  <c r="H536" i="4"/>
  <c r="G536" i="4"/>
  <c r="AA537" i="4" s="1"/>
  <c r="J536" i="4"/>
  <c r="N536" i="4"/>
  <c r="L536" i="4"/>
  <c r="F536" i="4"/>
  <c r="E536" i="4"/>
  <c r="O536" i="4"/>
  <c r="Q536" i="4"/>
  <c r="P536" i="4"/>
  <c r="D536" i="4"/>
  <c r="R536" i="4"/>
  <c r="R398" i="3"/>
  <c r="G398" i="3"/>
  <c r="AA399" i="3" s="1"/>
  <c r="Q398" i="3"/>
  <c r="C398" i="3"/>
  <c r="F398" i="3" s="1"/>
  <c r="E398" i="3"/>
  <c r="D398" i="3"/>
  <c r="L392" i="5"/>
  <c r="W535" i="4"/>
  <c r="V512" i="6"/>
  <c r="J392" i="5"/>
  <c r="K392" i="5" s="1"/>
  <c r="W392" i="5" s="1"/>
  <c r="P398" i="3" l="1"/>
  <c r="W513" i="6"/>
  <c r="O398" i="3"/>
  <c r="H398" i="3"/>
  <c r="N537" i="4"/>
  <c r="D537" i="4"/>
  <c r="P537" i="4"/>
  <c r="F537" i="4"/>
  <c r="T537" i="4"/>
  <c r="H537" i="4"/>
  <c r="G537" i="4"/>
  <c r="AA538" i="4" s="1"/>
  <c r="R537" i="4"/>
  <c r="E537" i="4"/>
  <c r="I537" i="4"/>
  <c r="C537" i="4"/>
  <c r="J537" i="4"/>
  <c r="Q537" i="4"/>
  <c r="O537" i="4"/>
  <c r="M537" i="4"/>
  <c r="L537" i="4"/>
  <c r="K537" i="4"/>
  <c r="Z513" i="6"/>
  <c r="U536" i="4"/>
  <c r="Z536" i="4"/>
  <c r="X536" i="4"/>
  <c r="W536" i="4"/>
  <c r="V536" i="4"/>
  <c r="V392" i="5"/>
  <c r="N392" i="5"/>
  <c r="T392" i="5" s="1"/>
  <c r="U513" i="6"/>
  <c r="T514" i="6"/>
  <c r="J514" i="6"/>
  <c r="I514" i="6"/>
  <c r="R514" i="6"/>
  <c r="H514" i="6"/>
  <c r="K514" i="6"/>
  <c r="W514" i="6" s="1"/>
  <c r="Q514" i="6"/>
  <c r="C514" i="6"/>
  <c r="P514" i="6"/>
  <c r="O514" i="6"/>
  <c r="D514" i="6"/>
  <c r="M514" i="6"/>
  <c r="L514" i="6"/>
  <c r="G514" i="6"/>
  <c r="AA515" i="6" s="1"/>
  <c r="N514" i="6"/>
  <c r="E514" i="6"/>
  <c r="F514" i="6"/>
  <c r="X513" i="6"/>
  <c r="Z392" i="5" l="1"/>
  <c r="U514" i="6"/>
  <c r="Z537" i="4"/>
  <c r="Z514" i="6"/>
  <c r="X537" i="4"/>
  <c r="X514" i="6"/>
  <c r="U537" i="4"/>
  <c r="M515" i="6"/>
  <c r="C515" i="6"/>
  <c r="L515" i="6"/>
  <c r="K515" i="6"/>
  <c r="N515" i="6"/>
  <c r="D515" i="6"/>
  <c r="G515" i="6"/>
  <c r="AA516" i="6" s="1"/>
  <c r="T515" i="6"/>
  <c r="F515" i="6"/>
  <c r="E515" i="6"/>
  <c r="H515" i="6"/>
  <c r="O515" i="6"/>
  <c r="J515" i="6"/>
  <c r="I515" i="6"/>
  <c r="P515" i="6"/>
  <c r="R515" i="6"/>
  <c r="Q515" i="6"/>
  <c r="W537" i="4"/>
  <c r="V514" i="6"/>
  <c r="V537" i="4"/>
  <c r="I398" i="3"/>
  <c r="D393" i="5"/>
  <c r="M393" i="5"/>
  <c r="C393" i="5"/>
  <c r="Q393" i="5"/>
  <c r="R393" i="5"/>
  <c r="G393" i="5"/>
  <c r="AA394" i="5" s="1"/>
  <c r="E393" i="5"/>
  <c r="P393" i="5" s="1"/>
  <c r="F393" i="5"/>
  <c r="Q538" i="4"/>
  <c r="G538" i="4"/>
  <c r="AA539" i="4" s="1"/>
  <c r="I538" i="4"/>
  <c r="R538" i="4"/>
  <c r="E538" i="4"/>
  <c r="P538" i="4"/>
  <c r="D538" i="4"/>
  <c r="O538" i="4"/>
  <c r="C538" i="4"/>
  <c r="T538" i="4"/>
  <c r="F538" i="4"/>
  <c r="N538" i="4"/>
  <c r="M538" i="4"/>
  <c r="J538" i="4"/>
  <c r="H538" i="4"/>
  <c r="L538" i="4"/>
  <c r="K538" i="4"/>
  <c r="X392" i="5"/>
  <c r="X538" i="4" l="1"/>
  <c r="H393" i="5"/>
  <c r="W515" i="6"/>
  <c r="U515" i="6"/>
  <c r="U538" i="4"/>
  <c r="I393" i="5"/>
  <c r="U393" i="5" s="1"/>
  <c r="U398" i="3"/>
  <c r="J398" i="3"/>
  <c r="V515" i="6"/>
  <c r="Z515" i="6"/>
  <c r="T539" i="4"/>
  <c r="J539" i="4"/>
  <c r="L539" i="4"/>
  <c r="P539" i="4"/>
  <c r="D539" i="4"/>
  <c r="O539" i="4"/>
  <c r="C539" i="4"/>
  <c r="N539" i="4"/>
  <c r="Q539" i="4"/>
  <c r="E539" i="4"/>
  <c r="K539" i="4"/>
  <c r="I539" i="4"/>
  <c r="H539" i="4"/>
  <c r="G539" i="4"/>
  <c r="AA540" i="4" s="1"/>
  <c r="M539" i="4"/>
  <c r="R539" i="4"/>
  <c r="F539" i="4"/>
  <c r="X515" i="6"/>
  <c r="W538" i="4"/>
  <c r="P516" i="6"/>
  <c r="F516" i="6"/>
  <c r="O516" i="6"/>
  <c r="E516" i="6"/>
  <c r="N516" i="6"/>
  <c r="D516" i="6"/>
  <c r="Q516" i="6"/>
  <c r="G516" i="6"/>
  <c r="AA517" i="6" s="1"/>
  <c r="L516" i="6"/>
  <c r="V516" i="6" s="1"/>
  <c r="K516" i="6"/>
  <c r="J516" i="6"/>
  <c r="M516" i="6"/>
  <c r="I516" i="6"/>
  <c r="H516" i="6"/>
  <c r="C516" i="6"/>
  <c r="R516" i="6"/>
  <c r="T516" i="6"/>
  <c r="V538" i="4"/>
  <c r="L398" i="3"/>
  <c r="Z538" i="4"/>
  <c r="O393" i="5"/>
  <c r="W539" i="4" l="1"/>
  <c r="W516" i="6"/>
  <c r="M540" i="4"/>
  <c r="C540" i="4"/>
  <c r="O540" i="4"/>
  <c r="E540" i="4"/>
  <c r="N540" i="4"/>
  <c r="L540" i="4"/>
  <c r="K540" i="4"/>
  <c r="W540" i="4" s="1"/>
  <c r="P540" i="4"/>
  <c r="D540" i="4"/>
  <c r="T540" i="4"/>
  <c r="R540" i="4"/>
  <c r="F540" i="4"/>
  <c r="Q540" i="4"/>
  <c r="J540" i="4"/>
  <c r="I540" i="4"/>
  <c r="H540" i="4"/>
  <c r="G540" i="4"/>
  <c r="AA541" i="4" s="1"/>
  <c r="K398" i="3"/>
  <c r="W398" i="3" s="1"/>
  <c r="Z539" i="4"/>
  <c r="Z516" i="6"/>
  <c r="U516" i="6"/>
  <c r="V539" i="4"/>
  <c r="J393" i="5"/>
  <c r="V398" i="3"/>
  <c r="N398" i="3"/>
  <c r="I517" i="6"/>
  <c r="R517" i="6"/>
  <c r="H517" i="6"/>
  <c r="Q517" i="6"/>
  <c r="G517" i="6"/>
  <c r="AA518" i="6" s="1"/>
  <c r="T517" i="6"/>
  <c r="J517" i="6"/>
  <c r="C517" i="6"/>
  <c r="P517" i="6"/>
  <c r="O517" i="6"/>
  <c r="D517" i="6"/>
  <c r="K517" i="6"/>
  <c r="F517" i="6"/>
  <c r="E517" i="6"/>
  <c r="L517" i="6"/>
  <c r="M517" i="6"/>
  <c r="N517" i="6"/>
  <c r="X539" i="4"/>
  <c r="X516" i="6"/>
  <c r="U539" i="4"/>
  <c r="L393" i="5"/>
  <c r="X398" i="3" l="1"/>
  <c r="X517" i="6"/>
  <c r="P541" i="4"/>
  <c r="F541" i="4"/>
  <c r="R541" i="4"/>
  <c r="H541" i="4"/>
  <c r="K541" i="4"/>
  <c r="J541" i="4"/>
  <c r="I541" i="4"/>
  <c r="U541" i="4" s="1"/>
  <c r="L541" i="4"/>
  <c r="N541" i="4"/>
  <c r="M541" i="4"/>
  <c r="G541" i="4"/>
  <c r="AA542" i="4" s="1"/>
  <c r="E541" i="4"/>
  <c r="O541" i="4"/>
  <c r="T541" i="4"/>
  <c r="D541" i="4"/>
  <c r="C541" i="4"/>
  <c r="Q541" i="4"/>
  <c r="W517" i="6"/>
  <c r="Z517" i="6"/>
  <c r="V393" i="5"/>
  <c r="N393" i="5"/>
  <c r="T393" i="5" s="1"/>
  <c r="U517" i="6"/>
  <c r="T398" i="3"/>
  <c r="Z398" i="3" s="1"/>
  <c r="U540" i="4"/>
  <c r="V517" i="6"/>
  <c r="X540" i="4"/>
  <c r="Z540" i="4"/>
  <c r="V540" i="4"/>
  <c r="K393" i="5"/>
  <c r="W393" i="5" s="1"/>
  <c r="L518" i="6"/>
  <c r="K518" i="6"/>
  <c r="T518" i="6"/>
  <c r="J518" i="6"/>
  <c r="M518" i="6"/>
  <c r="C518" i="6"/>
  <c r="G518" i="6"/>
  <c r="AA519" i="6" s="1"/>
  <c r="F518" i="6"/>
  <c r="E518" i="6"/>
  <c r="H518" i="6"/>
  <c r="I518" i="6"/>
  <c r="D518" i="6"/>
  <c r="N518" i="6"/>
  <c r="R518" i="6"/>
  <c r="Q518" i="6"/>
  <c r="P518" i="6"/>
  <c r="O518" i="6"/>
  <c r="V518" i="6" l="1"/>
  <c r="Z393" i="5"/>
  <c r="Z541" i="4"/>
  <c r="Z518" i="6"/>
  <c r="V541" i="4"/>
  <c r="O519" i="6"/>
  <c r="E519" i="6"/>
  <c r="N519" i="6"/>
  <c r="D519" i="6"/>
  <c r="M519" i="6"/>
  <c r="C519" i="6"/>
  <c r="P519" i="6"/>
  <c r="F519" i="6"/>
  <c r="L519" i="6"/>
  <c r="K519" i="6"/>
  <c r="J519" i="6"/>
  <c r="Q519" i="6"/>
  <c r="G519" i="6"/>
  <c r="AA520" i="6" s="1"/>
  <c r="H519" i="6"/>
  <c r="R519" i="6"/>
  <c r="I519" i="6"/>
  <c r="T519" i="6"/>
  <c r="W541" i="4"/>
  <c r="W518" i="6"/>
  <c r="C399" i="3"/>
  <c r="D399" i="3"/>
  <c r="G399" i="3"/>
  <c r="AA400" i="3" s="1"/>
  <c r="R399" i="3"/>
  <c r="Q399" i="3"/>
  <c r="E399" i="3"/>
  <c r="P399" i="3" s="1"/>
  <c r="I542" i="4"/>
  <c r="K542" i="4"/>
  <c r="T542" i="4"/>
  <c r="G542" i="4"/>
  <c r="AA543" i="4" s="1"/>
  <c r="R542" i="4"/>
  <c r="F542" i="4"/>
  <c r="Q542" i="4"/>
  <c r="E542" i="4"/>
  <c r="H542" i="4"/>
  <c r="D542" i="4"/>
  <c r="C542" i="4"/>
  <c r="J542" i="4"/>
  <c r="P542" i="4"/>
  <c r="N542" i="4"/>
  <c r="M542" i="4"/>
  <c r="L542" i="4"/>
  <c r="O542" i="4"/>
  <c r="U518" i="6"/>
  <c r="Q394" i="5"/>
  <c r="G394" i="5"/>
  <c r="AA395" i="5" s="1"/>
  <c r="R394" i="5"/>
  <c r="C394" i="5"/>
  <c r="D394" i="5"/>
  <c r="M394" i="5"/>
  <c r="E394" i="5"/>
  <c r="X541" i="4"/>
  <c r="X393" i="5"/>
  <c r="X518" i="6"/>
  <c r="F399" i="3" l="1"/>
  <c r="P394" i="5"/>
  <c r="W542" i="4"/>
  <c r="R520" i="6"/>
  <c r="H520" i="6"/>
  <c r="Q520" i="6"/>
  <c r="G520" i="6"/>
  <c r="AA521" i="6" s="1"/>
  <c r="P520" i="6"/>
  <c r="F520" i="6"/>
  <c r="I520" i="6"/>
  <c r="C520" i="6"/>
  <c r="T520" i="6"/>
  <c r="O520" i="6"/>
  <c r="D520" i="6"/>
  <c r="E520" i="6"/>
  <c r="J520" i="6"/>
  <c r="M520" i="6"/>
  <c r="L520" i="6"/>
  <c r="K520" i="6"/>
  <c r="N520" i="6"/>
  <c r="Z542" i="4"/>
  <c r="U542" i="4"/>
  <c r="U519" i="6"/>
  <c r="Z519" i="6"/>
  <c r="F394" i="5"/>
  <c r="W519" i="6"/>
  <c r="X542" i="4"/>
  <c r="V519" i="6"/>
  <c r="V542" i="4"/>
  <c r="L543" i="4"/>
  <c r="N543" i="4"/>
  <c r="D543" i="4"/>
  <c r="R543" i="4"/>
  <c r="F543" i="4"/>
  <c r="Q543" i="4"/>
  <c r="E543" i="4"/>
  <c r="P543" i="4"/>
  <c r="C543" i="4"/>
  <c r="G543" i="4"/>
  <c r="AA544" i="4" s="1"/>
  <c r="T543" i="4"/>
  <c r="O543" i="4"/>
  <c r="M543" i="4"/>
  <c r="H543" i="4"/>
  <c r="K543" i="4"/>
  <c r="J543" i="4"/>
  <c r="I543" i="4"/>
  <c r="X519" i="6"/>
  <c r="V543" i="4" l="1"/>
  <c r="O394" i="5"/>
  <c r="K521" i="6"/>
  <c r="T521" i="6"/>
  <c r="J521" i="6"/>
  <c r="I521" i="6"/>
  <c r="L521" i="6"/>
  <c r="F521" i="6"/>
  <c r="E521" i="6"/>
  <c r="R521" i="6"/>
  <c r="D521" i="6"/>
  <c r="G521" i="6"/>
  <c r="AA522" i="6" s="1"/>
  <c r="Q521" i="6"/>
  <c r="C521" i="6"/>
  <c r="P521" i="6"/>
  <c r="O521" i="6"/>
  <c r="N521" i="6"/>
  <c r="M521" i="6"/>
  <c r="H521" i="6"/>
  <c r="U543" i="4"/>
  <c r="O399" i="3"/>
  <c r="H399" i="3"/>
  <c r="I399" i="3" s="1"/>
  <c r="W520" i="6"/>
  <c r="W543" i="4"/>
  <c r="O544" i="4"/>
  <c r="E544" i="4"/>
  <c r="Q544" i="4"/>
  <c r="G544" i="4"/>
  <c r="AA545" i="4" s="1"/>
  <c r="P544" i="4"/>
  <c r="C544" i="4"/>
  <c r="N544" i="4"/>
  <c r="M544" i="4"/>
  <c r="R544" i="4"/>
  <c r="D544" i="4"/>
  <c r="J544" i="4"/>
  <c r="I544" i="4"/>
  <c r="H544" i="4"/>
  <c r="F544" i="4"/>
  <c r="K544" i="4"/>
  <c r="L544" i="4"/>
  <c r="T544" i="4"/>
  <c r="H394" i="5"/>
  <c r="Z543" i="4"/>
  <c r="Z520" i="6"/>
  <c r="U520" i="6"/>
  <c r="X520" i="6"/>
  <c r="X543" i="4"/>
  <c r="V520" i="6"/>
  <c r="V521" i="6" l="1"/>
  <c r="U521" i="6"/>
  <c r="U399" i="3"/>
  <c r="J399" i="3"/>
  <c r="K399" i="3" s="1"/>
  <c r="W399" i="3" s="1"/>
  <c r="X521" i="6"/>
  <c r="R545" i="4"/>
  <c r="H545" i="4"/>
  <c r="T545" i="4"/>
  <c r="J545" i="4"/>
  <c r="M545" i="4"/>
  <c r="L545" i="4"/>
  <c r="K545" i="4"/>
  <c r="N545" i="4"/>
  <c r="Q545" i="4"/>
  <c r="P545" i="4"/>
  <c r="O545" i="4"/>
  <c r="I545" i="4"/>
  <c r="F545" i="4"/>
  <c r="E545" i="4"/>
  <c r="D545" i="4"/>
  <c r="C545" i="4"/>
  <c r="G545" i="4"/>
  <c r="V544" i="4"/>
  <c r="Z544" i="4"/>
  <c r="L399" i="3"/>
  <c r="Z521" i="6"/>
  <c r="N522" i="6"/>
  <c r="D522" i="6"/>
  <c r="M522" i="6"/>
  <c r="C522" i="6"/>
  <c r="L522" i="6"/>
  <c r="O522" i="6"/>
  <c r="E522" i="6"/>
  <c r="K522" i="6"/>
  <c r="J522" i="6"/>
  <c r="I522" i="6"/>
  <c r="P522" i="6"/>
  <c r="T522" i="6"/>
  <c r="R522" i="6"/>
  <c r="F522" i="6"/>
  <c r="G522" i="6"/>
  <c r="AA523" i="6" s="1"/>
  <c r="H522" i="6"/>
  <c r="Q522" i="6"/>
  <c r="W544" i="4"/>
  <c r="W521" i="6"/>
  <c r="X544" i="4"/>
  <c r="U544" i="4"/>
  <c r="I394" i="5"/>
  <c r="L394" i="5" s="1"/>
  <c r="U522" i="6" l="1"/>
  <c r="V394" i="5"/>
  <c r="N394" i="5"/>
  <c r="U394" i="5"/>
  <c r="J394" i="5"/>
  <c r="K394" i="5" s="1"/>
  <c r="W394" i="5" s="1"/>
  <c r="Z522" i="6"/>
  <c r="U545" i="4"/>
  <c r="X394" i="5"/>
  <c r="X522" i="6"/>
  <c r="Q523" i="6"/>
  <c r="G523" i="6"/>
  <c r="AA524" i="6" s="1"/>
  <c r="P523" i="6"/>
  <c r="F523" i="6"/>
  <c r="O523" i="6"/>
  <c r="E523" i="6"/>
  <c r="R523" i="6"/>
  <c r="H523" i="6"/>
  <c r="T523" i="6"/>
  <c r="N523" i="6"/>
  <c r="C523" i="6"/>
  <c r="M523" i="6"/>
  <c r="L523" i="6"/>
  <c r="D523" i="6"/>
  <c r="I523" i="6"/>
  <c r="K523" i="6"/>
  <c r="J523" i="6"/>
  <c r="X545" i="4"/>
  <c r="K546" i="4"/>
  <c r="M546" i="4"/>
  <c r="C546" i="4"/>
  <c r="I546" i="4"/>
  <c r="T546" i="4"/>
  <c r="H546" i="4"/>
  <c r="G546" i="4"/>
  <c r="AA547" i="4" s="1"/>
  <c r="J546" i="4"/>
  <c r="F546" i="4"/>
  <c r="E546" i="4"/>
  <c r="D546" i="4"/>
  <c r="L546" i="4"/>
  <c r="P546" i="4"/>
  <c r="O546" i="4"/>
  <c r="N546" i="4"/>
  <c r="R546" i="4"/>
  <c r="Q546" i="4"/>
  <c r="V399" i="3"/>
  <c r="N399" i="3"/>
  <c r="T399" i="3" s="1"/>
  <c r="W522" i="6"/>
  <c r="X399" i="3"/>
  <c r="W545" i="4"/>
  <c r="V522" i="6"/>
  <c r="Z545" i="4"/>
  <c r="V545" i="4"/>
  <c r="Z399" i="3" l="1"/>
  <c r="U546" i="4"/>
  <c r="W546" i="4"/>
  <c r="Z546" i="4"/>
  <c r="Z523" i="6"/>
  <c r="V546" i="4"/>
  <c r="E400" i="3"/>
  <c r="F400" i="3" s="1"/>
  <c r="D400" i="3"/>
  <c r="Q400" i="3"/>
  <c r="G400" i="3"/>
  <c r="AA401" i="3" s="1"/>
  <c r="R400" i="3"/>
  <c r="C400" i="3"/>
  <c r="X546" i="4"/>
  <c r="T524" i="6"/>
  <c r="J524" i="6"/>
  <c r="I524" i="6"/>
  <c r="R524" i="6"/>
  <c r="H524" i="6"/>
  <c r="K524" i="6"/>
  <c r="F524" i="6"/>
  <c r="E524" i="6"/>
  <c r="D524" i="6"/>
  <c r="G524" i="6"/>
  <c r="AA525" i="6" s="1"/>
  <c r="Q524" i="6"/>
  <c r="P524" i="6"/>
  <c r="O524" i="6"/>
  <c r="N524" i="6"/>
  <c r="M524" i="6"/>
  <c r="L524" i="6"/>
  <c r="C524" i="6"/>
  <c r="AA546" i="4"/>
  <c r="U523" i="6"/>
  <c r="X523" i="6"/>
  <c r="T394" i="5"/>
  <c r="W523" i="6"/>
  <c r="Z394" i="5"/>
  <c r="N547" i="4"/>
  <c r="D547" i="4"/>
  <c r="P547" i="4"/>
  <c r="F547" i="4"/>
  <c r="T547" i="4"/>
  <c r="H547" i="4"/>
  <c r="G547" i="4"/>
  <c r="AA548" i="4" s="1"/>
  <c r="R547" i="4"/>
  <c r="E547" i="4"/>
  <c r="I547" i="4"/>
  <c r="Q547" i="4"/>
  <c r="O547" i="4"/>
  <c r="M547" i="4"/>
  <c r="L547" i="4"/>
  <c r="V547" i="4" s="1"/>
  <c r="K547" i="4"/>
  <c r="J547" i="4"/>
  <c r="C547" i="4"/>
  <c r="V523" i="6"/>
  <c r="V524" i="6" l="1"/>
  <c r="W524" i="6"/>
  <c r="X524" i="6"/>
  <c r="O400" i="3"/>
  <c r="H400" i="3"/>
  <c r="P400" i="3"/>
  <c r="W547" i="4"/>
  <c r="Q548" i="4"/>
  <c r="G548" i="4"/>
  <c r="AA549" i="4" s="1"/>
  <c r="I548" i="4"/>
  <c r="R548" i="4"/>
  <c r="E548" i="4"/>
  <c r="P548" i="4"/>
  <c r="D548" i="4"/>
  <c r="O548" i="4"/>
  <c r="C548" i="4"/>
  <c r="T548" i="4"/>
  <c r="F548" i="4"/>
  <c r="N548" i="4"/>
  <c r="M548" i="4"/>
  <c r="L548" i="4"/>
  <c r="K548" i="4"/>
  <c r="H548" i="4"/>
  <c r="J548" i="4"/>
  <c r="X547" i="4"/>
  <c r="Z524" i="6"/>
  <c r="U524" i="6"/>
  <c r="U547" i="4"/>
  <c r="D395" i="5"/>
  <c r="C395" i="5"/>
  <c r="M395" i="5"/>
  <c r="E395" i="5"/>
  <c r="Q395" i="5"/>
  <c r="R395" i="5"/>
  <c r="G395" i="5"/>
  <c r="AA396" i="5" s="1"/>
  <c r="M525" i="6"/>
  <c r="C525" i="6"/>
  <c r="L525" i="6"/>
  <c r="K525" i="6"/>
  <c r="N525" i="6"/>
  <c r="D525" i="6"/>
  <c r="I525" i="6"/>
  <c r="H525" i="6"/>
  <c r="G525" i="6"/>
  <c r="AA526" i="6" s="1"/>
  <c r="J525" i="6"/>
  <c r="Q525" i="6"/>
  <c r="P525" i="6"/>
  <c r="O525" i="6"/>
  <c r="F525" i="6"/>
  <c r="R525" i="6"/>
  <c r="T525" i="6"/>
  <c r="E525" i="6"/>
  <c r="Z547" i="4"/>
  <c r="P395" i="5" l="1"/>
  <c r="X548" i="4"/>
  <c r="V525" i="6"/>
  <c r="U548" i="4"/>
  <c r="W525" i="6"/>
  <c r="T549" i="4"/>
  <c r="J549" i="4"/>
  <c r="L549" i="4"/>
  <c r="P549" i="4"/>
  <c r="D549" i="4"/>
  <c r="O549" i="4"/>
  <c r="C549" i="4"/>
  <c r="N549" i="4"/>
  <c r="Q549" i="4"/>
  <c r="E549" i="4"/>
  <c r="H549" i="4"/>
  <c r="G549" i="4"/>
  <c r="AA550" i="4" s="1"/>
  <c r="F549" i="4"/>
  <c r="I549" i="4"/>
  <c r="U549" i="4" s="1"/>
  <c r="R549" i="4"/>
  <c r="M549" i="4"/>
  <c r="K549" i="4"/>
  <c r="I400" i="3"/>
  <c r="Z548" i="4"/>
  <c r="F395" i="5"/>
  <c r="U525" i="6"/>
  <c r="W548" i="4"/>
  <c r="X525" i="6"/>
  <c r="Z525" i="6"/>
  <c r="P526" i="6"/>
  <c r="F526" i="6"/>
  <c r="O526" i="6"/>
  <c r="E526" i="6"/>
  <c r="N526" i="6"/>
  <c r="D526" i="6"/>
  <c r="Q526" i="6"/>
  <c r="G526" i="6"/>
  <c r="AA527" i="6" s="1"/>
  <c r="R526" i="6"/>
  <c r="M526" i="6"/>
  <c r="L526" i="6"/>
  <c r="J526" i="6"/>
  <c r="I526" i="6"/>
  <c r="H526" i="6"/>
  <c r="C526" i="6"/>
  <c r="K526" i="6"/>
  <c r="T526" i="6"/>
  <c r="V548" i="4"/>
  <c r="W549" i="4" l="1"/>
  <c r="Z549" i="4"/>
  <c r="I527" i="6"/>
  <c r="R527" i="6"/>
  <c r="H527" i="6"/>
  <c r="Q527" i="6"/>
  <c r="G527" i="6"/>
  <c r="AA528" i="6" s="1"/>
  <c r="T527" i="6"/>
  <c r="J527" i="6"/>
  <c r="E527" i="6"/>
  <c r="D527" i="6"/>
  <c r="C527" i="6"/>
  <c r="F527" i="6"/>
  <c r="M527" i="6"/>
  <c r="L527" i="6"/>
  <c r="V527" i="6" s="1"/>
  <c r="K527" i="6"/>
  <c r="N527" i="6"/>
  <c r="P527" i="6"/>
  <c r="O527" i="6"/>
  <c r="W526" i="6"/>
  <c r="V549" i="4"/>
  <c r="U400" i="3"/>
  <c r="J400" i="3"/>
  <c r="X549" i="4"/>
  <c r="U526" i="6"/>
  <c r="Z526" i="6"/>
  <c r="O395" i="5"/>
  <c r="M550" i="4"/>
  <c r="C550" i="4"/>
  <c r="O550" i="4"/>
  <c r="E550" i="4"/>
  <c r="N550" i="4"/>
  <c r="L550" i="4"/>
  <c r="K550" i="4"/>
  <c r="P550" i="4"/>
  <c r="R550" i="4"/>
  <c r="Q550" i="4"/>
  <c r="J550" i="4"/>
  <c r="T550" i="4"/>
  <c r="I550" i="4"/>
  <c r="H550" i="4"/>
  <c r="G550" i="4"/>
  <c r="AA551" i="4" s="1"/>
  <c r="F550" i="4"/>
  <c r="D550" i="4"/>
  <c r="X526" i="6"/>
  <c r="V526" i="6"/>
  <c r="H395" i="5"/>
  <c r="I395" i="5" s="1"/>
  <c r="U395" i="5" s="1"/>
  <c r="L400" i="3"/>
  <c r="V550" i="4" l="1"/>
  <c r="W527" i="6"/>
  <c r="W550" i="4"/>
  <c r="T528" i="6"/>
  <c r="P528" i="6"/>
  <c r="L528" i="6"/>
  <c r="K528" i="6"/>
  <c r="J528" i="6"/>
  <c r="M528" i="6"/>
  <c r="C528" i="6"/>
  <c r="I528" i="6"/>
  <c r="H528" i="6"/>
  <c r="G528" i="6"/>
  <c r="AA529" i="6" s="1"/>
  <c r="N528" i="6"/>
  <c r="O528" i="6"/>
  <c r="F528" i="6"/>
  <c r="E528" i="6"/>
  <c r="D528" i="6"/>
  <c r="Q528" i="6"/>
  <c r="R528" i="6"/>
  <c r="U550" i="4"/>
  <c r="K400" i="3"/>
  <c r="X550" i="4"/>
  <c r="P551" i="4"/>
  <c r="F551" i="4"/>
  <c r="R551" i="4"/>
  <c r="H551" i="4"/>
  <c r="K551" i="4"/>
  <c r="J551" i="4"/>
  <c r="I551" i="4"/>
  <c r="L551" i="4"/>
  <c r="G551" i="4"/>
  <c r="AA552" i="4" s="1"/>
  <c r="E551" i="4"/>
  <c r="D551" i="4"/>
  <c r="C551" i="4"/>
  <c r="M551" i="4"/>
  <c r="T551" i="4"/>
  <c r="Q551" i="4"/>
  <c r="O551" i="4"/>
  <c r="N551" i="4"/>
  <c r="Z550" i="4"/>
  <c r="X527" i="6"/>
  <c r="U527" i="6"/>
  <c r="V400" i="3"/>
  <c r="N400" i="3"/>
  <c r="Z527" i="6"/>
  <c r="L395" i="5"/>
  <c r="J395" i="5"/>
  <c r="U551" i="4" l="1"/>
  <c r="V551" i="4"/>
  <c r="U528" i="6"/>
  <c r="W400" i="3"/>
  <c r="K395" i="5"/>
  <c r="W395" i="5" s="1"/>
  <c r="W528" i="6"/>
  <c r="V528" i="6"/>
  <c r="M529" i="6"/>
  <c r="C529" i="6"/>
  <c r="K529" i="6"/>
  <c r="I529" i="6"/>
  <c r="T529" i="6"/>
  <c r="H529" i="6"/>
  <c r="G529" i="6"/>
  <c r="AA530" i="6" s="1"/>
  <c r="J529" i="6"/>
  <c r="R529" i="6"/>
  <c r="Q529" i="6"/>
  <c r="D529" i="6"/>
  <c r="L529" i="6"/>
  <c r="V529" i="6" s="1"/>
  <c r="F529" i="6"/>
  <c r="E529" i="6"/>
  <c r="N529" i="6"/>
  <c r="P529" i="6"/>
  <c r="O529" i="6"/>
  <c r="Z528" i="6"/>
  <c r="W551" i="4"/>
  <c r="V395" i="5"/>
  <c r="N395" i="5"/>
  <c r="T395" i="5" s="1"/>
  <c r="I552" i="4"/>
  <c r="K552" i="4"/>
  <c r="T552" i="4"/>
  <c r="G552" i="4"/>
  <c r="AA553" i="4" s="1"/>
  <c r="R552" i="4"/>
  <c r="F552" i="4"/>
  <c r="Q552" i="4"/>
  <c r="E552" i="4"/>
  <c r="H552" i="4"/>
  <c r="P552" i="4"/>
  <c r="O552" i="4"/>
  <c r="C552" i="4"/>
  <c r="J552" i="4"/>
  <c r="D552" i="4"/>
  <c r="N552" i="4"/>
  <c r="M552" i="4"/>
  <c r="L552" i="4"/>
  <c r="T400" i="3"/>
  <c r="Z551" i="4"/>
  <c r="X551" i="4"/>
  <c r="X528" i="6"/>
  <c r="X400" i="3"/>
  <c r="V552" i="4" l="1"/>
  <c r="R401" i="3"/>
  <c r="Q401" i="3"/>
  <c r="G401" i="3"/>
  <c r="AA402" i="3" s="1"/>
  <c r="E401" i="3"/>
  <c r="D401" i="3"/>
  <c r="C401" i="3"/>
  <c r="U552" i="4"/>
  <c r="Z529" i="6"/>
  <c r="M396" i="5"/>
  <c r="C396" i="5"/>
  <c r="D396" i="5"/>
  <c r="R396" i="5"/>
  <c r="Q396" i="5"/>
  <c r="E396" i="5"/>
  <c r="P396" i="5" s="1"/>
  <c r="G396" i="5"/>
  <c r="AA397" i="5" s="1"/>
  <c r="X552" i="4"/>
  <c r="P530" i="6"/>
  <c r="F530" i="6"/>
  <c r="R530" i="6"/>
  <c r="G530" i="6"/>
  <c r="AA531" i="6" s="1"/>
  <c r="T530" i="6"/>
  <c r="H530" i="6"/>
  <c r="E530" i="6"/>
  <c r="Q530" i="6"/>
  <c r="D530" i="6"/>
  <c r="I530" i="6"/>
  <c r="N530" i="6"/>
  <c r="M530" i="6"/>
  <c r="L530" i="6"/>
  <c r="O530" i="6"/>
  <c r="K530" i="6"/>
  <c r="J530" i="6"/>
  <c r="C530" i="6"/>
  <c r="X395" i="5"/>
  <c r="L553" i="4"/>
  <c r="N553" i="4"/>
  <c r="D553" i="4"/>
  <c r="R553" i="4"/>
  <c r="F553" i="4"/>
  <c r="Q553" i="4"/>
  <c r="E553" i="4"/>
  <c r="P553" i="4"/>
  <c r="C553" i="4"/>
  <c r="G553" i="4"/>
  <c r="AA554" i="4" s="1"/>
  <c r="O553" i="4"/>
  <c r="M553" i="4"/>
  <c r="K553" i="4"/>
  <c r="J553" i="4"/>
  <c r="T553" i="4"/>
  <c r="I553" i="4"/>
  <c r="H553" i="4"/>
  <c r="U529" i="6"/>
  <c r="Z400" i="3"/>
  <c r="Z552" i="4"/>
  <c r="W552" i="4"/>
  <c r="X529" i="6"/>
  <c r="W529" i="6"/>
  <c r="Z395" i="5"/>
  <c r="P401" i="3" l="1"/>
  <c r="U530" i="6"/>
  <c r="U553" i="4"/>
  <c r="V530" i="6"/>
  <c r="O554" i="4"/>
  <c r="E554" i="4"/>
  <c r="Q554" i="4"/>
  <c r="G554" i="4"/>
  <c r="AA555" i="4" s="1"/>
  <c r="P554" i="4"/>
  <c r="C554" i="4"/>
  <c r="N554" i="4"/>
  <c r="M554" i="4"/>
  <c r="R554" i="4"/>
  <c r="D554" i="4"/>
  <c r="H554" i="4"/>
  <c r="F554" i="4"/>
  <c r="I554" i="4"/>
  <c r="L554" i="4"/>
  <c r="K554" i="4"/>
  <c r="J554" i="4"/>
  <c r="T554" i="4"/>
  <c r="X530" i="6"/>
  <c r="W553" i="4"/>
  <c r="Z553" i="4"/>
  <c r="Z530" i="6"/>
  <c r="X553" i="4"/>
  <c r="V553" i="4"/>
  <c r="F396" i="5"/>
  <c r="H396" i="5" s="1"/>
  <c r="W530" i="6"/>
  <c r="I531" i="6"/>
  <c r="M531" i="6"/>
  <c r="Q531" i="6"/>
  <c r="E531" i="6"/>
  <c r="P531" i="6"/>
  <c r="D531" i="6"/>
  <c r="O531" i="6"/>
  <c r="C531" i="6"/>
  <c r="R531" i="6"/>
  <c r="F531" i="6"/>
  <c r="J531" i="6"/>
  <c r="H531" i="6"/>
  <c r="G531" i="6"/>
  <c r="AA532" i="6" s="1"/>
  <c r="K531" i="6"/>
  <c r="T531" i="6"/>
  <c r="N531" i="6"/>
  <c r="L531" i="6"/>
  <c r="F401" i="3"/>
  <c r="H401" i="3" s="1"/>
  <c r="V554" i="4" l="1"/>
  <c r="W531" i="6"/>
  <c r="W554" i="4"/>
  <c r="U554" i="4"/>
  <c r="L532" i="6"/>
  <c r="H532" i="6"/>
  <c r="O532" i="6"/>
  <c r="C532" i="6"/>
  <c r="N532" i="6"/>
  <c r="M532" i="6"/>
  <c r="P532" i="6"/>
  <c r="D532" i="6"/>
  <c r="T532" i="6"/>
  <c r="R532" i="6"/>
  <c r="E532" i="6"/>
  <c r="Q532" i="6"/>
  <c r="K532" i="6"/>
  <c r="J532" i="6"/>
  <c r="I532" i="6"/>
  <c r="G532" i="6"/>
  <c r="AA533" i="6" s="1"/>
  <c r="F532" i="6"/>
  <c r="Z554" i="4"/>
  <c r="X554" i="4"/>
  <c r="X531" i="6"/>
  <c r="J401" i="3"/>
  <c r="K401" i="3" s="1"/>
  <c r="W401" i="3" s="1"/>
  <c r="O401" i="3"/>
  <c r="O396" i="5"/>
  <c r="I396" i="5"/>
  <c r="U396" i="5" s="1"/>
  <c r="U531" i="6"/>
  <c r="Z531" i="6"/>
  <c r="V531" i="6"/>
  <c r="R555" i="4"/>
  <c r="H555" i="4"/>
  <c r="T555" i="4"/>
  <c r="J555" i="4"/>
  <c r="M555" i="4"/>
  <c r="L555" i="4"/>
  <c r="K555" i="4"/>
  <c r="N555" i="4"/>
  <c r="O555" i="4"/>
  <c r="I555" i="4"/>
  <c r="G555" i="4"/>
  <c r="AA556" i="4" s="1"/>
  <c r="F555" i="4"/>
  <c r="P555" i="4"/>
  <c r="Q555" i="4"/>
  <c r="E555" i="4"/>
  <c r="D555" i="4"/>
  <c r="C555" i="4"/>
  <c r="I401" i="3"/>
  <c r="U401" i="3" s="1"/>
  <c r="J396" i="5" l="1"/>
  <c r="K396" i="5" s="1"/>
  <c r="W396" i="5" s="1"/>
  <c r="L396" i="5"/>
  <c r="V555" i="4"/>
  <c r="L401" i="3"/>
  <c r="X532" i="6"/>
  <c r="O533" i="6"/>
  <c r="E533" i="6"/>
  <c r="N533" i="6"/>
  <c r="C533" i="6"/>
  <c r="L533" i="6"/>
  <c r="K533" i="6"/>
  <c r="J533" i="6"/>
  <c r="M533" i="6"/>
  <c r="P533" i="6"/>
  <c r="I533" i="6"/>
  <c r="H533" i="6"/>
  <c r="Q533" i="6"/>
  <c r="T533" i="6"/>
  <c r="R533" i="6"/>
  <c r="G533" i="6"/>
  <c r="AA534" i="6" s="1"/>
  <c r="F533" i="6"/>
  <c r="D533" i="6"/>
  <c r="X555" i="4"/>
  <c r="U532" i="6"/>
  <c r="K556" i="4"/>
  <c r="M556" i="4"/>
  <c r="C556" i="4"/>
  <c r="I556" i="4"/>
  <c r="T556" i="4"/>
  <c r="H556" i="4"/>
  <c r="G556" i="4"/>
  <c r="AA557" i="4" s="1"/>
  <c r="J556" i="4"/>
  <c r="D556" i="4"/>
  <c r="R556" i="4"/>
  <c r="Q556" i="4"/>
  <c r="E556" i="4"/>
  <c r="P556" i="4"/>
  <c r="O556" i="4"/>
  <c r="N556" i="4"/>
  <c r="L556" i="4"/>
  <c r="F556" i="4"/>
  <c r="V396" i="5"/>
  <c r="N396" i="5"/>
  <c r="T396" i="5" s="1"/>
  <c r="Z532" i="6"/>
  <c r="W532" i="6"/>
  <c r="V532" i="6"/>
  <c r="V401" i="3"/>
  <c r="N401" i="3"/>
  <c r="U555" i="4"/>
  <c r="Z555" i="4"/>
  <c r="W555" i="4"/>
  <c r="W556" i="4" l="1"/>
  <c r="U533" i="6"/>
  <c r="Z396" i="5"/>
  <c r="Q397" i="5"/>
  <c r="E397" i="5"/>
  <c r="D397" i="5"/>
  <c r="C397" i="5"/>
  <c r="R397" i="5"/>
  <c r="G397" i="5"/>
  <c r="AA398" i="5" s="1"/>
  <c r="M397" i="5"/>
  <c r="V533" i="6"/>
  <c r="Z533" i="6"/>
  <c r="X533" i="6"/>
  <c r="W533" i="6"/>
  <c r="X396" i="5"/>
  <c r="U556" i="4"/>
  <c r="X556" i="4"/>
  <c r="V556" i="4"/>
  <c r="T401" i="3"/>
  <c r="X401" i="3"/>
  <c r="O557" i="4"/>
  <c r="N557" i="4"/>
  <c r="D557" i="4"/>
  <c r="P557" i="4"/>
  <c r="F557" i="4"/>
  <c r="H557" i="4"/>
  <c r="T557" i="4"/>
  <c r="G557" i="4"/>
  <c r="AA558" i="4" s="1"/>
  <c r="E557" i="4"/>
  <c r="I557" i="4"/>
  <c r="R557" i="4"/>
  <c r="Q557" i="4"/>
  <c r="M557" i="4"/>
  <c r="L557" i="4"/>
  <c r="K557" i="4"/>
  <c r="J557" i="4"/>
  <c r="C557" i="4"/>
  <c r="R534" i="6"/>
  <c r="H534" i="6"/>
  <c r="J534" i="6"/>
  <c r="K534" i="6"/>
  <c r="I534" i="6"/>
  <c r="T534" i="6"/>
  <c r="G534" i="6"/>
  <c r="AA535" i="6" s="1"/>
  <c r="L534" i="6"/>
  <c r="E534" i="6"/>
  <c r="D534" i="6"/>
  <c r="C534" i="6"/>
  <c r="F534" i="6"/>
  <c r="N534" i="6"/>
  <c r="M534" i="6"/>
  <c r="O534" i="6"/>
  <c r="Q534" i="6"/>
  <c r="P534" i="6"/>
  <c r="Z556" i="4"/>
  <c r="P397" i="5" l="1"/>
  <c r="U534" i="6"/>
  <c r="V557" i="4"/>
  <c r="W534" i="6"/>
  <c r="U557" i="4"/>
  <c r="C402" i="3"/>
  <c r="R402" i="3"/>
  <c r="E402" i="3"/>
  <c r="F402" i="3" s="1"/>
  <c r="G402" i="3"/>
  <c r="AA403" i="3" s="1"/>
  <c r="D402" i="3"/>
  <c r="Q402" i="3"/>
  <c r="Z534" i="6"/>
  <c r="Z557" i="4"/>
  <c r="R558" i="4"/>
  <c r="H558" i="4"/>
  <c r="Q558" i="4"/>
  <c r="G558" i="4"/>
  <c r="AA559" i="4" s="1"/>
  <c r="I558" i="4"/>
  <c r="F558" i="4"/>
  <c r="E558" i="4"/>
  <c r="T558" i="4"/>
  <c r="D558" i="4"/>
  <c r="J558" i="4"/>
  <c r="N558" i="4"/>
  <c r="M558" i="4"/>
  <c r="L558" i="4"/>
  <c r="K558" i="4"/>
  <c r="O558" i="4"/>
  <c r="C558" i="4"/>
  <c r="P558" i="4"/>
  <c r="Z401" i="3"/>
  <c r="X534" i="6"/>
  <c r="V534" i="6"/>
  <c r="W557" i="4"/>
  <c r="X557" i="4"/>
  <c r="F397" i="5"/>
  <c r="K535" i="6"/>
  <c r="O535" i="6"/>
  <c r="D535" i="6"/>
  <c r="G535" i="6"/>
  <c r="AA536" i="6" s="1"/>
  <c r="R535" i="6"/>
  <c r="F535" i="6"/>
  <c r="Q535" i="6"/>
  <c r="E535" i="6"/>
  <c r="T535" i="6"/>
  <c r="H535" i="6"/>
  <c r="P535" i="6"/>
  <c r="N535" i="6"/>
  <c r="C535" i="6"/>
  <c r="I535" i="6"/>
  <c r="M535" i="6"/>
  <c r="L535" i="6"/>
  <c r="J535" i="6"/>
  <c r="W558" i="4" l="1"/>
  <c r="W535" i="6"/>
  <c r="O402" i="3"/>
  <c r="U535" i="6"/>
  <c r="U558" i="4"/>
  <c r="Z535" i="6"/>
  <c r="Z558" i="4"/>
  <c r="X558" i="4"/>
  <c r="P402" i="3"/>
  <c r="O397" i="5"/>
  <c r="V558" i="4"/>
  <c r="N536" i="6"/>
  <c r="D536" i="6"/>
  <c r="J536" i="6"/>
  <c r="Q536" i="6"/>
  <c r="E536" i="6"/>
  <c r="P536" i="6"/>
  <c r="C536" i="6"/>
  <c r="O536" i="6"/>
  <c r="R536" i="6"/>
  <c r="F536" i="6"/>
  <c r="L536" i="6"/>
  <c r="K536" i="6"/>
  <c r="I536" i="6"/>
  <c r="M536" i="6"/>
  <c r="H536" i="6"/>
  <c r="G536" i="6"/>
  <c r="AA537" i="6" s="1"/>
  <c r="T536" i="6"/>
  <c r="H397" i="5"/>
  <c r="I397" i="5" s="1"/>
  <c r="U397" i="5" s="1"/>
  <c r="H402" i="3"/>
  <c r="V535" i="6"/>
  <c r="X535" i="6"/>
  <c r="K559" i="4"/>
  <c r="T559" i="4"/>
  <c r="J559" i="4"/>
  <c r="L559" i="4"/>
  <c r="G559" i="4"/>
  <c r="AA560" i="4" s="1"/>
  <c r="F559" i="4"/>
  <c r="R559" i="4"/>
  <c r="E559" i="4"/>
  <c r="H559" i="4"/>
  <c r="M559" i="4"/>
  <c r="I559" i="4"/>
  <c r="D559" i="4"/>
  <c r="C559" i="4"/>
  <c r="N559" i="4"/>
  <c r="Q559" i="4"/>
  <c r="P559" i="4"/>
  <c r="O559" i="4"/>
  <c r="U559" i="4" l="1"/>
  <c r="V536" i="6"/>
  <c r="W559" i="4"/>
  <c r="X536" i="6"/>
  <c r="U536" i="6"/>
  <c r="L397" i="5"/>
  <c r="X559" i="4"/>
  <c r="Q537" i="6"/>
  <c r="G537" i="6"/>
  <c r="AA538" i="6" s="1"/>
  <c r="P537" i="6"/>
  <c r="E537" i="6"/>
  <c r="N537" i="6"/>
  <c r="M537" i="6"/>
  <c r="L537" i="6"/>
  <c r="O537" i="6"/>
  <c r="C537" i="6"/>
  <c r="F537" i="6"/>
  <c r="D537" i="6"/>
  <c r="H537" i="6"/>
  <c r="K537" i="6"/>
  <c r="J537" i="6"/>
  <c r="I537" i="6"/>
  <c r="R537" i="6"/>
  <c r="T537" i="6"/>
  <c r="J397" i="5"/>
  <c r="V559" i="4"/>
  <c r="Z559" i="4"/>
  <c r="W536" i="6"/>
  <c r="Z536" i="6"/>
  <c r="I402" i="3"/>
  <c r="N560" i="4"/>
  <c r="D560" i="4"/>
  <c r="M560" i="4"/>
  <c r="C560" i="4"/>
  <c r="O560" i="4"/>
  <c r="E560" i="4"/>
  <c r="I560" i="4"/>
  <c r="H560" i="4"/>
  <c r="T560" i="4"/>
  <c r="G560" i="4"/>
  <c r="AA561" i="4" s="1"/>
  <c r="J560" i="4"/>
  <c r="F560" i="4"/>
  <c r="K560" i="4"/>
  <c r="R560" i="4"/>
  <c r="Q560" i="4"/>
  <c r="P560" i="4"/>
  <c r="L560" i="4"/>
  <c r="Q561" i="4" l="1"/>
  <c r="G561" i="4"/>
  <c r="AA562" i="4" s="1"/>
  <c r="P561" i="4"/>
  <c r="F561" i="4"/>
  <c r="R561" i="4"/>
  <c r="H561" i="4"/>
  <c r="J561" i="4"/>
  <c r="I561" i="4"/>
  <c r="E561" i="4"/>
  <c r="K561" i="4"/>
  <c r="T561" i="4"/>
  <c r="O561" i="4"/>
  <c r="N561" i="4"/>
  <c r="M561" i="4"/>
  <c r="L561" i="4"/>
  <c r="D561" i="4"/>
  <c r="C561" i="4"/>
  <c r="L402" i="3"/>
  <c r="U537" i="6"/>
  <c r="U560" i="4"/>
  <c r="X537" i="6"/>
  <c r="U402" i="3"/>
  <c r="J402" i="3"/>
  <c r="K402" i="3" s="1"/>
  <c r="W402" i="3" s="1"/>
  <c r="Z537" i="6"/>
  <c r="Z560" i="4"/>
  <c r="K397" i="5"/>
  <c r="V397" i="5"/>
  <c r="N397" i="5"/>
  <c r="W560" i="4"/>
  <c r="T538" i="6"/>
  <c r="J538" i="6"/>
  <c r="L538" i="6"/>
  <c r="K538" i="6"/>
  <c r="I538" i="6"/>
  <c r="H538" i="6"/>
  <c r="M538" i="6"/>
  <c r="P538" i="6"/>
  <c r="O538" i="6"/>
  <c r="N538" i="6"/>
  <c r="Q538" i="6"/>
  <c r="G538" i="6"/>
  <c r="AA539" i="6" s="1"/>
  <c r="F538" i="6"/>
  <c r="E538" i="6"/>
  <c r="D538" i="6"/>
  <c r="R538" i="6"/>
  <c r="C538" i="6"/>
  <c r="V537" i="6"/>
  <c r="W537" i="6"/>
  <c r="V560" i="4"/>
  <c r="X560" i="4"/>
  <c r="T397" i="5" l="1"/>
  <c r="X561" i="4"/>
  <c r="Z397" i="5"/>
  <c r="U538" i="6"/>
  <c r="U561" i="4"/>
  <c r="Z538" i="6"/>
  <c r="M398" i="5"/>
  <c r="Q398" i="5"/>
  <c r="P398" i="5"/>
  <c r="R398" i="5"/>
  <c r="C398" i="5"/>
  <c r="G398" i="5"/>
  <c r="AA399" i="5" s="1"/>
  <c r="E398" i="5"/>
  <c r="D398" i="5"/>
  <c r="V402" i="3"/>
  <c r="N402" i="3"/>
  <c r="T402" i="3" s="1"/>
  <c r="V538" i="6"/>
  <c r="Z561" i="4"/>
  <c r="W397" i="5"/>
  <c r="X397" i="5"/>
  <c r="V561" i="4"/>
  <c r="W538" i="6"/>
  <c r="X538" i="6"/>
  <c r="T562" i="4"/>
  <c r="J562" i="4"/>
  <c r="I562" i="4"/>
  <c r="K562" i="4"/>
  <c r="H562" i="4"/>
  <c r="G562" i="4"/>
  <c r="AA563" i="4" s="1"/>
  <c r="F562" i="4"/>
  <c r="L562" i="4"/>
  <c r="Q562" i="4"/>
  <c r="P562" i="4"/>
  <c r="O562" i="4"/>
  <c r="N562" i="4"/>
  <c r="R562" i="4"/>
  <c r="D562" i="4"/>
  <c r="C562" i="4"/>
  <c r="M562" i="4"/>
  <c r="E562" i="4"/>
  <c r="M539" i="6"/>
  <c r="C539" i="6"/>
  <c r="R539" i="6"/>
  <c r="G539" i="6"/>
  <c r="AA540" i="6" s="1"/>
  <c r="I539" i="6"/>
  <c r="T539" i="6"/>
  <c r="H539" i="6"/>
  <c r="F539" i="6"/>
  <c r="J539" i="6"/>
  <c r="E539" i="6"/>
  <c r="D539" i="6"/>
  <c r="K539" i="6"/>
  <c r="P539" i="6"/>
  <c r="O539" i="6"/>
  <c r="N539" i="6"/>
  <c r="L539" i="6"/>
  <c r="Q539" i="6"/>
  <c r="W561" i="4"/>
  <c r="X402" i="3"/>
  <c r="Z402" i="3" l="1"/>
  <c r="V539" i="6"/>
  <c r="F398" i="5"/>
  <c r="H398" i="5" s="1"/>
  <c r="I398" i="5" s="1"/>
  <c r="U398" i="5" s="1"/>
  <c r="W539" i="6"/>
  <c r="V562" i="4"/>
  <c r="O398" i="5"/>
  <c r="M563" i="4"/>
  <c r="C563" i="4"/>
  <c r="L563" i="4"/>
  <c r="N563" i="4"/>
  <c r="D563" i="4"/>
  <c r="J563" i="4"/>
  <c r="I563" i="4"/>
  <c r="H563" i="4"/>
  <c r="K563" i="4"/>
  <c r="P563" i="4"/>
  <c r="O563" i="4"/>
  <c r="G563" i="4"/>
  <c r="AA564" i="4" s="1"/>
  <c r="F563" i="4"/>
  <c r="Q563" i="4"/>
  <c r="T563" i="4"/>
  <c r="R563" i="4"/>
  <c r="E563" i="4"/>
  <c r="Z539" i="6"/>
  <c r="X562" i="4"/>
  <c r="W562" i="4"/>
  <c r="U562" i="4"/>
  <c r="X539" i="6"/>
  <c r="Z562" i="4"/>
  <c r="P540" i="6"/>
  <c r="F540" i="6"/>
  <c r="M540" i="6"/>
  <c r="G540" i="6"/>
  <c r="AA541" i="6" s="1"/>
  <c r="R540" i="6"/>
  <c r="E540" i="6"/>
  <c r="Q540" i="6"/>
  <c r="D540" i="6"/>
  <c r="T540" i="6"/>
  <c r="H540" i="6"/>
  <c r="O540" i="6"/>
  <c r="N540" i="6"/>
  <c r="L540" i="6"/>
  <c r="K540" i="6"/>
  <c r="C540" i="6"/>
  <c r="I540" i="6"/>
  <c r="J540" i="6"/>
  <c r="U539" i="6"/>
  <c r="E403" i="3"/>
  <c r="P403" i="3" s="1"/>
  <c r="D403" i="3"/>
  <c r="C403" i="3"/>
  <c r="Q403" i="3"/>
  <c r="G403" i="3"/>
  <c r="AA404" i="3" s="1"/>
  <c r="R403" i="3"/>
  <c r="I541" i="6" l="1"/>
  <c r="T541" i="6"/>
  <c r="H541" i="6"/>
  <c r="R541" i="6"/>
  <c r="Q541" i="6"/>
  <c r="F541" i="6"/>
  <c r="D541" i="6"/>
  <c r="P541" i="6"/>
  <c r="C541" i="6"/>
  <c r="O541" i="6"/>
  <c r="E541" i="6"/>
  <c r="N541" i="6"/>
  <c r="M541" i="6"/>
  <c r="L541" i="6"/>
  <c r="K541" i="6"/>
  <c r="G541" i="6"/>
  <c r="AA542" i="6" s="1"/>
  <c r="J541" i="6"/>
  <c r="P564" i="4"/>
  <c r="F564" i="4"/>
  <c r="O564" i="4"/>
  <c r="E564" i="4"/>
  <c r="Q564" i="4"/>
  <c r="G564" i="4"/>
  <c r="AA565" i="4" s="1"/>
  <c r="L564" i="4"/>
  <c r="K564" i="4"/>
  <c r="J564" i="4"/>
  <c r="M564" i="4"/>
  <c r="H564" i="4"/>
  <c r="D564" i="4"/>
  <c r="C564" i="4"/>
  <c r="I564" i="4"/>
  <c r="T564" i="4"/>
  <c r="R564" i="4"/>
  <c r="N564" i="4"/>
  <c r="X563" i="4"/>
  <c r="F403" i="3"/>
  <c r="Z540" i="6"/>
  <c r="Z563" i="4"/>
  <c r="V563" i="4"/>
  <c r="U540" i="6"/>
  <c r="W540" i="6"/>
  <c r="V540" i="6"/>
  <c r="W563" i="4"/>
  <c r="J398" i="5"/>
  <c r="X540" i="6"/>
  <c r="U563" i="4"/>
  <c r="L398" i="5"/>
  <c r="W541" i="6" l="1"/>
  <c r="X564" i="4"/>
  <c r="Z541" i="6"/>
  <c r="X541" i="6"/>
  <c r="I565" i="4"/>
  <c r="R565" i="4"/>
  <c r="H565" i="4"/>
  <c r="T565" i="4"/>
  <c r="J565" i="4"/>
  <c r="M565" i="4"/>
  <c r="L565" i="4"/>
  <c r="K565" i="4"/>
  <c r="N565" i="4"/>
  <c r="Q565" i="4"/>
  <c r="P565" i="4"/>
  <c r="C565" i="4"/>
  <c r="O565" i="4"/>
  <c r="G565" i="4"/>
  <c r="AA566" i="4" s="1"/>
  <c r="F565" i="4"/>
  <c r="E565" i="4"/>
  <c r="D565" i="4"/>
  <c r="L542" i="6"/>
  <c r="O542" i="6"/>
  <c r="D542" i="6"/>
  <c r="N542" i="6"/>
  <c r="C542" i="6"/>
  <c r="M542" i="6"/>
  <c r="G542" i="6"/>
  <c r="AA543" i="6" s="1"/>
  <c r="T542" i="6"/>
  <c r="F542" i="6"/>
  <c r="E542" i="6"/>
  <c r="H542" i="6"/>
  <c r="P542" i="6"/>
  <c r="K542" i="6"/>
  <c r="J542" i="6"/>
  <c r="Q542" i="6"/>
  <c r="I542" i="6"/>
  <c r="U542" i="6" s="1"/>
  <c r="R542" i="6"/>
  <c r="V541" i="6"/>
  <c r="U564" i="4"/>
  <c r="U541" i="6"/>
  <c r="O403" i="3"/>
  <c r="K398" i="5"/>
  <c r="W564" i="4"/>
  <c r="V564" i="4"/>
  <c r="V398" i="5"/>
  <c r="N398" i="5"/>
  <c r="Z564" i="4"/>
  <c r="H403" i="3"/>
  <c r="I403" i="3" s="1"/>
  <c r="U403" i="3" s="1"/>
  <c r="W542" i="6" l="1"/>
  <c r="Z542" i="6"/>
  <c r="Z565" i="4"/>
  <c r="X542" i="6"/>
  <c r="O543" i="6"/>
  <c r="E543" i="6"/>
  <c r="J543" i="6"/>
  <c r="T543" i="6"/>
  <c r="I543" i="6"/>
  <c r="H543" i="6"/>
  <c r="K543" i="6"/>
  <c r="G543" i="6"/>
  <c r="AA544" i="6" s="1"/>
  <c r="F543" i="6"/>
  <c r="L543" i="6"/>
  <c r="N543" i="6"/>
  <c r="M543" i="6"/>
  <c r="D543" i="6"/>
  <c r="P543" i="6"/>
  <c r="R543" i="6"/>
  <c r="Q543" i="6"/>
  <c r="C543" i="6"/>
  <c r="X565" i="4"/>
  <c r="W398" i="5"/>
  <c r="X398" i="5"/>
  <c r="U565" i="4"/>
  <c r="V542" i="6"/>
  <c r="W565" i="4"/>
  <c r="L566" i="4"/>
  <c r="K566" i="4"/>
  <c r="W566" i="4" s="1"/>
  <c r="M566" i="4"/>
  <c r="C566" i="4"/>
  <c r="J566" i="4"/>
  <c r="I566" i="4"/>
  <c r="H566" i="4"/>
  <c r="N566" i="4"/>
  <c r="P566" i="4"/>
  <c r="O566" i="4"/>
  <c r="G566" i="4"/>
  <c r="AA567" i="4" s="1"/>
  <c r="F566" i="4"/>
  <c r="Q566" i="4"/>
  <c r="E566" i="4"/>
  <c r="D566" i="4"/>
  <c r="T566" i="4"/>
  <c r="R566" i="4"/>
  <c r="L403" i="3"/>
  <c r="J403" i="3"/>
  <c r="K403" i="3" s="1"/>
  <c r="W403" i="3" s="1"/>
  <c r="T398" i="5"/>
  <c r="V565" i="4"/>
  <c r="V403" i="3" l="1"/>
  <c r="N403" i="3"/>
  <c r="T403" i="3" s="1"/>
  <c r="U543" i="6"/>
  <c r="R399" i="5"/>
  <c r="G399" i="5"/>
  <c r="AA400" i="5" s="1"/>
  <c r="Q399" i="5"/>
  <c r="E399" i="5"/>
  <c r="F399" i="5" s="1"/>
  <c r="O399" i="5" s="1"/>
  <c r="D399" i="5"/>
  <c r="M399" i="5"/>
  <c r="C399" i="5"/>
  <c r="Z398" i="5"/>
  <c r="Z403" i="3"/>
  <c r="X566" i="4"/>
  <c r="V566" i="4"/>
  <c r="R544" i="6"/>
  <c r="H544" i="6"/>
  <c r="P544" i="6"/>
  <c r="E544" i="6"/>
  <c r="O544" i="6"/>
  <c r="D544" i="6"/>
  <c r="N544" i="6"/>
  <c r="C544" i="6"/>
  <c r="Q544" i="6"/>
  <c r="F544" i="6"/>
  <c r="T544" i="6"/>
  <c r="M544" i="6"/>
  <c r="K544" i="6"/>
  <c r="J544" i="6"/>
  <c r="I544" i="6"/>
  <c r="L544" i="6"/>
  <c r="G544" i="6"/>
  <c r="AA545" i="6" s="1"/>
  <c r="X543" i="6"/>
  <c r="V543" i="6"/>
  <c r="O567" i="4"/>
  <c r="E567" i="4"/>
  <c r="N567" i="4"/>
  <c r="D567" i="4"/>
  <c r="P567" i="4"/>
  <c r="F567" i="4"/>
  <c r="L567" i="4"/>
  <c r="K567" i="4"/>
  <c r="J567" i="4"/>
  <c r="M567" i="4"/>
  <c r="H567" i="4"/>
  <c r="G567" i="4"/>
  <c r="AA568" i="4" s="1"/>
  <c r="C567" i="4"/>
  <c r="I567" i="4"/>
  <c r="T567" i="4"/>
  <c r="R567" i="4"/>
  <c r="Q567" i="4"/>
  <c r="U566" i="4"/>
  <c r="Z566" i="4"/>
  <c r="Z543" i="6"/>
  <c r="W543" i="6"/>
  <c r="X403" i="3"/>
  <c r="U567" i="4" l="1"/>
  <c r="W544" i="6"/>
  <c r="P399" i="5"/>
  <c r="W567" i="4"/>
  <c r="X544" i="6"/>
  <c r="V567" i="4"/>
  <c r="V544" i="6"/>
  <c r="Z567" i="4"/>
  <c r="X567" i="4"/>
  <c r="U544" i="6"/>
  <c r="K545" i="6"/>
  <c r="J545" i="6"/>
  <c r="T545" i="6"/>
  <c r="I545" i="6"/>
  <c r="H545" i="6"/>
  <c r="L545" i="6"/>
  <c r="V545" i="6" s="1"/>
  <c r="F545" i="6"/>
  <c r="E545" i="6"/>
  <c r="D545" i="6"/>
  <c r="G545" i="6"/>
  <c r="O545" i="6"/>
  <c r="N545" i="6"/>
  <c r="M545" i="6"/>
  <c r="C545" i="6"/>
  <c r="P545" i="6"/>
  <c r="R545" i="6"/>
  <c r="Q545" i="6"/>
  <c r="R568" i="4"/>
  <c r="H568" i="4"/>
  <c r="Q568" i="4"/>
  <c r="G568" i="4"/>
  <c r="AA569" i="4" s="1"/>
  <c r="I568" i="4"/>
  <c r="M568" i="4"/>
  <c r="L568" i="4"/>
  <c r="K568" i="4"/>
  <c r="N568" i="4"/>
  <c r="T568" i="4"/>
  <c r="P568" i="4"/>
  <c r="C568" i="4"/>
  <c r="O568" i="4"/>
  <c r="J568" i="4"/>
  <c r="F568" i="4"/>
  <c r="E568" i="4"/>
  <c r="D568" i="4"/>
  <c r="Z544" i="6"/>
  <c r="R404" i="3"/>
  <c r="Q404" i="3"/>
  <c r="G404" i="3"/>
  <c r="AA405" i="3" s="1"/>
  <c r="C404" i="3"/>
  <c r="E404" i="3"/>
  <c r="D404" i="3"/>
  <c r="H399" i="5"/>
  <c r="P404" i="3" l="1"/>
  <c r="W545" i="6"/>
  <c r="K569" i="4"/>
  <c r="T569" i="4"/>
  <c r="J569" i="4"/>
  <c r="L569" i="4"/>
  <c r="N569" i="4"/>
  <c r="M569" i="4"/>
  <c r="I569" i="4"/>
  <c r="O569" i="4"/>
  <c r="P569" i="4"/>
  <c r="H569" i="4"/>
  <c r="G569" i="4"/>
  <c r="AA570" i="4" s="1"/>
  <c r="F569" i="4"/>
  <c r="Q569" i="4"/>
  <c r="R569" i="4"/>
  <c r="E569" i="4"/>
  <c r="D569" i="4"/>
  <c r="C569" i="4"/>
  <c r="X545" i="6"/>
  <c r="W568" i="4"/>
  <c r="V568" i="4"/>
  <c r="Z568" i="4"/>
  <c r="F404" i="3"/>
  <c r="Z545" i="6"/>
  <c r="U545" i="6"/>
  <c r="X568" i="4"/>
  <c r="U568" i="4"/>
  <c r="N546" i="6"/>
  <c r="D546" i="6"/>
  <c r="Q546" i="6"/>
  <c r="F546" i="6"/>
  <c r="P546" i="6"/>
  <c r="E546" i="6"/>
  <c r="O546" i="6"/>
  <c r="C546" i="6"/>
  <c r="R546" i="6"/>
  <c r="G546" i="6"/>
  <c r="AA547" i="6" s="1"/>
  <c r="M546" i="6"/>
  <c r="L546" i="6"/>
  <c r="T546" i="6"/>
  <c r="K546" i="6"/>
  <c r="J546" i="6"/>
  <c r="I546" i="6"/>
  <c r="H546" i="6"/>
  <c r="I399" i="5"/>
  <c r="V569" i="4" l="1"/>
  <c r="Z546" i="6"/>
  <c r="Z569" i="4"/>
  <c r="U569" i="4"/>
  <c r="U546" i="6"/>
  <c r="AA546" i="6"/>
  <c r="X569" i="4"/>
  <c r="N570" i="4"/>
  <c r="D570" i="4"/>
  <c r="M570" i="4"/>
  <c r="C570" i="4"/>
  <c r="O570" i="4"/>
  <c r="E570" i="4"/>
  <c r="P570" i="4"/>
  <c r="L570" i="4"/>
  <c r="V570" i="4" s="1"/>
  <c r="K570" i="4"/>
  <c r="Q570" i="4"/>
  <c r="G570" i="4"/>
  <c r="AA571" i="4" s="1"/>
  <c r="F570" i="4"/>
  <c r="H570" i="4"/>
  <c r="T570" i="4"/>
  <c r="R570" i="4"/>
  <c r="J570" i="4"/>
  <c r="I570" i="4"/>
  <c r="O404" i="3"/>
  <c r="H404" i="3"/>
  <c r="I404" i="3" s="1"/>
  <c r="X546" i="6"/>
  <c r="W569" i="4"/>
  <c r="U399" i="5"/>
  <c r="J399" i="5"/>
  <c r="K399" i="5" s="1"/>
  <c r="W399" i="5" s="1"/>
  <c r="W546" i="6"/>
  <c r="Q547" i="6"/>
  <c r="G547" i="6"/>
  <c r="AA548" i="6" s="1"/>
  <c r="L547" i="6"/>
  <c r="K547" i="6"/>
  <c r="J547" i="6"/>
  <c r="M547" i="6"/>
  <c r="E547" i="6"/>
  <c r="T547" i="6"/>
  <c r="D547" i="6"/>
  <c r="C547" i="6"/>
  <c r="F547" i="6"/>
  <c r="O547" i="6"/>
  <c r="N547" i="6"/>
  <c r="I547" i="6"/>
  <c r="H547" i="6"/>
  <c r="P547" i="6"/>
  <c r="R547" i="6"/>
  <c r="V546" i="6"/>
  <c r="L399" i="5"/>
  <c r="W570" i="4" l="1"/>
  <c r="U404" i="3"/>
  <c r="J404" i="3"/>
  <c r="K404" i="3" s="1"/>
  <c r="W404" i="3" s="1"/>
  <c r="X547" i="6"/>
  <c r="Q571" i="4"/>
  <c r="G571" i="4"/>
  <c r="AA572" i="4" s="1"/>
  <c r="P571" i="4"/>
  <c r="F571" i="4"/>
  <c r="R571" i="4"/>
  <c r="H571" i="4"/>
  <c r="N571" i="4"/>
  <c r="M571" i="4"/>
  <c r="L571" i="4"/>
  <c r="O571" i="4"/>
  <c r="T571" i="4"/>
  <c r="K571" i="4"/>
  <c r="I571" i="4"/>
  <c r="D571" i="4"/>
  <c r="C571" i="4"/>
  <c r="J571" i="4"/>
  <c r="E571" i="4"/>
  <c r="Z570" i="4"/>
  <c r="Z547" i="6"/>
  <c r="X570" i="4"/>
  <c r="U547" i="6"/>
  <c r="W547" i="6"/>
  <c r="V547" i="6"/>
  <c r="L404" i="3"/>
  <c r="U570" i="4"/>
  <c r="T548" i="6"/>
  <c r="J548" i="6"/>
  <c r="R548" i="6"/>
  <c r="G548" i="6"/>
  <c r="AA549" i="6" s="1"/>
  <c r="Q548" i="6"/>
  <c r="F548" i="6"/>
  <c r="P548" i="6"/>
  <c r="E548" i="6"/>
  <c r="H548" i="6"/>
  <c r="N548" i="6"/>
  <c r="M548" i="6"/>
  <c r="L548" i="6"/>
  <c r="O548" i="6"/>
  <c r="K548" i="6"/>
  <c r="I548" i="6"/>
  <c r="D548" i="6"/>
  <c r="C548" i="6"/>
  <c r="V399" i="5"/>
  <c r="N399" i="5"/>
  <c r="T399" i="5" s="1"/>
  <c r="X548" i="6" l="1"/>
  <c r="V404" i="3"/>
  <c r="N404" i="3"/>
  <c r="T404" i="3" s="1"/>
  <c r="U571" i="4"/>
  <c r="W571" i="4"/>
  <c r="V548" i="6"/>
  <c r="E400" i="5"/>
  <c r="M400" i="5"/>
  <c r="C400" i="5"/>
  <c r="R400" i="5"/>
  <c r="Q400" i="5"/>
  <c r="G400" i="5"/>
  <c r="AA401" i="5" s="1"/>
  <c r="D400" i="5"/>
  <c r="Z399" i="5"/>
  <c r="Z571" i="4"/>
  <c r="X404" i="3"/>
  <c r="X571" i="4"/>
  <c r="Z548" i="6"/>
  <c r="U548" i="6"/>
  <c r="T572" i="4"/>
  <c r="J572" i="4"/>
  <c r="I572" i="4"/>
  <c r="K572" i="4"/>
  <c r="O572" i="4"/>
  <c r="N572" i="4"/>
  <c r="M572" i="4"/>
  <c r="P572" i="4"/>
  <c r="C572" i="4"/>
  <c r="G572" i="4"/>
  <c r="AA573" i="4" s="1"/>
  <c r="F572" i="4"/>
  <c r="E572" i="4"/>
  <c r="D572" i="4"/>
  <c r="H572" i="4"/>
  <c r="R572" i="4"/>
  <c r="Q572" i="4"/>
  <c r="L572" i="4"/>
  <c r="V572" i="4" s="1"/>
  <c r="W548" i="6"/>
  <c r="V571" i="4"/>
  <c r="M549" i="6"/>
  <c r="C549" i="6"/>
  <c r="N549" i="6"/>
  <c r="L549" i="6"/>
  <c r="K549" i="6"/>
  <c r="O549" i="6"/>
  <c r="D549" i="6"/>
  <c r="F549" i="6"/>
  <c r="T549" i="6"/>
  <c r="E549" i="6"/>
  <c r="G549" i="6"/>
  <c r="AA550" i="6" s="1"/>
  <c r="P549" i="6"/>
  <c r="J549" i="6"/>
  <c r="I549" i="6"/>
  <c r="H549" i="6"/>
  <c r="Q549" i="6"/>
  <c r="R549" i="6"/>
  <c r="Z404" i="3"/>
  <c r="X399" i="5"/>
  <c r="Z549" i="6" l="1"/>
  <c r="P400" i="5"/>
  <c r="M573" i="4"/>
  <c r="C573" i="4"/>
  <c r="L573" i="4"/>
  <c r="N573" i="4"/>
  <c r="D573" i="4"/>
  <c r="Q573" i="4"/>
  <c r="P573" i="4"/>
  <c r="O573" i="4"/>
  <c r="R573" i="4"/>
  <c r="E573" i="4"/>
  <c r="F573" i="4"/>
  <c r="T573" i="4"/>
  <c r="K573" i="4"/>
  <c r="G573" i="4"/>
  <c r="AA574" i="4" s="1"/>
  <c r="J573" i="4"/>
  <c r="I573" i="4"/>
  <c r="H573" i="4"/>
  <c r="X549" i="6"/>
  <c r="W549" i="6"/>
  <c r="W572" i="4"/>
  <c r="E405" i="3"/>
  <c r="R405" i="3"/>
  <c r="D405" i="3"/>
  <c r="Q405" i="3"/>
  <c r="G405" i="3"/>
  <c r="AA406" i="3" s="1"/>
  <c r="C405" i="3"/>
  <c r="X572" i="4"/>
  <c r="Z572" i="4"/>
  <c r="P550" i="6"/>
  <c r="F550" i="6"/>
  <c r="T550" i="6"/>
  <c r="I550" i="6"/>
  <c r="H550" i="6"/>
  <c r="R550" i="6"/>
  <c r="G550" i="6"/>
  <c r="AA551" i="6" s="1"/>
  <c r="J550" i="6"/>
  <c r="N550" i="6"/>
  <c r="M550" i="6"/>
  <c r="L550" i="6"/>
  <c r="O550" i="6"/>
  <c r="Q550" i="6"/>
  <c r="K550" i="6"/>
  <c r="E550" i="6"/>
  <c r="C550" i="6"/>
  <c r="D550" i="6"/>
  <c r="U549" i="6"/>
  <c r="V549" i="6"/>
  <c r="U572" i="4"/>
  <c r="F400" i="5"/>
  <c r="U573" i="4" l="1"/>
  <c r="P405" i="3"/>
  <c r="O400" i="5"/>
  <c r="H400" i="5"/>
  <c r="V550" i="6"/>
  <c r="W573" i="4"/>
  <c r="V573" i="4"/>
  <c r="Z550" i="6"/>
  <c r="W550" i="6"/>
  <c r="I551" i="6"/>
  <c r="O551" i="6"/>
  <c r="D551" i="6"/>
  <c r="N551" i="6"/>
  <c r="C551" i="6"/>
  <c r="M551" i="6"/>
  <c r="P551" i="6"/>
  <c r="E551" i="6"/>
  <c r="G551" i="6"/>
  <c r="AA552" i="6" s="1"/>
  <c r="F551" i="6"/>
  <c r="H551" i="6"/>
  <c r="R551" i="6"/>
  <c r="Q551" i="6"/>
  <c r="L551" i="6"/>
  <c r="K551" i="6"/>
  <c r="T551" i="6"/>
  <c r="J551" i="6"/>
  <c r="P574" i="4"/>
  <c r="F574" i="4"/>
  <c r="O574" i="4"/>
  <c r="E574" i="4"/>
  <c r="Q574" i="4"/>
  <c r="G574" i="4"/>
  <c r="AA575" i="4" s="1"/>
  <c r="C574" i="4"/>
  <c r="R574" i="4"/>
  <c r="N574" i="4"/>
  <c r="T574" i="4"/>
  <c r="D574" i="4"/>
  <c r="M574" i="4"/>
  <c r="L574" i="4"/>
  <c r="V574" i="4" s="1"/>
  <c r="K574" i="4"/>
  <c r="I574" i="4"/>
  <c r="J574" i="4"/>
  <c r="H574" i="4"/>
  <c r="Z573" i="4"/>
  <c r="U550" i="6"/>
  <c r="X550" i="6"/>
  <c r="F405" i="3"/>
  <c r="H405" i="3" s="1"/>
  <c r="X573" i="4"/>
  <c r="W574" i="4" l="1"/>
  <c r="V551" i="6"/>
  <c r="U574" i="4"/>
  <c r="I405" i="3"/>
  <c r="U405" i="3" s="1"/>
  <c r="U551" i="6"/>
  <c r="W551" i="6"/>
  <c r="Z551" i="6"/>
  <c r="Z574" i="4"/>
  <c r="L400" i="5"/>
  <c r="X574" i="4"/>
  <c r="O405" i="3"/>
  <c r="I400" i="5"/>
  <c r="X551" i="6"/>
  <c r="I575" i="4"/>
  <c r="R575" i="4"/>
  <c r="H575" i="4"/>
  <c r="T575" i="4"/>
  <c r="J575" i="4"/>
  <c r="Q575" i="4"/>
  <c r="D575" i="4"/>
  <c r="P575" i="4"/>
  <c r="C575" i="4"/>
  <c r="O575" i="4"/>
  <c r="E575" i="4"/>
  <c r="M575" i="4"/>
  <c r="L575" i="4"/>
  <c r="V575" i="4" s="1"/>
  <c r="K575" i="4"/>
  <c r="G575" i="4"/>
  <c r="AA576" i="4" s="1"/>
  <c r="N575" i="4"/>
  <c r="F575" i="4"/>
  <c r="L552" i="6"/>
  <c r="J552" i="6"/>
  <c r="T552" i="6"/>
  <c r="I552" i="6"/>
  <c r="H552" i="6"/>
  <c r="K552" i="6"/>
  <c r="W552" i="6" s="1"/>
  <c r="P552" i="6"/>
  <c r="O552" i="6"/>
  <c r="N552" i="6"/>
  <c r="Q552" i="6"/>
  <c r="R552" i="6"/>
  <c r="M552" i="6"/>
  <c r="G552" i="6"/>
  <c r="AA553" i="6" s="1"/>
  <c r="C552" i="6"/>
  <c r="D552" i="6"/>
  <c r="F552" i="6"/>
  <c r="E552" i="6"/>
  <c r="J405" i="3" l="1"/>
  <c r="K405" i="3" s="1"/>
  <c r="W405" i="3" s="1"/>
  <c r="W575" i="4"/>
  <c r="U552" i="6"/>
  <c r="Z552" i="6"/>
  <c r="O553" i="6"/>
  <c r="E553" i="6"/>
  <c r="Q553" i="6"/>
  <c r="F553" i="6"/>
  <c r="P553" i="6"/>
  <c r="D553" i="6"/>
  <c r="N553" i="6"/>
  <c r="C553" i="6"/>
  <c r="R553" i="6"/>
  <c r="G553" i="6"/>
  <c r="AA554" i="6" s="1"/>
  <c r="I553" i="6"/>
  <c r="H553" i="6"/>
  <c r="J553" i="6"/>
  <c r="T553" i="6"/>
  <c r="M553" i="6"/>
  <c r="L553" i="6"/>
  <c r="V553" i="6" s="1"/>
  <c r="K553" i="6"/>
  <c r="V552" i="6"/>
  <c r="U400" i="5"/>
  <c r="J400" i="5"/>
  <c r="X552" i="6"/>
  <c r="L576" i="4"/>
  <c r="K576" i="4"/>
  <c r="M576" i="4"/>
  <c r="C576" i="4"/>
  <c r="Q576" i="4"/>
  <c r="D576" i="4"/>
  <c r="P576" i="4"/>
  <c r="O576" i="4"/>
  <c r="R576" i="4"/>
  <c r="E576" i="4"/>
  <c r="F576" i="4"/>
  <c r="T576" i="4"/>
  <c r="N576" i="4"/>
  <c r="G576" i="4"/>
  <c r="AA577" i="4" s="1"/>
  <c r="J576" i="4"/>
  <c r="I576" i="4"/>
  <c r="H576" i="4"/>
  <c r="V400" i="5"/>
  <c r="N400" i="5"/>
  <c r="U575" i="4"/>
  <c r="Z575" i="4"/>
  <c r="X575" i="4"/>
  <c r="L405" i="3"/>
  <c r="W553" i="6" l="1"/>
  <c r="U576" i="4"/>
  <c r="Z553" i="6"/>
  <c r="V405" i="3"/>
  <c r="N405" i="3"/>
  <c r="T405" i="3" s="1"/>
  <c r="Z405" i="3"/>
  <c r="Z576" i="4"/>
  <c r="X405" i="3"/>
  <c r="W576" i="4"/>
  <c r="R554" i="6"/>
  <c r="H554" i="6"/>
  <c r="L554" i="6"/>
  <c r="K554" i="6"/>
  <c r="J554" i="6"/>
  <c r="M554" i="6"/>
  <c r="O554" i="6"/>
  <c r="N554" i="6"/>
  <c r="I554" i="6"/>
  <c r="U554" i="6" s="1"/>
  <c r="P554" i="6"/>
  <c r="T554" i="6"/>
  <c r="Q554" i="6"/>
  <c r="G554" i="6"/>
  <c r="AA555" i="6" s="1"/>
  <c r="F554" i="6"/>
  <c r="E554" i="6"/>
  <c r="D554" i="6"/>
  <c r="C554" i="6"/>
  <c r="U553" i="6"/>
  <c r="O577" i="4"/>
  <c r="E577" i="4"/>
  <c r="N577" i="4"/>
  <c r="D577" i="4"/>
  <c r="P577" i="4"/>
  <c r="F577" i="4"/>
  <c r="C577" i="4"/>
  <c r="R577" i="4"/>
  <c r="Q577" i="4"/>
  <c r="T577" i="4"/>
  <c r="G577" i="4"/>
  <c r="AA578" i="4" s="1"/>
  <c r="M577" i="4"/>
  <c r="L577" i="4"/>
  <c r="K577" i="4"/>
  <c r="J577" i="4"/>
  <c r="I577" i="4"/>
  <c r="H577" i="4"/>
  <c r="X553" i="6"/>
  <c r="X576" i="4"/>
  <c r="V576" i="4"/>
  <c r="K400" i="5"/>
  <c r="W400" i="5" s="1"/>
  <c r="K555" i="6" l="1"/>
  <c r="Q555" i="6"/>
  <c r="F555" i="6"/>
  <c r="P555" i="6"/>
  <c r="E555" i="6"/>
  <c r="O555" i="6"/>
  <c r="D555" i="6"/>
  <c r="R555" i="6"/>
  <c r="G555" i="6"/>
  <c r="AA556" i="6" s="1"/>
  <c r="C555" i="6"/>
  <c r="T555" i="6"/>
  <c r="H555" i="6"/>
  <c r="N555" i="6"/>
  <c r="M555" i="6"/>
  <c r="L555" i="6"/>
  <c r="J555" i="6"/>
  <c r="I555" i="6"/>
  <c r="U555" i="6" s="1"/>
  <c r="R578" i="4"/>
  <c r="H578" i="4"/>
  <c r="Q578" i="4"/>
  <c r="G578" i="4"/>
  <c r="AA579" i="4" s="1"/>
  <c r="I578" i="4"/>
  <c r="T578" i="4"/>
  <c r="D578" i="4"/>
  <c r="P578" i="4"/>
  <c r="C578" i="4"/>
  <c r="O578" i="4"/>
  <c r="E578" i="4"/>
  <c r="M578" i="4"/>
  <c r="L578" i="4"/>
  <c r="K578" i="4"/>
  <c r="J578" i="4"/>
  <c r="F578" i="4"/>
  <c r="N578" i="4"/>
  <c r="Z577" i="4"/>
  <c r="U577" i="4"/>
  <c r="X554" i="6"/>
  <c r="W554" i="6"/>
  <c r="Z554" i="6"/>
  <c r="D406" i="3"/>
  <c r="C406" i="3"/>
  <c r="E406" i="3"/>
  <c r="P406" i="3" s="1"/>
  <c r="F406" i="3"/>
  <c r="R406" i="3"/>
  <c r="Q406" i="3"/>
  <c r="G406" i="3"/>
  <c r="AA407" i="3" s="1"/>
  <c r="X577" i="4"/>
  <c r="V554" i="6"/>
  <c r="T400" i="5"/>
  <c r="W577" i="4"/>
  <c r="V577" i="4"/>
  <c r="X400" i="5"/>
  <c r="V578" i="4" l="1"/>
  <c r="Z555" i="6"/>
  <c r="H406" i="3"/>
  <c r="X578" i="4"/>
  <c r="K579" i="4"/>
  <c r="T579" i="4"/>
  <c r="J579" i="4"/>
  <c r="L579" i="4"/>
  <c r="R579" i="4"/>
  <c r="E579" i="4"/>
  <c r="Q579" i="4"/>
  <c r="D579" i="4"/>
  <c r="P579" i="4"/>
  <c r="C579" i="4"/>
  <c r="F579" i="4"/>
  <c r="I579" i="4"/>
  <c r="H579" i="4"/>
  <c r="G579" i="4"/>
  <c r="AA580" i="4" s="1"/>
  <c r="M579" i="4"/>
  <c r="O579" i="4"/>
  <c r="N579" i="4"/>
  <c r="X555" i="6"/>
  <c r="U578" i="4"/>
  <c r="R401" i="5"/>
  <c r="G401" i="5"/>
  <c r="AA402" i="5" s="1"/>
  <c r="Q401" i="5"/>
  <c r="E401" i="5"/>
  <c r="D401" i="5"/>
  <c r="C401" i="5"/>
  <c r="M401" i="5"/>
  <c r="Z400" i="5"/>
  <c r="Z578" i="4"/>
  <c r="V555" i="6"/>
  <c r="O406" i="3"/>
  <c r="W578" i="4"/>
  <c r="N556" i="6"/>
  <c r="D556" i="6"/>
  <c r="L556" i="6"/>
  <c r="K556" i="6"/>
  <c r="J556" i="6"/>
  <c r="M556" i="6"/>
  <c r="I556" i="6"/>
  <c r="H556" i="6"/>
  <c r="G556" i="6"/>
  <c r="AA557" i="6" s="1"/>
  <c r="O556" i="6"/>
  <c r="R556" i="6"/>
  <c r="Q556" i="6"/>
  <c r="P556" i="6"/>
  <c r="F556" i="6"/>
  <c r="T556" i="6"/>
  <c r="E556" i="6"/>
  <c r="C556" i="6"/>
  <c r="W555" i="6"/>
  <c r="F401" i="5" l="1"/>
  <c r="P401" i="5"/>
  <c r="U579" i="4"/>
  <c r="W579" i="4"/>
  <c r="V579" i="4"/>
  <c r="O401" i="5"/>
  <c r="N580" i="4"/>
  <c r="D580" i="4"/>
  <c r="M580" i="4"/>
  <c r="C580" i="4"/>
  <c r="O580" i="4"/>
  <c r="E580" i="4"/>
  <c r="T580" i="4"/>
  <c r="G580" i="4"/>
  <c r="AA581" i="4" s="1"/>
  <c r="F580" i="4"/>
  <c r="R580" i="4"/>
  <c r="H580" i="4"/>
  <c r="I580" i="4"/>
  <c r="Q580" i="4"/>
  <c r="J580" i="4"/>
  <c r="P580" i="4"/>
  <c r="L580" i="4"/>
  <c r="K580" i="4"/>
  <c r="H401" i="5"/>
  <c r="X579" i="4"/>
  <c r="U556" i="6"/>
  <c r="Z579" i="4"/>
  <c r="I406" i="3"/>
  <c r="L406" i="3"/>
  <c r="I401" i="5"/>
  <c r="U401" i="5" s="1"/>
  <c r="X556" i="6"/>
  <c r="Z556" i="6"/>
  <c r="Q557" i="6"/>
  <c r="G557" i="6"/>
  <c r="AA558" i="6" s="1"/>
  <c r="H557" i="6"/>
  <c r="R557" i="6"/>
  <c r="F557" i="6"/>
  <c r="P557" i="6"/>
  <c r="E557" i="6"/>
  <c r="T557" i="6"/>
  <c r="I557" i="6"/>
  <c r="O557" i="6"/>
  <c r="N557" i="6"/>
  <c r="L557" i="6"/>
  <c r="K557" i="6"/>
  <c r="J557" i="6"/>
  <c r="D557" i="6"/>
  <c r="M557" i="6"/>
  <c r="C557" i="6"/>
  <c r="W556" i="6"/>
  <c r="V556" i="6"/>
  <c r="U580" i="4" l="1"/>
  <c r="V580" i="4"/>
  <c r="X557" i="6"/>
  <c r="Z580" i="4"/>
  <c r="W557" i="6"/>
  <c r="V557" i="6"/>
  <c r="X580" i="4"/>
  <c r="U557" i="6"/>
  <c r="Z557" i="6"/>
  <c r="V406" i="3"/>
  <c r="N406" i="3"/>
  <c r="U406" i="3"/>
  <c r="J406" i="3"/>
  <c r="J401" i="5"/>
  <c r="K401" i="5" s="1"/>
  <c r="W401" i="5" s="1"/>
  <c r="L401" i="5"/>
  <c r="T558" i="6"/>
  <c r="J558" i="6"/>
  <c r="N558" i="6"/>
  <c r="C558" i="6"/>
  <c r="M558" i="6"/>
  <c r="L558" i="6"/>
  <c r="O558" i="6"/>
  <c r="D558" i="6"/>
  <c r="H558" i="6"/>
  <c r="G558" i="6"/>
  <c r="AA559" i="6" s="1"/>
  <c r="F558" i="6"/>
  <c r="I558" i="6"/>
  <c r="Q558" i="6"/>
  <c r="P558" i="6"/>
  <c r="K558" i="6"/>
  <c r="E558" i="6"/>
  <c r="R558" i="6"/>
  <c r="W580" i="4"/>
  <c r="Q581" i="4"/>
  <c r="G581" i="4"/>
  <c r="AA582" i="4" s="1"/>
  <c r="P581" i="4"/>
  <c r="F581" i="4"/>
  <c r="R581" i="4"/>
  <c r="H581" i="4"/>
  <c r="E581" i="4"/>
  <c r="T581" i="4"/>
  <c r="D581" i="4"/>
  <c r="C581" i="4"/>
  <c r="I581" i="4"/>
  <c r="O581" i="4"/>
  <c r="N581" i="4"/>
  <c r="M581" i="4"/>
  <c r="L581" i="4"/>
  <c r="K581" i="4"/>
  <c r="J581" i="4"/>
  <c r="U558" i="6" l="1"/>
  <c r="V581" i="4"/>
  <c r="X558" i="6"/>
  <c r="M559" i="6"/>
  <c r="C559" i="6"/>
  <c r="T559" i="6"/>
  <c r="J559" i="6"/>
  <c r="I559" i="6"/>
  <c r="H559" i="6"/>
  <c r="G559" i="6"/>
  <c r="AA560" i="6" s="1"/>
  <c r="K559" i="6"/>
  <c r="R559" i="6"/>
  <c r="Q559" i="6"/>
  <c r="P559" i="6"/>
  <c r="N559" i="6"/>
  <c r="L559" i="6"/>
  <c r="F559" i="6"/>
  <c r="E559" i="6"/>
  <c r="O559" i="6"/>
  <c r="D559" i="6"/>
  <c r="X581" i="4"/>
  <c r="Z581" i="4"/>
  <c r="V401" i="5"/>
  <c r="N401" i="5"/>
  <c r="T401" i="5" s="1"/>
  <c r="U581" i="4"/>
  <c r="V558" i="6"/>
  <c r="K406" i="3"/>
  <c r="T406" i="3" s="1"/>
  <c r="X406" i="3"/>
  <c r="W558" i="6"/>
  <c r="T582" i="4"/>
  <c r="J582" i="4"/>
  <c r="I582" i="4"/>
  <c r="K582" i="4"/>
  <c r="F582" i="4"/>
  <c r="R582" i="4"/>
  <c r="E582" i="4"/>
  <c r="Q582" i="4"/>
  <c r="D582" i="4"/>
  <c r="G582" i="4"/>
  <c r="AA583" i="4" s="1"/>
  <c r="P582" i="4"/>
  <c r="O582" i="4"/>
  <c r="N582" i="4"/>
  <c r="M582" i="4"/>
  <c r="L582" i="4"/>
  <c r="H582" i="4"/>
  <c r="C582" i="4"/>
  <c r="W581" i="4"/>
  <c r="Z558" i="6"/>
  <c r="X401" i="5"/>
  <c r="V582" i="4" l="1"/>
  <c r="M583" i="4"/>
  <c r="C583" i="4"/>
  <c r="L583" i="4"/>
  <c r="N583" i="4"/>
  <c r="D583" i="4"/>
  <c r="H583" i="4"/>
  <c r="T583" i="4"/>
  <c r="G583" i="4"/>
  <c r="AA584" i="4" s="1"/>
  <c r="F583" i="4"/>
  <c r="I583" i="4"/>
  <c r="Q583" i="4"/>
  <c r="P583" i="4"/>
  <c r="O583" i="4"/>
  <c r="K583" i="4"/>
  <c r="J583" i="4"/>
  <c r="E583" i="4"/>
  <c r="R583" i="4"/>
  <c r="W559" i="6"/>
  <c r="Z582" i="4"/>
  <c r="X559" i="6"/>
  <c r="Z401" i="5"/>
  <c r="V559" i="6"/>
  <c r="P560" i="6"/>
  <c r="F560" i="6"/>
  <c r="M560" i="6"/>
  <c r="C560" i="6"/>
  <c r="T560" i="6"/>
  <c r="H560" i="6"/>
  <c r="G560" i="6"/>
  <c r="AA561" i="6" s="1"/>
  <c r="R560" i="6"/>
  <c r="E560" i="6"/>
  <c r="I560" i="6"/>
  <c r="N560" i="6"/>
  <c r="L560" i="6"/>
  <c r="K560" i="6"/>
  <c r="O560" i="6"/>
  <c r="Q560" i="6"/>
  <c r="J560" i="6"/>
  <c r="D560" i="6"/>
  <c r="Q407" i="3"/>
  <c r="G407" i="3"/>
  <c r="AA408" i="3" s="1"/>
  <c r="E407" i="3"/>
  <c r="R407" i="3"/>
  <c r="D407" i="3"/>
  <c r="C407" i="3"/>
  <c r="W406" i="3"/>
  <c r="Z406" i="3"/>
  <c r="U559" i="6"/>
  <c r="X582" i="4"/>
  <c r="M402" i="5"/>
  <c r="C402" i="5"/>
  <c r="G402" i="5"/>
  <c r="AA403" i="5" s="1"/>
  <c r="R402" i="5"/>
  <c r="Q402" i="5"/>
  <c r="E402" i="5"/>
  <c r="P402" i="5" s="1"/>
  <c r="D402" i="5"/>
  <c r="Z559" i="6"/>
  <c r="W582" i="4"/>
  <c r="U582" i="4"/>
  <c r="X583" i="4" l="1"/>
  <c r="U583" i="4"/>
  <c r="P584" i="4"/>
  <c r="F584" i="4"/>
  <c r="O584" i="4"/>
  <c r="E584" i="4"/>
  <c r="Q584" i="4"/>
  <c r="G584" i="4"/>
  <c r="AA585" i="4" s="1"/>
  <c r="J584" i="4"/>
  <c r="I584" i="4"/>
  <c r="U584" i="4" s="1"/>
  <c r="H584" i="4"/>
  <c r="K584" i="4"/>
  <c r="M584" i="4"/>
  <c r="L584" i="4"/>
  <c r="D584" i="4"/>
  <c r="C584" i="4"/>
  <c r="N584" i="4"/>
  <c r="T584" i="4"/>
  <c r="R584" i="4"/>
  <c r="Z560" i="6"/>
  <c r="W560" i="6"/>
  <c r="V560" i="6"/>
  <c r="X560" i="6"/>
  <c r="W583" i="4"/>
  <c r="F402" i="5"/>
  <c r="F407" i="3"/>
  <c r="V583" i="4"/>
  <c r="P407" i="3"/>
  <c r="U560" i="6"/>
  <c r="Z583" i="4"/>
  <c r="I561" i="6"/>
  <c r="R561" i="6"/>
  <c r="H561" i="6"/>
  <c r="P561" i="6"/>
  <c r="F561" i="6"/>
  <c r="G561" i="6"/>
  <c r="AA562" i="6" s="1"/>
  <c r="E561" i="6"/>
  <c r="T561" i="6"/>
  <c r="D561" i="6"/>
  <c r="J561" i="6"/>
  <c r="L561" i="6"/>
  <c r="K561" i="6"/>
  <c r="C561" i="6"/>
  <c r="M561" i="6"/>
  <c r="Q561" i="6"/>
  <c r="N561" i="6"/>
  <c r="O561" i="6"/>
  <c r="V561" i="6" l="1"/>
  <c r="O407" i="3"/>
  <c r="X561" i="6"/>
  <c r="H402" i="5"/>
  <c r="I402" i="5" s="1"/>
  <c r="O402" i="5"/>
  <c r="Z561" i="6"/>
  <c r="Z584" i="4"/>
  <c r="U561" i="6"/>
  <c r="H407" i="3"/>
  <c r="V584" i="4"/>
  <c r="X584" i="4"/>
  <c r="I585" i="4"/>
  <c r="R585" i="4"/>
  <c r="H585" i="4"/>
  <c r="T585" i="4"/>
  <c r="J585" i="4"/>
  <c r="K585" i="4"/>
  <c r="G585" i="4"/>
  <c r="AA586" i="4" s="1"/>
  <c r="F585" i="4"/>
  <c r="L585" i="4"/>
  <c r="V585" i="4" s="1"/>
  <c r="E585" i="4"/>
  <c r="D585" i="4"/>
  <c r="C585" i="4"/>
  <c r="Q585" i="4"/>
  <c r="O585" i="4"/>
  <c r="N585" i="4"/>
  <c r="M585" i="4"/>
  <c r="P585" i="4"/>
  <c r="L562" i="6"/>
  <c r="K562" i="6"/>
  <c r="I562" i="6"/>
  <c r="G562" i="6"/>
  <c r="AA563" i="6" s="1"/>
  <c r="T562" i="6"/>
  <c r="F562" i="6"/>
  <c r="R562" i="6"/>
  <c r="E562" i="6"/>
  <c r="H562" i="6"/>
  <c r="D562" i="6"/>
  <c r="C562" i="6"/>
  <c r="J562" i="6"/>
  <c r="Q562" i="6"/>
  <c r="P562" i="6"/>
  <c r="O562" i="6"/>
  <c r="N562" i="6"/>
  <c r="M562" i="6"/>
  <c r="W584" i="4"/>
  <c r="W561" i="6"/>
  <c r="U402" i="5" l="1"/>
  <c r="J402" i="5"/>
  <c r="K402" i="5" s="1"/>
  <c r="W402" i="5" s="1"/>
  <c r="Z562" i="6"/>
  <c r="V562" i="6"/>
  <c r="X585" i="4"/>
  <c r="X562" i="6"/>
  <c r="U585" i="4"/>
  <c r="U562" i="6"/>
  <c r="L402" i="5"/>
  <c r="W562" i="6"/>
  <c r="Z585" i="4"/>
  <c r="O563" i="6"/>
  <c r="E563" i="6"/>
  <c r="N563" i="6"/>
  <c r="D563" i="6"/>
  <c r="L563" i="6"/>
  <c r="I563" i="6"/>
  <c r="H563" i="6"/>
  <c r="T563" i="6"/>
  <c r="G563" i="6"/>
  <c r="AA564" i="6" s="1"/>
  <c r="J563" i="6"/>
  <c r="C563" i="6"/>
  <c r="K563" i="6"/>
  <c r="F563" i="6"/>
  <c r="M563" i="6"/>
  <c r="P563" i="6"/>
  <c r="Q563" i="6"/>
  <c r="R563" i="6"/>
  <c r="I407" i="3"/>
  <c r="L407" i="3" s="1"/>
  <c r="W585" i="4"/>
  <c r="L586" i="4"/>
  <c r="K586" i="4"/>
  <c r="M586" i="4"/>
  <c r="C586" i="4"/>
  <c r="H586" i="4"/>
  <c r="T586" i="4"/>
  <c r="G586" i="4"/>
  <c r="AA587" i="4" s="1"/>
  <c r="F586" i="4"/>
  <c r="I586" i="4"/>
  <c r="R586" i="4"/>
  <c r="Q586" i="4"/>
  <c r="P586" i="4"/>
  <c r="O586" i="4"/>
  <c r="N586" i="4"/>
  <c r="E586" i="4"/>
  <c r="D586" i="4"/>
  <c r="J586" i="4"/>
  <c r="V563" i="6" l="1"/>
  <c r="V407" i="3"/>
  <c r="N407" i="3"/>
  <c r="X563" i="6"/>
  <c r="Z586" i="4"/>
  <c r="O587" i="4"/>
  <c r="E587" i="4"/>
  <c r="N587" i="4"/>
  <c r="D587" i="4"/>
  <c r="P587" i="4"/>
  <c r="F587" i="4"/>
  <c r="J587" i="4"/>
  <c r="I587" i="4"/>
  <c r="H587" i="4"/>
  <c r="K587" i="4"/>
  <c r="R587" i="4"/>
  <c r="Q587" i="4"/>
  <c r="M587" i="4"/>
  <c r="L587" i="4"/>
  <c r="G587" i="4"/>
  <c r="AA588" i="4" s="1"/>
  <c r="C587" i="4"/>
  <c r="T587" i="4"/>
  <c r="W563" i="6"/>
  <c r="W586" i="4"/>
  <c r="U586" i="4"/>
  <c r="R564" i="6"/>
  <c r="H564" i="6"/>
  <c r="Q564" i="6"/>
  <c r="G564" i="6"/>
  <c r="AA565" i="6" s="1"/>
  <c r="O564" i="6"/>
  <c r="E564" i="6"/>
  <c r="K564" i="6"/>
  <c r="J564" i="6"/>
  <c r="I564" i="6"/>
  <c r="L564" i="6"/>
  <c r="T564" i="6"/>
  <c r="M564" i="6"/>
  <c r="F564" i="6"/>
  <c r="D564" i="6"/>
  <c r="C564" i="6"/>
  <c r="N564" i="6"/>
  <c r="P564" i="6"/>
  <c r="X586" i="4"/>
  <c r="Z563" i="6"/>
  <c r="V586" i="4"/>
  <c r="U407" i="3"/>
  <c r="J407" i="3"/>
  <c r="U563" i="6"/>
  <c r="V402" i="5"/>
  <c r="N402" i="5"/>
  <c r="T402" i="5" s="1"/>
  <c r="V587" i="4" l="1"/>
  <c r="V564" i="6"/>
  <c r="X587" i="4"/>
  <c r="X402" i="5"/>
  <c r="Z564" i="6"/>
  <c r="Z587" i="4"/>
  <c r="D403" i="5"/>
  <c r="R403" i="5"/>
  <c r="G403" i="5"/>
  <c r="AA404" i="5" s="1"/>
  <c r="Q403" i="5"/>
  <c r="E403" i="5"/>
  <c r="P403" i="5" s="1"/>
  <c r="C403" i="5"/>
  <c r="F403" i="5" s="1"/>
  <c r="M403" i="5"/>
  <c r="K407" i="3"/>
  <c r="X564" i="6"/>
  <c r="I565" i="6"/>
  <c r="M565" i="6"/>
  <c r="L565" i="6"/>
  <c r="V565" i="6" s="1"/>
  <c r="J565" i="6"/>
  <c r="N565" i="6"/>
  <c r="K565" i="6"/>
  <c r="H565" i="6"/>
  <c r="O565" i="6"/>
  <c r="T565" i="6"/>
  <c r="R565" i="6"/>
  <c r="Q565" i="6"/>
  <c r="P565" i="6"/>
  <c r="G565" i="6"/>
  <c r="AA566" i="6" s="1"/>
  <c r="F565" i="6"/>
  <c r="E565" i="6"/>
  <c r="D565" i="6"/>
  <c r="C565" i="6"/>
  <c r="Z402" i="5"/>
  <c r="W587" i="4"/>
  <c r="U564" i="6"/>
  <c r="T407" i="3"/>
  <c r="U587" i="4"/>
  <c r="W564" i="6"/>
  <c r="R588" i="4"/>
  <c r="H588" i="4"/>
  <c r="Q588" i="4"/>
  <c r="G588" i="4"/>
  <c r="AA589" i="4" s="1"/>
  <c r="I588" i="4"/>
  <c r="K588" i="4"/>
  <c r="J588" i="4"/>
  <c r="F588" i="4"/>
  <c r="L588" i="4"/>
  <c r="M588" i="4"/>
  <c r="E588" i="4"/>
  <c r="D588" i="4"/>
  <c r="C588" i="4"/>
  <c r="T588" i="4"/>
  <c r="P588" i="4"/>
  <c r="O588" i="4"/>
  <c r="N588" i="4"/>
  <c r="Z588" i="4" l="1"/>
  <c r="O403" i="5"/>
  <c r="X565" i="6"/>
  <c r="V588" i="4"/>
  <c r="K589" i="4"/>
  <c r="T589" i="4"/>
  <c r="J589" i="4"/>
  <c r="L589" i="4"/>
  <c r="V589" i="4" s="1"/>
  <c r="I589" i="4"/>
  <c r="H589" i="4"/>
  <c r="G589" i="4"/>
  <c r="AA590" i="4" s="1"/>
  <c r="M589" i="4"/>
  <c r="D589" i="4"/>
  <c r="C589" i="4"/>
  <c r="R589" i="4"/>
  <c r="Q589" i="4"/>
  <c r="P589" i="4"/>
  <c r="O589" i="4"/>
  <c r="N589" i="4"/>
  <c r="F589" i="4"/>
  <c r="E589" i="4"/>
  <c r="Z565" i="6"/>
  <c r="W565" i="6"/>
  <c r="H403" i="5"/>
  <c r="R408" i="3"/>
  <c r="Q408" i="3"/>
  <c r="C408" i="3"/>
  <c r="E408" i="3"/>
  <c r="P408" i="3" s="1"/>
  <c r="D408" i="3"/>
  <c r="G408" i="3"/>
  <c r="AA409" i="3" s="1"/>
  <c r="U565" i="6"/>
  <c r="W588" i="4"/>
  <c r="L566" i="6"/>
  <c r="H566" i="6"/>
  <c r="R566" i="6"/>
  <c r="G566" i="6"/>
  <c r="AA567" i="6" s="1"/>
  <c r="P566" i="6"/>
  <c r="E566" i="6"/>
  <c r="Q566" i="6"/>
  <c r="O566" i="6"/>
  <c r="N566" i="6"/>
  <c r="T566" i="6"/>
  <c r="C566" i="6"/>
  <c r="M566" i="6"/>
  <c r="K566" i="6"/>
  <c r="I566" i="6"/>
  <c r="F566" i="6"/>
  <c r="D566" i="6"/>
  <c r="J566" i="6"/>
  <c r="Z407" i="3"/>
  <c r="X588" i="4"/>
  <c r="U588" i="4"/>
  <c r="W407" i="3"/>
  <c r="X407" i="3"/>
  <c r="W566" i="6" l="1"/>
  <c r="W589" i="4"/>
  <c r="U566" i="6"/>
  <c r="Z566" i="6"/>
  <c r="L403" i="5"/>
  <c r="O567" i="6"/>
  <c r="E567" i="6"/>
  <c r="N567" i="6"/>
  <c r="C567" i="6"/>
  <c r="M567" i="6"/>
  <c r="K567" i="6"/>
  <c r="G567" i="6"/>
  <c r="AA568" i="6" s="1"/>
  <c r="T567" i="6"/>
  <c r="F567" i="6"/>
  <c r="D567" i="6"/>
  <c r="H567" i="6"/>
  <c r="Q567" i="6"/>
  <c r="P567" i="6"/>
  <c r="L567" i="6"/>
  <c r="R567" i="6"/>
  <c r="I567" i="6"/>
  <c r="J567" i="6"/>
  <c r="Z589" i="4"/>
  <c r="N590" i="4"/>
  <c r="D590" i="4"/>
  <c r="M590" i="4"/>
  <c r="C590" i="4"/>
  <c r="O590" i="4"/>
  <c r="E590" i="4"/>
  <c r="K590" i="4"/>
  <c r="J590" i="4"/>
  <c r="I590" i="4"/>
  <c r="L590" i="4"/>
  <c r="T590" i="4"/>
  <c r="R590" i="4"/>
  <c r="Q590" i="4"/>
  <c r="P590" i="4"/>
  <c r="H590" i="4"/>
  <c r="G590" i="4"/>
  <c r="AA591" i="4" s="1"/>
  <c r="F590" i="4"/>
  <c r="V566" i="6"/>
  <c r="I403" i="5"/>
  <c r="F408" i="3"/>
  <c r="X589" i="4"/>
  <c r="H408" i="3"/>
  <c r="X566" i="6"/>
  <c r="U589" i="4"/>
  <c r="I408" i="3" l="1"/>
  <c r="U408" i="3" s="1"/>
  <c r="V567" i="6"/>
  <c r="Z567" i="6"/>
  <c r="V590" i="4"/>
  <c r="V403" i="5"/>
  <c r="N403" i="5"/>
  <c r="X567" i="6"/>
  <c r="O408" i="3"/>
  <c r="J408" i="3"/>
  <c r="K408" i="3" s="1"/>
  <c r="W408" i="3" s="1"/>
  <c r="R568" i="6"/>
  <c r="H568" i="6"/>
  <c r="J568" i="6"/>
  <c r="T568" i="6"/>
  <c r="I568" i="6"/>
  <c r="Q568" i="6"/>
  <c r="F568" i="6"/>
  <c r="L568" i="6"/>
  <c r="K568" i="6"/>
  <c r="G568" i="6"/>
  <c r="AA569" i="6" s="1"/>
  <c r="M568" i="6"/>
  <c r="P568" i="6"/>
  <c r="O568" i="6"/>
  <c r="N568" i="6"/>
  <c r="E568" i="6"/>
  <c r="D568" i="6"/>
  <c r="C568" i="6"/>
  <c r="U590" i="4"/>
  <c r="U567" i="6"/>
  <c r="W567" i="6"/>
  <c r="Z590" i="4"/>
  <c r="L408" i="3"/>
  <c r="Q591" i="4"/>
  <c r="G591" i="4"/>
  <c r="AA592" i="4" s="1"/>
  <c r="P591" i="4"/>
  <c r="F591" i="4"/>
  <c r="R591" i="4"/>
  <c r="H591" i="4"/>
  <c r="L591" i="4"/>
  <c r="K591" i="4"/>
  <c r="J591" i="4"/>
  <c r="M591" i="4"/>
  <c r="O591" i="4"/>
  <c r="N591" i="4"/>
  <c r="I591" i="4"/>
  <c r="E591" i="4"/>
  <c r="D591" i="4"/>
  <c r="C591" i="4"/>
  <c r="T591" i="4"/>
  <c r="U403" i="5"/>
  <c r="J403" i="5"/>
  <c r="X590" i="4"/>
  <c r="W590" i="4"/>
  <c r="X568" i="6" l="1"/>
  <c r="W568" i="6"/>
  <c r="Z591" i="4"/>
  <c r="V568" i="6"/>
  <c r="K403" i="5"/>
  <c r="W403" i="5" s="1"/>
  <c r="X403" i="5"/>
  <c r="W591" i="4"/>
  <c r="T592" i="4"/>
  <c r="J592" i="4"/>
  <c r="I592" i="4"/>
  <c r="K592" i="4"/>
  <c r="M592" i="4"/>
  <c r="L592" i="4"/>
  <c r="H592" i="4"/>
  <c r="N592" i="4"/>
  <c r="E592" i="4"/>
  <c r="D592" i="4"/>
  <c r="C592" i="4"/>
  <c r="R592" i="4"/>
  <c r="Q592" i="4"/>
  <c r="P592" i="4"/>
  <c r="O592" i="4"/>
  <c r="G592" i="4"/>
  <c r="AA593" i="4" s="1"/>
  <c r="F592" i="4"/>
  <c r="V591" i="4"/>
  <c r="Z568" i="6"/>
  <c r="U591" i="4"/>
  <c r="T403" i="5"/>
  <c r="Z403" i="5" s="1"/>
  <c r="O569" i="6"/>
  <c r="E569" i="6"/>
  <c r="M569" i="6"/>
  <c r="T569" i="6"/>
  <c r="H569" i="6"/>
  <c r="G569" i="6"/>
  <c r="AA570" i="6" s="1"/>
  <c r="R569" i="6"/>
  <c r="F569" i="6"/>
  <c r="P569" i="6"/>
  <c r="C569" i="6"/>
  <c r="D569" i="6"/>
  <c r="Q569" i="6"/>
  <c r="N569" i="6"/>
  <c r="L569" i="6"/>
  <c r="I569" i="6"/>
  <c r="J569" i="6"/>
  <c r="K569" i="6"/>
  <c r="U568" i="6"/>
  <c r="V408" i="3"/>
  <c r="N408" i="3"/>
  <c r="X591" i="4"/>
  <c r="U592" i="4" l="1"/>
  <c r="W592" i="4"/>
  <c r="V569" i="6"/>
  <c r="R570" i="6"/>
  <c r="H570" i="6"/>
  <c r="T570" i="6"/>
  <c r="I570" i="6"/>
  <c r="Q570" i="6"/>
  <c r="E570" i="6"/>
  <c r="P570" i="6"/>
  <c r="D570" i="6"/>
  <c r="O570" i="6"/>
  <c r="C570" i="6"/>
  <c r="M570" i="6"/>
  <c r="N570" i="6"/>
  <c r="L570" i="6"/>
  <c r="K570" i="6"/>
  <c r="J570" i="6"/>
  <c r="G570" i="6"/>
  <c r="AA571" i="6" s="1"/>
  <c r="F570" i="6"/>
  <c r="X592" i="4"/>
  <c r="T408" i="3"/>
  <c r="X408" i="3"/>
  <c r="U569" i="6"/>
  <c r="V592" i="4"/>
  <c r="Z569" i="6"/>
  <c r="Z592" i="4"/>
  <c r="M593" i="4"/>
  <c r="C593" i="4"/>
  <c r="L593" i="4"/>
  <c r="N593" i="4"/>
  <c r="D593" i="4"/>
  <c r="O593" i="4"/>
  <c r="K593" i="4"/>
  <c r="J593" i="4"/>
  <c r="P593" i="4"/>
  <c r="T593" i="4"/>
  <c r="R593" i="4"/>
  <c r="Q593" i="4"/>
  <c r="I593" i="4"/>
  <c r="H593" i="4"/>
  <c r="G593" i="4"/>
  <c r="AA594" i="4" s="1"/>
  <c r="F593" i="4"/>
  <c r="E593" i="4"/>
  <c r="Q404" i="5"/>
  <c r="G404" i="5"/>
  <c r="AA405" i="5" s="1"/>
  <c r="C404" i="5"/>
  <c r="M404" i="5"/>
  <c r="D404" i="5"/>
  <c r="E404" i="5"/>
  <c r="R404" i="5"/>
  <c r="X569" i="6"/>
  <c r="W569" i="6"/>
  <c r="V593" i="4" l="1"/>
  <c r="Z570" i="6"/>
  <c r="X570" i="6"/>
  <c r="V570" i="6"/>
  <c r="K571" i="6"/>
  <c r="N571" i="6"/>
  <c r="C571" i="6"/>
  <c r="O571" i="6"/>
  <c r="M571" i="6"/>
  <c r="L571" i="6"/>
  <c r="I571" i="6"/>
  <c r="E571" i="6"/>
  <c r="T571" i="6"/>
  <c r="D571" i="6"/>
  <c r="F571" i="6"/>
  <c r="R571" i="6"/>
  <c r="Q571" i="6"/>
  <c r="P571" i="6"/>
  <c r="J571" i="6"/>
  <c r="H571" i="6"/>
  <c r="G571" i="6"/>
  <c r="AA572" i="6" s="1"/>
  <c r="Z593" i="4"/>
  <c r="P594" i="4"/>
  <c r="F594" i="4"/>
  <c r="O594" i="4"/>
  <c r="E594" i="4"/>
  <c r="Q594" i="4"/>
  <c r="G594" i="4"/>
  <c r="AA595" i="4" s="1"/>
  <c r="N594" i="4"/>
  <c r="M594" i="4"/>
  <c r="L594" i="4"/>
  <c r="R594" i="4"/>
  <c r="K594" i="4"/>
  <c r="J594" i="4"/>
  <c r="I594" i="4"/>
  <c r="H594" i="4"/>
  <c r="D594" i="4"/>
  <c r="C594" i="4"/>
  <c r="T594" i="4"/>
  <c r="U570" i="6"/>
  <c r="W593" i="4"/>
  <c r="C409" i="3"/>
  <c r="D409" i="3"/>
  <c r="R409" i="3"/>
  <c r="E409" i="3"/>
  <c r="P409" i="3" s="1"/>
  <c r="G409" i="3"/>
  <c r="AA410" i="3" s="1"/>
  <c r="Q409" i="3"/>
  <c r="U593" i="4"/>
  <c r="P404" i="5"/>
  <c r="W570" i="6"/>
  <c r="F404" i="5"/>
  <c r="X593" i="4"/>
  <c r="Z408" i="3"/>
  <c r="F409" i="3" l="1"/>
  <c r="O409" i="3" s="1"/>
  <c r="V571" i="6"/>
  <c r="H409" i="3"/>
  <c r="Z594" i="4"/>
  <c r="I595" i="4"/>
  <c r="R595" i="4"/>
  <c r="H595" i="4"/>
  <c r="T595" i="4"/>
  <c r="J595" i="4"/>
  <c r="O595" i="4"/>
  <c r="N595" i="4"/>
  <c r="M595" i="4"/>
  <c r="P595" i="4"/>
  <c r="C595" i="4"/>
  <c r="F595" i="4"/>
  <c r="E595" i="4"/>
  <c r="D595" i="4"/>
  <c r="Q595" i="4"/>
  <c r="L595" i="4"/>
  <c r="K595" i="4"/>
  <c r="G595" i="4"/>
  <c r="AA596" i="4" s="1"/>
  <c r="Z571" i="6"/>
  <c r="X571" i="6"/>
  <c r="W571" i="6"/>
  <c r="X594" i="4"/>
  <c r="O404" i="5"/>
  <c r="W594" i="4"/>
  <c r="N572" i="6"/>
  <c r="D572" i="6"/>
  <c r="T572" i="6"/>
  <c r="I572" i="6"/>
  <c r="K572" i="6"/>
  <c r="J572" i="6"/>
  <c r="H572" i="6"/>
  <c r="R572" i="6"/>
  <c r="F572" i="6"/>
  <c r="O572" i="6"/>
  <c r="M572" i="6"/>
  <c r="L572" i="6"/>
  <c r="P572" i="6"/>
  <c r="E572" i="6"/>
  <c r="C572" i="6"/>
  <c r="G572" i="6"/>
  <c r="AA573" i="6" s="1"/>
  <c r="Q572" i="6"/>
  <c r="U594" i="4"/>
  <c r="H404" i="5"/>
  <c r="I404" i="5" s="1"/>
  <c r="V594" i="4"/>
  <c r="U571" i="6"/>
  <c r="U404" i="5" l="1"/>
  <c r="J404" i="5"/>
  <c r="K404" i="5" s="1"/>
  <c r="W404" i="5" s="1"/>
  <c r="V595" i="4"/>
  <c r="L596" i="4"/>
  <c r="K596" i="4"/>
  <c r="M596" i="4"/>
  <c r="C596" i="4"/>
  <c r="O596" i="4"/>
  <c r="N596" i="4"/>
  <c r="J596" i="4"/>
  <c r="P596" i="4"/>
  <c r="R596" i="4"/>
  <c r="Q596" i="4"/>
  <c r="I596" i="4"/>
  <c r="H596" i="4"/>
  <c r="G596" i="4"/>
  <c r="AA597" i="4" s="1"/>
  <c r="F596" i="4"/>
  <c r="E596" i="4"/>
  <c r="D596" i="4"/>
  <c r="T596" i="4"/>
  <c r="W572" i="6"/>
  <c r="Z572" i="6"/>
  <c r="U572" i="6"/>
  <c r="X595" i="4"/>
  <c r="U595" i="4"/>
  <c r="Q573" i="6"/>
  <c r="G573" i="6"/>
  <c r="AA574" i="6" s="1"/>
  <c r="O573" i="6"/>
  <c r="D573" i="6"/>
  <c r="I573" i="6"/>
  <c r="T573" i="6"/>
  <c r="H573" i="6"/>
  <c r="F573" i="6"/>
  <c r="P573" i="6"/>
  <c r="C573" i="6"/>
  <c r="J573" i="6"/>
  <c r="E573" i="6"/>
  <c r="K573" i="6"/>
  <c r="R573" i="6"/>
  <c r="L573" i="6"/>
  <c r="V573" i="6" s="1"/>
  <c r="M573" i="6"/>
  <c r="N573" i="6"/>
  <c r="V572" i="6"/>
  <c r="L404" i="5"/>
  <c r="I409" i="3"/>
  <c r="Z595" i="4"/>
  <c r="X572" i="6"/>
  <c r="W595" i="4"/>
  <c r="U573" i="6" l="1"/>
  <c r="T574" i="6"/>
  <c r="J574" i="6"/>
  <c r="K574" i="6"/>
  <c r="R574" i="6"/>
  <c r="F574" i="6"/>
  <c r="Q574" i="6"/>
  <c r="E574" i="6"/>
  <c r="P574" i="6"/>
  <c r="D574" i="6"/>
  <c r="N574" i="6"/>
  <c r="C574" i="6"/>
  <c r="G574" i="6"/>
  <c r="AA575" i="6" s="1"/>
  <c r="H574" i="6"/>
  <c r="L574" i="6"/>
  <c r="I574" i="6"/>
  <c r="M574" i="6"/>
  <c r="O574" i="6"/>
  <c r="U409" i="3"/>
  <c r="J409" i="3"/>
  <c r="Z596" i="4"/>
  <c r="Z573" i="6"/>
  <c r="V404" i="5"/>
  <c r="N404" i="5"/>
  <c r="W596" i="4"/>
  <c r="O597" i="4"/>
  <c r="E597" i="4"/>
  <c r="N597" i="4"/>
  <c r="D597" i="4"/>
  <c r="M597" i="4"/>
  <c r="P597" i="4"/>
  <c r="F597" i="4"/>
  <c r="R597" i="4"/>
  <c r="Q597" i="4"/>
  <c r="L597" i="4"/>
  <c r="J597" i="4"/>
  <c r="I597" i="4"/>
  <c r="H597" i="4"/>
  <c r="G597" i="4"/>
  <c r="AA598" i="4" s="1"/>
  <c r="C597" i="4"/>
  <c r="T597" i="4"/>
  <c r="K597" i="4"/>
  <c r="W573" i="6"/>
  <c r="X573" i="6"/>
  <c r="U596" i="4"/>
  <c r="V596" i="4"/>
  <c r="X596" i="4"/>
  <c r="L409" i="3"/>
  <c r="X404" i="5"/>
  <c r="K409" i="3" l="1"/>
  <c r="W409" i="3" s="1"/>
  <c r="V409" i="3"/>
  <c r="N409" i="3"/>
  <c r="T409" i="3" s="1"/>
  <c r="V597" i="4"/>
  <c r="X574" i="6"/>
  <c r="T404" i="5"/>
  <c r="Z597" i="4"/>
  <c r="X409" i="3"/>
  <c r="U597" i="4"/>
  <c r="W574" i="6"/>
  <c r="U574" i="6"/>
  <c r="V574" i="6"/>
  <c r="X597" i="4"/>
  <c r="W597" i="4"/>
  <c r="R598" i="4"/>
  <c r="H598" i="4"/>
  <c r="Q598" i="4"/>
  <c r="G598" i="4"/>
  <c r="AA599" i="4" s="1"/>
  <c r="P598" i="4"/>
  <c r="F598" i="4"/>
  <c r="I598" i="4"/>
  <c r="D598" i="4"/>
  <c r="C598" i="4"/>
  <c r="T598" i="4"/>
  <c r="E598" i="4"/>
  <c r="L598" i="4"/>
  <c r="K598" i="4"/>
  <c r="J598" i="4"/>
  <c r="O598" i="4"/>
  <c r="N598" i="4"/>
  <c r="M598" i="4"/>
  <c r="Z574" i="6"/>
  <c r="M575" i="6"/>
  <c r="C575" i="6"/>
  <c r="Q575" i="6"/>
  <c r="F575" i="6"/>
  <c r="P575" i="6"/>
  <c r="D575" i="6"/>
  <c r="O575" i="6"/>
  <c r="N575" i="6"/>
  <c r="K575" i="6"/>
  <c r="L575" i="6"/>
  <c r="J575" i="6"/>
  <c r="I575" i="6"/>
  <c r="R575" i="6"/>
  <c r="G575" i="6"/>
  <c r="AA576" i="6" s="1"/>
  <c r="E575" i="6"/>
  <c r="H575" i="6"/>
  <c r="T575" i="6"/>
  <c r="W598" i="4" l="1"/>
  <c r="Z598" i="4"/>
  <c r="M405" i="5"/>
  <c r="Q405" i="5"/>
  <c r="E405" i="5"/>
  <c r="P405" i="5" s="1"/>
  <c r="D405" i="5"/>
  <c r="C405" i="5"/>
  <c r="R405" i="5"/>
  <c r="G405" i="5"/>
  <c r="AA406" i="5" s="1"/>
  <c r="V598" i="4"/>
  <c r="Z404" i="5"/>
  <c r="K599" i="4"/>
  <c r="T599" i="4"/>
  <c r="J599" i="4"/>
  <c r="I599" i="4"/>
  <c r="L599" i="4"/>
  <c r="H599" i="4"/>
  <c r="G599" i="4"/>
  <c r="AA600" i="4" s="1"/>
  <c r="F599" i="4"/>
  <c r="M599" i="4"/>
  <c r="N599" i="4"/>
  <c r="E599" i="4"/>
  <c r="D599" i="4"/>
  <c r="C599" i="4"/>
  <c r="R599" i="4"/>
  <c r="Q599" i="4"/>
  <c r="P599" i="4"/>
  <c r="O599" i="4"/>
  <c r="Z575" i="6"/>
  <c r="E410" i="3"/>
  <c r="D410" i="3"/>
  <c r="Q410" i="3"/>
  <c r="G410" i="3"/>
  <c r="AA411" i="3" s="1"/>
  <c r="R410" i="3"/>
  <c r="C410" i="3"/>
  <c r="U598" i="4"/>
  <c r="X575" i="6"/>
  <c r="U575" i="6"/>
  <c r="Z409" i="3"/>
  <c r="V575" i="6"/>
  <c r="W575" i="6"/>
  <c r="X598" i="4"/>
  <c r="T576" i="6"/>
  <c r="P576" i="6"/>
  <c r="F576" i="6"/>
  <c r="L576" i="6"/>
  <c r="M576" i="6"/>
  <c r="K576" i="6"/>
  <c r="J576" i="6"/>
  <c r="H576" i="6"/>
  <c r="D576" i="6"/>
  <c r="C576" i="6"/>
  <c r="E576" i="6"/>
  <c r="I576" i="6"/>
  <c r="G576" i="6"/>
  <c r="AA577" i="6" s="1"/>
  <c r="N576" i="6"/>
  <c r="O576" i="6"/>
  <c r="R576" i="6"/>
  <c r="Q576" i="6"/>
  <c r="P410" i="3" l="1"/>
  <c r="W576" i="6"/>
  <c r="V576" i="6"/>
  <c r="V599" i="4"/>
  <c r="W599" i="4"/>
  <c r="R577" i="6"/>
  <c r="H577" i="6"/>
  <c r="M577" i="6"/>
  <c r="C577" i="6"/>
  <c r="L577" i="6"/>
  <c r="J577" i="6"/>
  <c r="N577" i="6"/>
  <c r="Q577" i="6"/>
  <c r="P577" i="6"/>
  <c r="O577" i="6"/>
  <c r="I577" i="6"/>
  <c r="T577" i="6"/>
  <c r="F577" i="6"/>
  <c r="E577" i="6"/>
  <c r="D577" i="6"/>
  <c r="G577" i="6"/>
  <c r="AA578" i="6" s="1"/>
  <c r="K577" i="6"/>
  <c r="Z576" i="6"/>
  <c r="F410" i="3"/>
  <c r="H410" i="3" s="1"/>
  <c r="X599" i="4"/>
  <c r="X576" i="6"/>
  <c r="U576" i="6"/>
  <c r="U599" i="4"/>
  <c r="Z599" i="4"/>
  <c r="F405" i="5"/>
  <c r="N600" i="4"/>
  <c r="D600" i="4"/>
  <c r="M600" i="4"/>
  <c r="C600" i="4"/>
  <c r="L600" i="4"/>
  <c r="O600" i="4"/>
  <c r="E600" i="4"/>
  <c r="Q600" i="4"/>
  <c r="P600" i="4"/>
  <c r="K600" i="4"/>
  <c r="R600" i="4"/>
  <c r="H600" i="4"/>
  <c r="G600" i="4"/>
  <c r="AA601" i="4" s="1"/>
  <c r="F600" i="4"/>
  <c r="T600" i="4"/>
  <c r="J600" i="4"/>
  <c r="I600" i="4"/>
  <c r="V600" i="4" l="1"/>
  <c r="X577" i="6"/>
  <c r="I410" i="3"/>
  <c r="U410" i="3" s="1"/>
  <c r="U577" i="6"/>
  <c r="U600" i="4"/>
  <c r="V577" i="6"/>
  <c r="Z600" i="4"/>
  <c r="Z577" i="6"/>
  <c r="X600" i="4"/>
  <c r="O405" i="5"/>
  <c r="Q601" i="4"/>
  <c r="G601" i="4"/>
  <c r="AA602" i="4" s="1"/>
  <c r="P601" i="4"/>
  <c r="F601" i="4"/>
  <c r="O601" i="4"/>
  <c r="E601" i="4"/>
  <c r="R601" i="4"/>
  <c r="H601" i="4"/>
  <c r="C601" i="4"/>
  <c r="T601" i="4"/>
  <c r="D601" i="4"/>
  <c r="N601" i="4"/>
  <c r="M601" i="4"/>
  <c r="L601" i="4"/>
  <c r="K601" i="4"/>
  <c r="J601" i="4"/>
  <c r="I601" i="4"/>
  <c r="K578" i="6"/>
  <c r="P578" i="6"/>
  <c r="F578" i="6"/>
  <c r="I578" i="6"/>
  <c r="J578" i="6"/>
  <c r="M578" i="6"/>
  <c r="E578" i="6"/>
  <c r="T578" i="6"/>
  <c r="D578" i="6"/>
  <c r="C578" i="6"/>
  <c r="Q578" i="6"/>
  <c r="R578" i="6"/>
  <c r="O578" i="6"/>
  <c r="N578" i="6"/>
  <c r="L578" i="6"/>
  <c r="H578" i="6"/>
  <c r="G578" i="6"/>
  <c r="AA579" i="6" s="1"/>
  <c r="J410" i="3"/>
  <c r="K410" i="3" s="1"/>
  <c r="W410" i="3" s="1"/>
  <c r="O410" i="3"/>
  <c r="W600" i="4"/>
  <c r="W577" i="6"/>
  <c r="I405" i="5"/>
  <c r="U405" i="5" s="1"/>
  <c r="L410" i="3"/>
  <c r="H405" i="5"/>
  <c r="W578" i="6" l="1"/>
  <c r="J405" i="5"/>
  <c r="K405" i="5" s="1"/>
  <c r="W405" i="5" s="1"/>
  <c r="U601" i="4"/>
  <c r="U578" i="6"/>
  <c r="X578" i="6"/>
  <c r="T602" i="4"/>
  <c r="J602" i="4"/>
  <c r="I602" i="4"/>
  <c r="R602" i="4"/>
  <c r="H602" i="4"/>
  <c r="K602" i="4"/>
  <c r="F602" i="4"/>
  <c r="E602" i="4"/>
  <c r="D602" i="4"/>
  <c r="G602" i="4"/>
  <c r="AA603" i="4" s="1"/>
  <c r="Q602" i="4"/>
  <c r="P602" i="4"/>
  <c r="O602" i="4"/>
  <c r="N602" i="4"/>
  <c r="M602" i="4"/>
  <c r="L602" i="4"/>
  <c r="C602" i="4"/>
  <c r="Z601" i="4"/>
  <c r="N579" i="6"/>
  <c r="D579" i="6"/>
  <c r="I579" i="6"/>
  <c r="T579" i="6"/>
  <c r="G579" i="6"/>
  <c r="AA580" i="6" s="1"/>
  <c r="K579" i="6"/>
  <c r="M579" i="6"/>
  <c r="O579" i="6"/>
  <c r="L579" i="6"/>
  <c r="J579" i="6"/>
  <c r="F579" i="6"/>
  <c r="R579" i="6"/>
  <c r="Q579" i="6"/>
  <c r="P579" i="6"/>
  <c r="H579" i="6"/>
  <c r="E579" i="6"/>
  <c r="C579" i="6"/>
  <c r="X601" i="4"/>
  <c r="L405" i="5"/>
  <c r="Z578" i="6"/>
  <c r="W601" i="4"/>
  <c r="V601" i="4"/>
  <c r="V410" i="3"/>
  <c r="N410" i="3"/>
  <c r="V578" i="6"/>
  <c r="W579" i="6" l="1"/>
  <c r="Z579" i="6"/>
  <c r="T410" i="3"/>
  <c r="Z410" i="3" s="1"/>
  <c r="U602" i="4"/>
  <c r="Q580" i="6"/>
  <c r="G580" i="6"/>
  <c r="AA581" i="6" s="1"/>
  <c r="L580" i="6"/>
  <c r="R580" i="6"/>
  <c r="E580" i="6"/>
  <c r="K580" i="6"/>
  <c r="N580" i="6"/>
  <c r="D580" i="6"/>
  <c r="T580" i="6"/>
  <c r="C580" i="6"/>
  <c r="O580" i="6"/>
  <c r="P580" i="6"/>
  <c r="M580" i="6"/>
  <c r="I580" i="6"/>
  <c r="H580" i="6"/>
  <c r="F580" i="6"/>
  <c r="J580" i="6"/>
  <c r="U579" i="6"/>
  <c r="X410" i="3"/>
  <c r="M603" i="4"/>
  <c r="C603" i="4"/>
  <c r="L603" i="4"/>
  <c r="K603" i="4"/>
  <c r="N603" i="4"/>
  <c r="D603" i="4"/>
  <c r="J603" i="4"/>
  <c r="I603" i="4"/>
  <c r="H603" i="4"/>
  <c r="O603" i="4"/>
  <c r="T603" i="4"/>
  <c r="R603" i="4"/>
  <c r="Q603" i="4"/>
  <c r="P603" i="4"/>
  <c r="G603" i="4"/>
  <c r="AA604" i="4" s="1"/>
  <c r="F603" i="4"/>
  <c r="E603" i="4"/>
  <c r="X579" i="6"/>
  <c r="V405" i="5"/>
  <c r="N405" i="5"/>
  <c r="Z602" i="4"/>
  <c r="X602" i="4"/>
  <c r="V579" i="6"/>
  <c r="V602" i="4"/>
  <c r="W602" i="4"/>
  <c r="X405" i="5"/>
  <c r="U580" i="6" l="1"/>
  <c r="U603" i="4"/>
  <c r="X603" i="4"/>
  <c r="V580" i="6"/>
  <c r="Z580" i="6"/>
  <c r="W603" i="4"/>
  <c r="V603" i="4"/>
  <c r="Z603" i="4"/>
  <c r="P604" i="4"/>
  <c r="F604" i="4"/>
  <c r="O604" i="4"/>
  <c r="E604" i="4"/>
  <c r="N604" i="4"/>
  <c r="D604" i="4"/>
  <c r="Q604" i="4"/>
  <c r="G604" i="4"/>
  <c r="AA605" i="4" s="1"/>
  <c r="R604" i="4"/>
  <c r="M604" i="4"/>
  <c r="T604" i="4"/>
  <c r="L604" i="4"/>
  <c r="K604" i="4"/>
  <c r="J604" i="4"/>
  <c r="I604" i="4"/>
  <c r="H604" i="4"/>
  <c r="C604" i="4"/>
  <c r="T405" i="5"/>
  <c r="Z405" i="5" s="1"/>
  <c r="T581" i="6"/>
  <c r="J581" i="6"/>
  <c r="O581" i="6"/>
  <c r="E581" i="6"/>
  <c r="P581" i="6"/>
  <c r="C581" i="6"/>
  <c r="L581" i="6"/>
  <c r="N581" i="6"/>
  <c r="I581" i="6"/>
  <c r="H581" i="6"/>
  <c r="G581" i="6"/>
  <c r="AA582" i="6" s="1"/>
  <c r="D581" i="6"/>
  <c r="R581" i="6"/>
  <c r="Q581" i="6"/>
  <c r="M581" i="6"/>
  <c r="K581" i="6"/>
  <c r="F581" i="6"/>
  <c r="X580" i="6"/>
  <c r="W580" i="6"/>
  <c r="R411" i="3"/>
  <c r="Q411" i="3"/>
  <c r="G411" i="3"/>
  <c r="AA412" i="3" s="1"/>
  <c r="E411" i="3"/>
  <c r="P411" i="3" s="1"/>
  <c r="D411" i="3"/>
  <c r="C411" i="3"/>
  <c r="V604" i="4" l="1"/>
  <c r="U581" i="6"/>
  <c r="W581" i="6"/>
  <c r="Z581" i="6"/>
  <c r="W604" i="4"/>
  <c r="X604" i="4"/>
  <c r="I605" i="4"/>
  <c r="R605" i="4"/>
  <c r="H605" i="4"/>
  <c r="Q605" i="4"/>
  <c r="G605" i="4"/>
  <c r="T605" i="4"/>
  <c r="J605" i="4"/>
  <c r="E605" i="4"/>
  <c r="D605" i="4"/>
  <c r="C605" i="4"/>
  <c r="F605" i="4"/>
  <c r="O605" i="4"/>
  <c r="N605" i="4"/>
  <c r="M605" i="4"/>
  <c r="L605" i="4"/>
  <c r="K605" i="4"/>
  <c r="P605" i="4"/>
  <c r="M582" i="6"/>
  <c r="C582" i="6"/>
  <c r="R582" i="6"/>
  <c r="H582" i="6"/>
  <c r="N582" i="6"/>
  <c r="K582" i="6"/>
  <c r="O582" i="6"/>
  <c r="P582" i="6"/>
  <c r="L582" i="6"/>
  <c r="J582" i="6"/>
  <c r="G582" i="6"/>
  <c r="AA583" i="6" s="1"/>
  <c r="T582" i="6"/>
  <c r="Q582" i="6"/>
  <c r="D582" i="6"/>
  <c r="E582" i="6"/>
  <c r="I582" i="6"/>
  <c r="F582" i="6"/>
  <c r="M406" i="5"/>
  <c r="C406" i="5"/>
  <c r="E406" i="5"/>
  <c r="P406" i="5" s="1"/>
  <c r="D406" i="5"/>
  <c r="G406" i="5"/>
  <c r="AA407" i="5" s="1"/>
  <c r="R406" i="5"/>
  <c r="Q406" i="5"/>
  <c r="Z604" i="4"/>
  <c r="F411" i="3"/>
  <c r="X581" i="6"/>
  <c r="V581" i="6"/>
  <c r="U604" i="4"/>
  <c r="X582" i="6" l="1"/>
  <c r="F406" i="5"/>
  <c r="O406" i="5" s="1"/>
  <c r="V605" i="4"/>
  <c r="C12" i="7" s="1"/>
  <c r="E12" i="7" s="1"/>
  <c r="F12" i="7" s="1"/>
  <c r="H406" i="5"/>
  <c r="U582" i="6"/>
  <c r="X605" i="4"/>
  <c r="U605" i="4"/>
  <c r="C11" i="7" s="1"/>
  <c r="E11" i="7" s="1"/>
  <c r="F11" i="7" s="1"/>
  <c r="Z605" i="4"/>
  <c r="W582" i="6"/>
  <c r="O411" i="3"/>
  <c r="P583" i="6"/>
  <c r="F583" i="6"/>
  <c r="K583" i="6"/>
  <c r="J583" i="6"/>
  <c r="L583" i="6"/>
  <c r="N583" i="6"/>
  <c r="R583" i="6"/>
  <c r="Q583" i="6"/>
  <c r="O583" i="6"/>
  <c r="I583" i="6"/>
  <c r="H583" i="6"/>
  <c r="G583" i="6"/>
  <c r="AA584" i="6" s="1"/>
  <c r="E583" i="6"/>
  <c r="M583" i="6"/>
  <c r="D583" i="6"/>
  <c r="C583" i="6"/>
  <c r="T583" i="6"/>
  <c r="Z582" i="6"/>
  <c r="V582" i="6"/>
  <c r="W605" i="4"/>
  <c r="C13" i="7" s="1"/>
  <c r="E13" i="7" s="1"/>
  <c r="F13" i="7" s="1"/>
  <c r="D14" i="7"/>
  <c r="C9" i="2"/>
  <c r="D15" i="7"/>
  <c r="C11" i="2"/>
  <c r="C10" i="2"/>
  <c r="C15" i="7"/>
  <c r="C12" i="2"/>
  <c r="C14" i="2"/>
  <c r="C14" i="7" s="1"/>
  <c r="E14" i="7" s="1"/>
  <c r="F14" i="7" s="1"/>
  <c r="H411" i="3"/>
  <c r="W583" i="6" l="1"/>
  <c r="C13" i="2"/>
  <c r="X583" i="6"/>
  <c r="U583" i="6"/>
  <c r="I411" i="3"/>
  <c r="I584" i="6"/>
  <c r="N584" i="6"/>
  <c r="D584" i="6"/>
  <c r="H584" i="6"/>
  <c r="L584" i="6"/>
  <c r="O584" i="6"/>
  <c r="E584" i="6"/>
  <c r="T584" i="6"/>
  <c r="C584" i="6"/>
  <c r="R584" i="6"/>
  <c r="P584" i="6"/>
  <c r="G584" i="6"/>
  <c r="AA585" i="6" s="1"/>
  <c r="F584" i="6"/>
  <c r="J584" i="6"/>
  <c r="Q584" i="6"/>
  <c r="M584" i="6"/>
  <c r="K584" i="6"/>
  <c r="E15" i="7"/>
  <c r="F15" i="7" s="1"/>
  <c r="Z583" i="6"/>
  <c r="V583" i="6"/>
  <c r="I406" i="5"/>
  <c r="U406" i="5" l="1"/>
  <c r="J406" i="5"/>
  <c r="K406" i="5" s="1"/>
  <c r="W406" i="5" s="1"/>
  <c r="U584" i="6"/>
  <c r="U411" i="3"/>
  <c r="J411" i="3"/>
  <c r="K411" i="3" s="1"/>
  <c r="W411" i="3" s="1"/>
  <c r="L406" i="5"/>
  <c r="Z584" i="6"/>
  <c r="L585" i="6"/>
  <c r="V585" i="6" s="1"/>
  <c r="Q585" i="6"/>
  <c r="G585" i="6"/>
  <c r="AA586" i="6" s="1"/>
  <c r="F585" i="6"/>
  <c r="M585" i="6"/>
  <c r="O585" i="6"/>
  <c r="J585" i="6"/>
  <c r="I585" i="6"/>
  <c r="H585" i="6"/>
  <c r="D585" i="6"/>
  <c r="E585" i="6"/>
  <c r="C585" i="6"/>
  <c r="K585" i="6"/>
  <c r="T585" i="6"/>
  <c r="R585" i="6"/>
  <c r="N585" i="6"/>
  <c r="P585" i="6"/>
  <c r="X584" i="6"/>
  <c r="L411" i="3"/>
  <c r="W584" i="6"/>
  <c r="V584" i="6"/>
  <c r="U585" i="6" l="1"/>
  <c r="V411" i="3"/>
  <c r="N411" i="3"/>
  <c r="T411" i="3" s="1"/>
  <c r="Z411" i="3"/>
  <c r="V406" i="5"/>
  <c r="N406" i="5"/>
  <c r="T406" i="5" s="1"/>
  <c r="O586" i="6"/>
  <c r="E586" i="6"/>
  <c r="T586" i="6"/>
  <c r="J586" i="6"/>
  <c r="Q586" i="6"/>
  <c r="D586" i="6"/>
  <c r="M586" i="6"/>
  <c r="P586" i="6"/>
  <c r="R586" i="6"/>
  <c r="N586" i="6"/>
  <c r="K586" i="6"/>
  <c r="F586" i="6"/>
  <c r="C586" i="6"/>
  <c r="G586" i="6"/>
  <c r="AA587" i="6" s="1"/>
  <c r="H586" i="6"/>
  <c r="I586" i="6"/>
  <c r="L586" i="6"/>
  <c r="V586" i="6" s="1"/>
  <c r="X585" i="6"/>
  <c r="X411" i="3"/>
  <c r="W585" i="6"/>
  <c r="Z585" i="6"/>
  <c r="W586" i="6" l="1"/>
  <c r="X586" i="6"/>
  <c r="E407" i="5"/>
  <c r="G407" i="5"/>
  <c r="AA408" i="5" s="1"/>
  <c r="R407" i="5"/>
  <c r="Q407" i="5"/>
  <c r="D407" i="5"/>
  <c r="C407" i="5"/>
  <c r="M407" i="5"/>
  <c r="U586" i="6"/>
  <c r="X406" i="5"/>
  <c r="C412" i="3"/>
  <c r="Q412" i="3"/>
  <c r="D412" i="3"/>
  <c r="R412" i="3"/>
  <c r="E412" i="3"/>
  <c r="F412" i="3" s="1"/>
  <c r="G412" i="3"/>
  <c r="AA413" i="3" s="1"/>
  <c r="Z406" i="5"/>
  <c r="Z586" i="6"/>
  <c r="R587" i="6"/>
  <c r="H587" i="6"/>
  <c r="M587" i="6"/>
  <c r="C587" i="6"/>
  <c r="O587" i="6"/>
  <c r="N587" i="6"/>
  <c r="Q587" i="6"/>
  <c r="D587" i="6"/>
  <c r="I587" i="6"/>
  <c r="G587" i="6"/>
  <c r="AA588" i="6" s="1"/>
  <c r="F587" i="6"/>
  <c r="T587" i="6"/>
  <c r="E587" i="6"/>
  <c r="L587" i="6"/>
  <c r="K587" i="6"/>
  <c r="J587" i="6"/>
  <c r="P587" i="6"/>
  <c r="P407" i="5" l="1"/>
  <c r="H412" i="3"/>
  <c r="O412" i="3"/>
  <c r="X587" i="6"/>
  <c r="P412" i="3"/>
  <c r="U587" i="6"/>
  <c r="W587" i="6"/>
  <c r="F407" i="5"/>
  <c r="K588" i="6"/>
  <c r="P588" i="6"/>
  <c r="F588" i="6"/>
  <c r="L588" i="6"/>
  <c r="N588" i="6"/>
  <c r="Q588" i="6"/>
  <c r="C588" i="6"/>
  <c r="M588" i="6"/>
  <c r="J588" i="6"/>
  <c r="I588" i="6"/>
  <c r="G588" i="6"/>
  <c r="AA589" i="6" s="1"/>
  <c r="T588" i="6"/>
  <c r="O588" i="6"/>
  <c r="H588" i="6"/>
  <c r="E588" i="6"/>
  <c r="D588" i="6"/>
  <c r="R588" i="6"/>
  <c r="V587" i="6"/>
  <c r="Z587" i="6"/>
  <c r="I412" i="3"/>
  <c r="U412" i="3" s="1"/>
  <c r="N589" i="6" l="1"/>
  <c r="D589" i="6"/>
  <c r="I589" i="6"/>
  <c r="J589" i="6"/>
  <c r="O589" i="6"/>
  <c r="Q589" i="6"/>
  <c r="C589" i="6"/>
  <c r="T589" i="6"/>
  <c r="R589" i="6"/>
  <c r="P589" i="6"/>
  <c r="L589" i="6"/>
  <c r="M589" i="6"/>
  <c r="K589" i="6"/>
  <c r="H589" i="6"/>
  <c r="G589" i="6"/>
  <c r="AA590" i="6" s="1"/>
  <c r="F589" i="6"/>
  <c r="X589" i="6" s="1"/>
  <c r="E589" i="6"/>
  <c r="J412" i="3"/>
  <c r="K412" i="3" s="1"/>
  <c r="W412" i="3" s="1"/>
  <c r="U588" i="6"/>
  <c r="L412" i="3"/>
  <c r="V588" i="6"/>
  <c r="X588" i="6"/>
  <c r="W588" i="6"/>
  <c r="O407" i="5"/>
  <c r="H407" i="5"/>
  <c r="Z588" i="6"/>
  <c r="Z589" i="6" l="1"/>
  <c r="I407" i="5"/>
  <c r="L407" i="5" s="1"/>
  <c r="Q590" i="6"/>
  <c r="G590" i="6"/>
  <c r="AA591" i="6" s="1"/>
  <c r="L590" i="6"/>
  <c r="T590" i="6"/>
  <c r="H590" i="6"/>
  <c r="O590" i="6"/>
  <c r="R590" i="6"/>
  <c r="D590" i="6"/>
  <c r="I590" i="6"/>
  <c r="F590" i="6"/>
  <c r="E590" i="6"/>
  <c r="P590" i="6"/>
  <c r="N590" i="6"/>
  <c r="M590" i="6"/>
  <c r="K590" i="6"/>
  <c r="J590" i="6"/>
  <c r="C590" i="6"/>
  <c r="W589" i="6"/>
  <c r="U589" i="6"/>
  <c r="V412" i="3"/>
  <c r="N412" i="3"/>
  <c r="V589" i="6"/>
  <c r="W590" i="6" l="1"/>
  <c r="V590" i="6"/>
  <c r="T591" i="6"/>
  <c r="J591" i="6"/>
  <c r="O591" i="6"/>
  <c r="E591" i="6"/>
  <c r="R591" i="6"/>
  <c r="F591" i="6"/>
  <c r="P591" i="6"/>
  <c r="D591" i="6"/>
  <c r="N591" i="6"/>
  <c r="M591" i="6"/>
  <c r="L591" i="6"/>
  <c r="I591" i="6"/>
  <c r="Q591" i="6"/>
  <c r="K591" i="6"/>
  <c r="C591" i="6"/>
  <c r="G591" i="6"/>
  <c r="AA592" i="6" s="1"/>
  <c r="H591" i="6"/>
  <c r="V407" i="5"/>
  <c r="N407" i="5"/>
  <c r="U590" i="6"/>
  <c r="U407" i="5"/>
  <c r="J407" i="5"/>
  <c r="Z590" i="6"/>
  <c r="T412" i="3"/>
  <c r="X412" i="3"/>
  <c r="X590" i="6"/>
  <c r="W591" i="6" l="1"/>
  <c r="Z591" i="6"/>
  <c r="K407" i="5"/>
  <c r="W407" i="5" s="1"/>
  <c r="U591" i="6"/>
  <c r="V591" i="6"/>
  <c r="M592" i="6"/>
  <c r="C592" i="6"/>
  <c r="R592" i="6"/>
  <c r="H592" i="6"/>
  <c r="P592" i="6"/>
  <c r="D592" i="6"/>
  <c r="Q592" i="6"/>
  <c r="T592" i="6"/>
  <c r="F592" i="6"/>
  <c r="G592" i="6"/>
  <c r="AA593" i="6" s="1"/>
  <c r="E592" i="6"/>
  <c r="O592" i="6"/>
  <c r="N592" i="6"/>
  <c r="L592" i="6"/>
  <c r="K592" i="6"/>
  <c r="J592" i="6"/>
  <c r="I592" i="6"/>
  <c r="X591" i="6"/>
  <c r="E413" i="3"/>
  <c r="P413" i="3" s="1"/>
  <c r="D413" i="3"/>
  <c r="C413" i="3"/>
  <c r="G413" i="3"/>
  <c r="AA414" i="3" s="1"/>
  <c r="Q413" i="3"/>
  <c r="R413" i="3"/>
  <c r="Z412" i="3"/>
  <c r="U592" i="6" l="1"/>
  <c r="Z592" i="6"/>
  <c r="X592" i="6"/>
  <c r="P593" i="6"/>
  <c r="F593" i="6"/>
  <c r="K593" i="6"/>
  <c r="M593" i="6"/>
  <c r="O593" i="6"/>
  <c r="R593" i="6"/>
  <c r="D593" i="6"/>
  <c r="I593" i="6"/>
  <c r="H593" i="6"/>
  <c r="G593" i="6"/>
  <c r="AA594" i="6" s="1"/>
  <c r="T593" i="6"/>
  <c r="C593" i="6"/>
  <c r="N593" i="6"/>
  <c r="L593" i="6"/>
  <c r="V593" i="6" s="1"/>
  <c r="J593" i="6"/>
  <c r="Q593" i="6"/>
  <c r="E593" i="6"/>
  <c r="X407" i="5"/>
  <c r="T407" i="5"/>
  <c r="F413" i="3"/>
  <c r="W592" i="6"/>
  <c r="V592" i="6"/>
  <c r="Z407" i="5"/>
  <c r="W593" i="6" l="1"/>
  <c r="O413" i="3"/>
  <c r="R408" i="5"/>
  <c r="Q408" i="5"/>
  <c r="E408" i="5"/>
  <c r="D408" i="5"/>
  <c r="C408" i="5"/>
  <c r="F408" i="5"/>
  <c r="O408" i="5" s="1"/>
  <c r="M408" i="5"/>
  <c r="G408" i="5"/>
  <c r="AA409" i="5" s="1"/>
  <c r="Z593" i="6"/>
  <c r="I594" i="6"/>
  <c r="N594" i="6"/>
  <c r="D594" i="6"/>
  <c r="K594" i="6"/>
  <c r="O594" i="6"/>
  <c r="Q594" i="6"/>
  <c r="C594" i="6"/>
  <c r="M594" i="6"/>
  <c r="L594" i="6"/>
  <c r="J594" i="6"/>
  <c r="G594" i="6"/>
  <c r="AA595" i="6" s="1"/>
  <c r="H594" i="6"/>
  <c r="F594" i="6"/>
  <c r="E594" i="6"/>
  <c r="P594" i="6"/>
  <c r="T594" i="6"/>
  <c r="R594" i="6"/>
  <c r="H413" i="3"/>
  <c r="I413" i="3" s="1"/>
  <c r="X593" i="6"/>
  <c r="U593" i="6"/>
  <c r="U413" i="3" l="1"/>
  <c r="J413" i="3"/>
  <c r="K413" i="3" s="1"/>
  <c r="W413" i="3" s="1"/>
  <c r="P408" i="5"/>
  <c r="Z594" i="6"/>
  <c r="L595" i="6"/>
  <c r="Q595" i="6"/>
  <c r="G595" i="6"/>
  <c r="AA596" i="6" s="1"/>
  <c r="I595" i="6"/>
  <c r="O595" i="6"/>
  <c r="R595" i="6"/>
  <c r="D595" i="6"/>
  <c r="T595" i="6"/>
  <c r="C595" i="6"/>
  <c r="P595" i="6"/>
  <c r="M595" i="6"/>
  <c r="F595" i="6"/>
  <c r="E595" i="6"/>
  <c r="H595" i="6"/>
  <c r="K595" i="6"/>
  <c r="J595" i="6"/>
  <c r="N595" i="6"/>
  <c r="H408" i="5"/>
  <c r="W594" i="6"/>
  <c r="U594" i="6"/>
  <c r="V594" i="6"/>
  <c r="X594" i="6"/>
  <c r="I408" i="5"/>
  <c r="U408" i="5" s="1"/>
  <c r="L413" i="3"/>
  <c r="V413" i="3" l="1"/>
  <c r="N413" i="3"/>
  <c r="T413" i="3" s="1"/>
  <c r="Z413" i="3" s="1"/>
  <c r="X595" i="6"/>
  <c r="J408" i="5"/>
  <c r="K408" i="5" s="1"/>
  <c r="W408" i="5" s="1"/>
  <c r="V595" i="6"/>
  <c r="Z595" i="6"/>
  <c r="W595" i="6"/>
  <c r="U595" i="6"/>
  <c r="L408" i="5"/>
  <c r="O596" i="6"/>
  <c r="E596" i="6"/>
  <c r="T596" i="6"/>
  <c r="J596" i="6"/>
  <c r="G596" i="6"/>
  <c r="AA597" i="6" s="1"/>
  <c r="P596" i="6"/>
  <c r="R596" i="6"/>
  <c r="D596" i="6"/>
  <c r="K596" i="6"/>
  <c r="I596" i="6"/>
  <c r="H596" i="6"/>
  <c r="C596" i="6"/>
  <c r="F596" i="6"/>
  <c r="L596" i="6"/>
  <c r="Q596" i="6"/>
  <c r="N596" i="6"/>
  <c r="M596" i="6"/>
  <c r="X413" i="3"/>
  <c r="V596" i="6" l="1"/>
  <c r="X596" i="6"/>
  <c r="Z596" i="6"/>
  <c r="R414" i="3"/>
  <c r="Q414" i="3"/>
  <c r="G414" i="3"/>
  <c r="AA415" i="3" s="1"/>
  <c r="C414" i="3"/>
  <c r="E414" i="3"/>
  <c r="P414" i="3" s="1"/>
  <c r="D414" i="3"/>
  <c r="R597" i="6"/>
  <c r="H597" i="6"/>
  <c r="M597" i="6"/>
  <c r="C597" i="6"/>
  <c r="Q597" i="6"/>
  <c r="E597" i="6"/>
  <c r="P597" i="6"/>
  <c r="T597" i="6"/>
  <c r="F597" i="6"/>
  <c r="O597" i="6"/>
  <c r="N597" i="6"/>
  <c r="K597" i="6"/>
  <c r="I597" i="6"/>
  <c r="G597" i="6"/>
  <c r="AA598" i="6" s="1"/>
  <c r="D597" i="6"/>
  <c r="J597" i="6"/>
  <c r="L597" i="6"/>
  <c r="V597" i="6" s="1"/>
  <c r="U596" i="6"/>
  <c r="V408" i="5"/>
  <c r="N408" i="5"/>
  <c r="T408" i="5" s="1"/>
  <c r="W596" i="6"/>
  <c r="F414" i="3" l="1"/>
  <c r="H414" i="3"/>
  <c r="X408" i="5"/>
  <c r="X597" i="6"/>
  <c r="L598" i="6"/>
  <c r="K598" i="6"/>
  <c r="P598" i="6"/>
  <c r="F598" i="6"/>
  <c r="O598" i="6"/>
  <c r="Q598" i="6"/>
  <c r="D598" i="6"/>
  <c r="E598" i="6"/>
  <c r="C598" i="6"/>
  <c r="T598" i="6"/>
  <c r="N598" i="6"/>
  <c r="G598" i="6"/>
  <c r="AA599" i="6" s="1"/>
  <c r="H598" i="6"/>
  <c r="I598" i="6"/>
  <c r="J598" i="6"/>
  <c r="R598" i="6"/>
  <c r="M598" i="6"/>
  <c r="Z408" i="5"/>
  <c r="C409" i="5"/>
  <c r="M409" i="5"/>
  <c r="D409" i="5"/>
  <c r="E409" i="5"/>
  <c r="P409" i="5" s="1"/>
  <c r="R409" i="5"/>
  <c r="Q409" i="5"/>
  <c r="G409" i="5"/>
  <c r="AA410" i="5" s="1"/>
  <c r="O414" i="3"/>
  <c r="W597" i="6"/>
  <c r="Z597" i="6"/>
  <c r="U597" i="6"/>
  <c r="U598" i="6" l="1"/>
  <c r="W598" i="6"/>
  <c r="F409" i="5"/>
  <c r="O409" i="5"/>
  <c r="H409" i="5"/>
  <c r="V598" i="6"/>
  <c r="Z598" i="6"/>
  <c r="X598" i="6"/>
  <c r="O599" i="6"/>
  <c r="E599" i="6"/>
  <c r="N599" i="6"/>
  <c r="D599" i="6"/>
  <c r="I599" i="6"/>
  <c r="Q599" i="6"/>
  <c r="F599" i="6"/>
  <c r="H599" i="6"/>
  <c r="P599" i="6"/>
  <c r="M599" i="6"/>
  <c r="L599" i="6"/>
  <c r="J599" i="6"/>
  <c r="G599" i="6"/>
  <c r="AA600" i="6" s="1"/>
  <c r="C599" i="6"/>
  <c r="K599" i="6"/>
  <c r="T599" i="6"/>
  <c r="R599" i="6"/>
  <c r="I414" i="3"/>
  <c r="L414" i="3" s="1"/>
  <c r="W599" i="6" l="1"/>
  <c r="V414" i="3"/>
  <c r="N414" i="3"/>
  <c r="I409" i="5"/>
  <c r="L409" i="5" s="1"/>
  <c r="X599" i="6"/>
  <c r="R600" i="6"/>
  <c r="H600" i="6"/>
  <c r="Q600" i="6"/>
  <c r="G600" i="6"/>
  <c r="AA601" i="6" s="1"/>
  <c r="L600" i="6"/>
  <c r="V600" i="6" s="1"/>
  <c r="D600" i="6"/>
  <c r="J600" i="6"/>
  <c r="M600" i="6"/>
  <c r="I600" i="6"/>
  <c r="F600" i="6"/>
  <c r="E600" i="6"/>
  <c r="N600" i="6"/>
  <c r="K600" i="6"/>
  <c r="W600" i="6" s="1"/>
  <c r="C600" i="6"/>
  <c r="O600" i="6"/>
  <c r="P600" i="6"/>
  <c r="T600" i="6"/>
  <c r="Z599" i="6"/>
  <c r="U414" i="3"/>
  <c r="J414" i="3"/>
  <c r="K414" i="3" s="1"/>
  <c r="W414" i="3" s="1"/>
  <c r="X414" i="3"/>
  <c r="U599" i="6"/>
  <c r="V599" i="6"/>
  <c r="Z600" i="6" l="1"/>
  <c r="V409" i="5"/>
  <c r="N409" i="5"/>
  <c r="U600" i="6"/>
  <c r="U409" i="5"/>
  <c r="J409" i="5"/>
  <c r="T414" i="3"/>
  <c r="X600" i="6"/>
  <c r="K601" i="6"/>
  <c r="T601" i="6"/>
  <c r="J601" i="6"/>
  <c r="O601" i="6"/>
  <c r="E601" i="6"/>
  <c r="R601" i="6"/>
  <c r="D601" i="6"/>
  <c r="M601" i="6"/>
  <c r="P601" i="6"/>
  <c r="Q601" i="6"/>
  <c r="N601" i="6"/>
  <c r="I601" i="6"/>
  <c r="H601" i="6"/>
  <c r="G601" i="6"/>
  <c r="AA602" i="6" s="1"/>
  <c r="F601" i="6"/>
  <c r="C601" i="6"/>
  <c r="L601" i="6"/>
  <c r="V601" i="6" l="1"/>
  <c r="W601" i="6"/>
  <c r="X601" i="6"/>
  <c r="D415" i="3"/>
  <c r="C415" i="3"/>
  <c r="F415" i="3" s="1"/>
  <c r="O415" i="3" s="1"/>
  <c r="R415" i="3"/>
  <c r="Q415" i="3"/>
  <c r="G415" i="3"/>
  <c r="AA416" i="3" s="1"/>
  <c r="E415" i="3"/>
  <c r="K409" i="5"/>
  <c r="X409" i="5" s="1"/>
  <c r="Z414" i="3"/>
  <c r="Z601" i="6"/>
  <c r="U601" i="6"/>
  <c r="N602" i="6"/>
  <c r="D602" i="6"/>
  <c r="M602" i="6"/>
  <c r="C602" i="6"/>
  <c r="R602" i="6"/>
  <c r="H602" i="6"/>
  <c r="T602" i="6"/>
  <c r="F602" i="6"/>
  <c r="Q602" i="6"/>
  <c r="E602" i="6"/>
  <c r="J602" i="6"/>
  <c r="I602" i="6"/>
  <c r="G602" i="6"/>
  <c r="AA603" i="6" s="1"/>
  <c r="L602" i="6"/>
  <c r="K602" i="6"/>
  <c r="O602" i="6"/>
  <c r="P602" i="6"/>
  <c r="W602" i="6" l="1"/>
  <c r="P415" i="3"/>
  <c r="Q603" i="6"/>
  <c r="G603" i="6"/>
  <c r="AA604" i="6" s="1"/>
  <c r="P603" i="6"/>
  <c r="F603" i="6"/>
  <c r="K603" i="6"/>
  <c r="T603" i="6"/>
  <c r="E603" i="6"/>
  <c r="D603" i="6"/>
  <c r="I603" i="6"/>
  <c r="L603" i="6"/>
  <c r="R603" i="6"/>
  <c r="O603" i="6"/>
  <c r="M603" i="6"/>
  <c r="J603" i="6"/>
  <c r="H603" i="6"/>
  <c r="C603" i="6"/>
  <c r="N603" i="6"/>
  <c r="H415" i="3"/>
  <c r="W409" i="5"/>
  <c r="V602" i="6"/>
  <c r="Z602" i="6"/>
  <c r="U602" i="6"/>
  <c r="X602" i="6"/>
  <c r="T409" i="5"/>
  <c r="Z603" i="6" l="1"/>
  <c r="T604" i="6"/>
  <c r="J604" i="6"/>
  <c r="I604" i="6"/>
  <c r="N604" i="6"/>
  <c r="D604" i="6"/>
  <c r="G604" i="6"/>
  <c r="AA605" i="6" s="1"/>
  <c r="F604" i="6"/>
  <c r="P604" i="6"/>
  <c r="R604" i="6"/>
  <c r="Q604" i="6"/>
  <c r="O604" i="6"/>
  <c r="M604" i="6"/>
  <c r="L604" i="6"/>
  <c r="K604" i="6"/>
  <c r="C604" i="6"/>
  <c r="H604" i="6"/>
  <c r="E604" i="6"/>
  <c r="W603" i="6"/>
  <c r="X603" i="6"/>
  <c r="E410" i="5"/>
  <c r="D410" i="5"/>
  <c r="M410" i="5"/>
  <c r="Q410" i="5"/>
  <c r="R410" i="5"/>
  <c r="G410" i="5"/>
  <c r="AA411" i="5" s="1"/>
  <c r="C410" i="5"/>
  <c r="Z409" i="5"/>
  <c r="V603" i="6"/>
  <c r="I415" i="3"/>
  <c r="U603" i="6"/>
  <c r="W604" i="6" l="1"/>
  <c r="P410" i="5"/>
  <c r="Z604" i="6"/>
  <c r="X604" i="6"/>
  <c r="F410" i="5"/>
  <c r="V604" i="6"/>
  <c r="U604" i="6"/>
  <c r="U415" i="3"/>
  <c r="J415" i="3"/>
  <c r="K415" i="3" s="1"/>
  <c r="W415" i="3" s="1"/>
  <c r="M605" i="6"/>
  <c r="C605" i="6"/>
  <c r="L605" i="6"/>
  <c r="Q605" i="6"/>
  <c r="G605" i="6"/>
  <c r="I605" i="6"/>
  <c r="H605" i="6"/>
  <c r="T605" i="6"/>
  <c r="J605" i="6"/>
  <c r="F605" i="6"/>
  <c r="K605" i="6"/>
  <c r="P605" i="6"/>
  <c r="O605" i="6"/>
  <c r="N605" i="6"/>
  <c r="E605" i="6"/>
  <c r="D605" i="6"/>
  <c r="R605" i="6"/>
  <c r="L415" i="3"/>
  <c r="W605" i="6" l="1"/>
  <c r="C23" i="7" s="1"/>
  <c r="E23" i="7" s="1"/>
  <c r="F23" i="7" s="1"/>
  <c r="V415" i="3"/>
  <c r="N415" i="3"/>
  <c r="C25" i="7"/>
  <c r="D25" i="7"/>
  <c r="D24" i="7"/>
  <c r="E10" i="2"/>
  <c r="E9" i="2"/>
  <c r="E12" i="2"/>
  <c r="E14" i="2"/>
  <c r="C24" i="7" s="1"/>
  <c r="E11" i="2"/>
  <c r="V605" i="6"/>
  <c r="C22" i="7" s="1"/>
  <c r="E22" i="7" s="1"/>
  <c r="F22" i="7" s="1"/>
  <c r="X605" i="6"/>
  <c r="U605" i="6"/>
  <c r="C21" i="7" s="1"/>
  <c r="E21" i="7" s="1"/>
  <c r="F21" i="7" s="1"/>
  <c r="O410" i="5"/>
  <c r="X415" i="3"/>
  <c r="Z605" i="6"/>
  <c r="H410" i="5"/>
  <c r="E24" i="7" l="1"/>
  <c r="F24" i="7" s="1"/>
  <c r="E13" i="2"/>
  <c r="E25" i="7"/>
  <c r="F25" i="7" s="1"/>
  <c r="T415" i="3"/>
  <c r="Z415" i="3" s="1"/>
  <c r="I410" i="5"/>
  <c r="U410" i="5" l="1"/>
  <c r="J410" i="5"/>
  <c r="K410" i="5" s="1"/>
  <c r="W410" i="5" s="1"/>
  <c r="L410" i="5"/>
  <c r="D416" i="3"/>
  <c r="C416" i="3"/>
  <c r="E416" i="3"/>
  <c r="P416" i="3" s="1"/>
  <c r="R416" i="3"/>
  <c r="Q416" i="3"/>
  <c r="G416" i="3"/>
  <c r="AA417" i="3" s="1"/>
  <c r="V410" i="5" l="1"/>
  <c r="N410" i="5"/>
  <c r="F416" i="3"/>
  <c r="O416" i="3" l="1"/>
  <c r="H416" i="3"/>
  <c r="T410" i="5"/>
  <c r="X410" i="5"/>
  <c r="R411" i="5" l="1"/>
  <c r="Q411" i="5"/>
  <c r="G411" i="5"/>
  <c r="AA412" i="5" s="1"/>
  <c r="C411" i="5"/>
  <c r="D411" i="5"/>
  <c r="M411" i="5"/>
  <c r="E411" i="5"/>
  <c r="P411" i="5" s="1"/>
  <c r="Z410" i="5"/>
  <c r="I416" i="3"/>
  <c r="F411" i="5" l="1"/>
  <c r="U416" i="3"/>
  <c r="J416" i="3"/>
  <c r="K416" i="3" s="1"/>
  <c r="W416" i="3" s="1"/>
  <c r="L416" i="3"/>
  <c r="O411" i="5" l="1"/>
  <c r="V416" i="3"/>
  <c r="N416" i="3"/>
  <c r="T416" i="3" s="1"/>
  <c r="Z416" i="3" s="1"/>
  <c r="H411" i="5"/>
  <c r="Q417" i="3" l="1"/>
  <c r="G417" i="3"/>
  <c r="AA418" i="3" s="1"/>
  <c r="E417" i="3"/>
  <c r="R417" i="3"/>
  <c r="D417" i="3"/>
  <c r="C417" i="3"/>
  <c r="P417" i="3" s="1"/>
  <c r="I411" i="5"/>
  <c r="X416" i="3"/>
  <c r="F417" i="3" l="1"/>
  <c r="H417" i="3"/>
  <c r="I417" i="3" s="1"/>
  <c r="O417" i="3"/>
  <c r="U411" i="5"/>
  <c r="J411" i="5"/>
  <c r="K411" i="5" s="1"/>
  <c r="W411" i="5" s="1"/>
  <c r="L411" i="5"/>
  <c r="U417" i="3" l="1"/>
  <c r="J417" i="3"/>
  <c r="K417" i="3" s="1"/>
  <c r="W417" i="3" s="1"/>
  <c r="L417" i="3"/>
  <c r="V411" i="5"/>
  <c r="N411" i="5"/>
  <c r="T411" i="5" l="1"/>
  <c r="Z411" i="5"/>
  <c r="X411" i="5"/>
  <c r="V417" i="3"/>
  <c r="N417" i="3"/>
  <c r="T417" i="3" l="1"/>
  <c r="X417" i="3"/>
  <c r="Z417" i="3"/>
  <c r="R412" i="5"/>
  <c r="Q412" i="5"/>
  <c r="E412" i="5"/>
  <c r="P412" i="5" s="1"/>
  <c r="D412" i="5"/>
  <c r="G412" i="5"/>
  <c r="AA413" i="5" s="1"/>
  <c r="M412" i="5"/>
  <c r="C412" i="5"/>
  <c r="F412" i="5" l="1"/>
  <c r="R418" i="3"/>
  <c r="G418" i="3"/>
  <c r="AA419" i="3" s="1"/>
  <c r="Q418" i="3"/>
  <c r="C418" i="3"/>
  <c r="E418" i="3"/>
  <c r="P418" i="3" s="1"/>
  <c r="D418" i="3"/>
  <c r="O412" i="5" l="1"/>
  <c r="F418" i="3"/>
  <c r="H412" i="5"/>
  <c r="I412" i="5" s="1"/>
  <c r="U412" i="5" l="1"/>
  <c r="J412" i="5"/>
  <c r="K412" i="5" s="1"/>
  <c r="W412" i="5" s="1"/>
  <c r="O418" i="3"/>
  <c r="L412" i="5"/>
  <c r="H418" i="3"/>
  <c r="I418" i="3" s="1"/>
  <c r="U418" i="3" s="1"/>
  <c r="V412" i="5" l="1"/>
  <c r="N412" i="5"/>
  <c r="J418" i="3"/>
  <c r="L418" i="3"/>
  <c r="V418" i="3" l="1"/>
  <c r="N418" i="3"/>
  <c r="T412" i="5"/>
  <c r="Z412" i="5"/>
  <c r="X412" i="5"/>
  <c r="K418" i="3"/>
  <c r="W418" i="3" s="1"/>
  <c r="X418" i="3"/>
  <c r="D413" i="5" l="1"/>
  <c r="M413" i="5"/>
  <c r="C413" i="5"/>
  <c r="Q413" i="5"/>
  <c r="E413" i="5"/>
  <c r="P413" i="5"/>
  <c r="R413" i="5"/>
  <c r="F413" i="5"/>
  <c r="G413" i="5"/>
  <c r="AA414" i="5" s="1"/>
  <c r="T418" i="3"/>
  <c r="C419" i="3" l="1"/>
  <c r="D419" i="3"/>
  <c r="G419" i="3"/>
  <c r="AA420" i="3" s="1"/>
  <c r="E419" i="3"/>
  <c r="P419" i="3" s="1"/>
  <c r="R419" i="3"/>
  <c r="Q419" i="3"/>
  <c r="Z418" i="3"/>
  <c r="O413" i="5"/>
  <c r="H413" i="5"/>
  <c r="F419" i="3" l="1"/>
  <c r="H419" i="3"/>
  <c r="I413" i="5"/>
  <c r="L413" i="5" s="1"/>
  <c r="V413" i="5" l="1"/>
  <c r="N413" i="5"/>
  <c r="U413" i="5"/>
  <c r="J413" i="5"/>
  <c r="K413" i="5" s="1"/>
  <c r="W413" i="5" s="1"/>
  <c r="O419" i="3"/>
  <c r="I419" i="3"/>
  <c r="L419" i="3" s="1"/>
  <c r="J419" i="3" l="1"/>
  <c r="K419" i="3" s="1"/>
  <c r="W419" i="3" s="1"/>
  <c r="V419" i="3"/>
  <c r="N419" i="3"/>
  <c r="T419" i="3" s="1"/>
  <c r="X419" i="3"/>
  <c r="X413" i="5"/>
  <c r="T413" i="5"/>
  <c r="U419" i="3"/>
  <c r="Z419" i="3"/>
  <c r="Q414" i="5" l="1"/>
  <c r="G414" i="5"/>
  <c r="AA415" i="5" s="1"/>
  <c r="M414" i="5"/>
  <c r="C414" i="5"/>
  <c r="R414" i="5"/>
  <c r="E414" i="5"/>
  <c r="P414" i="5" s="1"/>
  <c r="D414" i="5"/>
  <c r="Z413" i="5"/>
  <c r="E420" i="3"/>
  <c r="P420" i="3" s="1"/>
  <c r="D420" i="3"/>
  <c r="Q420" i="3"/>
  <c r="G420" i="3"/>
  <c r="AA421" i="3" s="1"/>
  <c r="R420" i="3"/>
  <c r="C420" i="3"/>
  <c r="F420" i="3" l="1"/>
  <c r="O420" i="3"/>
  <c r="F414" i="5"/>
  <c r="H420" i="3"/>
  <c r="I420" i="3" s="1"/>
  <c r="U420" i="3" s="1"/>
  <c r="O414" i="5" l="1"/>
  <c r="L420" i="3"/>
  <c r="J420" i="3"/>
  <c r="K420" i="3" s="1"/>
  <c r="W420" i="3" s="1"/>
  <c r="H414" i="5"/>
  <c r="I414" i="5" l="1"/>
  <c r="V420" i="3"/>
  <c r="N420" i="3"/>
  <c r="X420" i="3"/>
  <c r="T420" i="3" l="1"/>
  <c r="Z420" i="3"/>
  <c r="U414" i="5"/>
  <c r="J414" i="5"/>
  <c r="L414" i="5"/>
  <c r="K414" i="5" l="1"/>
  <c r="W414" i="5" s="1"/>
  <c r="V414" i="5"/>
  <c r="N414" i="5"/>
  <c r="T414" i="5" s="1"/>
  <c r="R421" i="3"/>
  <c r="Q421" i="3"/>
  <c r="G421" i="3"/>
  <c r="AA422" i="3" s="1"/>
  <c r="E421" i="3"/>
  <c r="D421" i="3"/>
  <c r="C421" i="3"/>
  <c r="P421" i="3"/>
  <c r="X414" i="5" l="1"/>
  <c r="F421" i="3"/>
  <c r="Z414" i="5"/>
  <c r="M415" i="5"/>
  <c r="E415" i="5"/>
  <c r="F415" i="5" s="1"/>
  <c r="D415" i="5"/>
  <c r="G415" i="5"/>
  <c r="AA416" i="5" s="1"/>
  <c r="R415" i="5"/>
  <c r="Q415" i="5"/>
  <c r="P415" i="5"/>
  <c r="C415" i="5"/>
  <c r="O415" i="5" l="1"/>
  <c r="O421" i="3"/>
  <c r="H421" i="3"/>
  <c r="I421" i="3" s="1"/>
  <c r="U421" i="3" s="1"/>
  <c r="H415" i="5"/>
  <c r="J421" i="3" l="1"/>
  <c r="I415" i="5"/>
  <c r="L421" i="3"/>
  <c r="V421" i="3" l="1"/>
  <c r="N421" i="3"/>
  <c r="U415" i="5"/>
  <c r="J415" i="5"/>
  <c r="L415" i="5"/>
  <c r="K421" i="3"/>
  <c r="W421" i="3" s="1"/>
  <c r="X421" i="3"/>
  <c r="K415" i="5" l="1"/>
  <c r="W415" i="5" s="1"/>
  <c r="V415" i="5"/>
  <c r="N415" i="5"/>
  <c r="T415" i="5" s="1"/>
  <c r="X415" i="5"/>
  <c r="T421" i="3"/>
  <c r="C422" i="3" l="1"/>
  <c r="R422" i="3"/>
  <c r="E422" i="3"/>
  <c r="P422" i="3" s="1"/>
  <c r="D422" i="3"/>
  <c r="Q422" i="3"/>
  <c r="G422" i="3"/>
  <c r="AA423" i="3" s="1"/>
  <c r="Z421" i="3"/>
  <c r="M416" i="5"/>
  <c r="C416" i="5"/>
  <c r="R416" i="5"/>
  <c r="Q416" i="5"/>
  <c r="G416" i="5"/>
  <c r="AA417" i="5" s="1"/>
  <c r="E416" i="5"/>
  <c r="D416" i="5"/>
  <c r="Z415" i="5"/>
  <c r="P416" i="5" l="1"/>
  <c r="F422" i="3"/>
  <c r="F416" i="5"/>
  <c r="O422" i="3" l="1"/>
  <c r="O416" i="5"/>
  <c r="H422" i="3"/>
  <c r="I422" i="3" s="1"/>
  <c r="U422" i="3" s="1"/>
  <c r="H416" i="5"/>
  <c r="J422" i="3" l="1"/>
  <c r="L422" i="3"/>
  <c r="I416" i="5"/>
  <c r="U416" i="5" l="1"/>
  <c r="J416" i="5"/>
  <c r="K416" i="5" s="1"/>
  <c r="W416" i="5" s="1"/>
  <c r="V422" i="3"/>
  <c r="N422" i="3"/>
  <c r="L416" i="5"/>
  <c r="K422" i="3"/>
  <c r="W422" i="3" s="1"/>
  <c r="V416" i="5" l="1"/>
  <c r="N416" i="5"/>
  <c r="T416" i="5" s="1"/>
  <c r="X422" i="3"/>
  <c r="T422" i="3"/>
  <c r="Z422" i="3" s="1"/>
  <c r="X416" i="5"/>
  <c r="Z416" i="5"/>
  <c r="E423" i="3" l="1"/>
  <c r="D423" i="3"/>
  <c r="C423" i="3"/>
  <c r="P423" i="3"/>
  <c r="F423" i="3"/>
  <c r="Q423" i="3"/>
  <c r="R423" i="3"/>
  <c r="G423" i="3"/>
  <c r="AA424" i="3" s="1"/>
  <c r="E417" i="5"/>
  <c r="F417" i="5" s="1"/>
  <c r="G417" i="5"/>
  <c r="AA418" i="5" s="1"/>
  <c r="D417" i="5"/>
  <c r="M417" i="5"/>
  <c r="R417" i="5"/>
  <c r="Q417" i="5"/>
  <c r="C417" i="5"/>
  <c r="P417" i="5" l="1"/>
  <c r="O417" i="5"/>
  <c r="H417" i="5"/>
  <c r="H423" i="3"/>
  <c r="O423" i="3"/>
  <c r="I417" i="5" l="1"/>
  <c r="I423" i="3"/>
  <c r="U423" i="3" l="1"/>
  <c r="J423" i="3"/>
  <c r="K423" i="3" s="1"/>
  <c r="W423" i="3" s="1"/>
  <c r="U417" i="5"/>
  <c r="J417" i="5"/>
  <c r="K417" i="5" s="1"/>
  <c r="W417" i="5" s="1"/>
  <c r="L423" i="3"/>
  <c r="L417" i="5"/>
  <c r="V417" i="5" l="1"/>
  <c r="N417" i="5"/>
  <c r="T417" i="5" s="1"/>
  <c r="V423" i="3"/>
  <c r="N423" i="3"/>
  <c r="T423" i="3" s="1"/>
  <c r="X423" i="3"/>
  <c r="Z417" i="5"/>
  <c r="X417" i="5"/>
  <c r="Z423" i="3"/>
  <c r="R424" i="3" l="1"/>
  <c r="Q424" i="3"/>
  <c r="G424" i="3"/>
  <c r="AA425" i="3" s="1"/>
  <c r="C424" i="3"/>
  <c r="E424" i="3"/>
  <c r="P424" i="3" s="1"/>
  <c r="D424" i="3"/>
  <c r="R418" i="5"/>
  <c r="Q418" i="5"/>
  <c r="E418" i="5"/>
  <c r="D418" i="5"/>
  <c r="C418" i="5"/>
  <c r="F418" i="5" s="1"/>
  <c r="G418" i="5"/>
  <c r="AA419" i="5" s="1"/>
  <c r="M418" i="5"/>
  <c r="F424" i="3" l="1"/>
  <c r="O424" i="3" s="1"/>
  <c r="H418" i="5"/>
  <c r="H424" i="3"/>
  <c r="I418" i="5"/>
  <c r="U418" i="5" s="1"/>
  <c r="I424" i="3"/>
  <c r="U424" i="3" s="1"/>
  <c r="J424" i="3"/>
  <c r="K424" i="3" s="1"/>
  <c r="W424" i="3" s="1"/>
  <c r="P418" i="5"/>
  <c r="O418" i="5"/>
  <c r="J418" i="5" l="1"/>
  <c r="L418" i="5"/>
  <c r="L424" i="3"/>
  <c r="V424" i="3" l="1"/>
  <c r="N424" i="3"/>
  <c r="T424" i="3" s="1"/>
  <c r="X424" i="3"/>
  <c r="V418" i="5"/>
  <c r="N418" i="5"/>
  <c r="K418" i="5"/>
  <c r="W418" i="5" s="1"/>
  <c r="Z424" i="3"/>
  <c r="X418" i="5" l="1"/>
  <c r="T418" i="5"/>
  <c r="E425" i="3"/>
  <c r="R425" i="3"/>
  <c r="D425" i="3"/>
  <c r="G425" i="3"/>
  <c r="C425" i="3"/>
  <c r="Q425" i="3"/>
  <c r="P425" i="3"/>
  <c r="F425" i="3" l="1"/>
  <c r="C419" i="5"/>
  <c r="M419" i="5"/>
  <c r="D419" i="5"/>
  <c r="Q419" i="5"/>
  <c r="R419" i="5"/>
  <c r="E419" i="5"/>
  <c r="P419" i="5" s="1"/>
  <c r="G419" i="5"/>
  <c r="AA420" i="5" s="1"/>
  <c r="Z418" i="5"/>
  <c r="O425" i="3" l="1"/>
  <c r="F419" i="5"/>
  <c r="H425" i="3"/>
  <c r="H419" i="5" l="1"/>
  <c r="I419" i="5"/>
  <c r="U419" i="5" s="1"/>
  <c r="O419" i="5"/>
  <c r="I425" i="3"/>
  <c r="U425" i="3" l="1"/>
  <c r="J425" i="3"/>
  <c r="K425" i="3" s="1"/>
  <c r="W425" i="3" s="1"/>
  <c r="J419" i="5"/>
  <c r="K419" i="5" s="1"/>
  <c r="W419" i="5" s="1"/>
  <c r="L425" i="3"/>
  <c r="L419" i="5"/>
  <c r="V419" i="5" l="1"/>
  <c r="N419" i="5"/>
  <c r="V425" i="3"/>
  <c r="N425" i="3"/>
  <c r="X425" i="3"/>
  <c r="T425" i="3" l="1"/>
  <c r="Z425" i="3"/>
  <c r="T419" i="5"/>
  <c r="X419" i="5"/>
  <c r="Z419" i="5"/>
  <c r="E420" i="5" l="1"/>
  <c r="D420" i="5"/>
  <c r="M420" i="5"/>
  <c r="C420" i="5"/>
  <c r="F420" i="5" s="1"/>
  <c r="G420" i="5"/>
  <c r="AA421" i="5" s="1"/>
  <c r="R420" i="5"/>
  <c r="Q420" i="5"/>
  <c r="P420" i="5"/>
  <c r="N426" i="3"/>
  <c r="D426" i="3"/>
  <c r="C426" i="3"/>
  <c r="L426" i="3"/>
  <c r="O426" i="3"/>
  <c r="E426" i="3"/>
  <c r="J426" i="3"/>
  <c r="I426" i="3"/>
  <c r="F426" i="3"/>
  <c r="K426" i="3"/>
  <c r="H426" i="3"/>
  <c r="G426" i="3"/>
  <c r="AA427" i="3" s="1"/>
  <c r="T426" i="3"/>
  <c r="R426" i="3"/>
  <c r="Q426" i="3"/>
  <c r="P426" i="3"/>
  <c r="W426" i="3" l="1"/>
  <c r="H420" i="5"/>
  <c r="X426" i="3"/>
  <c r="I420" i="5"/>
  <c r="U420" i="5" s="1"/>
  <c r="Q427" i="3"/>
  <c r="G427" i="3"/>
  <c r="AA428" i="3" s="1"/>
  <c r="P427" i="3"/>
  <c r="F427" i="3"/>
  <c r="O427" i="3"/>
  <c r="E427" i="3"/>
  <c r="R427" i="3"/>
  <c r="H427" i="3"/>
  <c r="L427" i="3"/>
  <c r="I427" i="3"/>
  <c r="N427" i="3"/>
  <c r="D427" i="3"/>
  <c r="C427" i="3"/>
  <c r="T427" i="3"/>
  <c r="K427" i="3"/>
  <c r="J427" i="3"/>
  <c r="Z426" i="3"/>
  <c r="U426" i="3"/>
  <c r="AA426" i="3"/>
  <c r="V426" i="3"/>
  <c r="O420" i="5"/>
  <c r="W427" i="3" l="1"/>
  <c r="V427" i="3"/>
  <c r="U427" i="3"/>
  <c r="L420" i="5"/>
  <c r="T428" i="3"/>
  <c r="J428" i="3"/>
  <c r="I428" i="3"/>
  <c r="R428" i="3"/>
  <c r="H428" i="3"/>
  <c r="K428" i="3"/>
  <c r="P428" i="3"/>
  <c r="O428" i="3"/>
  <c r="L428" i="3"/>
  <c r="Q428" i="3"/>
  <c r="C428" i="3"/>
  <c r="N428" i="3"/>
  <c r="G428" i="3"/>
  <c r="AA429" i="3" s="1"/>
  <c r="F428" i="3"/>
  <c r="E428" i="3"/>
  <c r="D428" i="3"/>
  <c r="X427" i="3"/>
  <c r="Z427" i="3"/>
  <c r="J420" i="5"/>
  <c r="K420" i="5" s="1"/>
  <c r="W420" i="5" s="1"/>
  <c r="W428" i="3" l="1"/>
  <c r="X428" i="3"/>
  <c r="U428" i="3"/>
  <c r="Z428" i="3"/>
  <c r="V420" i="5"/>
  <c r="N420" i="5"/>
  <c r="T420" i="5" s="1"/>
  <c r="V428" i="3"/>
  <c r="X420" i="5"/>
  <c r="C429" i="3"/>
  <c r="L429" i="3"/>
  <c r="K429" i="3"/>
  <c r="N429" i="3"/>
  <c r="D429" i="3"/>
  <c r="F429" i="3"/>
  <c r="R429" i="3"/>
  <c r="E429" i="3"/>
  <c r="O429" i="3"/>
  <c r="T429" i="3"/>
  <c r="G429" i="3"/>
  <c r="AA430" i="3" s="1"/>
  <c r="Q429" i="3"/>
  <c r="P429" i="3"/>
  <c r="J429" i="3"/>
  <c r="I429" i="3"/>
  <c r="H429" i="3"/>
  <c r="Z429" i="3" l="1"/>
  <c r="Z420" i="5"/>
  <c r="R421" i="5"/>
  <c r="Q421" i="5"/>
  <c r="G421" i="5"/>
  <c r="AA422" i="5" s="1"/>
  <c r="M421" i="5"/>
  <c r="C421" i="5"/>
  <c r="E421" i="5"/>
  <c r="D421" i="5"/>
  <c r="X429" i="3"/>
  <c r="U429" i="3"/>
  <c r="W429" i="3"/>
  <c r="P430" i="3"/>
  <c r="F430" i="3"/>
  <c r="O430" i="3"/>
  <c r="E430" i="3"/>
  <c r="N430" i="3"/>
  <c r="D430" i="3"/>
  <c r="Q430" i="3"/>
  <c r="G430" i="3"/>
  <c r="AA431" i="3" s="1"/>
  <c r="J430" i="3"/>
  <c r="I430" i="3"/>
  <c r="T430" i="3"/>
  <c r="K430" i="3"/>
  <c r="R430" i="3"/>
  <c r="L430" i="3"/>
  <c r="H430" i="3"/>
  <c r="C430" i="3"/>
  <c r="V429" i="3"/>
  <c r="P421" i="5" l="1"/>
  <c r="F421" i="5"/>
  <c r="O421" i="5" s="1"/>
  <c r="Z430" i="3"/>
  <c r="X430" i="3"/>
  <c r="V430" i="3"/>
  <c r="W430" i="3"/>
  <c r="H421" i="5"/>
  <c r="I421" i="5" s="1"/>
  <c r="U421" i="5" s="1"/>
  <c r="I431" i="3"/>
  <c r="R431" i="3"/>
  <c r="H431" i="3"/>
  <c r="Q431" i="3"/>
  <c r="G431" i="3"/>
  <c r="AA432" i="3" s="1"/>
  <c r="T431" i="3"/>
  <c r="J431" i="3"/>
  <c r="N431" i="3"/>
  <c r="F431" i="3"/>
  <c r="O431" i="3"/>
  <c r="L431" i="3"/>
  <c r="K431" i="3"/>
  <c r="E431" i="3"/>
  <c r="D431" i="3"/>
  <c r="C431" i="3"/>
  <c r="P431" i="3"/>
  <c r="U430" i="3"/>
  <c r="X431" i="3" l="1"/>
  <c r="J421" i="5"/>
  <c r="Z431" i="3"/>
  <c r="W431" i="3"/>
  <c r="V431" i="3"/>
  <c r="U431" i="3"/>
  <c r="L432" i="3"/>
  <c r="V432" i="3" s="1"/>
  <c r="K432" i="3"/>
  <c r="T432" i="3"/>
  <c r="J432" i="3"/>
  <c r="C432" i="3"/>
  <c r="Q432" i="3"/>
  <c r="D432" i="3"/>
  <c r="P432" i="3"/>
  <c r="R432" i="3"/>
  <c r="E432" i="3"/>
  <c r="H432" i="3"/>
  <c r="G432" i="3"/>
  <c r="AA433" i="3" s="1"/>
  <c r="F432" i="3"/>
  <c r="O432" i="3"/>
  <c r="N432" i="3"/>
  <c r="I432" i="3"/>
  <c r="L421" i="5"/>
  <c r="X432" i="3" l="1"/>
  <c r="W432" i="3"/>
  <c r="O433" i="3"/>
  <c r="E433" i="3"/>
  <c r="N433" i="3"/>
  <c r="D433" i="3"/>
  <c r="C433" i="3"/>
  <c r="P433" i="3"/>
  <c r="F433" i="3"/>
  <c r="H433" i="3"/>
  <c r="T433" i="3"/>
  <c r="G433" i="3"/>
  <c r="AA434" i="3" s="1"/>
  <c r="Q433" i="3"/>
  <c r="I433" i="3"/>
  <c r="R433" i="3"/>
  <c r="L433" i="3"/>
  <c r="K433" i="3"/>
  <c r="J433" i="3"/>
  <c r="V421" i="5"/>
  <c r="N421" i="5"/>
  <c r="U432" i="3"/>
  <c r="K421" i="5"/>
  <c r="W421" i="5" s="1"/>
  <c r="Z432" i="3"/>
  <c r="T421" i="5" l="1"/>
  <c r="X433" i="3"/>
  <c r="W433" i="3"/>
  <c r="V433" i="3"/>
  <c r="U433" i="3"/>
  <c r="R434" i="3"/>
  <c r="H434" i="3"/>
  <c r="Q434" i="3"/>
  <c r="G434" i="3"/>
  <c r="AA435" i="3" s="1"/>
  <c r="P434" i="3"/>
  <c r="F434" i="3"/>
  <c r="I434" i="3"/>
  <c r="K434" i="3"/>
  <c r="J434" i="3"/>
  <c r="C434" i="3"/>
  <c r="L434" i="3"/>
  <c r="T434" i="3"/>
  <c r="O434" i="3"/>
  <c r="N434" i="3"/>
  <c r="E434" i="3"/>
  <c r="D434" i="3"/>
  <c r="Z433" i="3"/>
  <c r="X421" i="5"/>
  <c r="Z421" i="5"/>
  <c r="W434" i="3" l="1"/>
  <c r="K435" i="3"/>
  <c r="T435" i="3"/>
  <c r="J435" i="3"/>
  <c r="I435" i="3"/>
  <c r="L435" i="3"/>
  <c r="V435" i="3" s="1"/>
  <c r="N435" i="3"/>
  <c r="F435" i="3"/>
  <c r="O435" i="3"/>
  <c r="R435" i="3"/>
  <c r="Q435" i="3"/>
  <c r="P435" i="3"/>
  <c r="H435" i="3"/>
  <c r="G435" i="3"/>
  <c r="AA436" i="3" s="1"/>
  <c r="E435" i="3"/>
  <c r="D435" i="3"/>
  <c r="C435" i="3"/>
  <c r="U434" i="3"/>
  <c r="V434" i="3"/>
  <c r="Z434" i="3"/>
  <c r="X434" i="3"/>
  <c r="R422" i="5"/>
  <c r="Q422" i="5"/>
  <c r="E422" i="5"/>
  <c r="D422" i="5"/>
  <c r="G422" i="5"/>
  <c r="AA423" i="5" s="1"/>
  <c r="C422" i="5"/>
  <c r="P422" i="5" s="1"/>
  <c r="M422" i="5"/>
  <c r="F422" i="5" l="1"/>
  <c r="O422" i="5"/>
  <c r="U435" i="3"/>
  <c r="N436" i="3"/>
  <c r="D436" i="3"/>
  <c r="C436" i="3"/>
  <c r="L436" i="3"/>
  <c r="O436" i="3"/>
  <c r="E436" i="3"/>
  <c r="R436" i="3"/>
  <c r="Q436" i="3"/>
  <c r="K436" i="3"/>
  <c r="F436" i="3"/>
  <c r="P436" i="3"/>
  <c r="J436" i="3"/>
  <c r="I436" i="3"/>
  <c r="H436" i="3"/>
  <c r="G436" i="3"/>
  <c r="AA437" i="3" s="1"/>
  <c r="T436" i="3"/>
  <c r="H422" i="5"/>
  <c r="I422" i="5" s="1"/>
  <c r="U422" i="5" s="1"/>
  <c r="W435" i="3"/>
  <c r="X435" i="3"/>
  <c r="Z435" i="3"/>
  <c r="V436" i="3" l="1"/>
  <c r="X436" i="3"/>
  <c r="L422" i="5"/>
  <c r="U436" i="3"/>
  <c r="Z436" i="3"/>
  <c r="W436" i="3"/>
  <c r="J422" i="5"/>
  <c r="K422" i="5" s="1"/>
  <c r="W422" i="5" s="1"/>
  <c r="Q437" i="3"/>
  <c r="G437" i="3"/>
  <c r="AA438" i="3" s="1"/>
  <c r="P437" i="3"/>
  <c r="F437" i="3"/>
  <c r="O437" i="3"/>
  <c r="E437" i="3"/>
  <c r="R437" i="3"/>
  <c r="H437" i="3"/>
  <c r="D437" i="3"/>
  <c r="C437" i="3"/>
  <c r="N437" i="3"/>
  <c r="I437" i="3"/>
  <c r="L437" i="3"/>
  <c r="K437" i="3"/>
  <c r="J437" i="3"/>
  <c r="T437" i="3"/>
  <c r="T438" i="3" l="1"/>
  <c r="J438" i="3"/>
  <c r="I438" i="3"/>
  <c r="R438" i="3"/>
  <c r="H438" i="3"/>
  <c r="K438" i="3"/>
  <c r="W438" i="3" s="1"/>
  <c r="G438" i="3"/>
  <c r="AA439" i="3" s="1"/>
  <c r="F438" i="3"/>
  <c r="X438" i="3" s="1"/>
  <c r="Q438" i="3"/>
  <c r="C438" i="3"/>
  <c r="L438" i="3"/>
  <c r="N438" i="3"/>
  <c r="E438" i="3"/>
  <c r="D438" i="3"/>
  <c r="P438" i="3"/>
  <c r="O438" i="3"/>
  <c r="W437" i="3"/>
  <c r="V422" i="5"/>
  <c r="N422" i="5"/>
  <c r="V437" i="3"/>
  <c r="Z437" i="3"/>
  <c r="X437" i="3"/>
  <c r="U437" i="3"/>
  <c r="T422" i="5" l="1"/>
  <c r="Z422" i="5" s="1"/>
  <c r="X422" i="5"/>
  <c r="Z438" i="3"/>
  <c r="U438" i="3"/>
  <c r="V438" i="3"/>
  <c r="C439" i="3"/>
  <c r="L439" i="3"/>
  <c r="V439" i="3" s="1"/>
  <c r="K439" i="3"/>
  <c r="N439" i="3"/>
  <c r="D439" i="3"/>
  <c r="J439" i="3"/>
  <c r="T439" i="3"/>
  <c r="G439" i="3"/>
  <c r="AA440" i="3" s="1"/>
  <c r="O439" i="3"/>
  <c r="H439" i="3"/>
  <c r="F439" i="3"/>
  <c r="E439" i="3"/>
  <c r="R439" i="3"/>
  <c r="Q439" i="3"/>
  <c r="P439" i="3"/>
  <c r="I439" i="3"/>
  <c r="W439" i="3" l="1"/>
  <c r="Z439" i="3"/>
  <c r="P440" i="3"/>
  <c r="F440" i="3"/>
  <c r="O440" i="3"/>
  <c r="E440" i="3"/>
  <c r="N440" i="3"/>
  <c r="D440" i="3"/>
  <c r="Q440" i="3"/>
  <c r="G440" i="3"/>
  <c r="AA441" i="3" s="1"/>
  <c r="R440" i="3"/>
  <c r="K440" i="3"/>
  <c r="T440" i="3"/>
  <c r="L440" i="3"/>
  <c r="J440" i="3"/>
  <c r="I440" i="3"/>
  <c r="H440" i="3"/>
  <c r="C440" i="3"/>
  <c r="U439" i="3"/>
  <c r="X439" i="3"/>
  <c r="D423" i="5"/>
  <c r="M423" i="5"/>
  <c r="C423" i="5"/>
  <c r="Q423" i="5"/>
  <c r="E423" i="5"/>
  <c r="P423" i="5"/>
  <c r="R423" i="5"/>
  <c r="F423" i="5"/>
  <c r="G423" i="5"/>
  <c r="AA424" i="5" s="1"/>
  <c r="H423" i="5" l="1"/>
  <c r="Z440" i="3"/>
  <c r="O423" i="5"/>
  <c r="V440" i="3"/>
  <c r="X440" i="3"/>
  <c r="U440" i="3"/>
  <c r="I441" i="3"/>
  <c r="R441" i="3"/>
  <c r="H441" i="3"/>
  <c r="Q441" i="3"/>
  <c r="G441" i="3"/>
  <c r="AA442" i="3" s="1"/>
  <c r="T441" i="3"/>
  <c r="J441" i="3"/>
  <c r="E441" i="3"/>
  <c r="D441" i="3"/>
  <c r="O441" i="3"/>
  <c r="F441" i="3"/>
  <c r="P441" i="3"/>
  <c r="N441" i="3"/>
  <c r="L441" i="3"/>
  <c r="K441" i="3"/>
  <c r="C441" i="3"/>
  <c r="I423" i="5"/>
  <c r="U423" i="5" s="1"/>
  <c r="J423" i="5"/>
  <c r="K423" i="5" s="1"/>
  <c r="W423" i="5" s="1"/>
  <c r="W440" i="3"/>
  <c r="X441" i="3" l="1"/>
  <c r="U441" i="3"/>
  <c r="W441" i="3"/>
  <c r="Z441" i="3"/>
  <c r="L442" i="3"/>
  <c r="K442" i="3"/>
  <c r="T442" i="3"/>
  <c r="J442" i="3"/>
  <c r="C442" i="3"/>
  <c r="I442" i="3"/>
  <c r="H442" i="3"/>
  <c r="R442" i="3"/>
  <c r="E442" i="3"/>
  <c r="Q442" i="3"/>
  <c r="P442" i="3"/>
  <c r="O442" i="3"/>
  <c r="N442" i="3"/>
  <c r="G442" i="3"/>
  <c r="AA443" i="3" s="1"/>
  <c r="F442" i="3"/>
  <c r="D442" i="3"/>
  <c r="V441" i="3"/>
  <c r="L423" i="5"/>
  <c r="V442" i="3" l="1"/>
  <c r="O443" i="3"/>
  <c r="E443" i="3"/>
  <c r="N443" i="3"/>
  <c r="D443" i="3"/>
  <c r="C443" i="3"/>
  <c r="P443" i="3"/>
  <c r="F443" i="3"/>
  <c r="L443" i="3"/>
  <c r="I443" i="3"/>
  <c r="U443" i="3" s="1"/>
  <c r="Q443" i="3"/>
  <c r="K443" i="3"/>
  <c r="J443" i="3"/>
  <c r="H443" i="3"/>
  <c r="G443" i="3"/>
  <c r="AA444" i="3" s="1"/>
  <c r="T443" i="3"/>
  <c r="R443" i="3"/>
  <c r="U442" i="3"/>
  <c r="W442" i="3"/>
  <c r="V423" i="5"/>
  <c r="N423" i="5"/>
  <c r="X442" i="3"/>
  <c r="Z442" i="3"/>
  <c r="V443" i="3" l="1"/>
  <c r="T423" i="5"/>
  <c r="Z423" i="5"/>
  <c r="X443" i="3"/>
  <c r="R444" i="3"/>
  <c r="H444" i="3"/>
  <c r="Q444" i="3"/>
  <c r="G444" i="3"/>
  <c r="AA445" i="3" s="1"/>
  <c r="P444" i="3"/>
  <c r="F444" i="3"/>
  <c r="X444" i="3" s="1"/>
  <c r="I444" i="3"/>
  <c r="T444" i="3"/>
  <c r="O444" i="3"/>
  <c r="L444" i="3"/>
  <c r="C444" i="3"/>
  <c r="J444" i="3"/>
  <c r="E444" i="3"/>
  <c r="D444" i="3"/>
  <c r="N444" i="3"/>
  <c r="K444" i="3"/>
  <c r="W444" i="3" s="1"/>
  <c r="Z443" i="3"/>
  <c r="X423" i="5"/>
  <c r="W443" i="3"/>
  <c r="U444" i="3" l="1"/>
  <c r="Z444" i="3"/>
  <c r="V444" i="3"/>
  <c r="K445" i="3"/>
  <c r="T445" i="3"/>
  <c r="J445" i="3"/>
  <c r="I445" i="3"/>
  <c r="L445" i="3"/>
  <c r="E445" i="3"/>
  <c r="R445" i="3"/>
  <c r="D445" i="3"/>
  <c r="O445" i="3"/>
  <c r="F445" i="3"/>
  <c r="C445" i="3"/>
  <c r="Q445" i="3"/>
  <c r="P445" i="3"/>
  <c r="N445" i="3"/>
  <c r="H445" i="3"/>
  <c r="G445" i="3"/>
  <c r="AA446" i="3" s="1"/>
  <c r="Q424" i="5"/>
  <c r="G424" i="5"/>
  <c r="AA425" i="5" s="1"/>
  <c r="M424" i="5"/>
  <c r="C424" i="5"/>
  <c r="R424" i="5"/>
  <c r="E424" i="5"/>
  <c r="P424" i="5" s="1"/>
  <c r="D424" i="5"/>
  <c r="F424" i="5" l="1"/>
  <c r="V445" i="3"/>
  <c r="O424" i="5"/>
  <c r="U445" i="3"/>
  <c r="X445" i="3"/>
  <c r="N446" i="3"/>
  <c r="D446" i="3"/>
  <c r="C446" i="3"/>
  <c r="L446" i="3"/>
  <c r="O446" i="3"/>
  <c r="E446" i="3"/>
  <c r="J446" i="3"/>
  <c r="I446" i="3"/>
  <c r="F446" i="3"/>
  <c r="K446" i="3"/>
  <c r="T446" i="3"/>
  <c r="R446" i="3"/>
  <c r="Q446" i="3"/>
  <c r="P446" i="3"/>
  <c r="H446" i="3"/>
  <c r="G446" i="3"/>
  <c r="AA447" i="3" s="1"/>
  <c r="Z445" i="3"/>
  <c r="W445" i="3"/>
  <c r="H424" i="5"/>
  <c r="W446" i="3" l="1"/>
  <c r="X446" i="3"/>
  <c r="U446" i="3"/>
  <c r="Z446" i="3"/>
  <c r="Q447" i="3"/>
  <c r="G447" i="3"/>
  <c r="AA448" i="3" s="1"/>
  <c r="P447" i="3"/>
  <c r="F447" i="3"/>
  <c r="O447" i="3"/>
  <c r="E447" i="3"/>
  <c r="R447" i="3"/>
  <c r="H447" i="3"/>
  <c r="L447" i="3"/>
  <c r="I447" i="3"/>
  <c r="N447" i="3"/>
  <c r="T447" i="3"/>
  <c r="K447" i="3"/>
  <c r="J447" i="3"/>
  <c r="D447" i="3"/>
  <c r="C447" i="3"/>
  <c r="V446" i="3"/>
  <c r="I424" i="5"/>
  <c r="U447" i="3" l="1"/>
  <c r="W447" i="3"/>
  <c r="T448" i="3"/>
  <c r="J448" i="3"/>
  <c r="I448" i="3"/>
  <c r="R448" i="3"/>
  <c r="H448" i="3"/>
  <c r="K448" i="3"/>
  <c r="P448" i="3"/>
  <c r="O448" i="3"/>
  <c r="L448" i="3"/>
  <c r="Q448" i="3"/>
  <c r="C448" i="3"/>
  <c r="N448" i="3"/>
  <c r="G448" i="3"/>
  <c r="AA449" i="3" s="1"/>
  <c r="F448" i="3"/>
  <c r="E448" i="3"/>
  <c r="D448" i="3"/>
  <c r="V447" i="3"/>
  <c r="U424" i="5"/>
  <c r="J424" i="5"/>
  <c r="L424" i="5"/>
  <c r="Z447" i="3"/>
  <c r="X447" i="3"/>
  <c r="V448" i="3" l="1"/>
  <c r="V424" i="5"/>
  <c r="N424" i="5"/>
  <c r="X448" i="3"/>
  <c r="K424" i="5"/>
  <c r="W424" i="5" s="1"/>
  <c r="X424" i="5"/>
  <c r="W448" i="3"/>
  <c r="U448" i="3"/>
  <c r="Z448" i="3"/>
  <c r="C449" i="3"/>
  <c r="L449" i="3"/>
  <c r="K449" i="3"/>
  <c r="N449" i="3"/>
  <c r="D449" i="3"/>
  <c r="F449" i="3"/>
  <c r="R449" i="3"/>
  <c r="E449" i="3"/>
  <c r="O449" i="3"/>
  <c r="T449" i="3"/>
  <c r="G449" i="3"/>
  <c r="AA450" i="3" s="1"/>
  <c r="J449" i="3"/>
  <c r="I449" i="3"/>
  <c r="H449" i="3"/>
  <c r="Q449" i="3"/>
  <c r="P449" i="3"/>
  <c r="Z449" i="3" l="1"/>
  <c r="X449" i="3"/>
  <c r="T424" i="5"/>
  <c r="W449" i="3"/>
  <c r="P450" i="3"/>
  <c r="F450" i="3"/>
  <c r="O450" i="3"/>
  <c r="E450" i="3"/>
  <c r="N450" i="3"/>
  <c r="D450" i="3"/>
  <c r="Q450" i="3"/>
  <c r="G450" i="3"/>
  <c r="AA451" i="3" s="1"/>
  <c r="J450" i="3"/>
  <c r="I450" i="3"/>
  <c r="T450" i="3"/>
  <c r="K450" i="3"/>
  <c r="L450" i="3"/>
  <c r="H450" i="3"/>
  <c r="C450" i="3"/>
  <c r="R450" i="3"/>
  <c r="U449" i="3"/>
  <c r="V449" i="3"/>
  <c r="Z424" i="5"/>
  <c r="V450" i="3" l="1"/>
  <c r="X450" i="3"/>
  <c r="M425" i="5"/>
  <c r="C425" i="5"/>
  <c r="R425" i="5"/>
  <c r="Q425" i="5"/>
  <c r="D425" i="5"/>
  <c r="G425" i="5"/>
  <c r="E425" i="5"/>
  <c r="F425" i="5" s="1"/>
  <c r="Z450" i="3"/>
  <c r="W450" i="3"/>
  <c r="I451" i="3"/>
  <c r="R451" i="3"/>
  <c r="H451" i="3"/>
  <c r="Q451" i="3"/>
  <c r="G451" i="3"/>
  <c r="AA452" i="3" s="1"/>
  <c r="T451" i="3"/>
  <c r="J451" i="3"/>
  <c r="N451" i="3"/>
  <c r="F451" i="3"/>
  <c r="O451" i="3"/>
  <c r="E451" i="3"/>
  <c r="D451" i="3"/>
  <c r="C451" i="3"/>
  <c r="P451" i="3"/>
  <c r="L451" i="3"/>
  <c r="V451" i="3" s="1"/>
  <c r="K451" i="3"/>
  <c r="U450" i="3"/>
  <c r="O425" i="5" l="1"/>
  <c r="H425" i="5"/>
  <c r="I425" i="5" s="1"/>
  <c r="U425" i="5" s="1"/>
  <c r="X451" i="3"/>
  <c r="W451" i="3"/>
  <c r="Z451" i="3"/>
  <c r="P425" i="5"/>
  <c r="U451" i="3"/>
  <c r="L452" i="3"/>
  <c r="K452" i="3"/>
  <c r="T452" i="3"/>
  <c r="J452" i="3"/>
  <c r="C452" i="3"/>
  <c r="Q452" i="3"/>
  <c r="D452" i="3"/>
  <c r="P452" i="3"/>
  <c r="R452" i="3"/>
  <c r="E452" i="3"/>
  <c r="O452" i="3"/>
  <c r="N452" i="3"/>
  <c r="I452" i="3"/>
  <c r="H452" i="3"/>
  <c r="G452" i="3"/>
  <c r="AA453" i="3" s="1"/>
  <c r="F452" i="3"/>
  <c r="J425" i="5" l="1"/>
  <c r="K425" i="5" s="1"/>
  <c r="W425" i="5" s="1"/>
  <c r="L425" i="5"/>
  <c r="Z452" i="3"/>
  <c r="U452" i="3"/>
  <c r="X452" i="3"/>
  <c r="O453" i="3"/>
  <c r="E453" i="3"/>
  <c r="N453" i="3"/>
  <c r="D453" i="3"/>
  <c r="C453" i="3"/>
  <c r="P453" i="3"/>
  <c r="F453" i="3"/>
  <c r="H453" i="3"/>
  <c r="T453" i="3"/>
  <c r="G453" i="3"/>
  <c r="AA454" i="3" s="1"/>
  <c r="Q453" i="3"/>
  <c r="I453" i="3"/>
  <c r="R453" i="3"/>
  <c r="L453" i="3"/>
  <c r="V453" i="3" s="1"/>
  <c r="K453" i="3"/>
  <c r="J453" i="3"/>
  <c r="W452" i="3"/>
  <c r="V452" i="3"/>
  <c r="X453" i="3" l="1"/>
  <c r="U453" i="3"/>
  <c r="R454" i="3"/>
  <c r="H454" i="3"/>
  <c r="Q454" i="3"/>
  <c r="G454" i="3"/>
  <c r="AA455" i="3" s="1"/>
  <c r="P454" i="3"/>
  <c r="F454" i="3"/>
  <c r="I454" i="3"/>
  <c r="U454" i="3" s="1"/>
  <c r="K454" i="3"/>
  <c r="W454" i="3" s="1"/>
  <c r="J454" i="3"/>
  <c r="C454" i="3"/>
  <c r="L454" i="3"/>
  <c r="T454" i="3"/>
  <c r="O454" i="3"/>
  <c r="N454" i="3"/>
  <c r="E454" i="3"/>
  <c r="D454" i="3"/>
  <c r="V425" i="5"/>
  <c r="N425" i="5"/>
  <c r="W453" i="3"/>
  <c r="Z453" i="3"/>
  <c r="T425" i="5" l="1"/>
  <c r="Z425" i="5" s="1"/>
  <c r="X425" i="5"/>
  <c r="X454" i="3"/>
  <c r="V454" i="3"/>
  <c r="K455" i="3"/>
  <c r="T455" i="3"/>
  <c r="J455" i="3"/>
  <c r="I455" i="3"/>
  <c r="U455" i="3" s="1"/>
  <c r="L455" i="3"/>
  <c r="V455" i="3" s="1"/>
  <c r="N455" i="3"/>
  <c r="F455" i="3"/>
  <c r="O455" i="3"/>
  <c r="H455" i="3"/>
  <c r="G455" i="3"/>
  <c r="AA456" i="3" s="1"/>
  <c r="E455" i="3"/>
  <c r="D455" i="3"/>
  <c r="C455" i="3"/>
  <c r="R455" i="3"/>
  <c r="Q455" i="3"/>
  <c r="P455" i="3"/>
  <c r="Z454" i="3"/>
  <c r="Z455" i="3" l="1"/>
  <c r="N456" i="3"/>
  <c r="D456" i="3"/>
  <c r="C456" i="3"/>
  <c r="L456" i="3"/>
  <c r="V456" i="3" s="1"/>
  <c r="O456" i="3"/>
  <c r="E456" i="3"/>
  <c r="R456" i="3"/>
  <c r="Q456" i="3"/>
  <c r="K456" i="3"/>
  <c r="F456" i="3"/>
  <c r="I456" i="3"/>
  <c r="H456" i="3"/>
  <c r="G456" i="3"/>
  <c r="AA457" i="3" s="1"/>
  <c r="T456" i="3"/>
  <c r="P456" i="3"/>
  <c r="J456" i="3"/>
  <c r="X455" i="3"/>
  <c r="W455" i="3"/>
  <c r="M426" i="5"/>
  <c r="C426" i="5"/>
  <c r="L426" i="5"/>
  <c r="J426" i="5"/>
  <c r="I426" i="5"/>
  <c r="T426" i="5"/>
  <c r="H426" i="5"/>
  <c r="K426" i="5"/>
  <c r="W426" i="5" s="1"/>
  <c r="O426" i="5"/>
  <c r="N426" i="5"/>
  <c r="G426" i="5"/>
  <c r="AA427" i="5" s="1"/>
  <c r="F426" i="5"/>
  <c r="P426" i="5"/>
  <c r="R426" i="5"/>
  <c r="Q426" i="5"/>
  <c r="E426" i="5"/>
  <c r="AA426" i="5" s="1"/>
  <c r="D426" i="5"/>
  <c r="W456" i="3" l="1"/>
  <c r="P427" i="5"/>
  <c r="F427" i="5"/>
  <c r="O427" i="5"/>
  <c r="E427" i="5"/>
  <c r="I427" i="5"/>
  <c r="T427" i="5"/>
  <c r="H427" i="5"/>
  <c r="G427" i="5"/>
  <c r="AA428" i="5" s="1"/>
  <c r="J427" i="5"/>
  <c r="C427" i="5"/>
  <c r="R427" i="5"/>
  <c r="D427" i="5"/>
  <c r="Q427" i="5"/>
  <c r="N427" i="5"/>
  <c r="M427" i="5"/>
  <c r="L427" i="5"/>
  <c r="K427" i="5"/>
  <c r="W427" i="5" s="1"/>
  <c r="Q457" i="3"/>
  <c r="G457" i="3"/>
  <c r="AA458" i="3" s="1"/>
  <c r="P457" i="3"/>
  <c r="F457" i="3"/>
  <c r="O457" i="3"/>
  <c r="E457" i="3"/>
  <c r="R457" i="3"/>
  <c r="H457" i="3"/>
  <c r="D457" i="3"/>
  <c r="C457" i="3"/>
  <c r="N457" i="3"/>
  <c r="I457" i="3"/>
  <c r="J457" i="3"/>
  <c r="T457" i="3"/>
  <c r="L457" i="3"/>
  <c r="K457" i="3"/>
  <c r="U426" i="5"/>
  <c r="Z456" i="3"/>
  <c r="V426" i="5"/>
  <c r="U456" i="3"/>
  <c r="X426" i="5"/>
  <c r="Z426" i="5"/>
  <c r="X456" i="3"/>
  <c r="U457" i="3" l="1"/>
  <c r="X427" i="5"/>
  <c r="Z457" i="3"/>
  <c r="V427" i="5"/>
  <c r="U427" i="5"/>
  <c r="I428" i="5"/>
  <c r="R428" i="5"/>
  <c r="H428" i="5"/>
  <c r="Q428" i="5"/>
  <c r="E428" i="5"/>
  <c r="P428" i="5"/>
  <c r="D428" i="5"/>
  <c r="O428" i="5"/>
  <c r="C428" i="5"/>
  <c r="T428" i="5"/>
  <c r="F428" i="5"/>
  <c r="N428" i="5"/>
  <c r="M428" i="5"/>
  <c r="L428" i="5"/>
  <c r="V428" i="5" s="1"/>
  <c r="J428" i="5"/>
  <c r="G428" i="5"/>
  <c r="AA429" i="5" s="1"/>
  <c r="K428" i="5"/>
  <c r="W457" i="3"/>
  <c r="V457" i="3"/>
  <c r="T458" i="3"/>
  <c r="J458" i="3"/>
  <c r="I458" i="3"/>
  <c r="R458" i="3"/>
  <c r="H458" i="3"/>
  <c r="K458" i="3"/>
  <c r="G458" i="3"/>
  <c r="AA459" i="3" s="1"/>
  <c r="F458" i="3"/>
  <c r="Q458" i="3"/>
  <c r="C458" i="3"/>
  <c r="L458" i="3"/>
  <c r="D458" i="3"/>
  <c r="P458" i="3"/>
  <c r="O458" i="3"/>
  <c r="N458" i="3"/>
  <c r="E458" i="3"/>
  <c r="X457" i="3"/>
  <c r="Z427" i="5"/>
  <c r="W458" i="3" l="1"/>
  <c r="U428" i="5"/>
  <c r="C459" i="3"/>
  <c r="L459" i="3"/>
  <c r="K459" i="3"/>
  <c r="N459" i="3"/>
  <c r="D459" i="3"/>
  <c r="J459" i="3"/>
  <c r="T459" i="3"/>
  <c r="G459" i="3"/>
  <c r="AA460" i="3" s="1"/>
  <c r="O459" i="3"/>
  <c r="R459" i="3"/>
  <c r="Q459" i="3"/>
  <c r="P459" i="3"/>
  <c r="I459" i="3"/>
  <c r="H459" i="3"/>
  <c r="F459" i="3"/>
  <c r="E459" i="3"/>
  <c r="Z458" i="3"/>
  <c r="Z428" i="5"/>
  <c r="V458" i="3"/>
  <c r="U458" i="3"/>
  <c r="X428" i="5"/>
  <c r="L429" i="5"/>
  <c r="K429" i="5"/>
  <c r="O429" i="5"/>
  <c r="C429" i="5"/>
  <c r="N429" i="5"/>
  <c r="M429" i="5"/>
  <c r="P429" i="5"/>
  <c r="D429" i="5"/>
  <c r="H429" i="5"/>
  <c r="G429" i="5"/>
  <c r="AA430" i="5" s="1"/>
  <c r="F429" i="5"/>
  <c r="E429" i="5"/>
  <c r="I429" i="5"/>
  <c r="R429" i="5"/>
  <c r="Q429" i="5"/>
  <c r="J429" i="5"/>
  <c r="T429" i="5"/>
  <c r="X458" i="3"/>
  <c r="W428" i="5"/>
  <c r="V429" i="5" l="1"/>
  <c r="Z429" i="5"/>
  <c r="X459" i="3"/>
  <c r="U429" i="5"/>
  <c r="O430" i="5"/>
  <c r="E430" i="5"/>
  <c r="N430" i="5"/>
  <c r="D430" i="5"/>
  <c r="L430" i="5"/>
  <c r="V430" i="5" s="1"/>
  <c r="K430" i="5"/>
  <c r="J430" i="5"/>
  <c r="M430" i="5"/>
  <c r="R430" i="5"/>
  <c r="Q430" i="5"/>
  <c r="P430" i="5"/>
  <c r="T430" i="5"/>
  <c r="I430" i="5"/>
  <c r="H430" i="5"/>
  <c r="G430" i="5"/>
  <c r="AA431" i="5" s="1"/>
  <c r="F430" i="5"/>
  <c r="C430" i="5"/>
  <c r="W429" i="5"/>
  <c r="U459" i="3"/>
  <c r="W459" i="3"/>
  <c r="V459" i="3"/>
  <c r="Z459" i="3"/>
  <c r="P460" i="3"/>
  <c r="F460" i="3"/>
  <c r="O460" i="3"/>
  <c r="E460" i="3"/>
  <c r="N460" i="3"/>
  <c r="D460" i="3"/>
  <c r="Q460" i="3"/>
  <c r="G460" i="3"/>
  <c r="AA461" i="3" s="1"/>
  <c r="R460" i="3"/>
  <c r="K460" i="3"/>
  <c r="T460" i="3"/>
  <c r="L460" i="3"/>
  <c r="J460" i="3"/>
  <c r="I460" i="3"/>
  <c r="H460" i="3"/>
  <c r="C460" i="3"/>
  <c r="X429" i="5"/>
  <c r="U460" i="3" l="1"/>
  <c r="W430" i="5"/>
  <c r="V460" i="3"/>
  <c r="Z430" i="5"/>
  <c r="X430" i="5"/>
  <c r="I461" i="3"/>
  <c r="R461" i="3"/>
  <c r="H461" i="3"/>
  <c r="Q461" i="3"/>
  <c r="G461" i="3"/>
  <c r="AA462" i="3" s="1"/>
  <c r="T461" i="3"/>
  <c r="J461" i="3"/>
  <c r="E461" i="3"/>
  <c r="D461" i="3"/>
  <c r="O461" i="3"/>
  <c r="F461" i="3"/>
  <c r="N461" i="3"/>
  <c r="L461" i="3"/>
  <c r="K461" i="3"/>
  <c r="W461" i="3" s="1"/>
  <c r="C461" i="3"/>
  <c r="P461" i="3"/>
  <c r="X460" i="3"/>
  <c r="U430" i="5"/>
  <c r="W460" i="3"/>
  <c r="R431" i="5"/>
  <c r="H431" i="5"/>
  <c r="Q431" i="5"/>
  <c r="G431" i="5"/>
  <c r="AA432" i="5" s="1"/>
  <c r="J431" i="5"/>
  <c r="I431" i="5"/>
  <c r="U431" i="5" s="1"/>
  <c r="T431" i="5"/>
  <c r="F431" i="5"/>
  <c r="K431" i="5"/>
  <c r="L431" i="5"/>
  <c r="E431" i="5"/>
  <c r="D431" i="5"/>
  <c r="C431" i="5"/>
  <c r="M431" i="5"/>
  <c r="P431" i="5"/>
  <c r="O431" i="5"/>
  <c r="N431" i="5"/>
  <c r="Z460" i="3"/>
  <c r="K432" i="5" l="1"/>
  <c r="T432" i="5"/>
  <c r="J432" i="5"/>
  <c r="R432" i="5"/>
  <c r="F432" i="5"/>
  <c r="Q432" i="5"/>
  <c r="E432" i="5"/>
  <c r="P432" i="5"/>
  <c r="D432" i="5"/>
  <c r="G432" i="5"/>
  <c r="AA433" i="5" s="1"/>
  <c r="O432" i="5"/>
  <c r="C432" i="5"/>
  <c r="N432" i="5"/>
  <c r="M432" i="5"/>
  <c r="L432" i="5"/>
  <c r="I432" i="5"/>
  <c r="H432" i="5"/>
  <c r="Z461" i="3"/>
  <c r="X431" i="5"/>
  <c r="X461" i="3"/>
  <c r="L462" i="3"/>
  <c r="K462" i="3"/>
  <c r="T462" i="3"/>
  <c r="J462" i="3"/>
  <c r="C462" i="3"/>
  <c r="I462" i="3"/>
  <c r="H462" i="3"/>
  <c r="R462" i="3"/>
  <c r="E462" i="3"/>
  <c r="N462" i="3"/>
  <c r="G462" i="3"/>
  <c r="AA463" i="3" s="1"/>
  <c r="F462" i="3"/>
  <c r="D462" i="3"/>
  <c r="Q462" i="3"/>
  <c r="P462" i="3"/>
  <c r="O462" i="3"/>
  <c r="Z431" i="5"/>
  <c r="V461" i="3"/>
  <c r="U461" i="3"/>
  <c r="V431" i="5"/>
  <c r="W431" i="5"/>
  <c r="X432" i="5" l="1"/>
  <c r="V462" i="3"/>
  <c r="U462" i="3"/>
  <c r="U432" i="5"/>
  <c r="V432" i="5"/>
  <c r="O463" i="3"/>
  <c r="E463" i="3"/>
  <c r="N463" i="3"/>
  <c r="D463" i="3"/>
  <c r="C463" i="3"/>
  <c r="P463" i="3"/>
  <c r="F463" i="3"/>
  <c r="L463" i="3"/>
  <c r="K463" i="3"/>
  <c r="I463" i="3"/>
  <c r="Q463" i="3"/>
  <c r="H463" i="3"/>
  <c r="G463" i="3"/>
  <c r="AA464" i="3" s="1"/>
  <c r="T463" i="3"/>
  <c r="R463" i="3"/>
  <c r="J463" i="3"/>
  <c r="Z462" i="3"/>
  <c r="X462" i="3"/>
  <c r="W462" i="3"/>
  <c r="Z432" i="5"/>
  <c r="N433" i="5"/>
  <c r="D433" i="5"/>
  <c r="M433" i="5"/>
  <c r="C433" i="5"/>
  <c r="Q433" i="5"/>
  <c r="E433" i="5"/>
  <c r="P433" i="5"/>
  <c r="O433" i="5"/>
  <c r="R433" i="5"/>
  <c r="F433" i="5"/>
  <c r="L433" i="5"/>
  <c r="K433" i="5"/>
  <c r="J433" i="5"/>
  <c r="I433" i="5"/>
  <c r="T433" i="5"/>
  <c r="H433" i="5"/>
  <c r="G433" i="5"/>
  <c r="AA434" i="5" s="1"/>
  <c r="W432" i="5"/>
  <c r="X463" i="3" l="1"/>
  <c r="R464" i="3"/>
  <c r="H464" i="3"/>
  <c r="Q464" i="3"/>
  <c r="G464" i="3"/>
  <c r="AA465" i="3" s="1"/>
  <c r="P464" i="3"/>
  <c r="F464" i="3"/>
  <c r="I464" i="3"/>
  <c r="U464" i="3" s="1"/>
  <c r="T464" i="3"/>
  <c r="O464" i="3"/>
  <c r="N464" i="3"/>
  <c r="L464" i="3"/>
  <c r="C464" i="3"/>
  <c r="E464" i="3"/>
  <c r="D464" i="3"/>
  <c r="K464" i="3"/>
  <c r="J464" i="3"/>
  <c r="W433" i="5"/>
  <c r="X433" i="5"/>
  <c r="U433" i="5"/>
  <c r="W463" i="3"/>
  <c r="Q434" i="5"/>
  <c r="G434" i="5"/>
  <c r="AA435" i="5" s="1"/>
  <c r="P434" i="5"/>
  <c r="F434" i="5"/>
  <c r="N434" i="5"/>
  <c r="M434" i="5"/>
  <c r="L434" i="5"/>
  <c r="V434" i="5" s="1"/>
  <c r="O434" i="5"/>
  <c r="C434" i="5"/>
  <c r="H434" i="5"/>
  <c r="E434" i="5"/>
  <c r="D434" i="5"/>
  <c r="I434" i="5"/>
  <c r="J434" i="5"/>
  <c r="T434" i="5"/>
  <c r="R434" i="5"/>
  <c r="K434" i="5"/>
  <c r="Z463" i="3"/>
  <c r="Z433" i="5"/>
  <c r="V433" i="5"/>
  <c r="U463" i="3"/>
  <c r="V463" i="3"/>
  <c r="W434" i="5" l="1"/>
  <c r="Z434" i="5"/>
  <c r="K465" i="3"/>
  <c r="T465" i="3"/>
  <c r="J465" i="3"/>
  <c r="I465" i="3"/>
  <c r="L465" i="3"/>
  <c r="E465" i="3"/>
  <c r="R465" i="3"/>
  <c r="D465" i="3"/>
  <c r="Q465" i="3"/>
  <c r="C465" i="3"/>
  <c r="O465" i="3"/>
  <c r="F465" i="3"/>
  <c r="G465" i="3"/>
  <c r="AA466" i="3" s="1"/>
  <c r="P465" i="3"/>
  <c r="N465" i="3"/>
  <c r="H465" i="3"/>
  <c r="T435" i="5"/>
  <c r="J435" i="5"/>
  <c r="I435" i="5"/>
  <c r="M435" i="5"/>
  <c r="L435" i="5"/>
  <c r="K435" i="5"/>
  <c r="N435" i="5"/>
  <c r="P435" i="5"/>
  <c r="O435" i="5"/>
  <c r="H435" i="5"/>
  <c r="G435" i="5"/>
  <c r="AA436" i="5" s="1"/>
  <c r="Q435" i="5"/>
  <c r="E435" i="5"/>
  <c r="D435" i="5"/>
  <c r="C435" i="5"/>
  <c r="R435" i="5"/>
  <c r="F435" i="5"/>
  <c r="X434" i="5"/>
  <c r="Z464" i="3"/>
  <c r="V464" i="3"/>
  <c r="X464" i="3"/>
  <c r="W464" i="3"/>
  <c r="U434" i="5"/>
  <c r="U435" i="5" l="1"/>
  <c r="V465" i="3"/>
  <c r="T466" i="3"/>
  <c r="J466" i="3"/>
  <c r="P466" i="3"/>
  <c r="E466" i="3"/>
  <c r="O466" i="3"/>
  <c r="D466" i="3"/>
  <c r="N466" i="3"/>
  <c r="C466" i="3"/>
  <c r="Q466" i="3"/>
  <c r="F466" i="3"/>
  <c r="L466" i="3"/>
  <c r="K466" i="3"/>
  <c r="I466" i="3"/>
  <c r="G466" i="3"/>
  <c r="AA467" i="3" s="1"/>
  <c r="H466" i="3"/>
  <c r="R466" i="3"/>
  <c r="U465" i="3"/>
  <c r="X435" i="5"/>
  <c r="W435" i="5"/>
  <c r="V435" i="5"/>
  <c r="W465" i="3"/>
  <c r="M436" i="5"/>
  <c r="C436" i="5"/>
  <c r="L436" i="5"/>
  <c r="J436" i="5"/>
  <c r="I436" i="5"/>
  <c r="T436" i="5"/>
  <c r="H436" i="5"/>
  <c r="K436" i="5"/>
  <c r="F436" i="5"/>
  <c r="E436" i="5"/>
  <c r="D436" i="5"/>
  <c r="G436" i="5"/>
  <c r="AA437" i="5" s="1"/>
  <c r="P436" i="5"/>
  <c r="O436" i="5"/>
  <c r="N436" i="5"/>
  <c r="R436" i="5"/>
  <c r="Q436" i="5"/>
  <c r="X465" i="3"/>
  <c r="Z435" i="5"/>
  <c r="Z465" i="3"/>
  <c r="W436" i="5" l="1"/>
  <c r="U436" i="5"/>
  <c r="P437" i="5"/>
  <c r="F437" i="5"/>
  <c r="O437" i="5"/>
  <c r="E437" i="5"/>
  <c r="I437" i="5"/>
  <c r="T437" i="5"/>
  <c r="H437" i="5"/>
  <c r="G437" i="5"/>
  <c r="AA438" i="5" s="1"/>
  <c r="J437" i="5"/>
  <c r="R437" i="5"/>
  <c r="Q437" i="5"/>
  <c r="N437" i="5"/>
  <c r="M437" i="5"/>
  <c r="L437" i="5"/>
  <c r="K437" i="5"/>
  <c r="D437" i="5"/>
  <c r="C437" i="5"/>
  <c r="W466" i="3"/>
  <c r="V466" i="3"/>
  <c r="C467" i="3"/>
  <c r="K467" i="3"/>
  <c r="T467" i="3"/>
  <c r="J467" i="3"/>
  <c r="I467" i="3"/>
  <c r="L467" i="3"/>
  <c r="V467" i="3" s="1"/>
  <c r="Q467" i="3"/>
  <c r="P467" i="3"/>
  <c r="O467" i="3"/>
  <c r="R467" i="3"/>
  <c r="D467" i="3"/>
  <c r="F467" i="3"/>
  <c r="E467" i="3"/>
  <c r="N467" i="3"/>
  <c r="H467" i="3"/>
  <c r="G467" i="3"/>
  <c r="AA468" i="3" s="1"/>
  <c r="Z466" i="3"/>
  <c r="V436" i="5"/>
  <c r="Z436" i="5"/>
  <c r="U466" i="3"/>
  <c r="X436" i="5"/>
  <c r="X466" i="3"/>
  <c r="U467" i="3" l="1"/>
  <c r="I438" i="5"/>
  <c r="R438" i="5"/>
  <c r="H438" i="5"/>
  <c r="Q438" i="5"/>
  <c r="E438" i="5"/>
  <c r="P438" i="5"/>
  <c r="D438" i="5"/>
  <c r="O438" i="5"/>
  <c r="C438" i="5"/>
  <c r="T438" i="5"/>
  <c r="F438" i="5"/>
  <c r="L438" i="5"/>
  <c r="K438" i="5"/>
  <c r="J438" i="5"/>
  <c r="G438" i="5"/>
  <c r="AA439" i="5" s="1"/>
  <c r="M438" i="5"/>
  <c r="N438" i="5"/>
  <c r="Z437" i="5"/>
  <c r="W467" i="3"/>
  <c r="U437" i="5"/>
  <c r="P468" i="3"/>
  <c r="F468" i="3"/>
  <c r="Q468" i="3"/>
  <c r="E468" i="3"/>
  <c r="O468" i="3"/>
  <c r="D468" i="3"/>
  <c r="N468" i="3"/>
  <c r="C468" i="3"/>
  <c r="R468" i="3"/>
  <c r="G468" i="3"/>
  <c r="AA469" i="3" s="1"/>
  <c r="J468" i="3"/>
  <c r="I468" i="3"/>
  <c r="H468" i="3"/>
  <c r="K468" i="3"/>
  <c r="T468" i="3"/>
  <c r="L468" i="3"/>
  <c r="V468" i="3" s="1"/>
  <c r="Z467" i="3"/>
  <c r="W437" i="5"/>
  <c r="V437" i="5"/>
  <c r="X437" i="5"/>
  <c r="X467" i="3"/>
  <c r="V438" i="5" l="1"/>
  <c r="Z468" i="3"/>
  <c r="Z438" i="5"/>
  <c r="I469" i="3"/>
  <c r="L469" i="3"/>
  <c r="K469" i="3"/>
  <c r="J469" i="3"/>
  <c r="N469" i="3"/>
  <c r="H469" i="3"/>
  <c r="F469" i="3"/>
  <c r="O469" i="3"/>
  <c r="D469" i="3"/>
  <c r="C469" i="3"/>
  <c r="T469" i="3"/>
  <c r="R469" i="3"/>
  <c r="Q469" i="3"/>
  <c r="P469" i="3"/>
  <c r="G469" i="3"/>
  <c r="AA470" i="3" s="1"/>
  <c r="E469" i="3"/>
  <c r="W438" i="5"/>
  <c r="W468" i="3"/>
  <c r="X468" i="3"/>
  <c r="L439" i="5"/>
  <c r="K439" i="5"/>
  <c r="M439" i="5"/>
  <c r="C439" i="5"/>
  <c r="Q439" i="5"/>
  <c r="D439" i="5"/>
  <c r="P439" i="5"/>
  <c r="O439" i="5"/>
  <c r="R439" i="5"/>
  <c r="E439" i="5"/>
  <c r="F439" i="5"/>
  <c r="T439" i="5"/>
  <c r="G439" i="5"/>
  <c r="AA440" i="5" s="1"/>
  <c r="N439" i="5"/>
  <c r="J439" i="5"/>
  <c r="I439" i="5"/>
  <c r="H439" i="5"/>
  <c r="U468" i="3"/>
  <c r="X438" i="5"/>
  <c r="U438" i="5"/>
  <c r="V469" i="3" l="1"/>
  <c r="X469" i="3"/>
  <c r="U439" i="5"/>
  <c r="O440" i="5"/>
  <c r="E440" i="5"/>
  <c r="N440" i="5"/>
  <c r="D440" i="5"/>
  <c r="P440" i="5"/>
  <c r="F440" i="5"/>
  <c r="C440" i="5"/>
  <c r="R440" i="5"/>
  <c r="Q440" i="5"/>
  <c r="T440" i="5"/>
  <c r="G440" i="5"/>
  <c r="AA441" i="5" s="1"/>
  <c r="M440" i="5"/>
  <c r="L440" i="5"/>
  <c r="K440" i="5"/>
  <c r="H440" i="5"/>
  <c r="J440" i="5"/>
  <c r="I440" i="5"/>
  <c r="U469" i="3"/>
  <c r="Z439" i="5"/>
  <c r="W439" i="5"/>
  <c r="Z469" i="3"/>
  <c r="W469" i="3"/>
  <c r="L470" i="3"/>
  <c r="R470" i="3"/>
  <c r="G470" i="3"/>
  <c r="AA471" i="3" s="1"/>
  <c r="Q470" i="3"/>
  <c r="F470" i="3"/>
  <c r="P470" i="3"/>
  <c r="E470" i="3"/>
  <c r="H470" i="3"/>
  <c r="C470" i="3"/>
  <c r="T470" i="3"/>
  <c r="N470" i="3"/>
  <c r="D470" i="3"/>
  <c r="O470" i="3"/>
  <c r="K470" i="3"/>
  <c r="J470" i="3"/>
  <c r="I470" i="3"/>
  <c r="X439" i="5"/>
  <c r="V439" i="5"/>
  <c r="U440" i="5" l="1"/>
  <c r="U470" i="3"/>
  <c r="W470" i="3"/>
  <c r="Z440" i="5"/>
  <c r="V440" i="5"/>
  <c r="Z470" i="3"/>
  <c r="X470" i="3"/>
  <c r="X440" i="5"/>
  <c r="W440" i="5"/>
  <c r="V470" i="3"/>
  <c r="R441" i="5"/>
  <c r="H441" i="5"/>
  <c r="Q441" i="5"/>
  <c r="G441" i="5"/>
  <c r="AA442" i="5" s="1"/>
  <c r="I441" i="5"/>
  <c r="T441" i="5"/>
  <c r="D441" i="5"/>
  <c r="P441" i="5"/>
  <c r="C441" i="5"/>
  <c r="O441" i="5"/>
  <c r="E441" i="5"/>
  <c r="M441" i="5"/>
  <c r="L441" i="5"/>
  <c r="K441" i="5"/>
  <c r="J441" i="5"/>
  <c r="N441" i="5"/>
  <c r="F441" i="5"/>
  <c r="O471" i="3"/>
  <c r="E471" i="3"/>
  <c r="L471" i="3"/>
  <c r="K471" i="3"/>
  <c r="N471" i="3"/>
  <c r="C471" i="3"/>
  <c r="J471" i="3"/>
  <c r="I471" i="3"/>
  <c r="H471" i="3"/>
  <c r="T471" i="3"/>
  <c r="F471" i="3"/>
  <c r="G471" i="3"/>
  <c r="AA472" i="3" s="1"/>
  <c r="D471" i="3"/>
  <c r="R471" i="3"/>
  <c r="Q471" i="3"/>
  <c r="P471" i="3"/>
  <c r="U471" i="3" l="1"/>
  <c r="V471" i="3"/>
  <c r="Z441" i="5"/>
  <c r="R472" i="3"/>
  <c r="H472" i="3"/>
  <c r="G472" i="3"/>
  <c r="AA473" i="3" s="1"/>
  <c r="Q472" i="3"/>
  <c r="F472" i="3"/>
  <c r="P472" i="3"/>
  <c r="E472" i="3"/>
  <c r="T472" i="3"/>
  <c r="I472" i="3"/>
  <c r="O472" i="3"/>
  <c r="N472" i="3"/>
  <c r="K472" i="3"/>
  <c r="C472" i="3"/>
  <c r="L472" i="3"/>
  <c r="J472" i="3"/>
  <c r="D472" i="3"/>
  <c r="X441" i="5"/>
  <c r="U441" i="5"/>
  <c r="W441" i="5"/>
  <c r="Z471" i="3"/>
  <c r="V441" i="5"/>
  <c r="X471" i="3"/>
  <c r="K442" i="5"/>
  <c r="T442" i="5"/>
  <c r="J442" i="5"/>
  <c r="L442" i="5"/>
  <c r="Q442" i="5"/>
  <c r="D442" i="5"/>
  <c r="P442" i="5"/>
  <c r="C442" i="5"/>
  <c r="O442" i="5"/>
  <c r="R442" i="5"/>
  <c r="E442" i="5"/>
  <c r="G442" i="5"/>
  <c r="AA443" i="5" s="1"/>
  <c r="F442" i="5"/>
  <c r="H442" i="5"/>
  <c r="N442" i="5"/>
  <c r="M442" i="5"/>
  <c r="I442" i="5"/>
  <c r="W471" i="3"/>
  <c r="V472" i="3" l="1"/>
  <c r="K473" i="3"/>
  <c r="L473" i="3"/>
  <c r="J473" i="3"/>
  <c r="N473" i="3"/>
  <c r="C473" i="3"/>
  <c r="E473" i="3"/>
  <c r="R473" i="3"/>
  <c r="D473" i="3"/>
  <c r="Q473" i="3"/>
  <c r="O473" i="3"/>
  <c r="T473" i="3"/>
  <c r="F473" i="3"/>
  <c r="P473" i="3"/>
  <c r="I473" i="3"/>
  <c r="H473" i="3"/>
  <c r="G473" i="3"/>
  <c r="AA474" i="3" s="1"/>
  <c r="V442" i="5"/>
  <c r="X442" i="5"/>
  <c r="N443" i="5"/>
  <c r="D443" i="5"/>
  <c r="M443" i="5"/>
  <c r="C443" i="5"/>
  <c r="O443" i="5"/>
  <c r="E443" i="5"/>
  <c r="F443" i="5"/>
  <c r="R443" i="5"/>
  <c r="Q443" i="5"/>
  <c r="T443" i="5"/>
  <c r="G443" i="5"/>
  <c r="AA444" i="5" s="1"/>
  <c r="P443" i="5"/>
  <c r="L443" i="5"/>
  <c r="K443" i="5"/>
  <c r="J443" i="5"/>
  <c r="I443" i="5"/>
  <c r="H443" i="5"/>
  <c r="W442" i="5"/>
  <c r="Z472" i="3"/>
  <c r="Z442" i="5"/>
  <c r="X472" i="3"/>
  <c r="W472" i="3"/>
  <c r="U442" i="5"/>
  <c r="U472" i="3"/>
  <c r="U473" i="3" l="1"/>
  <c r="Q444" i="5"/>
  <c r="G444" i="5"/>
  <c r="AA445" i="5" s="1"/>
  <c r="P444" i="5"/>
  <c r="F444" i="5"/>
  <c r="R444" i="5"/>
  <c r="H444" i="5"/>
  <c r="T444" i="5"/>
  <c r="D444" i="5"/>
  <c r="C444" i="5"/>
  <c r="O444" i="5"/>
  <c r="E444" i="5"/>
  <c r="N444" i="5"/>
  <c r="M444" i="5"/>
  <c r="L444" i="5"/>
  <c r="K444" i="5"/>
  <c r="J444" i="5"/>
  <c r="I444" i="5"/>
  <c r="X443" i="5"/>
  <c r="U443" i="5"/>
  <c r="W443" i="5"/>
  <c r="Z443" i="5"/>
  <c r="X473" i="3"/>
  <c r="V473" i="3"/>
  <c r="Z473" i="3"/>
  <c r="V443" i="5"/>
  <c r="N474" i="3"/>
  <c r="D474" i="3"/>
  <c r="H474" i="3"/>
  <c r="R474" i="3"/>
  <c r="G474" i="3"/>
  <c r="AA475" i="3" s="1"/>
  <c r="Q474" i="3"/>
  <c r="F474" i="3"/>
  <c r="T474" i="3"/>
  <c r="I474" i="3"/>
  <c r="K474" i="3"/>
  <c r="J474" i="3"/>
  <c r="E474" i="3"/>
  <c r="L474" i="3"/>
  <c r="C474" i="3"/>
  <c r="P474" i="3"/>
  <c r="O474" i="3"/>
  <c r="W473" i="3"/>
  <c r="V474" i="3" l="1"/>
  <c r="Z474" i="3"/>
  <c r="Z444" i="5"/>
  <c r="U444" i="5"/>
  <c r="T445" i="5"/>
  <c r="J445" i="5"/>
  <c r="I445" i="5"/>
  <c r="K445" i="5"/>
  <c r="R445" i="5"/>
  <c r="E445" i="5"/>
  <c r="Q445" i="5"/>
  <c r="D445" i="5"/>
  <c r="P445" i="5"/>
  <c r="C445" i="5"/>
  <c r="F445" i="5"/>
  <c r="M445" i="5"/>
  <c r="L445" i="5"/>
  <c r="H445" i="5"/>
  <c r="G445" i="5"/>
  <c r="AA446" i="5" s="1"/>
  <c r="N445" i="5"/>
  <c r="O445" i="5"/>
  <c r="W474" i="3"/>
  <c r="Q475" i="3"/>
  <c r="G475" i="3"/>
  <c r="AA476" i="3" s="1"/>
  <c r="N475" i="3"/>
  <c r="C475" i="3"/>
  <c r="L475" i="3"/>
  <c r="O475" i="3"/>
  <c r="D475" i="3"/>
  <c r="R475" i="3"/>
  <c r="P475" i="3"/>
  <c r="J475" i="3"/>
  <c r="H475" i="3"/>
  <c r="F475" i="3"/>
  <c r="E475" i="3"/>
  <c r="T475" i="3"/>
  <c r="K475" i="3"/>
  <c r="I475" i="3"/>
  <c r="V444" i="5"/>
  <c r="W444" i="5"/>
  <c r="U474" i="3"/>
  <c r="X444" i="5"/>
  <c r="X474" i="3"/>
  <c r="Z475" i="3" l="1"/>
  <c r="X445" i="5"/>
  <c r="U475" i="3"/>
  <c r="V475" i="3"/>
  <c r="W445" i="5"/>
  <c r="T476" i="3"/>
  <c r="J476" i="3"/>
  <c r="I476" i="3"/>
  <c r="H476" i="3"/>
  <c r="R476" i="3"/>
  <c r="G476" i="3"/>
  <c r="AA477" i="3" s="1"/>
  <c r="K476" i="3"/>
  <c r="E476" i="3"/>
  <c r="D476" i="3"/>
  <c r="C476" i="3"/>
  <c r="P476" i="3"/>
  <c r="F476" i="3"/>
  <c r="L476" i="3"/>
  <c r="Q476" i="3"/>
  <c r="O476" i="3"/>
  <c r="N476" i="3"/>
  <c r="M446" i="5"/>
  <c r="C446" i="5"/>
  <c r="L446" i="5"/>
  <c r="N446" i="5"/>
  <c r="D446" i="5"/>
  <c r="T446" i="5"/>
  <c r="G446" i="5"/>
  <c r="AA447" i="5" s="1"/>
  <c r="F446" i="5"/>
  <c r="R446" i="5"/>
  <c r="E446" i="5"/>
  <c r="H446" i="5"/>
  <c r="J446" i="5"/>
  <c r="I446" i="5"/>
  <c r="K446" i="5"/>
  <c r="Q446" i="5"/>
  <c r="P446" i="5"/>
  <c r="O446" i="5"/>
  <c r="X475" i="3"/>
  <c r="Z445" i="5"/>
  <c r="W475" i="3"/>
  <c r="V445" i="5"/>
  <c r="U445" i="5"/>
  <c r="X446" i="5" l="1"/>
  <c r="V476" i="3"/>
  <c r="X476" i="3"/>
  <c r="U476" i="3"/>
  <c r="P447" i="5"/>
  <c r="F447" i="5"/>
  <c r="O447" i="5"/>
  <c r="E447" i="5"/>
  <c r="Q447" i="5"/>
  <c r="G447" i="5"/>
  <c r="AA448" i="5" s="1"/>
  <c r="I447" i="5"/>
  <c r="H447" i="5"/>
  <c r="T447" i="5"/>
  <c r="D447" i="5"/>
  <c r="J447" i="5"/>
  <c r="C447" i="5"/>
  <c r="K447" i="5"/>
  <c r="L447" i="5"/>
  <c r="R447" i="5"/>
  <c r="N447" i="5"/>
  <c r="M447" i="5"/>
  <c r="W446" i="5"/>
  <c r="Z476" i="3"/>
  <c r="U446" i="5"/>
  <c r="V446" i="5"/>
  <c r="Z446" i="5"/>
  <c r="C477" i="3"/>
  <c r="O477" i="3"/>
  <c r="E477" i="3"/>
  <c r="N477" i="3"/>
  <c r="D477" i="3"/>
  <c r="P477" i="3"/>
  <c r="F477" i="3"/>
  <c r="L477" i="3"/>
  <c r="K477" i="3"/>
  <c r="I477" i="3"/>
  <c r="Q477" i="3"/>
  <c r="J477" i="3"/>
  <c r="H477" i="3"/>
  <c r="G477" i="3"/>
  <c r="AA478" i="3" s="1"/>
  <c r="T477" i="3"/>
  <c r="R477" i="3"/>
  <c r="W476" i="3"/>
  <c r="W447" i="5" l="1"/>
  <c r="U447" i="5"/>
  <c r="X477" i="3"/>
  <c r="P478" i="3"/>
  <c r="F478" i="3"/>
  <c r="J478" i="3"/>
  <c r="T478" i="3"/>
  <c r="I478" i="3"/>
  <c r="H478" i="3"/>
  <c r="K478" i="3"/>
  <c r="C478" i="3"/>
  <c r="R478" i="3"/>
  <c r="Q478" i="3"/>
  <c r="N478" i="3"/>
  <c r="D478" i="3"/>
  <c r="L478" i="3"/>
  <c r="G478" i="3"/>
  <c r="AA479" i="3" s="1"/>
  <c r="E478" i="3"/>
  <c r="O478" i="3"/>
  <c r="V447" i="5"/>
  <c r="Z477" i="3"/>
  <c r="U477" i="3"/>
  <c r="Z447" i="5"/>
  <c r="X447" i="5"/>
  <c r="W477" i="3"/>
  <c r="V477" i="3"/>
  <c r="I448" i="5"/>
  <c r="R448" i="5"/>
  <c r="H448" i="5"/>
  <c r="T448" i="5"/>
  <c r="J448" i="5"/>
  <c r="G448" i="5"/>
  <c r="AA449" i="5" s="1"/>
  <c r="F448" i="5"/>
  <c r="E448" i="5"/>
  <c r="K448" i="5"/>
  <c r="Q448" i="5"/>
  <c r="P448" i="5"/>
  <c r="C448" i="5"/>
  <c r="N448" i="5"/>
  <c r="M448" i="5"/>
  <c r="L448" i="5"/>
  <c r="D448" i="5"/>
  <c r="O448" i="5"/>
  <c r="W478" i="3" l="1"/>
  <c r="V448" i="5"/>
  <c r="X448" i="5"/>
  <c r="Z478" i="3"/>
  <c r="L449" i="5"/>
  <c r="K449" i="5"/>
  <c r="M449" i="5"/>
  <c r="C449" i="5"/>
  <c r="H449" i="5"/>
  <c r="T449" i="5"/>
  <c r="G449" i="5"/>
  <c r="AA450" i="5" s="1"/>
  <c r="F449" i="5"/>
  <c r="I449" i="5"/>
  <c r="R449" i="5"/>
  <c r="Q449" i="5"/>
  <c r="P449" i="5"/>
  <c r="O449" i="5"/>
  <c r="N449" i="5"/>
  <c r="J449" i="5"/>
  <c r="E449" i="5"/>
  <c r="D449" i="5"/>
  <c r="U478" i="3"/>
  <c r="U448" i="5"/>
  <c r="V478" i="3"/>
  <c r="Z448" i="5"/>
  <c r="I479" i="3"/>
  <c r="P479" i="3"/>
  <c r="E479" i="3"/>
  <c r="O479" i="3"/>
  <c r="D479" i="3"/>
  <c r="N479" i="3"/>
  <c r="C479" i="3"/>
  <c r="Q479" i="3"/>
  <c r="F479" i="3"/>
  <c r="L479" i="3"/>
  <c r="K479" i="3"/>
  <c r="J479" i="3"/>
  <c r="G479" i="3"/>
  <c r="AA480" i="3" s="1"/>
  <c r="T479" i="3"/>
  <c r="R479" i="3"/>
  <c r="H479" i="3"/>
  <c r="W448" i="5"/>
  <c r="X478" i="3"/>
  <c r="O450" i="5" l="1"/>
  <c r="E450" i="5"/>
  <c r="N450" i="5"/>
  <c r="D450" i="5"/>
  <c r="P450" i="5"/>
  <c r="F450" i="5"/>
  <c r="J450" i="5"/>
  <c r="I450" i="5"/>
  <c r="H450" i="5"/>
  <c r="K450" i="5"/>
  <c r="Q450" i="5"/>
  <c r="M450" i="5"/>
  <c r="L450" i="5"/>
  <c r="G450" i="5"/>
  <c r="AA451" i="5" s="1"/>
  <c r="R450" i="5"/>
  <c r="T450" i="5"/>
  <c r="C450" i="5"/>
  <c r="Z479" i="3"/>
  <c r="X449" i="5"/>
  <c r="W479" i="3"/>
  <c r="U479" i="3"/>
  <c r="W449" i="5"/>
  <c r="V479" i="3"/>
  <c r="V449" i="5"/>
  <c r="L480" i="3"/>
  <c r="K480" i="3"/>
  <c r="J480" i="3"/>
  <c r="T480" i="3"/>
  <c r="I480" i="3"/>
  <c r="Q480" i="3"/>
  <c r="C480" i="3"/>
  <c r="P480" i="3"/>
  <c r="O480" i="3"/>
  <c r="R480" i="3"/>
  <c r="D480" i="3"/>
  <c r="H480" i="3"/>
  <c r="G480" i="3"/>
  <c r="AA481" i="3" s="1"/>
  <c r="F480" i="3"/>
  <c r="E480" i="3"/>
  <c r="N480" i="3"/>
  <c r="Z449" i="5"/>
  <c r="X479" i="3"/>
  <c r="U449" i="5"/>
  <c r="U480" i="3" l="1"/>
  <c r="X480" i="3"/>
  <c r="O481" i="3"/>
  <c r="E481" i="3"/>
  <c r="R481" i="3"/>
  <c r="G481" i="3"/>
  <c r="AA482" i="3" s="1"/>
  <c r="Q481" i="3"/>
  <c r="F481" i="3"/>
  <c r="P481" i="3"/>
  <c r="D481" i="3"/>
  <c r="H481" i="3"/>
  <c r="J481" i="3"/>
  <c r="I481" i="3"/>
  <c r="C481" i="3"/>
  <c r="K481" i="3"/>
  <c r="N481" i="3"/>
  <c r="L481" i="3"/>
  <c r="T481" i="3"/>
  <c r="W450" i="5"/>
  <c r="U450" i="5"/>
  <c r="Z450" i="5"/>
  <c r="W480" i="3"/>
  <c r="V450" i="5"/>
  <c r="X450" i="5"/>
  <c r="V480" i="3"/>
  <c r="R451" i="5"/>
  <c r="H451" i="5"/>
  <c r="Q451" i="5"/>
  <c r="G451" i="5"/>
  <c r="AA452" i="5" s="1"/>
  <c r="I451" i="5"/>
  <c r="U451" i="5" s="1"/>
  <c r="K451" i="5"/>
  <c r="J451" i="5"/>
  <c r="F451" i="5"/>
  <c r="L451" i="5"/>
  <c r="E451" i="5"/>
  <c r="D451" i="5"/>
  <c r="C451" i="5"/>
  <c r="M451" i="5"/>
  <c r="O451" i="5"/>
  <c r="N451" i="5"/>
  <c r="T451" i="5"/>
  <c r="P451" i="5"/>
  <c r="Z480" i="3"/>
  <c r="W451" i="5" l="1"/>
  <c r="X481" i="3"/>
  <c r="K452" i="5"/>
  <c r="T452" i="5"/>
  <c r="J452" i="5"/>
  <c r="L452" i="5"/>
  <c r="H452" i="5"/>
  <c r="G452" i="5"/>
  <c r="AA453" i="5" s="1"/>
  <c r="F452" i="5"/>
  <c r="I452" i="5"/>
  <c r="R452" i="5"/>
  <c r="Q452" i="5"/>
  <c r="P452" i="5"/>
  <c r="C452" i="5"/>
  <c r="N452" i="5"/>
  <c r="M452" i="5"/>
  <c r="E452" i="5"/>
  <c r="D452" i="5"/>
  <c r="O452" i="5"/>
  <c r="Z451" i="5"/>
  <c r="V481" i="3"/>
  <c r="Z481" i="3"/>
  <c r="X451" i="5"/>
  <c r="U481" i="3"/>
  <c r="R482" i="3"/>
  <c r="H482" i="3"/>
  <c r="L482" i="3"/>
  <c r="K482" i="3"/>
  <c r="J482" i="3"/>
  <c r="N482" i="3"/>
  <c r="I482" i="3"/>
  <c r="F482" i="3"/>
  <c r="O482" i="3"/>
  <c r="G482" i="3"/>
  <c r="AA483" i="3" s="1"/>
  <c r="E482" i="3"/>
  <c r="D482" i="3"/>
  <c r="C482" i="3"/>
  <c r="T482" i="3"/>
  <c r="Q482" i="3"/>
  <c r="P482" i="3"/>
  <c r="W481" i="3"/>
  <c r="V451" i="5"/>
  <c r="U452" i="5" l="1"/>
  <c r="X482" i="3"/>
  <c r="K483" i="3"/>
  <c r="Q483" i="3"/>
  <c r="F483" i="3"/>
  <c r="P483" i="3"/>
  <c r="E483" i="3"/>
  <c r="O483" i="3"/>
  <c r="D483" i="3"/>
  <c r="R483" i="3"/>
  <c r="G483" i="3"/>
  <c r="AA484" i="3" s="1"/>
  <c r="T483" i="3"/>
  <c r="C483" i="3"/>
  <c r="I483" i="3"/>
  <c r="H483" i="3"/>
  <c r="N483" i="3"/>
  <c r="L483" i="3"/>
  <c r="J483" i="3"/>
  <c r="V482" i="3"/>
  <c r="X452" i="5"/>
  <c r="U482" i="3"/>
  <c r="W482" i="3"/>
  <c r="Z482" i="3"/>
  <c r="V452" i="5"/>
  <c r="Z452" i="5"/>
  <c r="N453" i="5"/>
  <c r="D453" i="5"/>
  <c r="M453" i="5"/>
  <c r="C453" i="5"/>
  <c r="O453" i="5"/>
  <c r="E453" i="5"/>
  <c r="J453" i="5"/>
  <c r="I453" i="5"/>
  <c r="H453" i="5"/>
  <c r="K453" i="5"/>
  <c r="R453" i="5"/>
  <c r="Q453" i="5"/>
  <c r="P453" i="5"/>
  <c r="L453" i="5"/>
  <c r="V453" i="5" s="1"/>
  <c r="T453" i="5"/>
  <c r="G453" i="5"/>
  <c r="AA454" i="5" s="1"/>
  <c r="F453" i="5"/>
  <c r="W452" i="5"/>
  <c r="V483" i="3" l="1"/>
  <c r="N484" i="3"/>
  <c r="D484" i="3"/>
  <c r="L484" i="3"/>
  <c r="K484" i="3"/>
  <c r="J484" i="3"/>
  <c r="H484" i="3"/>
  <c r="G484" i="3"/>
  <c r="AA485" i="3" s="1"/>
  <c r="T484" i="3"/>
  <c r="F484" i="3"/>
  <c r="R484" i="3"/>
  <c r="C484" i="3"/>
  <c r="I484" i="3"/>
  <c r="E484" i="3"/>
  <c r="Q484" i="3"/>
  <c r="P484" i="3"/>
  <c r="O484" i="3"/>
  <c r="X453" i="5"/>
  <c r="X483" i="3"/>
  <c r="Q454" i="5"/>
  <c r="G454" i="5"/>
  <c r="AA455" i="5" s="1"/>
  <c r="P454" i="5"/>
  <c r="F454" i="5"/>
  <c r="R454" i="5"/>
  <c r="H454" i="5"/>
  <c r="K454" i="5"/>
  <c r="J454" i="5"/>
  <c r="I454" i="5"/>
  <c r="L454" i="5"/>
  <c r="M454" i="5"/>
  <c r="E454" i="5"/>
  <c r="D454" i="5"/>
  <c r="C454" i="5"/>
  <c r="N454" i="5"/>
  <c r="T454" i="5"/>
  <c r="O454" i="5"/>
  <c r="Z453" i="5"/>
  <c r="U483" i="3"/>
  <c r="W453" i="5"/>
  <c r="U453" i="5"/>
  <c r="Z483" i="3"/>
  <c r="W483" i="3"/>
  <c r="X484" i="3" l="1"/>
  <c r="U454" i="5"/>
  <c r="V484" i="3"/>
  <c r="V454" i="5"/>
  <c r="W484" i="3"/>
  <c r="X454" i="5"/>
  <c r="Q485" i="3"/>
  <c r="G485" i="3"/>
  <c r="H485" i="3"/>
  <c r="R485" i="3"/>
  <c r="F485" i="3"/>
  <c r="P485" i="3"/>
  <c r="E485" i="3"/>
  <c r="T485" i="3"/>
  <c r="I485" i="3"/>
  <c r="N485" i="3"/>
  <c r="L485" i="3"/>
  <c r="J485" i="3"/>
  <c r="O485" i="3"/>
  <c r="K485" i="3"/>
  <c r="W485" i="3" s="1"/>
  <c r="D485" i="3"/>
  <c r="C485" i="3"/>
  <c r="W454" i="5"/>
  <c r="T455" i="5"/>
  <c r="J455" i="5"/>
  <c r="I455" i="5"/>
  <c r="K455" i="5"/>
  <c r="W455" i="5" s="1"/>
  <c r="L455" i="5"/>
  <c r="H455" i="5"/>
  <c r="G455" i="5"/>
  <c r="AA456" i="5" s="1"/>
  <c r="M455" i="5"/>
  <c r="D455" i="5"/>
  <c r="C455" i="5"/>
  <c r="R455" i="5"/>
  <c r="E455" i="5"/>
  <c r="F455" i="5"/>
  <c r="Q455" i="5"/>
  <c r="P455" i="5"/>
  <c r="O455" i="5"/>
  <c r="N455" i="5"/>
  <c r="Z454" i="5"/>
  <c r="U484" i="3"/>
  <c r="Z484" i="3"/>
  <c r="X485" i="3" l="1"/>
  <c r="V485" i="3"/>
  <c r="X455" i="5"/>
  <c r="U485" i="3"/>
  <c r="T486" i="3"/>
  <c r="J486" i="3"/>
  <c r="N486" i="3"/>
  <c r="C486" i="3"/>
  <c r="L486" i="3"/>
  <c r="O486" i="3"/>
  <c r="D486" i="3"/>
  <c r="F486" i="3"/>
  <c r="E486" i="3"/>
  <c r="R486" i="3"/>
  <c r="Q486" i="3"/>
  <c r="P486" i="3"/>
  <c r="G486" i="3"/>
  <c r="AA487" i="3" s="1"/>
  <c r="I486" i="3"/>
  <c r="H486" i="3"/>
  <c r="K486" i="3"/>
  <c r="M456" i="5"/>
  <c r="C456" i="5"/>
  <c r="L456" i="5"/>
  <c r="N456" i="5"/>
  <c r="D456" i="5"/>
  <c r="K456" i="5"/>
  <c r="J456" i="5"/>
  <c r="I456" i="5"/>
  <c r="U456" i="5" s="1"/>
  <c r="O456" i="5"/>
  <c r="T456" i="5"/>
  <c r="R456" i="5"/>
  <c r="Q456" i="5"/>
  <c r="H456" i="5"/>
  <c r="G456" i="5"/>
  <c r="AA457" i="5" s="1"/>
  <c r="F456" i="5"/>
  <c r="E456" i="5"/>
  <c r="P456" i="5"/>
  <c r="Z455" i="5"/>
  <c r="V455" i="5"/>
  <c r="U455" i="5"/>
  <c r="Z485" i="3"/>
  <c r="V486" i="3" l="1"/>
  <c r="X456" i="5"/>
  <c r="C487" i="3"/>
  <c r="I487" i="3"/>
  <c r="R487" i="3"/>
  <c r="H487" i="3"/>
  <c r="Q487" i="3"/>
  <c r="G487" i="3"/>
  <c r="AA488" i="3" s="1"/>
  <c r="T487" i="3"/>
  <c r="J487" i="3"/>
  <c r="L487" i="3"/>
  <c r="K487" i="3"/>
  <c r="F487" i="3"/>
  <c r="E487" i="3"/>
  <c r="D487" i="3"/>
  <c r="P487" i="3"/>
  <c r="O487" i="3"/>
  <c r="N487" i="3"/>
  <c r="P457" i="5"/>
  <c r="F457" i="5"/>
  <c r="O457" i="5"/>
  <c r="E457" i="5"/>
  <c r="Q457" i="5"/>
  <c r="G457" i="5"/>
  <c r="AA458" i="5" s="1"/>
  <c r="M457" i="5"/>
  <c r="L457" i="5"/>
  <c r="K457" i="5"/>
  <c r="N457" i="5"/>
  <c r="R457" i="5"/>
  <c r="J457" i="5"/>
  <c r="I457" i="5"/>
  <c r="H457" i="5"/>
  <c r="T457" i="5"/>
  <c r="D457" i="5"/>
  <c r="C457" i="5"/>
  <c r="W486" i="3"/>
  <c r="U486" i="3"/>
  <c r="AA486" i="3"/>
  <c r="Z486" i="3"/>
  <c r="W456" i="5"/>
  <c r="V456" i="5"/>
  <c r="Z456" i="5"/>
  <c r="X486" i="3"/>
  <c r="U457" i="5" l="1"/>
  <c r="W457" i="5"/>
  <c r="V457" i="5"/>
  <c r="Z457" i="5"/>
  <c r="V487" i="3"/>
  <c r="X457" i="5"/>
  <c r="U487" i="3"/>
  <c r="I458" i="5"/>
  <c r="R458" i="5"/>
  <c r="H458" i="5"/>
  <c r="T458" i="5"/>
  <c r="J458" i="5"/>
  <c r="N458" i="5"/>
  <c r="M458" i="5"/>
  <c r="L458" i="5"/>
  <c r="O458" i="5"/>
  <c r="D458" i="5"/>
  <c r="C458" i="5"/>
  <c r="E458" i="5"/>
  <c r="Q458" i="5"/>
  <c r="P458" i="5"/>
  <c r="K458" i="5"/>
  <c r="G458" i="5"/>
  <c r="AA459" i="5" s="1"/>
  <c r="F458" i="5"/>
  <c r="X487" i="3"/>
  <c r="Z487" i="3"/>
  <c r="P488" i="3"/>
  <c r="F488" i="3"/>
  <c r="N488" i="3"/>
  <c r="C488" i="3"/>
  <c r="L488" i="3"/>
  <c r="O488" i="3"/>
  <c r="D488" i="3"/>
  <c r="R488" i="3"/>
  <c r="Q488" i="3"/>
  <c r="K488" i="3"/>
  <c r="J488" i="3"/>
  <c r="T488" i="3"/>
  <c r="I488" i="3"/>
  <c r="H488" i="3"/>
  <c r="G488" i="3"/>
  <c r="AA489" i="3" s="1"/>
  <c r="E488" i="3"/>
  <c r="W487" i="3"/>
  <c r="W458" i="5" l="1"/>
  <c r="V488" i="3"/>
  <c r="Z458" i="5"/>
  <c r="U488" i="3"/>
  <c r="U458" i="5"/>
  <c r="V458" i="5"/>
  <c r="L459" i="5"/>
  <c r="K459" i="5"/>
  <c r="W459" i="5" s="1"/>
  <c r="M459" i="5"/>
  <c r="C459" i="5"/>
  <c r="O459" i="5"/>
  <c r="N459" i="5"/>
  <c r="J459" i="5"/>
  <c r="P459" i="5"/>
  <c r="R459" i="5"/>
  <c r="Q459" i="5"/>
  <c r="I459" i="5"/>
  <c r="H459" i="5"/>
  <c r="T459" i="5"/>
  <c r="G459" i="5"/>
  <c r="AA460" i="5" s="1"/>
  <c r="F459" i="5"/>
  <c r="E459" i="5"/>
  <c r="D459" i="5"/>
  <c r="Z488" i="3"/>
  <c r="I489" i="3"/>
  <c r="J489" i="3"/>
  <c r="T489" i="3"/>
  <c r="H489" i="3"/>
  <c r="R489" i="3"/>
  <c r="G489" i="3"/>
  <c r="AA490" i="3" s="1"/>
  <c r="K489" i="3"/>
  <c r="E489" i="3"/>
  <c r="D489" i="3"/>
  <c r="C489" i="3"/>
  <c r="Q489" i="3"/>
  <c r="P489" i="3"/>
  <c r="F489" i="3"/>
  <c r="O489" i="3"/>
  <c r="N489" i="3"/>
  <c r="L489" i="3"/>
  <c r="V489" i="3" s="1"/>
  <c r="X488" i="3"/>
  <c r="W488" i="3"/>
  <c r="X458" i="5"/>
  <c r="W489" i="3" l="1"/>
  <c r="X459" i="5"/>
  <c r="Z459" i="5"/>
  <c r="O460" i="5"/>
  <c r="E460" i="5"/>
  <c r="N460" i="5"/>
  <c r="D460" i="5"/>
  <c r="P460" i="5"/>
  <c r="F460" i="5"/>
  <c r="Q460" i="5"/>
  <c r="M460" i="5"/>
  <c r="L460" i="5"/>
  <c r="R460" i="5"/>
  <c r="I460" i="5"/>
  <c r="H460" i="5"/>
  <c r="G460" i="5"/>
  <c r="AA461" i="5" s="1"/>
  <c r="C460" i="5"/>
  <c r="J460" i="5"/>
  <c r="K460" i="5"/>
  <c r="T460" i="5"/>
  <c r="L490" i="3"/>
  <c r="P490" i="3"/>
  <c r="E490" i="3"/>
  <c r="O490" i="3"/>
  <c r="D490" i="3"/>
  <c r="N490" i="3"/>
  <c r="C490" i="3"/>
  <c r="Q490" i="3"/>
  <c r="F490" i="3"/>
  <c r="R490" i="3"/>
  <c r="K490" i="3"/>
  <c r="J490" i="3"/>
  <c r="I490" i="3"/>
  <c r="T490" i="3"/>
  <c r="H490" i="3"/>
  <c r="G490" i="3"/>
  <c r="AA491" i="3" s="1"/>
  <c r="X489" i="3"/>
  <c r="V459" i="5"/>
  <c r="U489" i="3"/>
  <c r="U459" i="5"/>
  <c r="Z489" i="3"/>
  <c r="X460" i="5" l="1"/>
  <c r="W460" i="5"/>
  <c r="V460" i="5"/>
  <c r="W490" i="3"/>
  <c r="V490" i="3"/>
  <c r="R461" i="5"/>
  <c r="H461" i="5"/>
  <c r="Q461" i="5"/>
  <c r="G461" i="5"/>
  <c r="AA462" i="5" s="1"/>
  <c r="I461" i="5"/>
  <c r="O461" i="5"/>
  <c r="N461" i="5"/>
  <c r="M461" i="5"/>
  <c r="P461" i="5"/>
  <c r="C461" i="5"/>
  <c r="D461" i="5"/>
  <c r="E461" i="5"/>
  <c r="L461" i="5"/>
  <c r="K461" i="5"/>
  <c r="J461" i="5"/>
  <c r="F461" i="5"/>
  <c r="T461" i="5"/>
  <c r="Z490" i="3"/>
  <c r="X490" i="3"/>
  <c r="Z460" i="5"/>
  <c r="O491" i="3"/>
  <c r="E491" i="3"/>
  <c r="K491" i="3"/>
  <c r="J491" i="3"/>
  <c r="T491" i="3"/>
  <c r="I491" i="3"/>
  <c r="L491" i="3"/>
  <c r="D491" i="3"/>
  <c r="C491" i="3"/>
  <c r="R491" i="3"/>
  <c r="Q491" i="3"/>
  <c r="P491" i="3"/>
  <c r="F491" i="3"/>
  <c r="N491" i="3"/>
  <c r="H491" i="3"/>
  <c r="G491" i="3"/>
  <c r="AA492" i="3" s="1"/>
  <c r="U460" i="5"/>
  <c r="U490" i="3"/>
  <c r="W461" i="5" l="1"/>
  <c r="V491" i="3"/>
  <c r="Z461" i="5"/>
  <c r="K462" i="5"/>
  <c r="T462" i="5"/>
  <c r="J462" i="5"/>
  <c r="L462" i="5"/>
  <c r="V462" i="5" s="1"/>
  <c r="O462" i="5"/>
  <c r="N462" i="5"/>
  <c r="M462" i="5"/>
  <c r="P462" i="5"/>
  <c r="C462" i="5"/>
  <c r="Q462" i="5"/>
  <c r="I462" i="5"/>
  <c r="H462" i="5"/>
  <c r="G462" i="5"/>
  <c r="AA463" i="5" s="1"/>
  <c r="R462" i="5"/>
  <c r="F462" i="5"/>
  <c r="E462" i="5"/>
  <c r="D462" i="5"/>
  <c r="U491" i="3"/>
  <c r="X491" i="3"/>
  <c r="W491" i="3"/>
  <c r="V461" i="5"/>
  <c r="Z491" i="3"/>
  <c r="X461" i="5"/>
  <c r="R492" i="3"/>
  <c r="H492" i="3"/>
  <c r="P492" i="3"/>
  <c r="E492" i="3"/>
  <c r="O492" i="3"/>
  <c r="D492" i="3"/>
  <c r="N492" i="3"/>
  <c r="C492" i="3"/>
  <c r="Q492" i="3"/>
  <c r="F492" i="3"/>
  <c r="L492" i="3"/>
  <c r="K492" i="3"/>
  <c r="J492" i="3"/>
  <c r="I492" i="3"/>
  <c r="G492" i="3"/>
  <c r="AA493" i="3" s="1"/>
  <c r="T492" i="3"/>
  <c r="U461" i="5"/>
  <c r="U492" i="3" l="1"/>
  <c r="K493" i="3"/>
  <c r="J493" i="3"/>
  <c r="T493" i="3"/>
  <c r="I493" i="3"/>
  <c r="H493" i="3"/>
  <c r="L493" i="3"/>
  <c r="V493" i="3" s="1"/>
  <c r="Q493" i="3"/>
  <c r="P493" i="3"/>
  <c r="O493" i="3"/>
  <c r="N493" i="3"/>
  <c r="R493" i="3"/>
  <c r="C493" i="3"/>
  <c r="E493" i="3"/>
  <c r="D493" i="3"/>
  <c r="G493" i="3"/>
  <c r="AA494" i="3" s="1"/>
  <c r="F493" i="3"/>
  <c r="Z462" i="5"/>
  <c r="W492" i="3"/>
  <c r="X462" i="5"/>
  <c r="X492" i="3"/>
  <c r="N463" i="5"/>
  <c r="D463" i="5"/>
  <c r="M463" i="5"/>
  <c r="C463" i="5"/>
  <c r="O463" i="5"/>
  <c r="E463" i="5"/>
  <c r="Q463" i="5"/>
  <c r="P463" i="5"/>
  <c r="L463" i="5"/>
  <c r="R463" i="5"/>
  <c r="H463" i="5"/>
  <c r="G463" i="5"/>
  <c r="AA464" i="5" s="1"/>
  <c r="F463" i="5"/>
  <c r="I463" i="5"/>
  <c r="U463" i="5" s="1"/>
  <c r="T463" i="5"/>
  <c r="K463" i="5"/>
  <c r="J463" i="5"/>
  <c r="Z492" i="3"/>
  <c r="U462" i="5"/>
  <c r="W462" i="5"/>
  <c r="V492" i="3"/>
  <c r="V463" i="5" l="1"/>
  <c r="X493" i="3"/>
  <c r="U493" i="3"/>
  <c r="X463" i="5"/>
  <c r="N494" i="3"/>
  <c r="D494" i="3"/>
  <c r="Q494" i="3"/>
  <c r="F494" i="3"/>
  <c r="P494" i="3"/>
  <c r="E494" i="3"/>
  <c r="O494" i="3"/>
  <c r="C494" i="3"/>
  <c r="R494" i="3"/>
  <c r="G494" i="3"/>
  <c r="AA495" i="3" s="1"/>
  <c r="J494" i="3"/>
  <c r="I494" i="3"/>
  <c r="H494" i="3"/>
  <c r="K494" i="3"/>
  <c r="W494" i="3" s="1"/>
  <c r="L494" i="3"/>
  <c r="T494" i="3"/>
  <c r="W463" i="5"/>
  <c r="Z463" i="5"/>
  <c r="Z493" i="3"/>
  <c r="Q464" i="5"/>
  <c r="G464" i="5"/>
  <c r="AA465" i="5" s="1"/>
  <c r="P464" i="5"/>
  <c r="F464" i="5"/>
  <c r="R464" i="5"/>
  <c r="H464" i="5"/>
  <c r="O464" i="5"/>
  <c r="N464" i="5"/>
  <c r="M464" i="5"/>
  <c r="C464" i="5"/>
  <c r="T464" i="5"/>
  <c r="D464" i="5"/>
  <c r="L464" i="5"/>
  <c r="K464" i="5"/>
  <c r="J464" i="5"/>
  <c r="I464" i="5"/>
  <c r="E464" i="5"/>
  <c r="W493" i="3"/>
  <c r="V464" i="5" l="1"/>
  <c r="Q495" i="3"/>
  <c r="G495" i="3"/>
  <c r="AA496" i="3" s="1"/>
  <c r="L495" i="3"/>
  <c r="K495" i="3"/>
  <c r="J495" i="3"/>
  <c r="O495" i="3"/>
  <c r="N495" i="3"/>
  <c r="I495" i="3"/>
  <c r="H495" i="3"/>
  <c r="P495" i="3"/>
  <c r="F495" i="3"/>
  <c r="E495" i="3"/>
  <c r="D495" i="3"/>
  <c r="C495" i="3"/>
  <c r="T495" i="3"/>
  <c r="R495" i="3"/>
  <c r="U464" i="5"/>
  <c r="V494" i="3"/>
  <c r="X494" i="3"/>
  <c r="T465" i="5"/>
  <c r="J465" i="5"/>
  <c r="I465" i="5"/>
  <c r="K465" i="5"/>
  <c r="P465" i="5"/>
  <c r="C465" i="5"/>
  <c r="O465" i="5"/>
  <c r="N465" i="5"/>
  <c r="Q465" i="5"/>
  <c r="D465" i="5"/>
  <c r="M465" i="5"/>
  <c r="L465" i="5"/>
  <c r="H465" i="5"/>
  <c r="G465" i="5"/>
  <c r="AA466" i="5" s="1"/>
  <c r="R465" i="5"/>
  <c r="F465" i="5"/>
  <c r="E465" i="5"/>
  <c r="W464" i="5"/>
  <c r="Z494" i="3"/>
  <c r="X464" i="5"/>
  <c r="U494" i="3"/>
  <c r="Z464" i="5"/>
  <c r="U495" i="3" l="1"/>
  <c r="M466" i="5"/>
  <c r="C466" i="5"/>
  <c r="L466" i="5"/>
  <c r="N466" i="5"/>
  <c r="D466" i="5"/>
  <c r="R466" i="5"/>
  <c r="E466" i="5"/>
  <c r="Q466" i="5"/>
  <c r="P466" i="5"/>
  <c r="F466" i="5"/>
  <c r="I466" i="5"/>
  <c r="H466" i="5"/>
  <c r="G466" i="5"/>
  <c r="AA467" i="5" s="1"/>
  <c r="J466" i="5"/>
  <c r="T466" i="5"/>
  <c r="O466" i="5"/>
  <c r="K466" i="5"/>
  <c r="W466" i="5" s="1"/>
  <c r="W495" i="3"/>
  <c r="W465" i="5"/>
  <c r="V495" i="3"/>
  <c r="X465" i="5"/>
  <c r="T496" i="3"/>
  <c r="J496" i="3"/>
  <c r="R496" i="3"/>
  <c r="G496" i="3"/>
  <c r="AA497" i="3" s="1"/>
  <c r="Q496" i="3"/>
  <c r="F496" i="3"/>
  <c r="P496" i="3"/>
  <c r="E496" i="3"/>
  <c r="H496" i="3"/>
  <c r="D496" i="3"/>
  <c r="C496" i="3"/>
  <c r="O496" i="3"/>
  <c r="I496" i="3"/>
  <c r="L496" i="3"/>
  <c r="K496" i="3"/>
  <c r="W496" i="3" s="1"/>
  <c r="N496" i="3"/>
  <c r="U465" i="5"/>
  <c r="Z465" i="5"/>
  <c r="Z495" i="3"/>
  <c r="V465" i="5"/>
  <c r="X495" i="3"/>
  <c r="X466" i="5" l="1"/>
  <c r="X496" i="3"/>
  <c r="V496" i="3"/>
  <c r="P467" i="5"/>
  <c r="F467" i="5"/>
  <c r="O467" i="5"/>
  <c r="E467" i="5"/>
  <c r="Q467" i="5"/>
  <c r="G467" i="5"/>
  <c r="AA468" i="5" s="1"/>
  <c r="T467" i="5"/>
  <c r="D467" i="5"/>
  <c r="C467" i="5"/>
  <c r="R467" i="5"/>
  <c r="H467" i="5"/>
  <c r="I467" i="5"/>
  <c r="J467" i="5"/>
  <c r="N467" i="5"/>
  <c r="M467" i="5"/>
  <c r="L467" i="5"/>
  <c r="V467" i="5" s="1"/>
  <c r="K467" i="5"/>
  <c r="U496" i="3"/>
  <c r="V466" i="5"/>
  <c r="Z496" i="3"/>
  <c r="C497" i="3"/>
  <c r="L497" i="3"/>
  <c r="K497" i="3"/>
  <c r="N497" i="3"/>
  <c r="D497" i="3"/>
  <c r="J497" i="3"/>
  <c r="I497" i="3"/>
  <c r="H497" i="3"/>
  <c r="T497" i="3"/>
  <c r="G497" i="3"/>
  <c r="AA498" i="3" s="1"/>
  <c r="O497" i="3"/>
  <c r="R497" i="3"/>
  <c r="Q497" i="3"/>
  <c r="P497" i="3"/>
  <c r="F497" i="3"/>
  <c r="E497" i="3"/>
  <c r="Z466" i="5"/>
  <c r="U466" i="5"/>
  <c r="U497" i="3" l="1"/>
  <c r="W467" i="5"/>
  <c r="U467" i="5"/>
  <c r="I468" i="5"/>
  <c r="R468" i="5"/>
  <c r="H468" i="5"/>
  <c r="T468" i="5"/>
  <c r="J468" i="5"/>
  <c r="E468" i="5"/>
  <c r="Q468" i="5"/>
  <c r="D468" i="5"/>
  <c r="P468" i="5"/>
  <c r="C468" i="5"/>
  <c r="F468" i="5"/>
  <c r="O468" i="5"/>
  <c r="N468" i="5"/>
  <c r="M468" i="5"/>
  <c r="L468" i="5"/>
  <c r="V468" i="5" s="1"/>
  <c r="K468" i="5"/>
  <c r="G468" i="5"/>
  <c r="AA469" i="5" s="1"/>
  <c r="X497" i="3"/>
  <c r="W497" i="3"/>
  <c r="X467" i="5"/>
  <c r="V497" i="3"/>
  <c r="Z497" i="3"/>
  <c r="P498" i="3"/>
  <c r="F498" i="3"/>
  <c r="H498" i="3"/>
  <c r="R498" i="3"/>
  <c r="G498" i="3"/>
  <c r="AA499" i="3" s="1"/>
  <c r="Q498" i="3"/>
  <c r="E498" i="3"/>
  <c r="T498" i="3"/>
  <c r="I498" i="3"/>
  <c r="O498" i="3"/>
  <c r="N498" i="3"/>
  <c r="L498" i="3"/>
  <c r="K498" i="3"/>
  <c r="J498" i="3"/>
  <c r="D498" i="3"/>
  <c r="C498" i="3"/>
  <c r="Z467" i="5"/>
  <c r="Z498" i="3" l="1"/>
  <c r="I499" i="3"/>
  <c r="N499" i="3"/>
  <c r="C499" i="3"/>
  <c r="L499" i="3"/>
  <c r="O499" i="3"/>
  <c r="D499" i="3"/>
  <c r="H499" i="3"/>
  <c r="G499" i="3"/>
  <c r="AA500" i="3" s="1"/>
  <c r="F499" i="3"/>
  <c r="T499" i="3"/>
  <c r="E499" i="3"/>
  <c r="R499" i="3"/>
  <c r="J499" i="3"/>
  <c r="Q499" i="3"/>
  <c r="P499" i="3"/>
  <c r="K499" i="3"/>
  <c r="Z468" i="5"/>
  <c r="V498" i="3"/>
  <c r="L469" i="5"/>
  <c r="V469" i="5" s="1"/>
  <c r="K469" i="5"/>
  <c r="M469" i="5"/>
  <c r="C469" i="5"/>
  <c r="F469" i="5"/>
  <c r="R469" i="5"/>
  <c r="E469" i="5"/>
  <c r="Q469" i="5"/>
  <c r="D469" i="5"/>
  <c r="T469" i="5"/>
  <c r="G469" i="5"/>
  <c r="AA470" i="5" s="1"/>
  <c r="P469" i="5"/>
  <c r="O469" i="5"/>
  <c r="N469" i="5"/>
  <c r="I469" i="5"/>
  <c r="H469" i="5"/>
  <c r="J469" i="5"/>
  <c r="W468" i="5"/>
  <c r="X498" i="3"/>
  <c r="W498" i="3"/>
  <c r="U498" i="3"/>
  <c r="X468" i="5"/>
  <c r="U468" i="5"/>
  <c r="W499" i="3" l="1"/>
  <c r="W469" i="5"/>
  <c r="L500" i="3"/>
  <c r="T500" i="3"/>
  <c r="I500" i="3"/>
  <c r="H500" i="3"/>
  <c r="R500" i="3"/>
  <c r="G500" i="3"/>
  <c r="AA501" i="3" s="1"/>
  <c r="J500" i="3"/>
  <c r="O500" i="3"/>
  <c r="N500" i="3"/>
  <c r="K500" i="3"/>
  <c r="F500" i="3"/>
  <c r="P500" i="3"/>
  <c r="Q500" i="3"/>
  <c r="E500" i="3"/>
  <c r="D500" i="3"/>
  <c r="C500" i="3"/>
  <c r="X499" i="3"/>
  <c r="Z499" i="3"/>
  <c r="U469" i="5"/>
  <c r="Z469" i="5"/>
  <c r="O470" i="5"/>
  <c r="E470" i="5"/>
  <c r="N470" i="5"/>
  <c r="D470" i="5"/>
  <c r="P470" i="5"/>
  <c r="F470" i="5"/>
  <c r="H470" i="5"/>
  <c r="T470" i="5"/>
  <c r="G470" i="5"/>
  <c r="AA471" i="5" s="1"/>
  <c r="C470" i="5"/>
  <c r="I470" i="5"/>
  <c r="Q470" i="5"/>
  <c r="M470" i="5"/>
  <c r="L470" i="5"/>
  <c r="K470" i="5"/>
  <c r="R470" i="5"/>
  <c r="J470" i="5"/>
  <c r="V499" i="3"/>
  <c r="X469" i="5"/>
  <c r="U499" i="3"/>
  <c r="Z470" i="5" l="1"/>
  <c r="W500" i="3"/>
  <c r="R471" i="5"/>
  <c r="H471" i="5"/>
  <c r="Q471" i="5"/>
  <c r="G471" i="5"/>
  <c r="AA472" i="5" s="1"/>
  <c r="I471" i="5"/>
  <c r="F471" i="5"/>
  <c r="E471" i="5"/>
  <c r="T471" i="5"/>
  <c r="D471" i="5"/>
  <c r="J471" i="5"/>
  <c r="M471" i="5"/>
  <c r="L471" i="5"/>
  <c r="K471" i="5"/>
  <c r="W471" i="5" s="1"/>
  <c r="C471" i="5"/>
  <c r="N471" i="5"/>
  <c r="P471" i="5"/>
  <c r="O471" i="5"/>
  <c r="V470" i="5"/>
  <c r="U500" i="3"/>
  <c r="X470" i="5"/>
  <c r="Z500" i="3"/>
  <c r="W470" i="5"/>
  <c r="O501" i="3"/>
  <c r="E501" i="3"/>
  <c r="P501" i="3"/>
  <c r="D501" i="3"/>
  <c r="N501" i="3"/>
  <c r="C501" i="3"/>
  <c r="Q501" i="3"/>
  <c r="F501" i="3"/>
  <c r="H501" i="3"/>
  <c r="G501" i="3"/>
  <c r="AA502" i="3" s="1"/>
  <c r="T501" i="3"/>
  <c r="R501" i="3"/>
  <c r="I501" i="3"/>
  <c r="J501" i="3"/>
  <c r="L501" i="3"/>
  <c r="K501" i="3"/>
  <c r="U470" i="5"/>
  <c r="X500" i="3"/>
  <c r="V500" i="3"/>
  <c r="Z471" i="5" l="1"/>
  <c r="W501" i="3"/>
  <c r="Z501" i="3"/>
  <c r="K472" i="5"/>
  <c r="T472" i="5"/>
  <c r="J472" i="5"/>
  <c r="I472" i="5"/>
  <c r="L472" i="5"/>
  <c r="V472" i="5" s="1"/>
  <c r="F472" i="5"/>
  <c r="E472" i="5"/>
  <c r="R472" i="5"/>
  <c r="D472" i="5"/>
  <c r="G472" i="5"/>
  <c r="AA473" i="5" s="1"/>
  <c r="H472" i="5"/>
  <c r="C472" i="5"/>
  <c r="M472" i="5"/>
  <c r="N472" i="5"/>
  <c r="Q472" i="5"/>
  <c r="P472" i="5"/>
  <c r="O472" i="5"/>
  <c r="V501" i="3"/>
  <c r="X471" i="5"/>
  <c r="V471" i="5"/>
  <c r="U501" i="3"/>
  <c r="U471" i="5"/>
  <c r="R502" i="3"/>
  <c r="H502" i="3"/>
  <c r="J502" i="3"/>
  <c r="T502" i="3"/>
  <c r="I502" i="3"/>
  <c r="G502" i="3"/>
  <c r="AA503" i="3" s="1"/>
  <c r="K502" i="3"/>
  <c r="L502" i="3"/>
  <c r="F502" i="3"/>
  <c r="E502" i="3"/>
  <c r="D502" i="3"/>
  <c r="N502" i="3"/>
  <c r="P502" i="3"/>
  <c r="O502" i="3"/>
  <c r="C502" i="3"/>
  <c r="Q502" i="3"/>
  <c r="X501" i="3"/>
  <c r="U472" i="5" l="1"/>
  <c r="X502" i="3"/>
  <c r="Z502" i="3"/>
  <c r="U502" i="3"/>
  <c r="K503" i="3"/>
  <c r="O503" i="3"/>
  <c r="D503" i="3"/>
  <c r="N503" i="3"/>
  <c r="C503" i="3"/>
  <c r="P503" i="3"/>
  <c r="E503" i="3"/>
  <c r="R503" i="3"/>
  <c r="Q503" i="3"/>
  <c r="L503" i="3"/>
  <c r="J503" i="3"/>
  <c r="I503" i="3"/>
  <c r="H503" i="3"/>
  <c r="G503" i="3"/>
  <c r="AA504" i="3" s="1"/>
  <c r="F503" i="3"/>
  <c r="T503" i="3"/>
  <c r="X472" i="5"/>
  <c r="Z472" i="5"/>
  <c r="V502" i="3"/>
  <c r="N473" i="5"/>
  <c r="D473" i="5"/>
  <c r="M473" i="5"/>
  <c r="C473" i="5"/>
  <c r="L473" i="5"/>
  <c r="O473" i="5"/>
  <c r="E473" i="5"/>
  <c r="K473" i="5"/>
  <c r="J473" i="5"/>
  <c r="I473" i="5"/>
  <c r="P473" i="5"/>
  <c r="F473" i="5"/>
  <c r="G473" i="5"/>
  <c r="AA474" i="5" s="1"/>
  <c r="T473" i="5"/>
  <c r="R473" i="5"/>
  <c r="Q473" i="5"/>
  <c r="H473" i="5"/>
  <c r="W472" i="5"/>
  <c r="W502" i="3"/>
  <c r="X503" i="3" l="1"/>
  <c r="W473" i="5"/>
  <c r="N504" i="3"/>
  <c r="D504" i="3"/>
  <c r="J504" i="3"/>
  <c r="T504" i="3"/>
  <c r="I504" i="3"/>
  <c r="H504" i="3"/>
  <c r="K504" i="3"/>
  <c r="F504" i="3"/>
  <c r="E504" i="3"/>
  <c r="C504" i="3"/>
  <c r="R504" i="3"/>
  <c r="Q504" i="3"/>
  <c r="G504" i="3"/>
  <c r="AA505" i="3" s="1"/>
  <c r="P504" i="3"/>
  <c r="O504" i="3"/>
  <c r="L504" i="3"/>
  <c r="V503" i="3"/>
  <c r="Q474" i="5"/>
  <c r="G474" i="5"/>
  <c r="AA475" i="5" s="1"/>
  <c r="P474" i="5"/>
  <c r="F474" i="5"/>
  <c r="O474" i="5"/>
  <c r="E474" i="5"/>
  <c r="R474" i="5"/>
  <c r="H474" i="5"/>
  <c r="N474" i="5"/>
  <c r="M474" i="5"/>
  <c r="T474" i="5"/>
  <c r="C474" i="5"/>
  <c r="L474" i="5"/>
  <c r="K474" i="5"/>
  <c r="J474" i="5"/>
  <c r="I474" i="5"/>
  <c r="D474" i="5"/>
  <c r="X473" i="5"/>
  <c r="U473" i="5"/>
  <c r="Z503" i="3"/>
  <c r="V473" i="5"/>
  <c r="Z473" i="5"/>
  <c r="U503" i="3"/>
  <c r="W503" i="3"/>
  <c r="W504" i="3" l="1"/>
  <c r="X504" i="3"/>
  <c r="Z504" i="3"/>
  <c r="V474" i="5"/>
  <c r="Z474" i="5"/>
  <c r="T475" i="5"/>
  <c r="J475" i="5"/>
  <c r="I475" i="5"/>
  <c r="R475" i="5"/>
  <c r="H475" i="5"/>
  <c r="K475" i="5"/>
  <c r="D475" i="5"/>
  <c r="Q475" i="5"/>
  <c r="C475" i="5"/>
  <c r="P475" i="5"/>
  <c r="E475" i="5"/>
  <c r="O475" i="5"/>
  <c r="N475" i="5"/>
  <c r="M475" i="5"/>
  <c r="L475" i="5"/>
  <c r="G475" i="5"/>
  <c r="AA476" i="5" s="1"/>
  <c r="F475" i="5"/>
  <c r="U504" i="3"/>
  <c r="Q505" i="3"/>
  <c r="G505" i="3"/>
  <c r="AA506" i="3" s="1"/>
  <c r="P505" i="3"/>
  <c r="E505" i="3"/>
  <c r="O505" i="3"/>
  <c r="D505" i="3"/>
  <c r="N505" i="3"/>
  <c r="C505" i="3"/>
  <c r="R505" i="3"/>
  <c r="F505" i="3"/>
  <c r="L505" i="3"/>
  <c r="K505" i="3"/>
  <c r="J505" i="3"/>
  <c r="T505" i="3"/>
  <c r="I505" i="3"/>
  <c r="H505" i="3"/>
  <c r="U474" i="5"/>
  <c r="V504" i="3"/>
  <c r="W474" i="5"/>
  <c r="X474" i="5"/>
  <c r="W475" i="5" l="1"/>
  <c r="V475" i="5"/>
  <c r="X505" i="3"/>
  <c r="X475" i="5"/>
  <c r="U505" i="3"/>
  <c r="U475" i="5"/>
  <c r="M476" i="5"/>
  <c r="C476" i="5"/>
  <c r="L476" i="5"/>
  <c r="K476" i="5"/>
  <c r="N476" i="5"/>
  <c r="D476" i="5"/>
  <c r="H476" i="5"/>
  <c r="G476" i="5"/>
  <c r="AA477" i="5" s="1"/>
  <c r="T476" i="5"/>
  <c r="F476" i="5"/>
  <c r="I476" i="5"/>
  <c r="R476" i="5"/>
  <c r="Q476" i="5"/>
  <c r="P476" i="5"/>
  <c r="O476" i="5"/>
  <c r="J476" i="5"/>
  <c r="E476" i="5"/>
  <c r="Z505" i="3"/>
  <c r="T506" i="3"/>
  <c r="J506" i="3"/>
  <c r="L506" i="3"/>
  <c r="K506" i="3"/>
  <c r="I506" i="3"/>
  <c r="R506" i="3"/>
  <c r="D506" i="3"/>
  <c r="Q506" i="3"/>
  <c r="C506" i="3"/>
  <c r="P506" i="3"/>
  <c r="O506" i="3"/>
  <c r="N506" i="3"/>
  <c r="E506" i="3"/>
  <c r="H506" i="3"/>
  <c r="G506" i="3"/>
  <c r="AA507" i="3" s="1"/>
  <c r="F506" i="3"/>
  <c r="W505" i="3"/>
  <c r="V505" i="3"/>
  <c r="Z475" i="5"/>
  <c r="X506" i="3" l="1"/>
  <c r="Z476" i="5"/>
  <c r="V506" i="3"/>
  <c r="X476" i="5"/>
  <c r="Z506" i="3"/>
  <c r="V476" i="5"/>
  <c r="W506" i="3"/>
  <c r="U476" i="5"/>
  <c r="C507" i="3"/>
  <c r="L507" i="3"/>
  <c r="R507" i="3"/>
  <c r="G507" i="3"/>
  <c r="AA508" i="3" s="1"/>
  <c r="Q507" i="3"/>
  <c r="F507" i="3"/>
  <c r="P507" i="3"/>
  <c r="E507" i="3"/>
  <c r="H507" i="3"/>
  <c r="K507" i="3"/>
  <c r="J507" i="3"/>
  <c r="I507" i="3"/>
  <c r="D507" i="3"/>
  <c r="T507" i="3"/>
  <c r="O507" i="3"/>
  <c r="N507" i="3"/>
  <c r="P477" i="5"/>
  <c r="F477" i="5"/>
  <c r="O477" i="5"/>
  <c r="E477" i="5"/>
  <c r="N477" i="5"/>
  <c r="D477" i="5"/>
  <c r="Q477" i="5"/>
  <c r="G477" i="5"/>
  <c r="AA478" i="5" s="1"/>
  <c r="M477" i="5"/>
  <c r="L477" i="5"/>
  <c r="K477" i="5"/>
  <c r="R477" i="5"/>
  <c r="T477" i="5"/>
  <c r="J477" i="5"/>
  <c r="I477" i="5"/>
  <c r="H477" i="5"/>
  <c r="C477" i="5"/>
  <c r="W476" i="5"/>
  <c r="U506" i="3"/>
  <c r="U477" i="5" l="1"/>
  <c r="Z507" i="3"/>
  <c r="X477" i="5"/>
  <c r="Z477" i="5"/>
  <c r="U507" i="3"/>
  <c r="V507" i="3"/>
  <c r="I478" i="5"/>
  <c r="R478" i="5"/>
  <c r="H478" i="5"/>
  <c r="Q478" i="5"/>
  <c r="G478" i="5"/>
  <c r="AA479" i="5" s="1"/>
  <c r="T478" i="5"/>
  <c r="J478" i="5"/>
  <c r="C478" i="5"/>
  <c r="P478" i="5"/>
  <c r="O478" i="5"/>
  <c r="D478" i="5"/>
  <c r="L478" i="5"/>
  <c r="K478" i="5"/>
  <c r="F478" i="5"/>
  <c r="E478" i="5"/>
  <c r="M478" i="5"/>
  <c r="N478" i="5"/>
  <c r="X507" i="3"/>
  <c r="W477" i="5"/>
  <c r="V477" i="5"/>
  <c r="W507" i="3"/>
  <c r="P508" i="3"/>
  <c r="F508" i="3"/>
  <c r="O508" i="3"/>
  <c r="E508" i="3"/>
  <c r="Q508" i="3"/>
  <c r="C508" i="3"/>
  <c r="N508" i="3"/>
  <c r="R508" i="3"/>
  <c r="D508" i="3"/>
  <c r="T508" i="3"/>
  <c r="L508" i="3"/>
  <c r="G508" i="3"/>
  <c r="AA509" i="3" s="1"/>
  <c r="I508" i="3"/>
  <c r="H508" i="3"/>
  <c r="K508" i="3"/>
  <c r="J508" i="3"/>
  <c r="U508" i="3" l="1"/>
  <c r="X478" i="5"/>
  <c r="W478" i="5"/>
  <c r="W508" i="3"/>
  <c r="L479" i="5"/>
  <c r="K479" i="5"/>
  <c r="T479" i="5"/>
  <c r="J479" i="5"/>
  <c r="M479" i="5"/>
  <c r="C479" i="5"/>
  <c r="G479" i="5"/>
  <c r="AA480" i="5" s="1"/>
  <c r="F479" i="5"/>
  <c r="E479" i="5"/>
  <c r="H479" i="5"/>
  <c r="N479" i="5"/>
  <c r="I479" i="5"/>
  <c r="D479" i="5"/>
  <c r="O479" i="5"/>
  <c r="R479" i="5"/>
  <c r="Q479" i="5"/>
  <c r="P479" i="5"/>
  <c r="V508" i="3"/>
  <c r="I509" i="3"/>
  <c r="R509" i="3"/>
  <c r="H509" i="3"/>
  <c r="L509" i="3"/>
  <c r="K509" i="3"/>
  <c r="N509" i="3"/>
  <c r="F509" i="3"/>
  <c r="E509" i="3"/>
  <c r="D509" i="3"/>
  <c r="T509" i="3"/>
  <c r="C509" i="3"/>
  <c r="Q509" i="3"/>
  <c r="G509" i="3"/>
  <c r="AA510" i="3" s="1"/>
  <c r="J509" i="3"/>
  <c r="P509" i="3"/>
  <c r="O509" i="3"/>
  <c r="U478" i="5"/>
  <c r="Z478" i="5"/>
  <c r="X508" i="3"/>
  <c r="V478" i="5"/>
  <c r="Z508" i="3"/>
  <c r="Z509" i="3" l="1"/>
  <c r="U509" i="3"/>
  <c r="L510" i="3"/>
  <c r="K510" i="3"/>
  <c r="I510" i="3"/>
  <c r="T510" i="3"/>
  <c r="H510" i="3"/>
  <c r="G510" i="3"/>
  <c r="AA511" i="3" s="1"/>
  <c r="J510" i="3"/>
  <c r="P510" i="3"/>
  <c r="O510" i="3"/>
  <c r="N510" i="3"/>
  <c r="F510" i="3"/>
  <c r="Q510" i="3"/>
  <c r="R510" i="3"/>
  <c r="E510" i="3"/>
  <c r="D510" i="3"/>
  <c r="C510" i="3"/>
  <c r="X479" i="5"/>
  <c r="O480" i="5"/>
  <c r="E480" i="5"/>
  <c r="N480" i="5"/>
  <c r="D480" i="5"/>
  <c r="M480" i="5"/>
  <c r="C480" i="5"/>
  <c r="P480" i="5"/>
  <c r="F480" i="5"/>
  <c r="L480" i="5"/>
  <c r="V480" i="5" s="1"/>
  <c r="K480" i="5"/>
  <c r="J480" i="5"/>
  <c r="Q480" i="5"/>
  <c r="H480" i="5"/>
  <c r="G480" i="5"/>
  <c r="AA481" i="5" s="1"/>
  <c r="I480" i="5"/>
  <c r="T480" i="5"/>
  <c r="R480" i="5"/>
  <c r="V509" i="3"/>
  <c r="U479" i="5"/>
  <c r="W479" i="5"/>
  <c r="Z479" i="5"/>
  <c r="X509" i="3"/>
  <c r="W509" i="3"/>
  <c r="V479" i="5"/>
  <c r="Z510" i="3" l="1"/>
  <c r="W480" i="5"/>
  <c r="O511" i="3"/>
  <c r="E511" i="3"/>
  <c r="N511" i="3"/>
  <c r="D511" i="3"/>
  <c r="T511" i="3"/>
  <c r="H511" i="3"/>
  <c r="G511" i="3"/>
  <c r="AA512" i="3" s="1"/>
  <c r="R511" i="3"/>
  <c r="F511" i="3"/>
  <c r="I511" i="3"/>
  <c r="K511" i="3"/>
  <c r="J511" i="3"/>
  <c r="C511" i="3"/>
  <c r="L511" i="3"/>
  <c r="Q511" i="3"/>
  <c r="P511" i="3"/>
  <c r="Z480" i="5"/>
  <c r="W510" i="3"/>
  <c r="X510" i="3"/>
  <c r="V510" i="3"/>
  <c r="R481" i="5"/>
  <c r="H481" i="5"/>
  <c r="Q481" i="5"/>
  <c r="G481" i="5"/>
  <c r="AA482" i="5" s="1"/>
  <c r="P481" i="5"/>
  <c r="F481" i="5"/>
  <c r="I481" i="5"/>
  <c r="U481" i="5" s="1"/>
  <c r="T481" i="5"/>
  <c r="O481" i="5"/>
  <c r="N481" i="5"/>
  <c r="C481" i="5"/>
  <c r="E481" i="5"/>
  <c r="D481" i="5"/>
  <c r="J481" i="5"/>
  <c r="K481" i="5"/>
  <c r="W481" i="5" s="1"/>
  <c r="M481" i="5"/>
  <c r="L481" i="5"/>
  <c r="V481" i="5" s="1"/>
  <c r="U510" i="3"/>
  <c r="X480" i="5"/>
  <c r="U480" i="5"/>
  <c r="Z511" i="3" l="1"/>
  <c r="X481" i="5"/>
  <c r="X511" i="3"/>
  <c r="K482" i="5"/>
  <c r="T482" i="5"/>
  <c r="J482" i="5"/>
  <c r="I482" i="5"/>
  <c r="L482" i="5"/>
  <c r="E482" i="5"/>
  <c r="R482" i="5"/>
  <c r="D482" i="5"/>
  <c r="Q482" i="5"/>
  <c r="C482" i="5"/>
  <c r="F482" i="5"/>
  <c r="G482" i="5"/>
  <c r="AA483" i="5" s="1"/>
  <c r="N482" i="5"/>
  <c r="M482" i="5"/>
  <c r="H482" i="5"/>
  <c r="P482" i="5"/>
  <c r="O482" i="5"/>
  <c r="V511" i="3"/>
  <c r="W511" i="3"/>
  <c r="R512" i="3"/>
  <c r="H512" i="3"/>
  <c r="Q512" i="3"/>
  <c r="G512" i="3"/>
  <c r="AA513" i="3" s="1"/>
  <c r="P512" i="3"/>
  <c r="D512" i="3"/>
  <c r="O512" i="3"/>
  <c r="C512" i="3"/>
  <c r="N512" i="3"/>
  <c r="E512" i="3"/>
  <c r="T512" i="3"/>
  <c r="F512" i="3"/>
  <c r="L512" i="3"/>
  <c r="K512" i="3"/>
  <c r="J512" i="3"/>
  <c r="I512" i="3"/>
  <c r="Z481" i="5"/>
  <c r="U511" i="3"/>
  <c r="U512" i="3" l="1"/>
  <c r="W512" i="3"/>
  <c r="V512" i="3"/>
  <c r="X512" i="3"/>
  <c r="X482" i="5"/>
  <c r="W482" i="5"/>
  <c r="Z512" i="3"/>
  <c r="V482" i="5"/>
  <c r="Z482" i="5"/>
  <c r="U482" i="5"/>
  <c r="N483" i="5"/>
  <c r="D483" i="5"/>
  <c r="M483" i="5"/>
  <c r="C483" i="5"/>
  <c r="L483" i="5"/>
  <c r="O483" i="5"/>
  <c r="E483" i="5"/>
  <c r="J483" i="5"/>
  <c r="I483" i="5"/>
  <c r="H483" i="5"/>
  <c r="K483" i="5"/>
  <c r="T483" i="5"/>
  <c r="F483" i="5"/>
  <c r="R483" i="5"/>
  <c r="Q483" i="5"/>
  <c r="P483" i="5"/>
  <c r="G483" i="5"/>
  <c r="AA484" i="5" s="1"/>
  <c r="K513" i="3"/>
  <c r="T513" i="3"/>
  <c r="J513" i="3"/>
  <c r="N513" i="3"/>
  <c r="L513" i="3"/>
  <c r="O513" i="3"/>
  <c r="C513" i="3"/>
  <c r="I513" i="3"/>
  <c r="H513" i="3"/>
  <c r="G513" i="3"/>
  <c r="AA514" i="3" s="1"/>
  <c r="F513" i="3"/>
  <c r="E513" i="3"/>
  <c r="D513" i="3"/>
  <c r="R513" i="3"/>
  <c r="Q513" i="3"/>
  <c r="P513" i="3"/>
  <c r="U483" i="5" l="1"/>
  <c r="X513" i="3"/>
  <c r="W513" i="3"/>
  <c r="W483" i="5"/>
  <c r="N514" i="3"/>
  <c r="D514" i="3"/>
  <c r="C514" i="3"/>
  <c r="K514" i="3"/>
  <c r="J514" i="3"/>
  <c r="T514" i="3"/>
  <c r="I514" i="3"/>
  <c r="L514" i="3"/>
  <c r="R514" i="3"/>
  <c r="Q514" i="3"/>
  <c r="P514" i="3"/>
  <c r="O514" i="3"/>
  <c r="E514" i="3"/>
  <c r="H514" i="3"/>
  <c r="G514" i="3"/>
  <c r="AA515" i="3" s="1"/>
  <c r="F514" i="3"/>
  <c r="Z513" i="3"/>
  <c r="X483" i="5"/>
  <c r="U513" i="3"/>
  <c r="V483" i="5"/>
  <c r="Z483" i="5"/>
  <c r="V513" i="3"/>
  <c r="Q484" i="5"/>
  <c r="G484" i="5"/>
  <c r="AA485" i="5" s="1"/>
  <c r="P484" i="5"/>
  <c r="F484" i="5"/>
  <c r="O484" i="5"/>
  <c r="E484" i="5"/>
  <c r="R484" i="5"/>
  <c r="H484" i="5"/>
  <c r="N484" i="5"/>
  <c r="M484" i="5"/>
  <c r="L484" i="5"/>
  <c r="T484" i="5"/>
  <c r="K484" i="5"/>
  <c r="J484" i="5"/>
  <c r="I484" i="5"/>
  <c r="D484" i="5"/>
  <c r="C484" i="5"/>
  <c r="U514" i="3" l="1"/>
  <c r="U484" i="5"/>
  <c r="V514" i="3"/>
  <c r="Z484" i="5"/>
  <c r="X514" i="3"/>
  <c r="W484" i="5"/>
  <c r="T485" i="5"/>
  <c r="J485" i="5"/>
  <c r="I485" i="5"/>
  <c r="R485" i="5"/>
  <c r="H485" i="5"/>
  <c r="K485" i="5"/>
  <c r="Q485" i="5"/>
  <c r="C485" i="5"/>
  <c r="P485" i="5"/>
  <c r="O485" i="5"/>
  <c r="D485" i="5"/>
  <c r="N485" i="5"/>
  <c r="M485" i="5"/>
  <c r="L485" i="5"/>
  <c r="G485" i="5"/>
  <c r="F485" i="5"/>
  <c r="E485" i="5"/>
  <c r="Q515" i="3"/>
  <c r="G515" i="3"/>
  <c r="AA516" i="3" s="1"/>
  <c r="P515" i="3"/>
  <c r="F515" i="3"/>
  <c r="I515" i="3"/>
  <c r="T515" i="3"/>
  <c r="H515" i="3"/>
  <c r="E515" i="3"/>
  <c r="J515" i="3"/>
  <c r="L515" i="3"/>
  <c r="K515" i="3"/>
  <c r="D515" i="3"/>
  <c r="C515" i="3"/>
  <c r="N515" i="3"/>
  <c r="R515" i="3"/>
  <c r="O515" i="3"/>
  <c r="V484" i="5"/>
  <c r="X484" i="5"/>
  <c r="W514" i="3"/>
  <c r="Z514" i="3"/>
  <c r="V485" i="5" l="1"/>
  <c r="W485" i="5"/>
  <c r="X485" i="5"/>
  <c r="U515" i="3"/>
  <c r="X515" i="3"/>
  <c r="T516" i="3"/>
  <c r="J516" i="3"/>
  <c r="I516" i="3"/>
  <c r="R516" i="3"/>
  <c r="F516" i="3"/>
  <c r="Q516" i="3"/>
  <c r="E516" i="3"/>
  <c r="P516" i="3"/>
  <c r="D516" i="3"/>
  <c r="G516" i="3"/>
  <c r="AA517" i="3" s="1"/>
  <c r="H516" i="3"/>
  <c r="C516" i="3"/>
  <c r="K516" i="3"/>
  <c r="O516" i="3"/>
  <c r="N516" i="3"/>
  <c r="L516" i="3"/>
  <c r="U485" i="5"/>
  <c r="Z515" i="3"/>
  <c r="W515" i="3"/>
  <c r="Z485" i="5"/>
  <c r="M486" i="5"/>
  <c r="C486" i="5"/>
  <c r="L486" i="5"/>
  <c r="K486" i="5"/>
  <c r="N486" i="5"/>
  <c r="D486" i="5"/>
  <c r="G486" i="5"/>
  <c r="AA487" i="5" s="1"/>
  <c r="T486" i="5"/>
  <c r="F486" i="5"/>
  <c r="E486" i="5"/>
  <c r="H486" i="5"/>
  <c r="P486" i="5"/>
  <c r="O486" i="5"/>
  <c r="J486" i="5"/>
  <c r="I486" i="5"/>
  <c r="Q486" i="5"/>
  <c r="R486" i="5"/>
  <c r="V515" i="3"/>
  <c r="W516" i="3" l="1"/>
  <c r="W486" i="5"/>
  <c r="Z486" i="5"/>
  <c r="U486" i="5"/>
  <c r="U516" i="3"/>
  <c r="V516" i="3"/>
  <c r="V486" i="5"/>
  <c r="Z516" i="3"/>
  <c r="C517" i="3"/>
  <c r="L517" i="3"/>
  <c r="P517" i="3"/>
  <c r="E517" i="3"/>
  <c r="O517" i="3"/>
  <c r="D517" i="3"/>
  <c r="N517" i="3"/>
  <c r="Q517" i="3"/>
  <c r="F517" i="3"/>
  <c r="R517" i="3"/>
  <c r="K517" i="3"/>
  <c r="J517" i="3"/>
  <c r="T517" i="3"/>
  <c r="G517" i="3"/>
  <c r="AA518" i="3" s="1"/>
  <c r="I517" i="3"/>
  <c r="H517" i="3"/>
  <c r="X516" i="3"/>
  <c r="AA486" i="5"/>
  <c r="X486" i="5"/>
  <c r="P487" i="5"/>
  <c r="F487" i="5"/>
  <c r="O487" i="5"/>
  <c r="E487" i="5"/>
  <c r="N487" i="5"/>
  <c r="D487" i="5"/>
  <c r="Q487" i="5"/>
  <c r="G487" i="5"/>
  <c r="AA488" i="5" s="1"/>
  <c r="L487" i="5"/>
  <c r="K487" i="5"/>
  <c r="J487" i="5"/>
  <c r="M487" i="5"/>
  <c r="R487" i="5"/>
  <c r="I487" i="5"/>
  <c r="H487" i="5"/>
  <c r="C487" i="5"/>
  <c r="T487" i="5"/>
  <c r="U487" i="5" l="1"/>
  <c r="V517" i="3"/>
  <c r="U517" i="3"/>
  <c r="P518" i="3"/>
  <c r="F518" i="3"/>
  <c r="O518" i="3"/>
  <c r="E518" i="3"/>
  <c r="L518" i="3"/>
  <c r="K518" i="3"/>
  <c r="N518" i="3"/>
  <c r="H518" i="3"/>
  <c r="G518" i="3"/>
  <c r="AA519" i="3" s="1"/>
  <c r="D518" i="3"/>
  <c r="T518" i="3"/>
  <c r="C518" i="3"/>
  <c r="I518" i="3"/>
  <c r="J518" i="3"/>
  <c r="R518" i="3"/>
  <c r="Q518" i="3"/>
  <c r="X487" i="5"/>
  <c r="Z487" i="5"/>
  <c r="Z517" i="3"/>
  <c r="W517" i="3"/>
  <c r="W487" i="5"/>
  <c r="X517" i="3"/>
  <c r="V487" i="5"/>
  <c r="I488" i="5"/>
  <c r="R488" i="5"/>
  <c r="H488" i="5"/>
  <c r="Q488" i="5"/>
  <c r="G488" i="5"/>
  <c r="AA489" i="5" s="1"/>
  <c r="T488" i="5"/>
  <c r="J488" i="5"/>
  <c r="P488" i="5"/>
  <c r="O488" i="5"/>
  <c r="N488" i="5"/>
  <c r="C488" i="5"/>
  <c r="F488" i="5"/>
  <c r="E488" i="5"/>
  <c r="D488" i="5"/>
  <c r="K488" i="5"/>
  <c r="M488" i="5"/>
  <c r="L488" i="5"/>
  <c r="V488" i="5" l="1"/>
  <c r="W488" i="5"/>
  <c r="L489" i="5"/>
  <c r="K489" i="5"/>
  <c r="T489" i="5"/>
  <c r="J489" i="5"/>
  <c r="M489" i="5"/>
  <c r="C489" i="5"/>
  <c r="F489" i="5"/>
  <c r="E489" i="5"/>
  <c r="R489" i="5"/>
  <c r="D489" i="5"/>
  <c r="G489" i="5"/>
  <c r="AA490" i="5" s="1"/>
  <c r="H489" i="5"/>
  <c r="I489" i="5"/>
  <c r="Q489" i="5"/>
  <c r="P489" i="5"/>
  <c r="O489" i="5"/>
  <c r="N489" i="5"/>
  <c r="Z488" i="5"/>
  <c r="X518" i="3"/>
  <c r="W518" i="3"/>
  <c r="X488" i="5"/>
  <c r="V518" i="3"/>
  <c r="U488" i="5"/>
  <c r="U518" i="3"/>
  <c r="Z518" i="3"/>
  <c r="I519" i="3"/>
  <c r="R519" i="3"/>
  <c r="H519" i="3"/>
  <c r="K519" i="3"/>
  <c r="J519" i="3"/>
  <c r="G519" i="3"/>
  <c r="AA520" i="3" s="1"/>
  <c r="L519" i="3"/>
  <c r="P519" i="3"/>
  <c r="O519" i="3"/>
  <c r="N519" i="3"/>
  <c r="F519" i="3"/>
  <c r="Q519" i="3"/>
  <c r="T519" i="3"/>
  <c r="E519" i="3"/>
  <c r="D519" i="3"/>
  <c r="C519" i="3"/>
  <c r="U519" i="3" l="1"/>
  <c r="L520" i="3"/>
  <c r="K520" i="3"/>
  <c r="G520" i="3"/>
  <c r="AA521" i="3" s="1"/>
  <c r="R520" i="3"/>
  <c r="F520" i="3"/>
  <c r="Q520" i="3"/>
  <c r="E520" i="3"/>
  <c r="T520" i="3"/>
  <c r="H520" i="3"/>
  <c r="J520" i="3"/>
  <c r="I520" i="3"/>
  <c r="D520" i="3"/>
  <c r="C520" i="3"/>
  <c r="P520" i="3"/>
  <c r="O520" i="3"/>
  <c r="N520" i="3"/>
  <c r="X489" i="5"/>
  <c r="Z489" i="5"/>
  <c r="W519" i="3"/>
  <c r="X519" i="3"/>
  <c r="U489" i="5"/>
  <c r="O490" i="5"/>
  <c r="E490" i="5"/>
  <c r="N490" i="5"/>
  <c r="D490" i="5"/>
  <c r="M490" i="5"/>
  <c r="C490" i="5"/>
  <c r="P490" i="5"/>
  <c r="F490" i="5"/>
  <c r="K490" i="5"/>
  <c r="J490" i="5"/>
  <c r="I490" i="5"/>
  <c r="L490" i="5"/>
  <c r="G490" i="5"/>
  <c r="AA491" i="5" s="1"/>
  <c r="T490" i="5"/>
  <c r="R490" i="5"/>
  <c r="Q490" i="5"/>
  <c r="H490" i="5"/>
  <c r="V519" i="3"/>
  <c r="W489" i="5"/>
  <c r="Z519" i="3"/>
  <c r="V489" i="5"/>
  <c r="V490" i="5" l="1"/>
  <c r="X490" i="5"/>
  <c r="O521" i="3"/>
  <c r="E521" i="3"/>
  <c r="N521" i="3"/>
  <c r="D521" i="3"/>
  <c r="R521" i="3"/>
  <c r="F521" i="3"/>
  <c r="Q521" i="3"/>
  <c r="C521" i="3"/>
  <c r="P521" i="3"/>
  <c r="G521" i="3"/>
  <c r="AA522" i="3" s="1"/>
  <c r="T521" i="3"/>
  <c r="H521" i="3"/>
  <c r="L521" i="3"/>
  <c r="K521" i="3"/>
  <c r="J521" i="3"/>
  <c r="I521" i="3"/>
  <c r="U521" i="3" s="1"/>
  <c r="Z490" i="5"/>
  <c r="U490" i="5"/>
  <c r="W520" i="3"/>
  <c r="X520" i="3"/>
  <c r="Z520" i="3"/>
  <c r="U520" i="3"/>
  <c r="V520" i="3"/>
  <c r="R491" i="5"/>
  <c r="H491" i="5"/>
  <c r="Q491" i="5"/>
  <c r="G491" i="5"/>
  <c r="AA492" i="5" s="1"/>
  <c r="P491" i="5"/>
  <c r="F491" i="5"/>
  <c r="I491" i="5"/>
  <c r="O491" i="5"/>
  <c r="N491" i="5"/>
  <c r="M491" i="5"/>
  <c r="T491" i="5"/>
  <c r="L491" i="5"/>
  <c r="V491" i="5" s="1"/>
  <c r="C491" i="5"/>
  <c r="K491" i="5"/>
  <c r="J491" i="5"/>
  <c r="E491" i="5"/>
  <c r="D491" i="5"/>
  <c r="W490" i="5"/>
  <c r="W491" i="5" l="1"/>
  <c r="K492" i="5"/>
  <c r="T492" i="5"/>
  <c r="J492" i="5"/>
  <c r="I492" i="5"/>
  <c r="L492" i="5"/>
  <c r="R492" i="5"/>
  <c r="D492" i="5"/>
  <c r="Q492" i="5"/>
  <c r="C492" i="5"/>
  <c r="P492" i="5"/>
  <c r="E492" i="5"/>
  <c r="O492" i="5"/>
  <c r="N492" i="5"/>
  <c r="M492" i="5"/>
  <c r="H492" i="5"/>
  <c r="G492" i="5"/>
  <c r="AA493" i="5" s="1"/>
  <c r="F492" i="5"/>
  <c r="X492" i="5" s="1"/>
  <c r="X491" i="5"/>
  <c r="Z521" i="3"/>
  <c r="V521" i="3"/>
  <c r="R522" i="3"/>
  <c r="H522" i="3"/>
  <c r="Q522" i="3"/>
  <c r="G522" i="3"/>
  <c r="AA523" i="3" s="1"/>
  <c r="N522" i="3"/>
  <c r="L522" i="3"/>
  <c r="V522" i="3" s="1"/>
  <c r="O522" i="3"/>
  <c r="C522" i="3"/>
  <c r="K522" i="3"/>
  <c r="J522" i="3"/>
  <c r="I522" i="3"/>
  <c r="F522" i="3"/>
  <c r="P522" i="3"/>
  <c r="D522" i="3"/>
  <c r="T522" i="3"/>
  <c r="E522" i="3"/>
  <c r="Z491" i="5"/>
  <c r="X521" i="3"/>
  <c r="W521" i="3"/>
  <c r="U491" i="5"/>
  <c r="Z522" i="3" l="1"/>
  <c r="W522" i="3"/>
  <c r="Z492" i="5"/>
  <c r="K523" i="3"/>
  <c r="T523" i="3"/>
  <c r="J523" i="3"/>
  <c r="L523" i="3"/>
  <c r="I523" i="3"/>
  <c r="H523" i="3"/>
  <c r="R523" i="3"/>
  <c r="C523" i="3"/>
  <c r="Q523" i="3"/>
  <c r="P523" i="3"/>
  <c r="O523" i="3"/>
  <c r="N523" i="3"/>
  <c r="D523" i="3"/>
  <c r="E523" i="3"/>
  <c r="G523" i="3"/>
  <c r="AA524" i="3" s="1"/>
  <c r="F523" i="3"/>
  <c r="V492" i="5"/>
  <c r="N493" i="5"/>
  <c r="D493" i="5"/>
  <c r="M493" i="5"/>
  <c r="C493" i="5"/>
  <c r="L493" i="5"/>
  <c r="O493" i="5"/>
  <c r="E493" i="5"/>
  <c r="I493" i="5"/>
  <c r="H493" i="5"/>
  <c r="G493" i="5"/>
  <c r="AA494" i="5" s="1"/>
  <c r="J493" i="5"/>
  <c r="R493" i="5"/>
  <c r="Q493" i="5"/>
  <c r="P493" i="5"/>
  <c r="K493" i="5"/>
  <c r="T493" i="5"/>
  <c r="F493" i="5"/>
  <c r="U492" i="5"/>
  <c r="X522" i="3"/>
  <c r="U522" i="3"/>
  <c r="W492" i="5"/>
  <c r="X523" i="3" l="1"/>
  <c r="Z523" i="3"/>
  <c r="Z493" i="5"/>
  <c r="W523" i="3"/>
  <c r="U493" i="5"/>
  <c r="X493" i="5"/>
  <c r="V523" i="3"/>
  <c r="V493" i="5"/>
  <c r="U523" i="3"/>
  <c r="Q494" i="5"/>
  <c r="G494" i="5"/>
  <c r="AA495" i="5" s="1"/>
  <c r="P494" i="5"/>
  <c r="F494" i="5"/>
  <c r="O494" i="5"/>
  <c r="E494" i="5"/>
  <c r="R494" i="5"/>
  <c r="H494" i="5"/>
  <c r="M494" i="5"/>
  <c r="L494" i="5"/>
  <c r="K494" i="5"/>
  <c r="N494" i="5"/>
  <c r="J494" i="5"/>
  <c r="I494" i="5"/>
  <c r="D494" i="5"/>
  <c r="T494" i="5"/>
  <c r="C494" i="5"/>
  <c r="W493" i="5"/>
  <c r="N524" i="3"/>
  <c r="D524" i="3"/>
  <c r="C524" i="3"/>
  <c r="T524" i="3"/>
  <c r="I524" i="3"/>
  <c r="H524" i="3"/>
  <c r="R524" i="3"/>
  <c r="G524" i="3"/>
  <c r="AA525" i="3" s="1"/>
  <c r="J524" i="3"/>
  <c r="L524" i="3"/>
  <c r="V524" i="3" s="1"/>
  <c r="K524" i="3"/>
  <c r="F524" i="3"/>
  <c r="E524" i="3"/>
  <c r="P524" i="3"/>
  <c r="O524" i="3"/>
  <c r="Q524" i="3"/>
  <c r="V494" i="5" l="1"/>
  <c r="W494" i="5"/>
  <c r="U524" i="3"/>
  <c r="Q525" i="3"/>
  <c r="G525" i="3"/>
  <c r="AA526" i="3" s="1"/>
  <c r="P525" i="3"/>
  <c r="F525" i="3"/>
  <c r="R525" i="3"/>
  <c r="T525" i="3"/>
  <c r="E525" i="3"/>
  <c r="D525" i="3"/>
  <c r="O525" i="3"/>
  <c r="C525" i="3"/>
  <c r="H525" i="3"/>
  <c r="N525" i="3"/>
  <c r="I525" i="3"/>
  <c r="L525" i="3"/>
  <c r="K525" i="3"/>
  <c r="J525" i="3"/>
  <c r="Z494" i="5"/>
  <c r="T495" i="5"/>
  <c r="J495" i="5"/>
  <c r="I495" i="5"/>
  <c r="R495" i="5"/>
  <c r="H495" i="5"/>
  <c r="K495" i="5"/>
  <c r="P495" i="5"/>
  <c r="O495" i="5"/>
  <c r="N495" i="5"/>
  <c r="Q495" i="5"/>
  <c r="C495" i="5"/>
  <c r="E495" i="5"/>
  <c r="D495" i="5"/>
  <c r="F495" i="5"/>
  <c r="M495" i="5"/>
  <c r="L495" i="5"/>
  <c r="V495" i="5" s="1"/>
  <c r="G495" i="5"/>
  <c r="AA496" i="5" s="1"/>
  <c r="Z524" i="3"/>
  <c r="X524" i="3"/>
  <c r="W524" i="3"/>
  <c r="U494" i="5"/>
  <c r="X494" i="5"/>
  <c r="V525" i="3" l="1"/>
  <c r="T526" i="3"/>
  <c r="J526" i="3"/>
  <c r="I526" i="3"/>
  <c r="K526" i="3"/>
  <c r="R526" i="3"/>
  <c r="E526" i="3"/>
  <c r="Q526" i="3"/>
  <c r="D526" i="3"/>
  <c r="P526" i="3"/>
  <c r="C526" i="3"/>
  <c r="F526" i="3"/>
  <c r="O526" i="3"/>
  <c r="N526" i="3"/>
  <c r="L526" i="3"/>
  <c r="H526" i="3"/>
  <c r="G526" i="3"/>
  <c r="AA527" i="3" s="1"/>
  <c r="Z495" i="5"/>
  <c r="M496" i="5"/>
  <c r="C496" i="5"/>
  <c r="L496" i="5"/>
  <c r="K496" i="5"/>
  <c r="N496" i="5"/>
  <c r="D496" i="5"/>
  <c r="T496" i="5"/>
  <c r="F496" i="5"/>
  <c r="E496" i="5"/>
  <c r="R496" i="5"/>
  <c r="G496" i="5"/>
  <c r="AA497" i="5" s="1"/>
  <c r="Q496" i="5"/>
  <c r="P496" i="5"/>
  <c r="O496" i="5"/>
  <c r="J496" i="5"/>
  <c r="I496" i="5"/>
  <c r="H496" i="5"/>
  <c r="X525" i="3"/>
  <c r="W495" i="5"/>
  <c r="W525" i="3"/>
  <c r="U525" i="3"/>
  <c r="X495" i="5"/>
  <c r="U495" i="5"/>
  <c r="Z525" i="3"/>
  <c r="V496" i="5" l="1"/>
  <c r="Z526" i="3"/>
  <c r="Z496" i="5"/>
  <c r="W526" i="3"/>
  <c r="U496" i="5"/>
  <c r="U526" i="3"/>
  <c r="X496" i="5"/>
  <c r="P497" i="5"/>
  <c r="F497" i="5"/>
  <c r="O497" i="5"/>
  <c r="E497" i="5"/>
  <c r="N497" i="5"/>
  <c r="D497" i="5"/>
  <c r="Q497" i="5"/>
  <c r="G497" i="5"/>
  <c r="AA498" i="5" s="1"/>
  <c r="K497" i="5"/>
  <c r="J497" i="5"/>
  <c r="I497" i="5"/>
  <c r="L497" i="5"/>
  <c r="T497" i="5"/>
  <c r="R497" i="5"/>
  <c r="M497" i="5"/>
  <c r="H497" i="5"/>
  <c r="C497" i="5"/>
  <c r="V526" i="3"/>
  <c r="W496" i="5"/>
  <c r="X526" i="3"/>
  <c r="C527" i="3"/>
  <c r="L527" i="3"/>
  <c r="N527" i="3"/>
  <c r="D527" i="3"/>
  <c r="G527" i="3"/>
  <c r="AA528" i="3" s="1"/>
  <c r="R527" i="3"/>
  <c r="F527" i="3"/>
  <c r="Q527" i="3"/>
  <c r="E527" i="3"/>
  <c r="T527" i="3"/>
  <c r="H527" i="3"/>
  <c r="P527" i="3"/>
  <c r="O527" i="3"/>
  <c r="K527" i="3"/>
  <c r="J527" i="3"/>
  <c r="I527" i="3"/>
  <c r="V527" i="3" l="1"/>
  <c r="V497" i="5"/>
  <c r="W527" i="3"/>
  <c r="U497" i="5"/>
  <c r="W497" i="5"/>
  <c r="X497" i="5"/>
  <c r="R498" i="5"/>
  <c r="H498" i="5"/>
  <c r="J498" i="5"/>
  <c r="T498" i="5"/>
  <c r="I498" i="5"/>
  <c r="G498" i="5"/>
  <c r="AA499" i="5" s="1"/>
  <c r="K498" i="5"/>
  <c r="P498" i="5"/>
  <c r="O498" i="5"/>
  <c r="N498" i="5"/>
  <c r="Q498" i="5"/>
  <c r="M498" i="5"/>
  <c r="L498" i="5"/>
  <c r="F498" i="5"/>
  <c r="D498" i="5"/>
  <c r="C498" i="5"/>
  <c r="E498" i="5"/>
  <c r="Z527" i="3"/>
  <c r="P528" i="3"/>
  <c r="F528" i="3"/>
  <c r="O528" i="3"/>
  <c r="E528" i="3"/>
  <c r="Q528" i="3"/>
  <c r="G528" i="3"/>
  <c r="AA529" i="3" s="1"/>
  <c r="H528" i="3"/>
  <c r="T528" i="3"/>
  <c r="D528" i="3"/>
  <c r="C528" i="3"/>
  <c r="I528" i="3"/>
  <c r="L528" i="3"/>
  <c r="K528" i="3"/>
  <c r="J528" i="3"/>
  <c r="N528" i="3"/>
  <c r="R528" i="3"/>
  <c r="X527" i="3"/>
  <c r="Z497" i="5"/>
  <c r="U527" i="3"/>
  <c r="U498" i="5" l="1"/>
  <c r="W498" i="5"/>
  <c r="I529" i="3"/>
  <c r="R529" i="3"/>
  <c r="H529" i="3"/>
  <c r="T529" i="3"/>
  <c r="J529" i="3"/>
  <c r="F529" i="3"/>
  <c r="E529" i="3"/>
  <c r="Q529" i="3"/>
  <c r="D529" i="3"/>
  <c r="G529" i="3"/>
  <c r="AA530" i="3" s="1"/>
  <c r="L529" i="3"/>
  <c r="K529" i="3"/>
  <c r="C529" i="3"/>
  <c r="P529" i="3"/>
  <c r="O529" i="3"/>
  <c r="N529" i="3"/>
  <c r="Z498" i="5"/>
  <c r="W528" i="3"/>
  <c r="X528" i="3"/>
  <c r="X498" i="5"/>
  <c r="K499" i="5"/>
  <c r="O499" i="5"/>
  <c r="D499" i="5"/>
  <c r="N499" i="5"/>
  <c r="C499" i="5"/>
  <c r="M499" i="5"/>
  <c r="P499" i="5"/>
  <c r="E499" i="5"/>
  <c r="G499" i="5"/>
  <c r="AA500" i="5" s="1"/>
  <c r="F499" i="5"/>
  <c r="T499" i="5"/>
  <c r="H499" i="5"/>
  <c r="Q499" i="5"/>
  <c r="L499" i="5"/>
  <c r="J499" i="5"/>
  <c r="I499" i="5"/>
  <c r="U499" i="5" s="1"/>
  <c r="R499" i="5"/>
  <c r="V528" i="3"/>
  <c r="U528" i="3"/>
  <c r="V498" i="5"/>
  <c r="Z528" i="3"/>
  <c r="X529" i="3" l="1"/>
  <c r="V499" i="5"/>
  <c r="N500" i="5"/>
  <c r="D500" i="5"/>
  <c r="J500" i="5"/>
  <c r="T500" i="5"/>
  <c r="I500" i="5"/>
  <c r="H500" i="5"/>
  <c r="K500" i="5"/>
  <c r="O500" i="5"/>
  <c r="M500" i="5"/>
  <c r="L500" i="5"/>
  <c r="P500" i="5"/>
  <c r="Q500" i="5"/>
  <c r="G500" i="5"/>
  <c r="AA501" i="5" s="1"/>
  <c r="F500" i="5"/>
  <c r="E500" i="5"/>
  <c r="R500" i="5"/>
  <c r="C500" i="5"/>
  <c r="W499" i="5"/>
  <c r="V529" i="3"/>
  <c r="U529" i="3"/>
  <c r="Z499" i="5"/>
  <c r="L530" i="3"/>
  <c r="K530" i="3"/>
  <c r="C530" i="3"/>
  <c r="G530" i="3"/>
  <c r="AA531" i="3" s="1"/>
  <c r="R530" i="3"/>
  <c r="F530" i="3"/>
  <c r="Q530" i="3"/>
  <c r="E530" i="3"/>
  <c r="T530" i="3"/>
  <c r="H530" i="3"/>
  <c r="D530" i="3"/>
  <c r="P530" i="3"/>
  <c r="N530" i="3"/>
  <c r="I530" i="3"/>
  <c r="O530" i="3"/>
  <c r="J530" i="3"/>
  <c r="Z529" i="3"/>
  <c r="W529" i="3"/>
  <c r="X499" i="5"/>
  <c r="X530" i="3" l="1"/>
  <c r="Z500" i="5"/>
  <c r="W500" i="5"/>
  <c r="U530" i="3"/>
  <c r="Z530" i="3"/>
  <c r="U500" i="5"/>
  <c r="V530" i="3"/>
  <c r="X500" i="5"/>
  <c r="Q501" i="5"/>
  <c r="G501" i="5"/>
  <c r="AA502" i="5" s="1"/>
  <c r="P501" i="5"/>
  <c r="E501" i="5"/>
  <c r="O501" i="5"/>
  <c r="D501" i="5"/>
  <c r="N501" i="5"/>
  <c r="C501" i="5"/>
  <c r="R501" i="5"/>
  <c r="F501" i="5"/>
  <c r="H501" i="5"/>
  <c r="I501" i="5"/>
  <c r="L501" i="5"/>
  <c r="K501" i="5"/>
  <c r="J501" i="5"/>
  <c r="M501" i="5"/>
  <c r="T501" i="5"/>
  <c r="W530" i="3"/>
  <c r="O531" i="3"/>
  <c r="E531" i="3"/>
  <c r="N531" i="3"/>
  <c r="D531" i="3"/>
  <c r="P531" i="3"/>
  <c r="F531" i="3"/>
  <c r="H531" i="3"/>
  <c r="T531" i="3"/>
  <c r="G531" i="3"/>
  <c r="AA532" i="3" s="1"/>
  <c r="C531" i="3"/>
  <c r="I531" i="3"/>
  <c r="R531" i="3"/>
  <c r="Q531" i="3"/>
  <c r="K531" i="3"/>
  <c r="J531" i="3"/>
  <c r="L531" i="3"/>
  <c r="V500" i="5"/>
  <c r="U501" i="5" l="1"/>
  <c r="V501" i="5"/>
  <c r="Z531" i="3"/>
  <c r="W531" i="3"/>
  <c r="U531" i="3"/>
  <c r="V531" i="3"/>
  <c r="X531" i="3"/>
  <c r="W501" i="5"/>
  <c r="Z501" i="5"/>
  <c r="X501" i="5"/>
  <c r="T502" i="5"/>
  <c r="J502" i="5"/>
  <c r="L502" i="5"/>
  <c r="K502" i="5"/>
  <c r="I502" i="5"/>
  <c r="M502" i="5"/>
  <c r="H502" i="5"/>
  <c r="G502" i="5"/>
  <c r="AA503" i="5" s="1"/>
  <c r="F502" i="5"/>
  <c r="N502" i="5"/>
  <c r="O502" i="5"/>
  <c r="E502" i="5"/>
  <c r="D502" i="5"/>
  <c r="C502" i="5"/>
  <c r="P502" i="5"/>
  <c r="R502" i="5"/>
  <c r="Q502" i="5"/>
  <c r="R532" i="3"/>
  <c r="H532" i="3"/>
  <c r="Q532" i="3"/>
  <c r="G532" i="3"/>
  <c r="AA533" i="3" s="1"/>
  <c r="I532" i="3"/>
  <c r="F532" i="3"/>
  <c r="E532" i="3"/>
  <c r="T532" i="3"/>
  <c r="D532" i="3"/>
  <c r="J532" i="3"/>
  <c r="P532" i="3"/>
  <c r="O532" i="3"/>
  <c r="N532" i="3"/>
  <c r="L532" i="3"/>
  <c r="C532" i="3"/>
  <c r="K532" i="3"/>
  <c r="V532" i="3" l="1"/>
  <c r="W532" i="3"/>
  <c r="X532" i="3"/>
  <c r="V502" i="5"/>
  <c r="U532" i="3"/>
  <c r="Z532" i="3"/>
  <c r="M503" i="5"/>
  <c r="C503" i="5"/>
  <c r="R503" i="5"/>
  <c r="G503" i="5"/>
  <c r="AA504" i="5" s="1"/>
  <c r="Q503" i="5"/>
  <c r="F503" i="5"/>
  <c r="P503" i="5"/>
  <c r="E503" i="5"/>
  <c r="H503" i="5"/>
  <c r="T503" i="5"/>
  <c r="O503" i="5"/>
  <c r="J503" i="5"/>
  <c r="I503" i="5"/>
  <c r="D503" i="5"/>
  <c r="K503" i="5"/>
  <c r="N503" i="5"/>
  <c r="L503" i="5"/>
  <c r="K533" i="3"/>
  <c r="T533" i="3"/>
  <c r="J533" i="3"/>
  <c r="L533" i="3"/>
  <c r="V533" i="3" s="1"/>
  <c r="F533" i="3"/>
  <c r="R533" i="3"/>
  <c r="E533" i="3"/>
  <c r="Q533" i="3"/>
  <c r="D533" i="3"/>
  <c r="G533" i="3"/>
  <c r="AA534" i="3" s="1"/>
  <c r="N533" i="3"/>
  <c r="I533" i="3"/>
  <c r="H533" i="3"/>
  <c r="C533" i="3"/>
  <c r="O533" i="3"/>
  <c r="P533" i="3"/>
  <c r="U502" i="5"/>
  <c r="X502" i="5"/>
  <c r="Z502" i="5"/>
  <c r="W502" i="5"/>
  <c r="W503" i="5" l="1"/>
  <c r="X503" i="5"/>
  <c r="W533" i="3"/>
  <c r="V503" i="5"/>
  <c r="U503" i="5"/>
  <c r="X533" i="3"/>
  <c r="P504" i="5"/>
  <c r="F504" i="5"/>
  <c r="M504" i="5"/>
  <c r="L504" i="5"/>
  <c r="K504" i="5"/>
  <c r="N504" i="5"/>
  <c r="C504" i="5"/>
  <c r="I504" i="5"/>
  <c r="H504" i="5"/>
  <c r="G504" i="5"/>
  <c r="AA505" i="5" s="1"/>
  <c r="J504" i="5"/>
  <c r="O504" i="5"/>
  <c r="E504" i="5"/>
  <c r="D504" i="5"/>
  <c r="Q504" i="5"/>
  <c r="T504" i="5"/>
  <c r="R504" i="5"/>
  <c r="Z503" i="5"/>
  <c r="Z533" i="3"/>
  <c r="U533" i="3"/>
  <c r="N534" i="3"/>
  <c r="D534" i="3"/>
  <c r="C534" i="3"/>
  <c r="O534" i="3"/>
  <c r="E534" i="3"/>
  <c r="T534" i="3"/>
  <c r="H534" i="3"/>
  <c r="G534" i="3"/>
  <c r="AA535" i="3" s="1"/>
  <c r="R534" i="3"/>
  <c r="F534" i="3"/>
  <c r="I534" i="3"/>
  <c r="K534" i="3"/>
  <c r="J534" i="3"/>
  <c r="Q534" i="3"/>
  <c r="P534" i="3"/>
  <c r="L534" i="3"/>
  <c r="Z534" i="3" l="1"/>
  <c r="X534" i="3"/>
  <c r="W504" i="5"/>
  <c r="V504" i="5"/>
  <c r="W534" i="3"/>
  <c r="U534" i="3"/>
  <c r="U504" i="5"/>
  <c r="X504" i="5"/>
  <c r="Z504" i="5"/>
  <c r="V534" i="3"/>
  <c r="Q535" i="3"/>
  <c r="G535" i="3"/>
  <c r="AA536" i="3" s="1"/>
  <c r="P535" i="3"/>
  <c r="F535" i="3"/>
  <c r="R535" i="3"/>
  <c r="H535" i="3"/>
  <c r="E535" i="3"/>
  <c r="T535" i="3"/>
  <c r="D535" i="3"/>
  <c r="C535" i="3"/>
  <c r="I535" i="3"/>
  <c r="O535" i="3"/>
  <c r="L535" i="3"/>
  <c r="J535" i="3"/>
  <c r="N535" i="3"/>
  <c r="K535" i="3"/>
  <c r="I505" i="5"/>
  <c r="T505" i="5"/>
  <c r="H505" i="5"/>
  <c r="R505" i="5"/>
  <c r="G505" i="5"/>
  <c r="AA506" i="5" s="1"/>
  <c r="Q505" i="5"/>
  <c r="F505" i="5"/>
  <c r="J505" i="5"/>
  <c r="P505" i="5"/>
  <c r="O505" i="5"/>
  <c r="N505" i="5"/>
  <c r="D505" i="5"/>
  <c r="C505" i="5"/>
  <c r="E505" i="5"/>
  <c r="M505" i="5"/>
  <c r="L505" i="5"/>
  <c r="K505" i="5"/>
  <c r="U505" i="5" l="1"/>
  <c r="U535" i="3"/>
  <c r="Z535" i="3"/>
  <c r="Z505" i="5"/>
  <c r="L506" i="5"/>
  <c r="O506" i="5"/>
  <c r="D506" i="5"/>
  <c r="N506" i="5"/>
  <c r="C506" i="5"/>
  <c r="M506" i="5"/>
  <c r="P506" i="5"/>
  <c r="E506" i="5"/>
  <c r="H506" i="5"/>
  <c r="G506" i="5"/>
  <c r="AA507" i="5" s="1"/>
  <c r="F506" i="5"/>
  <c r="I506" i="5"/>
  <c r="J506" i="5"/>
  <c r="Q506" i="5"/>
  <c r="K506" i="5"/>
  <c r="T506" i="5"/>
  <c r="R506" i="5"/>
  <c r="T536" i="3"/>
  <c r="J536" i="3"/>
  <c r="I536" i="3"/>
  <c r="K536" i="3"/>
  <c r="W536" i="3" s="1"/>
  <c r="F536" i="3"/>
  <c r="R536" i="3"/>
  <c r="E536" i="3"/>
  <c r="Q536" i="3"/>
  <c r="D536" i="3"/>
  <c r="G536" i="3"/>
  <c r="AA537" i="3" s="1"/>
  <c r="P536" i="3"/>
  <c r="O536" i="3"/>
  <c r="N536" i="3"/>
  <c r="L536" i="3"/>
  <c r="H536" i="3"/>
  <c r="C536" i="3"/>
  <c r="X535" i="3"/>
  <c r="W535" i="3"/>
  <c r="W505" i="5"/>
  <c r="X505" i="5"/>
  <c r="V535" i="3"/>
  <c r="V505" i="5"/>
  <c r="W506" i="5" l="1"/>
  <c r="Z506" i="5"/>
  <c r="V536" i="3"/>
  <c r="O507" i="5"/>
  <c r="E507" i="5"/>
  <c r="J507" i="5"/>
  <c r="T507" i="5"/>
  <c r="I507" i="5"/>
  <c r="H507" i="5"/>
  <c r="K507" i="5"/>
  <c r="P507" i="5"/>
  <c r="N507" i="5"/>
  <c r="M507" i="5"/>
  <c r="Q507" i="5"/>
  <c r="C507" i="5"/>
  <c r="D507" i="5"/>
  <c r="R507" i="5"/>
  <c r="L507" i="5"/>
  <c r="G507" i="5"/>
  <c r="AA508" i="5" s="1"/>
  <c r="F507" i="5"/>
  <c r="Z536" i="3"/>
  <c r="X536" i="3"/>
  <c r="U506" i="5"/>
  <c r="X506" i="5"/>
  <c r="V506" i="5"/>
  <c r="U536" i="3"/>
  <c r="C537" i="3"/>
  <c r="L537" i="3"/>
  <c r="N537" i="3"/>
  <c r="D537" i="3"/>
  <c r="T537" i="3"/>
  <c r="H537" i="3"/>
  <c r="G537" i="3"/>
  <c r="AA538" i="3" s="1"/>
  <c r="R537" i="3"/>
  <c r="F537" i="3"/>
  <c r="I537" i="3"/>
  <c r="Q537" i="3"/>
  <c r="P537" i="3"/>
  <c r="O537" i="3"/>
  <c r="K537" i="3"/>
  <c r="E537" i="3"/>
  <c r="J537" i="3"/>
  <c r="X507" i="5" l="1"/>
  <c r="W507" i="5"/>
  <c r="V537" i="3"/>
  <c r="W537" i="3"/>
  <c r="Z537" i="3"/>
  <c r="P538" i="3"/>
  <c r="F538" i="3"/>
  <c r="O538" i="3"/>
  <c r="E538" i="3"/>
  <c r="Q538" i="3"/>
  <c r="G538" i="3"/>
  <c r="AA539" i="3" s="1"/>
  <c r="I538" i="3"/>
  <c r="H538" i="3"/>
  <c r="T538" i="3"/>
  <c r="D538" i="3"/>
  <c r="J538" i="3"/>
  <c r="N538" i="3"/>
  <c r="L538" i="3"/>
  <c r="V538" i="3" s="1"/>
  <c r="K538" i="3"/>
  <c r="C538" i="3"/>
  <c r="R538" i="3"/>
  <c r="U537" i="3"/>
  <c r="R508" i="5"/>
  <c r="H508" i="5"/>
  <c r="O508" i="5"/>
  <c r="D508" i="5"/>
  <c r="N508" i="5"/>
  <c r="C508" i="5"/>
  <c r="M508" i="5"/>
  <c r="P508" i="5"/>
  <c r="E508" i="5"/>
  <c r="G508" i="5"/>
  <c r="AA509" i="5" s="1"/>
  <c r="F508" i="5"/>
  <c r="I508" i="5"/>
  <c r="T508" i="5"/>
  <c r="Q508" i="5"/>
  <c r="L508" i="5"/>
  <c r="K508" i="5"/>
  <c r="J508" i="5"/>
  <c r="X537" i="3"/>
  <c r="Z507" i="5"/>
  <c r="V507" i="5"/>
  <c r="U507" i="5"/>
  <c r="W538" i="3" l="1"/>
  <c r="V508" i="5"/>
  <c r="Z538" i="3"/>
  <c r="X508" i="5"/>
  <c r="U538" i="3"/>
  <c r="W508" i="5"/>
  <c r="Z508" i="5"/>
  <c r="K509" i="5"/>
  <c r="W509" i="5" s="1"/>
  <c r="T509" i="5"/>
  <c r="I509" i="5"/>
  <c r="H509" i="5"/>
  <c r="R509" i="5"/>
  <c r="G509" i="5"/>
  <c r="AA510" i="5" s="1"/>
  <c r="J509" i="5"/>
  <c r="N509" i="5"/>
  <c r="M509" i="5"/>
  <c r="L509" i="5"/>
  <c r="O509" i="5"/>
  <c r="C509" i="5"/>
  <c r="Q509" i="5"/>
  <c r="P509" i="5"/>
  <c r="F509" i="5"/>
  <c r="E509" i="5"/>
  <c r="D509" i="5"/>
  <c r="X538" i="3"/>
  <c r="U508" i="5"/>
  <c r="I539" i="3"/>
  <c r="R539" i="3"/>
  <c r="H539" i="3"/>
  <c r="T539" i="3"/>
  <c r="J539" i="3"/>
  <c r="G539" i="3"/>
  <c r="AA540" i="3" s="1"/>
  <c r="F539" i="3"/>
  <c r="E539" i="3"/>
  <c r="K539" i="3"/>
  <c r="L539" i="3"/>
  <c r="D539" i="3"/>
  <c r="C539" i="3"/>
  <c r="Q539" i="3"/>
  <c r="P539" i="3"/>
  <c r="N539" i="3"/>
  <c r="O539" i="3"/>
  <c r="U509" i="5" l="1"/>
  <c r="X509" i="5"/>
  <c r="L540" i="3"/>
  <c r="K540" i="3"/>
  <c r="C540" i="3"/>
  <c r="T540" i="3"/>
  <c r="H540" i="3"/>
  <c r="G540" i="3"/>
  <c r="AA541" i="3" s="1"/>
  <c r="R540" i="3"/>
  <c r="F540" i="3"/>
  <c r="I540" i="3"/>
  <c r="E540" i="3"/>
  <c r="D540" i="3"/>
  <c r="Q540" i="3"/>
  <c r="O540" i="3"/>
  <c r="N540" i="3"/>
  <c r="J540" i="3"/>
  <c r="P540" i="3"/>
  <c r="N510" i="5"/>
  <c r="D510" i="5"/>
  <c r="P510" i="5"/>
  <c r="E510" i="5"/>
  <c r="O510" i="5"/>
  <c r="C510" i="5"/>
  <c r="M510" i="5"/>
  <c r="Q510" i="5"/>
  <c r="F510" i="5"/>
  <c r="G510" i="5"/>
  <c r="AA511" i="5" s="1"/>
  <c r="T510" i="5"/>
  <c r="H510" i="5"/>
  <c r="J510" i="5"/>
  <c r="I510" i="5"/>
  <c r="R510" i="5"/>
  <c r="L510" i="5"/>
  <c r="K510" i="5"/>
  <c r="U539" i="3"/>
  <c r="V539" i="3"/>
  <c r="Z509" i="5"/>
  <c r="Z539" i="3"/>
  <c r="V509" i="5"/>
  <c r="W539" i="3"/>
  <c r="X539" i="3"/>
  <c r="X540" i="3" l="1"/>
  <c r="U510" i="5"/>
  <c r="U540" i="3"/>
  <c r="W510" i="5"/>
  <c r="Z540" i="3"/>
  <c r="Z510" i="5"/>
  <c r="W540" i="3"/>
  <c r="Q511" i="5"/>
  <c r="G511" i="5"/>
  <c r="AA512" i="5" s="1"/>
  <c r="K511" i="5"/>
  <c r="J511" i="5"/>
  <c r="T511" i="5"/>
  <c r="I511" i="5"/>
  <c r="L511" i="5"/>
  <c r="M511" i="5"/>
  <c r="H511" i="5"/>
  <c r="F511" i="5"/>
  <c r="N511" i="5"/>
  <c r="O511" i="5"/>
  <c r="C511" i="5"/>
  <c r="R511" i="5"/>
  <c r="P511" i="5"/>
  <c r="E511" i="5"/>
  <c r="D511" i="5"/>
  <c r="X510" i="5"/>
  <c r="O541" i="3"/>
  <c r="E541" i="3"/>
  <c r="N541" i="3"/>
  <c r="D541" i="3"/>
  <c r="P541" i="3"/>
  <c r="F541" i="3"/>
  <c r="I541" i="3"/>
  <c r="H541" i="3"/>
  <c r="T541" i="3"/>
  <c r="G541" i="3"/>
  <c r="AA542" i="3" s="1"/>
  <c r="J541" i="3"/>
  <c r="R541" i="3"/>
  <c r="Q541" i="3"/>
  <c r="L541" i="3"/>
  <c r="V541" i="3" s="1"/>
  <c r="K541" i="3"/>
  <c r="C541" i="3"/>
  <c r="V510" i="5"/>
  <c r="V540" i="3"/>
  <c r="X511" i="5" l="1"/>
  <c r="Z541" i="3"/>
  <c r="X541" i="3"/>
  <c r="W541" i="3"/>
  <c r="Z511" i="5"/>
  <c r="W511" i="5"/>
  <c r="R542" i="3"/>
  <c r="H542" i="3"/>
  <c r="Q542" i="3"/>
  <c r="G542" i="3"/>
  <c r="AA543" i="3" s="1"/>
  <c r="I542" i="3"/>
  <c r="J542" i="3"/>
  <c r="F542" i="3"/>
  <c r="E542" i="3"/>
  <c r="K542" i="3"/>
  <c r="T542" i="3"/>
  <c r="P542" i="3"/>
  <c r="O542" i="3"/>
  <c r="N542" i="3"/>
  <c r="D542" i="3"/>
  <c r="C542" i="3"/>
  <c r="L542" i="3"/>
  <c r="V511" i="5"/>
  <c r="U511" i="5"/>
  <c r="U541" i="3"/>
  <c r="T512" i="5"/>
  <c r="J512" i="5"/>
  <c r="Q512" i="5"/>
  <c r="F512" i="5"/>
  <c r="P512" i="5"/>
  <c r="E512" i="5"/>
  <c r="O512" i="5"/>
  <c r="D512" i="5"/>
  <c r="R512" i="5"/>
  <c r="G512" i="5"/>
  <c r="AA513" i="5" s="1"/>
  <c r="C512" i="5"/>
  <c r="L512" i="5"/>
  <c r="V512" i="5" s="1"/>
  <c r="K512" i="5"/>
  <c r="W512" i="5" s="1"/>
  <c r="H512" i="5"/>
  <c r="N512" i="5"/>
  <c r="M512" i="5"/>
  <c r="I512" i="5"/>
  <c r="W542" i="3" l="1"/>
  <c r="M513" i="5"/>
  <c r="C513" i="5"/>
  <c r="L513" i="5"/>
  <c r="K513" i="5"/>
  <c r="J513" i="5"/>
  <c r="N513" i="5"/>
  <c r="H513" i="5"/>
  <c r="G513" i="5"/>
  <c r="AA514" i="5" s="1"/>
  <c r="F513" i="5"/>
  <c r="I513" i="5"/>
  <c r="T513" i="5"/>
  <c r="P513" i="5"/>
  <c r="O513" i="5"/>
  <c r="D513" i="5"/>
  <c r="Q513" i="5"/>
  <c r="E513" i="5"/>
  <c r="R513" i="5"/>
  <c r="X512" i="5"/>
  <c r="K543" i="3"/>
  <c r="W543" i="3" s="1"/>
  <c r="T543" i="3"/>
  <c r="J543" i="3"/>
  <c r="L543" i="3"/>
  <c r="G543" i="3"/>
  <c r="AA544" i="3" s="1"/>
  <c r="F543" i="3"/>
  <c r="R543" i="3"/>
  <c r="E543" i="3"/>
  <c r="H543" i="3"/>
  <c r="O543" i="3"/>
  <c r="N543" i="3"/>
  <c r="I543" i="3"/>
  <c r="D543" i="3"/>
  <c r="P543" i="3"/>
  <c r="C543" i="3"/>
  <c r="Q543" i="3"/>
  <c r="X542" i="3"/>
  <c r="Z512" i="5"/>
  <c r="U512" i="5"/>
  <c r="V542" i="3"/>
  <c r="Z542" i="3"/>
  <c r="U542" i="3"/>
  <c r="W513" i="5" l="1"/>
  <c r="U513" i="5"/>
  <c r="U543" i="3"/>
  <c r="N544" i="3"/>
  <c r="D544" i="3"/>
  <c r="C544" i="3"/>
  <c r="O544" i="3"/>
  <c r="E544" i="3"/>
  <c r="I544" i="3"/>
  <c r="U544" i="3" s="1"/>
  <c r="T544" i="3"/>
  <c r="H544" i="3"/>
  <c r="G544" i="3"/>
  <c r="AA545" i="3" s="1"/>
  <c r="J544" i="3"/>
  <c r="L544" i="3"/>
  <c r="K544" i="3"/>
  <c r="W544" i="3" s="1"/>
  <c r="F544" i="3"/>
  <c r="R544" i="3"/>
  <c r="Q544" i="3"/>
  <c r="P544" i="3"/>
  <c r="X513" i="5"/>
  <c r="Z543" i="3"/>
  <c r="V513" i="5"/>
  <c r="V543" i="3"/>
  <c r="Z513" i="5"/>
  <c r="X543" i="3"/>
  <c r="P514" i="5"/>
  <c r="F514" i="5"/>
  <c r="H514" i="5"/>
  <c r="R514" i="5"/>
  <c r="G514" i="5"/>
  <c r="AA515" i="5" s="1"/>
  <c r="Q514" i="5"/>
  <c r="E514" i="5"/>
  <c r="T514" i="5"/>
  <c r="I514" i="5"/>
  <c r="O514" i="5"/>
  <c r="N514" i="5"/>
  <c r="M514" i="5"/>
  <c r="J514" i="5"/>
  <c r="D514" i="5"/>
  <c r="L514" i="5"/>
  <c r="K514" i="5"/>
  <c r="C514" i="5"/>
  <c r="W514" i="5" l="1"/>
  <c r="V514" i="5"/>
  <c r="Q545" i="3"/>
  <c r="G545" i="3"/>
  <c r="P545" i="3"/>
  <c r="F545" i="3"/>
  <c r="R545" i="3"/>
  <c r="H545" i="3"/>
  <c r="I545" i="3"/>
  <c r="E545" i="3"/>
  <c r="T545" i="3"/>
  <c r="D545" i="3"/>
  <c r="J545" i="3"/>
  <c r="C545" i="3"/>
  <c r="O545" i="3"/>
  <c r="N545" i="3"/>
  <c r="K545" i="3"/>
  <c r="L545" i="3"/>
  <c r="X544" i="3"/>
  <c r="V544" i="3"/>
  <c r="X514" i="5"/>
  <c r="Z544" i="3"/>
  <c r="U514" i="5"/>
  <c r="I515" i="5"/>
  <c r="R515" i="5"/>
  <c r="H515" i="5"/>
  <c r="O515" i="5"/>
  <c r="C515" i="5"/>
  <c r="N515" i="5"/>
  <c r="M515" i="5"/>
  <c r="P515" i="5"/>
  <c r="D515" i="5"/>
  <c r="G515" i="5"/>
  <c r="AA516" i="5" s="1"/>
  <c r="F515" i="5"/>
  <c r="E515" i="5"/>
  <c r="J515" i="5"/>
  <c r="T515" i="5"/>
  <c r="L515" i="5"/>
  <c r="V515" i="5" s="1"/>
  <c r="K515" i="5"/>
  <c r="Q515" i="5"/>
  <c r="Z514" i="5"/>
  <c r="L516" i="5" l="1"/>
  <c r="K516" i="5"/>
  <c r="M516" i="5"/>
  <c r="J516" i="5"/>
  <c r="I516" i="5"/>
  <c r="N516" i="5"/>
  <c r="Q516" i="5"/>
  <c r="P516" i="5"/>
  <c r="O516" i="5"/>
  <c r="R516" i="5"/>
  <c r="T516" i="5"/>
  <c r="H516" i="5"/>
  <c r="F516" i="5"/>
  <c r="E516" i="5"/>
  <c r="C516" i="5"/>
  <c r="G516" i="5"/>
  <c r="AA517" i="5" s="1"/>
  <c r="D516" i="5"/>
  <c r="X545" i="3"/>
  <c r="X515" i="5"/>
  <c r="W515" i="5"/>
  <c r="U545" i="3"/>
  <c r="Z515" i="5"/>
  <c r="W545" i="3"/>
  <c r="U515" i="5"/>
  <c r="Z545" i="3"/>
  <c r="V545" i="3"/>
  <c r="T546" i="3"/>
  <c r="J546" i="3"/>
  <c r="I546" i="3"/>
  <c r="K546" i="3"/>
  <c r="G546" i="3"/>
  <c r="AA547" i="3" s="1"/>
  <c r="F546" i="3"/>
  <c r="R546" i="3"/>
  <c r="E546" i="3"/>
  <c r="AA546" i="3" s="1"/>
  <c r="H546" i="3"/>
  <c r="Q546" i="3"/>
  <c r="P546" i="3"/>
  <c r="O546" i="3"/>
  <c r="N546" i="3"/>
  <c r="L546" i="3"/>
  <c r="V546" i="3" s="1"/>
  <c r="C546" i="3"/>
  <c r="D546" i="3"/>
  <c r="W546" i="3" l="1"/>
  <c r="U546" i="3"/>
  <c r="C547" i="3"/>
  <c r="L547" i="3"/>
  <c r="N547" i="3"/>
  <c r="D547" i="3"/>
  <c r="I547" i="3"/>
  <c r="T547" i="3"/>
  <c r="H547" i="3"/>
  <c r="G547" i="3"/>
  <c r="AA548" i="3" s="1"/>
  <c r="J547" i="3"/>
  <c r="R547" i="3"/>
  <c r="Q547" i="3"/>
  <c r="P547" i="3"/>
  <c r="O547" i="3"/>
  <c r="K547" i="3"/>
  <c r="W547" i="3" s="1"/>
  <c r="F547" i="3"/>
  <c r="E547" i="3"/>
  <c r="X516" i="5"/>
  <c r="Z516" i="5"/>
  <c r="X546" i="3"/>
  <c r="W516" i="5"/>
  <c r="U516" i="5"/>
  <c r="Z546" i="3"/>
  <c r="O517" i="5"/>
  <c r="E517" i="5"/>
  <c r="N517" i="5"/>
  <c r="D517" i="5"/>
  <c r="J517" i="5"/>
  <c r="I517" i="5"/>
  <c r="U517" i="5" s="1"/>
  <c r="T517" i="5"/>
  <c r="H517" i="5"/>
  <c r="K517" i="5"/>
  <c r="G517" i="5"/>
  <c r="AA518" i="5" s="1"/>
  <c r="F517" i="5"/>
  <c r="C517" i="5"/>
  <c r="L517" i="5"/>
  <c r="R517" i="5"/>
  <c r="P517" i="5"/>
  <c r="M517" i="5"/>
  <c r="Q517" i="5"/>
  <c r="V516" i="5"/>
  <c r="R518" i="5" l="1"/>
  <c r="H518" i="5"/>
  <c r="Q518" i="5"/>
  <c r="G518" i="5"/>
  <c r="AA519" i="5" s="1"/>
  <c r="T518" i="5"/>
  <c r="F518" i="5"/>
  <c r="E518" i="5"/>
  <c r="P518" i="5"/>
  <c r="D518" i="5"/>
  <c r="I518" i="5"/>
  <c r="O518" i="5"/>
  <c r="N518" i="5"/>
  <c r="M518" i="5"/>
  <c r="L518" i="5"/>
  <c r="K518" i="5"/>
  <c r="C518" i="5"/>
  <c r="J518" i="5"/>
  <c r="V517" i="5"/>
  <c r="X547" i="3"/>
  <c r="X517" i="5"/>
  <c r="Z517" i="5"/>
  <c r="V547" i="3"/>
  <c r="P548" i="3"/>
  <c r="F548" i="3"/>
  <c r="O548" i="3"/>
  <c r="E548" i="3"/>
  <c r="Q548" i="3"/>
  <c r="G548" i="3"/>
  <c r="AA549" i="3" s="1"/>
  <c r="J548" i="3"/>
  <c r="I548" i="3"/>
  <c r="U548" i="3" s="1"/>
  <c r="H548" i="3"/>
  <c r="K548" i="3"/>
  <c r="N548" i="3"/>
  <c r="L548" i="3"/>
  <c r="D548" i="3"/>
  <c r="C548" i="3"/>
  <c r="T548" i="3"/>
  <c r="R548" i="3"/>
  <c r="U547" i="3"/>
  <c r="W517" i="5"/>
  <c r="Z547" i="3"/>
  <c r="I549" i="3" l="1"/>
  <c r="R549" i="3"/>
  <c r="H549" i="3"/>
  <c r="Q549" i="3"/>
  <c r="G549" i="3"/>
  <c r="AA550" i="3" s="1"/>
  <c r="T549" i="3"/>
  <c r="J549" i="3"/>
  <c r="L549" i="3"/>
  <c r="V549" i="3" s="1"/>
  <c r="K549" i="3"/>
  <c r="F549" i="3"/>
  <c r="E549" i="3"/>
  <c r="D549" i="3"/>
  <c r="C549" i="3"/>
  <c r="P549" i="3"/>
  <c r="O549" i="3"/>
  <c r="N549" i="3"/>
  <c r="U518" i="5"/>
  <c r="Z548" i="3"/>
  <c r="Z518" i="5"/>
  <c r="W518" i="5"/>
  <c r="V548" i="3"/>
  <c r="X548" i="3"/>
  <c r="V518" i="5"/>
  <c r="K519" i="5"/>
  <c r="T519" i="5"/>
  <c r="J519" i="5"/>
  <c r="P519" i="5"/>
  <c r="D519" i="5"/>
  <c r="O519" i="5"/>
  <c r="C519" i="5"/>
  <c r="N519" i="5"/>
  <c r="Q519" i="5"/>
  <c r="E519" i="5"/>
  <c r="L519" i="5"/>
  <c r="I519" i="5"/>
  <c r="H519" i="5"/>
  <c r="M519" i="5"/>
  <c r="R519" i="5"/>
  <c r="F519" i="5"/>
  <c r="G519" i="5"/>
  <c r="AA520" i="5" s="1"/>
  <c r="W548" i="3"/>
  <c r="X518" i="5"/>
  <c r="U519" i="5" l="1"/>
  <c r="Z519" i="5"/>
  <c r="X549" i="3"/>
  <c r="X519" i="5"/>
  <c r="W549" i="3"/>
  <c r="N520" i="5"/>
  <c r="D520" i="5"/>
  <c r="M520" i="5"/>
  <c r="C520" i="5"/>
  <c r="O520" i="5"/>
  <c r="L520" i="5"/>
  <c r="K520" i="5"/>
  <c r="P520" i="5"/>
  <c r="E520" i="5"/>
  <c r="T520" i="5"/>
  <c r="F520" i="5"/>
  <c r="R520" i="5"/>
  <c r="Q520" i="5"/>
  <c r="J520" i="5"/>
  <c r="I520" i="5"/>
  <c r="G520" i="5"/>
  <c r="AA521" i="5" s="1"/>
  <c r="H520" i="5"/>
  <c r="Z549" i="3"/>
  <c r="L550" i="3"/>
  <c r="K550" i="3"/>
  <c r="T550" i="3"/>
  <c r="J550" i="3"/>
  <c r="C550" i="3"/>
  <c r="O550" i="3"/>
  <c r="N550" i="3"/>
  <c r="P550" i="3"/>
  <c r="E550" i="3"/>
  <c r="D550" i="3"/>
  <c r="R550" i="3"/>
  <c r="Q550" i="3"/>
  <c r="I550" i="3"/>
  <c r="H550" i="3"/>
  <c r="G550" i="3"/>
  <c r="AA551" i="3" s="1"/>
  <c r="F550" i="3"/>
  <c r="V519" i="5"/>
  <c r="W519" i="5"/>
  <c r="U549" i="3"/>
  <c r="W550" i="3" l="1"/>
  <c r="U520" i="5"/>
  <c r="X550" i="3"/>
  <c r="Z520" i="5"/>
  <c r="Z550" i="3"/>
  <c r="U550" i="3"/>
  <c r="O551" i="3"/>
  <c r="E551" i="3"/>
  <c r="N551" i="3"/>
  <c r="D551" i="3"/>
  <c r="C551" i="3"/>
  <c r="P551" i="3"/>
  <c r="F551" i="3"/>
  <c r="R551" i="3"/>
  <c r="Q551" i="3"/>
  <c r="T551" i="3"/>
  <c r="G551" i="3"/>
  <c r="AA552" i="3" s="1"/>
  <c r="L551" i="3"/>
  <c r="V551" i="3" s="1"/>
  <c r="K551" i="3"/>
  <c r="J551" i="3"/>
  <c r="I551" i="3"/>
  <c r="H551" i="3"/>
  <c r="X520" i="5"/>
  <c r="Q521" i="5"/>
  <c r="G521" i="5"/>
  <c r="AA522" i="5" s="1"/>
  <c r="P521" i="5"/>
  <c r="F521" i="5"/>
  <c r="L521" i="5"/>
  <c r="V521" i="5" s="1"/>
  <c r="K521" i="5"/>
  <c r="J521" i="5"/>
  <c r="M521" i="5"/>
  <c r="N521" i="5"/>
  <c r="I521" i="5"/>
  <c r="H521" i="5"/>
  <c r="O521" i="5"/>
  <c r="C521" i="5"/>
  <c r="T521" i="5"/>
  <c r="R521" i="5"/>
  <c r="D521" i="5"/>
  <c r="E521" i="5"/>
  <c r="V550" i="3"/>
  <c r="W520" i="5"/>
  <c r="V520" i="5"/>
  <c r="X521" i="5" l="1"/>
  <c r="W521" i="5"/>
  <c r="W551" i="3"/>
  <c r="Z521" i="5"/>
  <c r="T522" i="5"/>
  <c r="J522" i="5"/>
  <c r="I522" i="5"/>
  <c r="K522" i="5"/>
  <c r="W522" i="5" s="1"/>
  <c r="H522" i="5"/>
  <c r="G522" i="5"/>
  <c r="AA523" i="5" s="1"/>
  <c r="L522" i="5"/>
  <c r="D522" i="5"/>
  <c r="C522" i="5"/>
  <c r="R522" i="5"/>
  <c r="E522" i="5"/>
  <c r="M522" i="5"/>
  <c r="F522" i="5"/>
  <c r="Q522" i="5"/>
  <c r="P522" i="5"/>
  <c r="N522" i="5"/>
  <c r="O522" i="5"/>
  <c r="R552" i="3"/>
  <c r="H552" i="3"/>
  <c r="Q552" i="3"/>
  <c r="G552" i="3"/>
  <c r="AA553" i="3" s="1"/>
  <c r="P552" i="3"/>
  <c r="F552" i="3"/>
  <c r="I552" i="3"/>
  <c r="E552" i="3"/>
  <c r="D552" i="3"/>
  <c r="C552" i="3"/>
  <c r="J552" i="3"/>
  <c r="T552" i="3"/>
  <c r="O552" i="3"/>
  <c r="N552" i="3"/>
  <c r="L552" i="3"/>
  <c r="K552" i="3"/>
  <c r="W552" i="3" s="1"/>
  <c r="U521" i="5"/>
  <c r="X551" i="3"/>
  <c r="U551" i="3"/>
  <c r="Z551" i="3"/>
  <c r="U552" i="3" l="1"/>
  <c r="U522" i="5"/>
  <c r="X552" i="3"/>
  <c r="V552" i="3"/>
  <c r="Z522" i="5"/>
  <c r="K553" i="3"/>
  <c r="T553" i="3"/>
  <c r="J553" i="3"/>
  <c r="I553" i="3"/>
  <c r="L553" i="3"/>
  <c r="H553" i="3"/>
  <c r="G553" i="3"/>
  <c r="AA554" i="3" s="1"/>
  <c r="F553" i="3"/>
  <c r="P553" i="3"/>
  <c r="O553" i="3"/>
  <c r="N553" i="3"/>
  <c r="E553" i="3"/>
  <c r="D553" i="3"/>
  <c r="C553" i="3"/>
  <c r="R553" i="3"/>
  <c r="Q553" i="3"/>
  <c r="X522" i="5"/>
  <c r="M523" i="5"/>
  <c r="C523" i="5"/>
  <c r="L523" i="5"/>
  <c r="T523" i="5"/>
  <c r="H523" i="5"/>
  <c r="G523" i="5"/>
  <c r="AA524" i="5" s="1"/>
  <c r="R523" i="5"/>
  <c r="F523" i="5"/>
  <c r="I523" i="5"/>
  <c r="Q523" i="5"/>
  <c r="P523" i="5"/>
  <c r="O523" i="5"/>
  <c r="K523" i="5"/>
  <c r="J523" i="5"/>
  <c r="E523" i="5"/>
  <c r="D523" i="5"/>
  <c r="N523" i="5"/>
  <c r="Z552" i="3"/>
  <c r="V522" i="5"/>
  <c r="U523" i="5" l="1"/>
  <c r="V553" i="3"/>
  <c r="U553" i="3"/>
  <c r="X523" i="5"/>
  <c r="Z553" i="3"/>
  <c r="P524" i="5"/>
  <c r="F524" i="5"/>
  <c r="O524" i="5"/>
  <c r="E524" i="5"/>
  <c r="G524" i="5"/>
  <c r="AA525" i="5" s="1"/>
  <c r="R524" i="5"/>
  <c r="D524" i="5"/>
  <c r="Q524" i="5"/>
  <c r="C524" i="5"/>
  <c r="T524" i="5"/>
  <c r="H524" i="5"/>
  <c r="L524" i="5"/>
  <c r="K524" i="5"/>
  <c r="J524" i="5"/>
  <c r="M524" i="5"/>
  <c r="N524" i="5"/>
  <c r="I524" i="5"/>
  <c r="V523" i="5"/>
  <c r="N554" i="3"/>
  <c r="D554" i="3"/>
  <c r="C554" i="3"/>
  <c r="L554" i="3"/>
  <c r="V554" i="3" s="1"/>
  <c r="O554" i="3"/>
  <c r="E554" i="3"/>
  <c r="P554" i="3"/>
  <c r="K554" i="3"/>
  <c r="Q554" i="3"/>
  <c r="J554" i="3"/>
  <c r="I554" i="3"/>
  <c r="H554" i="3"/>
  <c r="G554" i="3"/>
  <c r="AA555" i="3" s="1"/>
  <c r="F554" i="3"/>
  <c r="T554" i="3"/>
  <c r="R554" i="3"/>
  <c r="W523" i="5"/>
  <c r="Z523" i="5"/>
  <c r="W553" i="3"/>
  <c r="X553" i="3"/>
  <c r="X524" i="5" l="1"/>
  <c r="U524" i="5"/>
  <c r="Q555" i="3"/>
  <c r="G555" i="3"/>
  <c r="AA556" i="3" s="1"/>
  <c r="P555" i="3"/>
  <c r="F555" i="3"/>
  <c r="O555" i="3"/>
  <c r="E555" i="3"/>
  <c r="R555" i="3"/>
  <c r="H555" i="3"/>
  <c r="T555" i="3"/>
  <c r="N555" i="3"/>
  <c r="C555" i="3"/>
  <c r="I555" i="3"/>
  <c r="D555" i="3"/>
  <c r="L555" i="3"/>
  <c r="V555" i="3" s="1"/>
  <c r="K555" i="3"/>
  <c r="J555" i="3"/>
  <c r="W554" i="3"/>
  <c r="W524" i="5"/>
  <c r="Z554" i="3"/>
  <c r="I525" i="5"/>
  <c r="R525" i="5"/>
  <c r="H525" i="5"/>
  <c r="O525" i="5"/>
  <c r="C525" i="5"/>
  <c r="N525" i="5"/>
  <c r="M525" i="5"/>
  <c r="P525" i="5"/>
  <c r="D525" i="5"/>
  <c r="E525" i="5"/>
  <c r="F525" i="5"/>
  <c r="T525" i="5"/>
  <c r="Q525" i="5"/>
  <c r="L525" i="5"/>
  <c r="K525" i="5"/>
  <c r="J525" i="5"/>
  <c r="G525" i="5"/>
  <c r="AA526" i="5" s="1"/>
  <c r="X554" i="3"/>
  <c r="V524" i="5"/>
  <c r="U554" i="3"/>
  <c r="Z524" i="5"/>
  <c r="V525" i="5" l="1"/>
  <c r="W525" i="5"/>
  <c r="T556" i="3"/>
  <c r="J556" i="3"/>
  <c r="I556" i="3"/>
  <c r="R556" i="3"/>
  <c r="H556" i="3"/>
  <c r="K556" i="3"/>
  <c r="E556" i="3"/>
  <c r="D556" i="3"/>
  <c r="Q556" i="3"/>
  <c r="C556" i="3"/>
  <c r="F556" i="3"/>
  <c r="P556" i="3"/>
  <c r="O556" i="3"/>
  <c r="N556" i="3"/>
  <c r="L556" i="3"/>
  <c r="G556" i="3"/>
  <c r="AA557" i="3" s="1"/>
  <c r="Z525" i="5"/>
  <c r="X555" i="3"/>
  <c r="U555" i="3"/>
  <c r="W555" i="3"/>
  <c r="Z555" i="3"/>
  <c r="L526" i="5"/>
  <c r="K526" i="5"/>
  <c r="M526" i="5"/>
  <c r="J526" i="5"/>
  <c r="I526" i="5"/>
  <c r="N526" i="5"/>
  <c r="O526" i="5"/>
  <c r="H526" i="5"/>
  <c r="G526" i="5"/>
  <c r="AA527" i="5" s="1"/>
  <c r="P526" i="5"/>
  <c r="T526" i="5"/>
  <c r="R526" i="5"/>
  <c r="Q526" i="5"/>
  <c r="F526" i="5"/>
  <c r="E526" i="5"/>
  <c r="D526" i="5"/>
  <c r="C526" i="5"/>
  <c r="X525" i="5"/>
  <c r="U525" i="5"/>
  <c r="W556" i="3" l="1"/>
  <c r="V556" i="3"/>
  <c r="Z526" i="5"/>
  <c r="X526" i="5"/>
  <c r="U556" i="3"/>
  <c r="V526" i="5"/>
  <c r="W526" i="5"/>
  <c r="O527" i="5"/>
  <c r="E527" i="5"/>
  <c r="N527" i="5"/>
  <c r="D527" i="5"/>
  <c r="J527" i="5"/>
  <c r="I527" i="5"/>
  <c r="T527" i="5"/>
  <c r="H527" i="5"/>
  <c r="K527" i="5"/>
  <c r="C527" i="5"/>
  <c r="F527" i="5"/>
  <c r="R527" i="5"/>
  <c r="Q527" i="5"/>
  <c r="P527" i="5"/>
  <c r="M527" i="5"/>
  <c r="L527" i="5"/>
  <c r="G527" i="5"/>
  <c r="AA528" i="5" s="1"/>
  <c r="X556" i="3"/>
  <c r="C557" i="3"/>
  <c r="L557" i="3"/>
  <c r="K557" i="3"/>
  <c r="N557" i="3"/>
  <c r="D557" i="3"/>
  <c r="I557" i="3"/>
  <c r="H557" i="3"/>
  <c r="T557" i="3"/>
  <c r="G557" i="3"/>
  <c r="AA558" i="3" s="1"/>
  <c r="J557" i="3"/>
  <c r="R557" i="3"/>
  <c r="Q557" i="3"/>
  <c r="P557" i="3"/>
  <c r="O557" i="3"/>
  <c r="F557" i="3"/>
  <c r="E557" i="3"/>
  <c r="U526" i="5"/>
  <c r="Z556" i="3"/>
  <c r="X557" i="3" l="1"/>
  <c r="W527" i="5"/>
  <c r="U557" i="3"/>
  <c r="W557" i="3"/>
  <c r="Z527" i="5"/>
  <c r="X527" i="5"/>
  <c r="V557" i="3"/>
  <c r="Z557" i="3"/>
  <c r="R528" i="5"/>
  <c r="H528" i="5"/>
  <c r="Q528" i="5"/>
  <c r="G528" i="5"/>
  <c r="AA529" i="5" s="1"/>
  <c r="T528" i="5"/>
  <c r="F528" i="5"/>
  <c r="E528" i="5"/>
  <c r="P528" i="5"/>
  <c r="D528" i="5"/>
  <c r="I528" i="5"/>
  <c r="O528" i="5"/>
  <c r="N528" i="5"/>
  <c r="M528" i="5"/>
  <c r="L528" i="5"/>
  <c r="K528" i="5"/>
  <c r="J528" i="5"/>
  <c r="C528" i="5"/>
  <c r="P558" i="3"/>
  <c r="F558" i="3"/>
  <c r="O558" i="3"/>
  <c r="E558" i="3"/>
  <c r="N558" i="3"/>
  <c r="D558" i="3"/>
  <c r="Q558" i="3"/>
  <c r="G558" i="3"/>
  <c r="AA559" i="3" s="1"/>
  <c r="L558" i="3"/>
  <c r="K558" i="3"/>
  <c r="R558" i="3"/>
  <c r="T558" i="3"/>
  <c r="J558" i="3"/>
  <c r="I558" i="3"/>
  <c r="H558" i="3"/>
  <c r="C558" i="3"/>
  <c r="V527" i="5"/>
  <c r="U527" i="5"/>
  <c r="V528" i="5" l="1"/>
  <c r="Z558" i="3"/>
  <c r="U558" i="3"/>
  <c r="W558" i="3"/>
  <c r="U528" i="5"/>
  <c r="Z528" i="5"/>
  <c r="V558" i="3"/>
  <c r="X528" i="5"/>
  <c r="I559" i="3"/>
  <c r="R559" i="3"/>
  <c r="H559" i="3"/>
  <c r="Q559" i="3"/>
  <c r="G559" i="3"/>
  <c r="AA560" i="3" s="1"/>
  <c r="T559" i="3"/>
  <c r="J559" i="3"/>
  <c r="C559" i="3"/>
  <c r="P559" i="3"/>
  <c r="O559" i="3"/>
  <c r="D559" i="3"/>
  <c r="N559" i="3"/>
  <c r="L559" i="3"/>
  <c r="K559" i="3"/>
  <c r="F559" i="3"/>
  <c r="E559" i="3"/>
  <c r="X558" i="3"/>
  <c r="W528" i="5"/>
  <c r="K529" i="5"/>
  <c r="T529" i="5"/>
  <c r="J529" i="5"/>
  <c r="P529" i="5"/>
  <c r="D529" i="5"/>
  <c r="O529" i="5"/>
  <c r="C529" i="5"/>
  <c r="N529" i="5"/>
  <c r="Q529" i="5"/>
  <c r="E529" i="5"/>
  <c r="H529" i="5"/>
  <c r="G529" i="5"/>
  <c r="AA530" i="5" s="1"/>
  <c r="F529" i="5"/>
  <c r="I529" i="5"/>
  <c r="R529" i="5"/>
  <c r="M529" i="5"/>
  <c r="L529" i="5"/>
  <c r="V559" i="3" l="1"/>
  <c r="X529" i="5"/>
  <c r="U559" i="3"/>
  <c r="U529" i="5"/>
  <c r="N530" i="5"/>
  <c r="D530" i="5"/>
  <c r="M530" i="5"/>
  <c r="C530" i="5"/>
  <c r="O530" i="5"/>
  <c r="L530" i="5"/>
  <c r="K530" i="5"/>
  <c r="P530" i="5"/>
  <c r="R530" i="5"/>
  <c r="Q530" i="5"/>
  <c r="T530" i="5"/>
  <c r="J530" i="5"/>
  <c r="I530" i="5"/>
  <c r="H530" i="5"/>
  <c r="G530" i="5"/>
  <c r="AA531" i="5" s="1"/>
  <c r="F530" i="5"/>
  <c r="E530" i="5"/>
  <c r="L560" i="3"/>
  <c r="K560" i="3"/>
  <c r="T560" i="3"/>
  <c r="J560" i="3"/>
  <c r="C560" i="3"/>
  <c r="G560" i="3"/>
  <c r="AA561" i="3" s="1"/>
  <c r="F560" i="3"/>
  <c r="R560" i="3"/>
  <c r="E560" i="3"/>
  <c r="H560" i="3"/>
  <c r="P560" i="3"/>
  <c r="O560" i="3"/>
  <c r="N560" i="3"/>
  <c r="I560" i="3"/>
  <c r="D560" i="3"/>
  <c r="Q560" i="3"/>
  <c r="W529" i="5"/>
  <c r="Z559" i="3"/>
  <c r="V529" i="5"/>
  <c r="X559" i="3"/>
  <c r="Z529" i="5"/>
  <c r="W559" i="3"/>
  <c r="U560" i="3" l="1"/>
  <c r="W530" i="5"/>
  <c r="X560" i="3"/>
  <c r="Z530" i="5"/>
  <c r="U530" i="5"/>
  <c r="Z560" i="3"/>
  <c r="X530" i="5"/>
  <c r="V530" i="5"/>
  <c r="Q531" i="5"/>
  <c r="G531" i="5"/>
  <c r="AA532" i="5" s="1"/>
  <c r="P531" i="5"/>
  <c r="F531" i="5"/>
  <c r="L531" i="5"/>
  <c r="K531" i="5"/>
  <c r="J531" i="5"/>
  <c r="M531" i="5"/>
  <c r="H531" i="5"/>
  <c r="E531" i="5"/>
  <c r="D531" i="5"/>
  <c r="I531" i="5"/>
  <c r="T531" i="5"/>
  <c r="R531" i="5"/>
  <c r="O531" i="5"/>
  <c r="N531" i="5"/>
  <c r="C531" i="5"/>
  <c r="O561" i="3"/>
  <c r="E561" i="3"/>
  <c r="N561" i="3"/>
  <c r="D561" i="3"/>
  <c r="C561" i="3"/>
  <c r="P561" i="3"/>
  <c r="F561" i="3"/>
  <c r="K561" i="3"/>
  <c r="J561" i="3"/>
  <c r="I561" i="3"/>
  <c r="L561" i="3"/>
  <c r="Q561" i="3"/>
  <c r="H561" i="3"/>
  <c r="G561" i="3"/>
  <c r="AA562" i="3" s="1"/>
  <c r="T561" i="3"/>
  <c r="R561" i="3"/>
  <c r="W560" i="3"/>
  <c r="V560" i="3"/>
  <c r="V561" i="3" l="1"/>
  <c r="U561" i="3"/>
  <c r="Z561" i="3"/>
  <c r="U531" i="5"/>
  <c r="W561" i="3"/>
  <c r="V531" i="5"/>
  <c r="R562" i="3"/>
  <c r="H562" i="3"/>
  <c r="Q562" i="3"/>
  <c r="G562" i="3"/>
  <c r="AA563" i="3" s="1"/>
  <c r="P562" i="3"/>
  <c r="F562" i="3"/>
  <c r="I562" i="3"/>
  <c r="N562" i="3"/>
  <c r="L562" i="3"/>
  <c r="O562" i="3"/>
  <c r="E562" i="3"/>
  <c r="D562" i="3"/>
  <c r="C562" i="3"/>
  <c r="T562" i="3"/>
  <c r="K562" i="3"/>
  <c r="J562" i="3"/>
  <c r="Z531" i="5"/>
  <c r="X561" i="3"/>
  <c r="X531" i="5"/>
  <c r="W531" i="5"/>
  <c r="T532" i="5"/>
  <c r="J532" i="5"/>
  <c r="I532" i="5"/>
  <c r="K532" i="5"/>
  <c r="H532" i="5"/>
  <c r="G532" i="5"/>
  <c r="AA533" i="5" s="1"/>
  <c r="L532" i="5"/>
  <c r="R532" i="5"/>
  <c r="Q532" i="5"/>
  <c r="P532" i="5"/>
  <c r="C532" i="5"/>
  <c r="O532" i="5"/>
  <c r="N532" i="5"/>
  <c r="M532" i="5"/>
  <c r="F532" i="5"/>
  <c r="E532" i="5"/>
  <c r="D532" i="5"/>
  <c r="W532" i="5" l="1"/>
  <c r="W562" i="3"/>
  <c r="X562" i="3"/>
  <c r="X532" i="5"/>
  <c r="Z562" i="3"/>
  <c r="Z532" i="5"/>
  <c r="V562" i="3"/>
  <c r="K563" i="3"/>
  <c r="T563" i="3"/>
  <c r="J563" i="3"/>
  <c r="I563" i="3"/>
  <c r="L563" i="3"/>
  <c r="Q563" i="3"/>
  <c r="C563" i="3"/>
  <c r="P563" i="3"/>
  <c r="O563" i="3"/>
  <c r="R563" i="3"/>
  <c r="D563" i="3"/>
  <c r="N563" i="3"/>
  <c r="H563" i="3"/>
  <c r="G563" i="3"/>
  <c r="AA564" i="3" s="1"/>
  <c r="F563" i="3"/>
  <c r="E563" i="3"/>
  <c r="U532" i="5"/>
  <c r="M533" i="5"/>
  <c r="C533" i="5"/>
  <c r="L533" i="5"/>
  <c r="T533" i="5"/>
  <c r="H533" i="5"/>
  <c r="G533" i="5"/>
  <c r="AA534" i="5" s="1"/>
  <c r="R533" i="5"/>
  <c r="F533" i="5"/>
  <c r="I533" i="5"/>
  <c r="O533" i="5"/>
  <c r="N533" i="5"/>
  <c r="K533" i="5"/>
  <c r="P533" i="5"/>
  <c r="Q533" i="5"/>
  <c r="J533" i="5"/>
  <c r="E533" i="5"/>
  <c r="D533" i="5"/>
  <c r="V532" i="5"/>
  <c r="U562" i="3"/>
  <c r="X533" i="5" l="1"/>
  <c r="X563" i="3"/>
  <c r="V563" i="3"/>
  <c r="U563" i="3"/>
  <c r="P534" i="5"/>
  <c r="F534" i="5"/>
  <c r="O534" i="5"/>
  <c r="E534" i="5"/>
  <c r="G534" i="5"/>
  <c r="AA535" i="5" s="1"/>
  <c r="R534" i="5"/>
  <c r="D534" i="5"/>
  <c r="Q534" i="5"/>
  <c r="C534" i="5"/>
  <c r="T534" i="5"/>
  <c r="H534" i="5"/>
  <c r="J534" i="5"/>
  <c r="I534" i="5"/>
  <c r="K534" i="5"/>
  <c r="W534" i="5" s="1"/>
  <c r="N534" i="5"/>
  <c r="M534" i="5"/>
  <c r="L534" i="5"/>
  <c r="W563" i="3"/>
  <c r="V533" i="5"/>
  <c r="N564" i="3"/>
  <c r="D564" i="3"/>
  <c r="C564" i="3"/>
  <c r="L564" i="3"/>
  <c r="O564" i="3"/>
  <c r="E564" i="3"/>
  <c r="H564" i="3"/>
  <c r="T564" i="3"/>
  <c r="G564" i="3"/>
  <c r="AA565" i="3" s="1"/>
  <c r="F564" i="3"/>
  <c r="I564" i="3"/>
  <c r="R564" i="3"/>
  <c r="Q564" i="3"/>
  <c r="P564" i="3"/>
  <c r="K564" i="3"/>
  <c r="J564" i="3"/>
  <c r="W533" i="5"/>
  <c r="Z533" i="5"/>
  <c r="Z563" i="3"/>
  <c r="U533" i="5"/>
  <c r="U534" i="5" l="1"/>
  <c r="Q565" i="3"/>
  <c r="G565" i="3"/>
  <c r="AA566" i="3" s="1"/>
  <c r="P565" i="3"/>
  <c r="F565" i="3"/>
  <c r="O565" i="3"/>
  <c r="E565" i="3"/>
  <c r="R565" i="3"/>
  <c r="H565" i="3"/>
  <c r="K565" i="3"/>
  <c r="J565" i="3"/>
  <c r="I565" i="3"/>
  <c r="L565" i="3"/>
  <c r="T565" i="3"/>
  <c r="N565" i="3"/>
  <c r="D565" i="3"/>
  <c r="C565" i="3"/>
  <c r="V534" i="5"/>
  <c r="W564" i="3"/>
  <c r="V564" i="3"/>
  <c r="Z564" i="3"/>
  <c r="X534" i="5"/>
  <c r="U564" i="3"/>
  <c r="I535" i="5"/>
  <c r="R535" i="5"/>
  <c r="H535" i="5"/>
  <c r="O535" i="5"/>
  <c r="C535" i="5"/>
  <c r="N535" i="5"/>
  <c r="M535" i="5"/>
  <c r="P535" i="5"/>
  <c r="D535" i="5"/>
  <c r="T535" i="5"/>
  <c r="Q535" i="5"/>
  <c r="F535" i="5"/>
  <c r="E535" i="5"/>
  <c r="L535" i="5"/>
  <c r="K535" i="5"/>
  <c r="J535" i="5"/>
  <c r="G535" i="5"/>
  <c r="AA536" i="5" s="1"/>
  <c r="X564" i="3"/>
  <c r="Z534" i="5"/>
  <c r="V535" i="5" l="1"/>
  <c r="W565" i="3"/>
  <c r="X565" i="3"/>
  <c r="U535" i="5"/>
  <c r="T566" i="3"/>
  <c r="J566" i="3"/>
  <c r="I566" i="3"/>
  <c r="R566" i="3"/>
  <c r="H566" i="3"/>
  <c r="K566" i="3"/>
  <c r="N566" i="3"/>
  <c r="L566" i="3"/>
  <c r="O566" i="3"/>
  <c r="G566" i="3"/>
  <c r="AA567" i="3" s="1"/>
  <c r="F566" i="3"/>
  <c r="E566" i="3"/>
  <c r="D566" i="3"/>
  <c r="C566" i="3"/>
  <c r="Q566" i="3"/>
  <c r="P566" i="3"/>
  <c r="Z535" i="5"/>
  <c r="L536" i="5"/>
  <c r="K536" i="5"/>
  <c r="M536" i="5"/>
  <c r="J536" i="5"/>
  <c r="I536" i="5"/>
  <c r="N536" i="5"/>
  <c r="G536" i="5"/>
  <c r="AA537" i="5" s="1"/>
  <c r="F536" i="5"/>
  <c r="E536" i="5"/>
  <c r="H536" i="5"/>
  <c r="D536" i="5"/>
  <c r="C536" i="5"/>
  <c r="T536" i="5"/>
  <c r="R536" i="5"/>
  <c r="Q536" i="5"/>
  <c r="P536" i="5"/>
  <c r="O536" i="5"/>
  <c r="V565" i="3"/>
  <c r="W535" i="5"/>
  <c r="Z565" i="3"/>
  <c r="X535" i="5"/>
  <c r="U565" i="3"/>
  <c r="W566" i="3" l="1"/>
  <c r="Z566" i="3"/>
  <c r="U566" i="3"/>
  <c r="U536" i="5"/>
  <c r="C567" i="3"/>
  <c r="L567" i="3"/>
  <c r="K567" i="3"/>
  <c r="N567" i="3"/>
  <c r="D567" i="3"/>
  <c r="Q567" i="3"/>
  <c r="P567" i="3"/>
  <c r="O567" i="3"/>
  <c r="R567" i="3"/>
  <c r="E567" i="3"/>
  <c r="G567" i="3"/>
  <c r="AA568" i="3" s="1"/>
  <c r="F567" i="3"/>
  <c r="T567" i="3"/>
  <c r="J567" i="3"/>
  <c r="I567" i="3"/>
  <c r="H567" i="3"/>
  <c r="W536" i="5"/>
  <c r="X536" i="5"/>
  <c r="X566" i="3"/>
  <c r="O537" i="5"/>
  <c r="E537" i="5"/>
  <c r="N537" i="5"/>
  <c r="D537" i="5"/>
  <c r="J537" i="5"/>
  <c r="I537" i="5"/>
  <c r="T537" i="5"/>
  <c r="H537" i="5"/>
  <c r="K537" i="5"/>
  <c r="R537" i="5"/>
  <c r="Q537" i="5"/>
  <c r="C537" i="5"/>
  <c r="P537" i="5"/>
  <c r="M537" i="5"/>
  <c r="L537" i="5"/>
  <c r="V537" i="5" s="1"/>
  <c r="G537" i="5"/>
  <c r="AA538" i="5" s="1"/>
  <c r="F537" i="5"/>
  <c r="Z536" i="5"/>
  <c r="V536" i="5"/>
  <c r="V566" i="3"/>
  <c r="X537" i="5" l="1"/>
  <c r="R538" i="5"/>
  <c r="H538" i="5"/>
  <c r="Q538" i="5"/>
  <c r="G538" i="5"/>
  <c r="AA539" i="5" s="1"/>
  <c r="T538" i="5"/>
  <c r="F538" i="5"/>
  <c r="E538" i="5"/>
  <c r="P538" i="5"/>
  <c r="D538" i="5"/>
  <c r="I538" i="5"/>
  <c r="M538" i="5"/>
  <c r="L538" i="5"/>
  <c r="K538" i="5"/>
  <c r="N538" i="5"/>
  <c r="O538" i="5"/>
  <c r="J538" i="5"/>
  <c r="C538" i="5"/>
  <c r="U537" i="5"/>
  <c r="U567" i="3"/>
  <c r="P568" i="3"/>
  <c r="F568" i="3"/>
  <c r="O568" i="3"/>
  <c r="E568" i="3"/>
  <c r="N568" i="3"/>
  <c r="D568" i="3"/>
  <c r="Q568" i="3"/>
  <c r="G568" i="3"/>
  <c r="AA569" i="3" s="1"/>
  <c r="H568" i="3"/>
  <c r="C568" i="3"/>
  <c r="T568" i="3"/>
  <c r="I568" i="3"/>
  <c r="R568" i="3"/>
  <c r="L568" i="3"/>
  <c r="K568" i="3"/>
  <c r="J568" i="3"/>
  <c r="V567" i="3"/>
  <c r="Z567" i="3"/>
  <c r="X567" i="3"/>
  <c r="Z537" i="5"/>
  <c r="W567" i="3"/>
  <c r="W537" i="5"/>
  <c r="X538" i="5" l="1"/>
  <c r="I569" i="3"/>
  <c r="R569" i="3"/>
  <c r="H569" i="3"/>
  <c r="Q569" i="3"/>
  <c r="G569" i="3"/>
  <c r="AA570" i="3" s="1"/>
  <c r="T569" i="3"/>
  <c r="J569" i="3"/>
  <c r="L569" i="3"/>
  <c r="K569" i="3"/>
  <c r="F569" i="3"/>
  <c r="C569" i="3"/>
  <c r="P569" i="3"/>
  <c r="O569" i="3"/>
  <c r="N569" i="3"/>
  <c r="E569" i="3"/>
  <c r="D569" i="3"/>
  <c r="U538" i="5"/>
  <c r="Z568" i="3"/>
  <c r="Z538" i="5"/>
  <c r="V568" i="3"/>
  <c r="W538" i="5"/>
  <c r="W568" i="3"/>
  <c r="V538" i="5"/>
  <c r="K539" i="5"/>
  <c r="T539" i="5"/>
  <c r="J539" i="5"/>
  <c r="P539" i="5"/>
  <c r="D539" i="5"/>
  <c r="O539" i="5"/>
  <c r="C539" i="5"/>
  <c r="N539" i="5"/>
  <c r="Q539" i="5"/>
  <c r="E539" i="5"/>
  <c r="F539" i="5"/>
  <c r="G539" i="5"/>
  <c r="AA540" i="5" s="1"/>
  <c r="R539" i="5"/>
  <c r="M539" i="5"/>
  <c r="L539" i="5"/>
  <c r="I539" i="5"/>
  <c r="H539" i="5"/>
  <c r="U568" i="3"/>
  <c r="X568" i="3"/>
  <c r="V539" i="5" l="1"/>
  <c r="V569" i="3"/>
  <c r="Z539" i="5"/>
  <c r="X569" i="3"/>
  <c r="U539" i="5"/>
  <c r="W569" i="3"/>
  <c r="W539" i="5"/>
  <c r="N540" i="5"/>
  <c r="D540" i="5"/>
  <c r="M540" i="5"/>
  <c r="C540" i="5"/>
  <c r="O540" i="5"/>
  <c r="L540" i="5"/>
  <c r="K540" i="5"/>
  <c r="P540" i="5"/>
  <c r="Q540" i="5"/>
  <c r="J540" i="5"/>
  <c r="I540" i="5"/>
  <c r="H540" i="5"/>
  <c r="R540" i="5"/>
  <c r="E540" i="5"/>
  <c r="T540" i="5"/>
  <c r="G540" i="5"/>
  <c r="AA541" i="5" s="1"/>
  <c r="F540" i="5"/>
  <c r="L570" i="3"/>
  <c r="K570" i="3"/>
  <c r="T570" i="3"/>
  <c r="J570" i="3"/>
  <c r="C570" i="3"/>
  <c r="O570" i="3"/>
  <c r="N570" i="3"/>
  <c r="P570" i="3"/>
  <c r="R570" i="3"/>
  <c r="Q570" i="3"/>
  <c r="I570" i="3"/>
  <c r="H570" i="3"/>
  <c r="G570" i="3"/>
  <c r="AA571" i="3" s="1"/>
  <c r="F570" i="3"/>
  <c r="E570" i="3"/>
  <c r="D570" i="3"/>
  <c r="X539" i="5"/>
  <c r="Z569" i="3"/>
  <c r="U569" i="3"/>
  <c r="O571" i="3" l="1"/>
  <c r="E571" i="3"/>
  <c r="N571" i="3"/>
  <c r="D571" i="3"/>
  <c r="C571" i="3"/>
  <c r="P571" i="3"/>
  <c r="F571" i="3"/>
  <c r="R571" i="3"/>
  <c r="Q571" i="3"/>
  <c r="T571" i="3"/>
  <c r="G571" i="3"/>
  <c r="AA572" i="3" s="1"/>
  <c r="L571" i="3"/>
  <c r="K571" i="3"/>
  <c r="J571" i="3"/>
  <c r="I571" i="3"/>
  <c r="H571" i="3"/>
  <c r="Z570" i="3"/>
  <c r="Q541" i="5"/>
  <c r="G541" i="5"/>
  <c r="AA542" i="5" s="1"/>
  <c r="P541" i="5"/>
  <c r="F541" i="5"/>
  <c r="L541" i="5"/>
  <c r="K541" i="5"/>
  <c r="J541" i="5"/>
  <c r="M541" i="5"/>
  <c r="D541" i="5"/>
  <c r="C541" i="5"/>
  <c r="T541" i="5"/>
  <c r="E541" i="5"/>
  <c r="H541" i="5"/>
  <c r="R541" i="5"/>
  <c r="O541" i="5"/>
  <c r="N541" i="5"/>
  <c r="I541" i="5"/>
  <c r="Z540" i="5"/>
  <c r="X570" i="3"/>
  <c r="U540" i="5"/>
  <c r="W570" i="3"/>
  <c r="V570" i="3"/>
  <c r="U570" i="3"/>
  <c r="X540" i="5"/>
  <c r="W540" i="5"/>
  <c r="V540" i="5"/>
  <c r="X571" i="3" l="1"/>
  <c r="R572" i="3"/>
  <c r="H572" i="3"/>
  <c r="Q572" i="3"/>
  <c r="G572" i="3"/>
  <c r="AA573" i="3" s="1"/>
  <c r="P572" i="3"/>
  <c r="F572" i="3"/>
  <c r="I572" i="3"/>
  <c r="E572" i="3"/>
  <c r="D572" i="3"/>
  <c r="C572" i="3"/>
  <c r="J572" i="3"/>
  <c r="L572" i="3"/>
  <c r="K572" i="3"/>
  <c r="T572" i="3"/>
  <c r="O572" i="3"/>
  <c r="N572" i="3"/>
  <c r="T542" i="5"/>
  <c r="J542" i="5"/>
  <c r="I542" i="5"/>
  <c r="K542" i="5"/>
  <c r="H542" i="5"/>
  <c r="G542" i="5"/>
  <c r="AA543" i="5" s="1"/>
  <c r="L542" i="5"/>
  <c r="P542" i="5"/>
  <c r="O542" i="5"/>
  <c r="N542" i="5"/>
  <c r="M542" i="5"/>
  <c r="Q542" i="5"/>
  <c r="E542" i="5"/>
  <c r="D542" i="5"/>
  <c r="C542" i="5"/>
  <c r="R542" i="5"/>
  <c r="F542" i="5"/>
  <c r="U571" i="3"/>
  <c r="U541" i="5"/>
  <c r="W571" i="3"/>
  <c r="V541" i="5"/>
  <c r="V571" i="3"/>
  <c r="Z541" i="5"/>
  <c r="Z571" i="3"/>
  <c r="W541" i="5"/>
  <c r="X541" i="5"/>
  <c r="Z572" i="3" l="1"/>
  <c r="M543" i="5"/>
  <c r="C543" i="5"/>
  <c r="L543" i="5"/>
  <c r="T543" i="5"/>
  <c r="H543" i="5"/>
  <c r="G543" i="5"/>
  <c r="AA544" i="5" s="1"/>
  <c r="R543" i="5"/>
  <c r="F543" i="5"/>
  <c r="I543" i="5"/>
  <c r="K543" i="5"/>
  <c r="J543" i="5"/>
  <c r="E543" i="5"/>
  <c r="D543" i="5"/>
  <c r="N543" i="5"/>
  <c r="Q543" i="5"/>
  <c r="P543" i="5"/>
  <c r="O543" i="5"/>
  <c r="U572" i="3"/>
  <c r="X572" i="3"/>
  <c r="V542" i="5"/>
  <c r="W542" i="5"/>
  <c r="U542" i="5"/>
  <c r="K573" i="3"/>
  <c r="T573" i="3"/>
  <c r="J573" i="3"/>
  <c r="I573" i="3"/>
  <c r="L573" i="3"/>
  <c r="H573" i="3"/>
  <c r="G573" i="3"/>
  <c r="AA574" i="3" s="1"/>
  <c r="F573" i="3"/>
  <c r="E573" i="3"/>
  <c r="D573" i="3"/>
  <c r="C573" i="3"/>
  <c r="R573" i="3"/>
  <c r="Q573" i="3"/>
  <c r="P573" i="3"/>
  <c r="O573" i="3"/>
  <c r="N573" i="3"/>
  <c r="X542" i="5"/>
  <c r="W572" i="3"/>
  <c r="V572" i="3"/>
  <c r="Z542" i="5"/>
  <c r="V573" i="3" l="1"/>
  <c r="W543" i="5"/>
  <c r="X573" i="3"/>
  <c r="U543" i="5"/>
  <c r="X543" i="5"/>
  <c r="U573" i="3"/>
  <c r="W573" i="3"/>
  <c r="V543" i="5"/>
  <c r="N574" i="3"/>
  <c r="D574" i="3"/>
  <c r="C574" i="3"/>
  <c r="L574" i="3"/>
  <c r="O574" i="3"/>
  <c r="E574" i="3"/>
  <c r="P574" i="3"/>
  <c r="K574" i="3"/>
  <c r="Q574" i="3"/>
  <c r="G574" i="3"/>
  <c r="AA575" i="3" s="1"/>
  <c r="F574" i="3"/>
  <c r="T574" i="3"/>
  <c r="R574" i="3"/>
  <c r="J574" i="3"/>
  <c r="I574" i="3"/>
  <c r="H574" i="3"/>
  <c r="Z543" i="5"/>
  <c r="P544" i="5"/>
  <c r="F544" i="5"/>
  <c r="O544" i="5"/>
  <c r="E544" i="5"/>
  <c r="G544" i="5"/>
  <c r="AA545" i="5" s="1"/>
  <c r="R544" i="5"/>
  <c r="D544" i="5"/>
  <c r="Q544" i="5"/>
  <c r="C544" i="5"/>
  <c r="T544" i="5"/>
  <c r="H544" i="5"/>
  <c r="I544" i="5"/>
  <c r="N544" i="5"/>
  <c r="M544" i="5"/>
  <c r="L544" i="5"/>
  <c r="K544" i="5"/>
  <c r="J544" i="5"/>
  <c r="Z573" i="3"/>
  <c r="W544" i="5" l="1"/>
  <c r="V544" i="5"/>
  <c r="X574" i="3"/>
  <c r="V574" i="3"/>
  <c r="Z574" i="3"/>
  <c r="Q575" i="3"/>
  <c r="G575" i="3"/>
  <c r="AA576" i="3" s="1"/>
  <c r="P575" i="3"/>
  <c r="F575" i="3"/>
  <c r="O575" i="3"/>
  <c r="E575" i="3"/>
  <c r="R575" i="3"/>
  <c r="H575" i="3"/>
  <c r="T575" i="3"/>
  <c r="N575" i="3"/>
  <c r="C575" i="3"/>
  <c r="L575" i="3"/>
  <c r="K575" i="3"/>
  <c r="J575" i="3"/>
  <c r="I575" i="3"/>
  <c r="D575" i="3"/>
  <c r="U544" i="5"/>
  <c r="W574" i="3"/>
  <c r="I545" i="5"/>
  <c r="R545" i="5"/>
  <c r="H545" i="5"/>
  <c r="O545" i="5"/>
  <c r="C545" i="5"/>
  <c r="N545" i="5"/>
  <c r="M545" i="5"/>
  <c r="P545" i="5"/>
  <c r="D545" i="5"/>
  <c r="Q545" i="5"/>
  <c r="L545" i="5"/>
  <c r="K545" i="5"/>
  <c r="J545" i="5"/>
  <c r="T545" i="5"/>
  <c r="G545" i="5"/>
  <c r="F545" i="5"/>
  <c r="E545" i="5"/>
  <c r="Z544" i="5"/>
  <c r="X544" i="5"/>
  <c r="U574" i="3"/>
  <c r="V545" i="5" l="1"/>
  <c r="U545" i="5"/>
  <c r="W545" i="5"/>
  <c r="T576" i="3"/>
  <c r="J576" i="3"/>
  <c r="I576" i="3"/>
  <c r="R576" i="3"/>
  <c r="H576" i="3"/>
  <c r="K576" i="3"/>
  <c r="E576" i="3"/>
  <c r="D576" i="3"/>
  <c r="Q576" i="3"/>
  <c r="C576" i="3"/>
  <c r="F576" i="3"/>
  <c r="P576" i="3"/>
  <c r="O576" i="3"/>
  <c r="N576" i="3"/>
  <c r="L576" i="3"/>
  <c r="G576" i="3"/>
  <c r="AA577" i="3" s="1"/>
  <c r="L546" i="5"/>
  <c r="K546" i="5"/>
  <c r="M546" i="5"/>
  <c r="J546" i="5"/>
  <c r="I546" i="5"/>
  <c r="N546" i="5"/>
  <c r="E546" i="5"/>
  <c r="T546" i="5"/>
  <c r="D546" i="5"/>
  <c r="C546" i="5"/>
  <c r="R546" i="5"/>
  <c r="F546" i="5"/>
  <c r="G546" i="5"/>
  <c r="AA547" i="5" s="1"/>
  <c r="Q546" i="5"/>
  <c r="P546" i="5"/>
  <c r="O546" i="5"/>
  <c r="H546" i="5"/>
  <c r="V575" i="3"/>
  <c r="U575" i="3"/>
  <c r="X545" i="5"/>
  <c r="Z575" i="3"/>
  <c r="X575" i="3"/>
  <c r="Z545" i="5"/>
  <c r="W575" i="3"/>
  <c r="V576" i="3" l="1"/>
  <c r="V546" i="5"/>
  <c r="W546" i="5"/>
  <c r="Z576" i="3"/>
  <c r="X546" i="5"/>
  <c r="Z546" i="5"/>
  <c r="W576" i="3"/>
  <c r="O547" i="5"/>
  <c r="E547" i="5"/>
  <c r="N547" i="5"/>
  <c r="D547" i="5"/>
  <c r="J547" i="5"/>
  <c r="I547" i="5"/>
  <c r="T547" i="5"/>
  <c r="H547" i="5"/>
  <c r="K547" i="5"/>
  <c r="Q547" i="5"/>
  <c r="P547" i="5"/>
  <c r="M547" i="5"/>
  <c r="L547" i="5"/>
  <c r="R547" i="5"/>
  <c r="G547" i="5"/>
  <c r="AA548" i="5" s="1"/>
  <c r="F547" i="5"/>
  <c r="C547" i="5"/>
  <c r="AA546" i="5"/>
  <c r="U576" i="3"/>
  <c r="U546" i="5"/>
  <c r="X576" i="3"/>
  <c r="C577" i="3"/>
  <c r="L577" i="3"/>
  <c r="K577" i="3"/>
  <c r="N577" i="3"/>
  <c r="D577" i="3"/>
  <c r="I577" i="3"/>
  <c r="H577" i="3"/>
  <c r="T577" i="3"/>
  <c r="G577" i="3"/>
  <c r="AA578" i="3" s="1"/>
  <c r="J577" i="3"/>
  <c r="R577" i="3"/>
  <c r="Q577" i="3"/>
  <c r="P577" i="3"/>
  <c r="O577" i="3"/>
  <c r="F577" i="3"/>
  <c r="E577" i="3"/>
  <c r="W577" i="3" l="1"/>
  <c r="V577" i="3"/>
  <c r="V547" i="5"/>
  <c r="X577" i="3"/>
  <c r="X547" i="5"/>
  <c r="U547" i="5"/>
  <c r="P578" i="3"/>
  <c r="F578" i="3"/>
  <c r="O578" i="3"/>
  <c r="E578" i="3"/>
  <c r="N578" i="3"/>
  <c r="D578" i="3"/>
  <c r="Q578" i="3"/>
  <c r="G578" i="3"/>
  <c r="AA579" i="3" s="1"/>
  <c r="L578" i="3"/>
  <c r="K578" i="3"/>
  <c r="R578" i="3"/>
  <c r="J578" i="3"/>
  <c r="I578" i="3"/>
  <c r="H578" i="3"/>
  <c r="C578" i="3"/>
  <c r="T578" i="3"/>
  <c r="Z577" i="3"/>
  <c r="W547" i="5"/>
  <c r="U577" i="3"/>
  <c r="Z547" i="5"/>
  <c r="R548" i="5"/>
  <c r="H548" i="5"/>
  <c r="Q548" i="5"/>
  <c r="G548" i="5"/>
  <c r="AA549" i="5" s="1"/>
  <c r="T548" i="5"/>
  <c r="F548" i="5"/>
  <c r="E548" i="5"/>
  <c r="P548" i="5"/>
  <c r="D548" i="5"/>
  <c r="I548" i="5"/>
  <c r="K548" i="5"/>
  <c r="J548" i="5"/>
  <c r="C548" i="5"/>
  <c r="L548" i="5"/>
  <c r="O548" i="5"/>
  <c r="N548" i="5"/>
  <c r="M548" i="5"/>
  <c r="V548" i="5" l="1"/>
  <c r="Z578" i="3"/>
  <c r="K549" i="5"/>
  <c r="T549" i="5"/>
  <c r="J549" i="5"/>
  <c r="P549" i="5"/>
  <c r="D549" i="5"/>
  <c r="O549" i="5"/>
  <c r="C549" i="5"/>
  <c r="N549" i="5"/>
  <c r="Q549" i="5"/>
  <c r="E549" i="5"/>
  <c r="R549" i="5"/>
  <c r="M549" i="5"/>
  <c r="L549" i="5"/>
  <c r="I549" i="5"/>
  <c r="H549" i="5"/>
  <c r="G549" i="5"/>
  <c r="AA550" i="5" s="1"/>
  <c r="F549" i="5"/>
  <c r="X548" i="5"/>
  <c r="I579" i="3"/>
  <c r="R579" i="3"/>
  <c r="H579" i="3"/>
  <c r="Q579" i="3"/>
  <c r="G579" i="3"/>
  <c r="AA580" i="3" s="1"/>
  <c r="T579" i="3"/>
  <c r="J579" i="3"/>
  <c r="C579" i="3"/>
  <c r="P579" i="3"/>
  <c r="O579" i="3"/>
  <c r="D579" i="3"/>
  <c r="L579" i="3"/>
  <c r="K579" i="3"/>
  <c r="F579" i="3"/>
  <c r="E579" i="3"/>
  <c r="N579" i="3"/>
  <c r="U578" i="3"/>
  <c r="W578" i="3"/>
  <c r="V578" i="3"/>
  <c r="Z548" i="5"/>
  <c r="X578" i="3"/>
  <c r="W548" i="5"/>
  <c r="U548" i="5"/>
  <c r="V579" i="3" l="1"/>
  <c r="U579" i="3"/>
  <c r="Z579" i="3"/>
  <c r="U549" i="5"/>
  <c r="V549" i="5"/>
  <c r="X549" i="5"/>
  <c r="Z549" i="5"/>
  <c r="L580" i="3"/>
  <c r="K580" i="3"/>
  <c r="T580" i="3"/>
  <c r="J580" i="3"/>
  <c r="C580" i="3"/>
  <c r="G580" i="3"/>
  <c r="AA581" i="3" s="1"/>
  <c r="F580" i="3"/>
  <c r="R580" i="3"/>
  <c r="E580" i="3"/>
  <c r="H580" i="3"/>
  <c r="I580" i="3"/>
  <c r="D580" i="3"/>
  <c r="Q580" i="3"/>
  <c r="P580" i="3"/>
  <c r="O580" i="3"/>
  <c r="N580" i="3"/>
  <c r="N550" i="5"/>
  <c r="D550" i="5"/>
  <c r="M550" i="5"/>
  <c r="C550" i="5"/>
  <c r="O550" i="5"/>
  <c r="L550" i="5"/>
  <c r="K550" i="5"/>
  <c r="P550" i="5"/>
  <c r="I550" i="5"/>
  <c r="H550" i="5"/>
  <c r="G550" i="5"/>
  <c r="AA551" i="5" s="1"/>
  <c r="F550" i="5"/>
  <c r="J550" i="5"/>
  <c r="T550" i="5"/>
  <c r="R550" i="5"/>
  <c r="Q550" i="5"/>
  <c r="E550" i="5"/>
  <c r="X579" i="3"/>
  <c r="W579" i="3"/>
  <c r="W549" i="5"/>
  <c r="W550" i="5" l="1"/>
  <c r="V550" i="5"/>
  <c r="W580" i="3"/>
  <c r="O581" i="3"/>
  <c r="E581" i="3"/>
  <c r="N581" i="3"/>
  <c r="D581" i="3"/>
  <c r="C581" i="3"/>
  <c r="P581" i="3"/>
  <c r="F581" i="3"/>
  <c r="K581" i="3"/>
  <c r="J581" i="3"/>
  <c r="I581" i="3"/>
  <c r="L581" i="3"/>
  <c r="G581" i="3"/>
  <c r="AA582" i="3" s="1"/>
  <c r="T581" i="3"/>
  <c r="R581" i="3"/>
  <c r="Q581" i="3"/>
  <c r="H581" i="3"/>
  <c r="Q551" i="5"/>
  <c r="G551" i="5"/>
  <c r="AA552" i="5" s="1"/>
  <c r="P551" i="5"/>
  <c r="F551" i="5"/>
  <c r="L551" i="5"/>
  <c r="K551" i="5"/>
  <c r="J551" i="5"/>
  <c r="M551" i="5"/>
  <c r="T551" i="5"/>
  <c r="R551" i="5"/>
  <c r="O551" i="5"/>
  <c r="C551" i="5"/>
  <c r="N551" i="5"/>
  <c r="I551" i="5"/>
  <c r="H551" i="5"/>
  <c r="E551" i="5"/>
  <c r="D551" i="5"/>
  <c r="X550" i="5"/>
  <c r="U580" i="3"/>
  <c r="V580" i="3"/>
  <c r="Z550" i="5"/>
  <c r="X580" i="3"/>
  <c r="U550" i="5"/>
  <c r="Z580" i="3"/>
  <c r="U551" i="5" l="1"/>
  <c r="Z551" i="5"/>
  <c r="W581" i="3"/>
  <c r="X551" i="5"/>
  <c r="X581" i="3"/>
  <c r="U581" i="3"/>
  <c r="T552" i="5"/>
  <c r="J552" i="5"/>
  <c r="I552" i="5"/>
  <c r="K552" i="5"/>
  <c r="H552" i="5"/>
  <c r="G552" i="5"/>
  <c r="AA553" i="5" s="1"/>
  <c r="L552" i="5"/>
  <c r="N552" i="5"/>
  <c r="M552" i="5"/>
  <c r="F552" i="5"/>
  <c r="E552" i="5"/>
  <c r="O552" i="5"/>
  <c r="C552" i="5"/>
  <c r="R552" i="5"/>
  <c r="Q552" i="5"/>
  <c r="P552" i="5"/>
  <c r="D552" i="5"/>
  <c r="R582" i="3"/>
  <c r="H582" i="3"/>
  <c r="Q582" i="3"/>
  <c r="G582" i="3"/>
  <c r="AA583" i="3" s="1"/>
  <c r="P582" i="3"/>
  <c r="F582" i="3"/>
  <c r="I582" i="3"/>
  <c r="U582" i="3" s="1"/>
  <c r="N582" i="3"/>
  <c r="L582" i="3"/>
  <c r="O582" i="3"/>
  <c r="T582" i="3"/>
  <c r="K582" i="3"/>
  <c r="J582" i="3"/>
  <c r="E582" i="3"/>
  <c r="D582" i="3"/>
  <c r="C582" i="3"/>
  <c r="W551" i="5"/>
  <c r="Z581" i="3"/>
  <c r="V551" i="5"/>
  <c r="V581" i="3"/>
  <c r="W552" i="5" l="1"/>
  <c r="X582" i="3"/>
  <c r="V552" i="5"/>
  <c r="V582" i="3"/>
  <c r="U552" i="5"/>
  <c r="Z552" i="5"/>
  <c r="M553" i="5"/>
  <c r="C553" i="5"/>
  <c r="L553" i="5"/>
  <c r="T553" i="5"/>
  <c r="H553" i="5"/>
  <c r="G553" i="5"/>
  <c r="AA554" i="5" s="1"/>
  <c r="R553" i="5"/>
  <c r="F553" i="5"/>
  <c r="I553" i="5"/>
  <c r="E553" i="5"/>
  <c r="D553" i="5"/>
  <c r="J553" i="5"/>
  <c r="O553" i="5"/>
  <c r="N553" i="5"/>
  <c r="K553" i="5"/>
  <c r="Q553" i="5"/>
  <c r="P553" i="5"/>
  <c r="X552" i="5"/>
  <c r="Z582" i="3"/>
  <c r="W582" i="3"/>
  <c r="K583" i="3"/>
  <c r="T583" i="3"/>
  <c r="J583" i="3"/>
  <c r="I583" i="3"/>
  <c r="L583" i="3"/>
  <c r="Q583" i="3"/>
  <c r="C583" i="3"/>
  <c r="P583" i="3"/>
  <c r="O583" i="3"/>
  <c r="R583" i="3"/>
  <c r="D583" i="3"/>
  <c r="N583" i="3"/>
  <c r="H583" i="3"/>
  <c r="G583" i="3"/>
  <c r="AA584" i="3" s="1"/>
  <c r="F583" i="3"/>
  <c r="E583" i="3"/>
  <c r="V553" i="5" l="1"/>
  <c r="Z553" i="5"/>
  <c r="X583" i="3"/>
  <c r="V583" i="3"/>
  <c r="W553" i="5"/>
  <c r="U583" i="3"/>
  <c r="P554" i="5"/>
  <c r="F554" i="5"/>
  <c r="O554" i="5"/>
  <c r="E554" i="5"/>
  <c r="G554" i="5"/>
  <c r="AA555" i="5" s="1"/>
  <c r="R554" i="5"/>
  <c r="D554" i="5"/>
  <c r="Q554" i="5"/>
  <c r="C554" i="5"/>
  <c r="T554" i="5"/>
  <c r="H554" i="5"/>
  <c r="N554" i="5"/>
  <c r="M554" i="5"/>
  <c r="L554" i="5"/>
  <c r="K554" i="5"/>
  <c r="J554" i="5"/>
  <c r="I554" i="5"/>
  <c r="X553" i="5"/>
  <c r="N584" i="3"/>
  <c r="D584" i="3"/>
  <c r="C584" i="3"/>
  <c r="L584" i="3"/>
  <c r="V584" i="3" s="1"/>
  <c r="O584" i="3"/>
  <c r="E584" i="3"/>
  <c r="H584" i="3"/>
  <c r="T584" i="3"/>
  <c r="G584" i="3"/>
  <c r="AA585" i="3" s="1"/>
  <c r="F584" i="3"/>
  <c r="I584" i="3"/>
  <c r="P584" i="3"/>
  <c r="K584" i="3"/>
  <c r="J584" i="3"/>
  <c r="R584" i="3"/>
  <c r="Q584" i="3"/>
  <c r="U553" i="5"/>
  <c r="Z583" i="3"/>
  <c r="W583" i="3"/>
  <c r="W554" i="5" l="1"/>
  <c r="W584" i="3"/>
  <c r="V554" i="5"/>
  <c r="Z584" i="3"/>
  <c r="X584" i="3"/>
  <c r="I555" i="5"/>
  <c r="R555" i="5"/>
  <c r="H555" i="5"/>
  <c r="O555" i="5"/>
  <c r="C555" i="5"/>
  <c r="N555" i="5"/>
  <c r="M555" i="5"/>
  <c r="P555" i="5"/>
  <c r="D555" i="5"/>
  <c r="K555" i="5"/>
  <c r="J555" i="5"/>
  <c r="G555" i="5"/>
  <c r="AA556" i="5" s="1"/>
  <c r="F555" i="5"/>
  <c r="L555" i="5"/>
  <c r="T555" i="5"/>
  <c r="Q555" i="5"/>
  <c r="E555" i="5"/>
  <c r="U584" i="3"/>
  <c r="U554" i="5"/>
  <c r="X554" i="5"/>
  <c r="Z554" i="5"/>
  <c r="Q585" i="3"/>
  <c r="G585" i="3"/>
  <c r="AA586" i="3" s="1"/>
  <c r="P585" i="3"/>
  <c r="F585" i="3"/>
  <c r="O585" i="3"/>
  <c r="E585" i="3"/>
  <c r="R585" i="3"/>
  <c r="H585" i="3"/>
  <c r="K585" i="3"/>
  <c r="J585" i="3"/>
  <c r="I585" i="3"/>
  <c r="L585" i="3"/>
  <c r="D585" i="3"/>
  <c r="C585" i="3"/>
  <c r="T585" i="3"/>
  <c r="N585" i="3"/>
  <c r="V555" i="5" l="1"/>
  <c r="Z585" i="3"/>
  <c r="V585" i="3"/>
  <c r="X585" i="3"/>
  <c r="U585" i="3"/>
  <c r="T586" i="3"/>
  <c r="J586" i="3"/>
  <c r="I586" i="3"/>
  <c r="R586" i="3"/>
  <c r="H586" i="3"/>
  <c r="K586" i="3"/>
  <c r="N586" i="3"/>
  <c r="L586" i="3"/>
  <c r="O586" i="3"/>
  <c r="D586" i="3"/>
  <c r="C586" i="3"/>
  <c r="Q586" i="3"/>
  <c r="P586" i="3"/>
  <c r="G586" i="3"/>
  <c r="AA587" i="3" s="1"/>
  <c r="F586" i="3"/>
  <c r="E586" i="3"/>
  <c r="Z555" i="5"/>
  <c r="U555" i="5"/>
  <c r="L556" i="5"/>
  <c r="K556" i="5"/>
  <c r="M556" i="5"/>
  <c r="J556" i="5"/>
  <c r="I556" i="5"/>
  <c r="N556" i="5"/>
  <c r="C556" i="5"/>
  <c r="R556" i="5"/>
  <c r="Q556" i="5"/>
  <c r="P556" i="5"/>
  <c r="T556" i="5"/>
  <c r="D556" i="5"/>
  <c r="O556" i="5"/>
  <c r="H556" i="5"/>
  <c r="G556" i="5"/>
  <c r="AA557" i="5" s="1"/>
  <c r="F556" i="5"/>
  <c r="E556" i="5"/>
  <c r="X555" i="5"/>
  <c r="W585" i="3"/>
  <c r="W555" i="5"/>
  <c r="W586" i="3" l="1"/>
  <c r="V556" i="5"/>
  <c r="O557" i="5"/>
  <c r="E557" i="5"/>
  <c r="N557" i="5"/>
  <c r="D557" i="5"/>
  <c r="J557" i="5"/>
  <c r="I557" i="5"/>
  <c r="T557" i="5"/>
  <c r="H557" i="5"/>
  <c r="K557" i="5"/>
  <c r="M557" i="5"/>
  <c r="L557" i="5"/>
  <c r="G557" i="5"/>
  <c r="AA558" i="5" s="1"/>
  <c r="F557" i="5"/>
  <c r="P557" i="5"/>
  <c r="R557" i="5"/>
  <c r="Q557" i="5"/>
  <c r="C557" i="5"/>
  <c r="V586" i="3"/>
  <c r="X586" i="3"/>
  <c r="U556" i="5"/>
  <c r="Z556" i="5"/>
  <c r="X556" i="5"/>
  <c r="U586" i="3"/>
  <c r="C587" i="3"/>
  <c r="L587" i="3"/>
  <c r="K587" i="3"/>
  <c r="N587" i="3"/>
  <c r="D587" i="3"/>
  <c r="Q587" i="3"/>
  <c r="P587" i="3"/>
  <c r="O587" i="3"/>
  <c r="R587" i="3"/>
  <c r="E587" i="3"/>
  <c r="T587" i="3"/>
  <c r="J587" i="3"/>
  <c r="I587" i="3"/>
  <c r="H587" i="3"/>
  <c r="G587" i="3"/>
  <c r="AA588" i="3" s="1"/>
  <c r="F587" i="3"/>
  <c r="Z586" i="3"/>
  <c r="W556" i="5"/>
  <c r="U587" i="3" l="1"/>
  <c r="W587" i="3"/>
  <c r="U557" i="5"/>
  <c r="Z587" i="3"/>
  <c r="X587" i="3"/>
  <c r="V587" i="3"/>
  <c r="W557" i="5"/>
  <c r="Z557" i="5"/>
  <c r="R558" i="5"/>
  <c r="H558" i="5"/>
  <c r="Q558" i="5"/>
  <c r="G558" i="5"/>
  <c r="AA559" i="5" s="1"/>
  <c r="T558" i="5"/>
  <c r="F558" i="5"/>
  <c r="E558" i="5"/>
  <c r="P558" i="5"/>
  <c r="D558" i="5"/>
  <c r="I558" i="5"/>
  <c r="C558" i="5"/>
  <c r="J558" i="5"/>
  <c r="L558" i="5"/>
  <c r="K558" i="5"/>
  <c r="O558" i="5"/>
  <c r="N558" i="5"/>
  <c r="M558" i="5"/>
  <c r="X557" i="5"/>
  <c r="P588" i="3"/>
  <c r="F588" i="3"/>
  <c r="O588" i="3"/>
  <c r="E588" i="3"/>
  <c r="N588" i="3"/>
  <c r="D588" i="3"/>
  <c r="Q588" i="3"/>
  <c r="G588" i="3"/>
  <c r="AA589" i="3" s="1"/>
  <c r="H588" i="3"/>
  <c r="C588" i="3"/>
  <c r="T588" i="3"/>
  <c r="I588" i="3"/>
  <c r="R588" i="3"/>
  <c r="L588" i="3"/>
  <c r="K588" i="3"/>
  <c r="J588" i="3"/>
  <c r="V557" i="5"/>
  <c r="V588" i="3" l="1"/>
  <c r="X558" i="5"/>
  <c r="W558" i="5"/>
  <c r="V558" i="5"/>
  <c r="Z558" i="5"/>
  <c r="K559" i="5"/>
  <c r="T559" i="5"/>
  <c r="J559" i="5"/>
  <c r="P559" i="5"/>
  <c r="D559" i="5"/>
  <c r="O559" i="5"/>
  <c r="C559" i="5"/>
  <c r="N559" i="5"/>
  <c r="Q559" i="5"/>
  <c r="E559" i="5"/>
  <c r="R559" i="5"/>
  <c r="M559" i="5"/>
  <c r="L559" i="5"/>
  <c r="I559" i="5"/>
  <c r="H559" i="5"/>
  <c r="G559" i="5"/>
  <c r="AA560" i="5" s="1"/>
  <c r="F559" i="5"/>
  <c r="X588" i="3"/>
  <c r="W588" i="3"/>
  <c r="U588" i="3"/>
  <c r="U558" i="5"/>
  <c r="Z588" i="3"/>
  <c r="I589" i="3"/>
  <c r="R589" i="3"/>
  <c r="H589" i="3"/>
  <c r="Q589" i="3"/>
  <c r="G589" i="3"/>
  <c r="AA590" i="3" s="1"/>
  <c r="T589" i="3"/>
  <c r="J589" i="3"/>
  <c r="L589" i="3"/>
  <c r="K589" i="3"/>
  <c r="F589" i="3"/>
  <c r="P589" i="3"/>
  <c r="O589" i="3"/>
  <c r="N589" i="3"/>
  <c r="E589" i="3"/>
  <c r="D589" i="3"/>
  <c r="C589" i="3"/>
  <c r="X559" i="5" l="1"/>
  <c r="Z589" i="3"/>
  <c r="L590" i="3"/>
  <c r="K590" i="3"/>
  <c r="T590" i="3"/>
  <c r="J590" i="3"/>
  <c r="C590" i="3"/>
  <c r="O590" i="3"/>
  <c r="N590" i="3"/>
  <c r="P590" i="3"/>
  <c r="I590" i="3"/>
  <c r="H590" i="3"/>
  <c r="G590" i="3"/>
  <c r="AA591" i="3" s="1"/>
  <c r="F590" i="3"/>
  <c r="E590" i="3"/>
  <c r="D590" i="3"/>
  <c r="R590" i="3"/>
  <c r="Q590" i="3"/>
  <c r="Z559" i="5"/>
  <c r="N560" i="5"/>
  <c r="D560" i="5"/>
  <c r="M560" i="5"/>
  <c r="C560" i="5"/>
  <c r="O560" i="5"/>
  <c r="L560" i="5"/>
  <c r="K560" i="5"/>
  <c r="W560" i="5" s="1"/>
  <c r="P560" i="5"/>
  <c r="G560" i="5"/>
  <c r="AA561" i="5" s="1"/>
  <c r="F560" i="5"/>
  <c r="E560" i="5"/>
  <c r="T560" i="5"/>
  <c r="H560" i="5"/>
  <c r="R560" i="5"/>
  <c r="Q560" i="5"/>
  <c r="J560" i="5"/>
  <c r="I560" i="5"/>
  <c r="U589" i="3"/>
  <c r="W559" i="5"/>
  <c r="U559" i="5"/>
  <c r="V559" i="5"/>
  <c r="X589" i="3"/>
  <c r="W589" i="3"/>
  <c r="V589" i="3"/>
  <c r="X560" i="5" l="1"/>
  <c r="Q561" i="5"/>
  <c r="G561" i="5"/>
  <c r="AA562" i="5" s="1"/>
  <c r="P561" i="5"/>
  <c r="F561" i="5"/>
  <c r="L561" i="5"/>
  <c r="V561" i="5" s="1"/>
  <c r="K561" i="5"/>
  <c r="J561" i="5"/>
  <c r="M561" i="5"/>
  <c r="R561" i="5"/>
  <c r="O561" i="5"/>
  <c r="N561" i="5"/>
  <c r="I561" i="5"/>
  <c r="T561" i="5"/>
  <c r="H561" i="5"/>
  <c r="E561" i="5"/>
  <c r="D561" i="5"/>
  <c r="C561" i="5"/>
  <c r="U590" i="3"/>
  <c r="U560" i="5"/>
  <c r="O591" i="3"/>
  <c r="E591" i="3"/>
  <c r="N591" i="3"/>
  <c r="D591" i="3"/>
  <c r="C591" i="3"/>
  <c r="P591" i="3"/>
  <c r="F591" i="3"/>
  <c r="R591" i="3"/>
  <c r="Q591" i="3"/>
  <c r="T591" i="3"/>
  <c r="G591" i="3"/>
  <c r="AA592" i="3" s="1"/>
  <c r="I591" i="3"/>
  <c r="H591" i="3"/>
  <c r="L591" i="3"/>
  <c r="V591" i="3" s="1"/>
  <c r="K591" i="3"/>
  <c r="J591" i="3"/>
  <c r="X590" i="3"/>
  <c r="W590" i="3"/>
  <c r="V560" i="5"/>
  <c r="Z560" i="5"/>
  <c r="V590" i="3"/>
  <c r="Z590" i="3"/>
  <c r="R592" i="3" l="1"/>
  <c r="H592" i="3"/>
  <c r="Q592" i="3"/>
  <c r="G592" i="3"/>
  <c r="AA593" i="3" s="1"/>
  <c r="P592" i="3"/>
  <c r="F592" i="3"/>
  <c r="I592" i="3"/>
  <c r="U592" i="3" s="1"/>
  <c r="E592" i="3"/>
  <c r="D592" i="3"/>
  <c r="C592" i="3"/>
  <c r="J592" i="3"/>
  <c r="T592" i="3"/>
  <c r="O592" i="3"/>
  <c r="N592" i="3"/>
  <c r="L592" i="3"/>
  <c r="K592" i="3"/>
  <c r="W592" i="3" s="1"/>
  <c r="T562" i="5"/>
  <c r="J562" i="5"/>
  <c r="I562" i="5"/>
  <c r="K562" i="5"/>
  <c r="H562" i="5"/>
  <c r="G562" i="5"/>
  <c r="AA563" i="5" s="1"/>
  <c r="L562" i="5"/>
  <c r="F562" i="5"/>
  <c r="E562" i="5"/>
  <c r="D562" i="5"/>
  <c r="C562" i="5"/>
  <c r="M562" i="5"/>
  <c r="R562" i="5"/>
  <c r="Q562" i="5"/>
  <c r="P562" i="5"/>
  <c r="O562" i="5"/>
  <c r="N562" i="5"/>
  <c r="X591" i="3"/>
  <c r="W561" i="5"/>
  <c r="Z591" i="3"/>
  <c r="Z561" i="5"/>
  <c r="W591" i="3"/>
  <c r="X561" i="5"/>
  <c r="U561" i="5"/>
  <c r="U591" i="3"/>
  <c r="Z592" i="3" l="1"/>
  <c r="W562" i="5"/>
  <c r="U562" i="5"/>
  <c r="X592" i="3"/>
  <c r="V562" i="5"/>
  <c r="Z562" i="5"/>
  <c r="V592" i="3"/>
  <c r="X562" i="5"/>
  <c r="K593" i="3"/>
  <c r="W593" i="3" s="1"/>
  <c r="T593" i="3"/>
  <c r="J593" i="3"/>
  <c r="I593" i="3"/>
  <c r="L593" i="3"/>
  <c r="H593" i="3"/>
  <c r="G593" i="3"/>
  <c r="AA594" i="3" s="1"/>
  <c r="F593" i="3"/>
  <c r="C593" i="3"/>
  <c r="R593" i="3"/>
  <c r="Q593" i="3"/>
  <c r="P593" i="3"/>
  <c r="O593" i="3"/>
  <c r="N593" i="3"/>
  <c r="E593" i="3"/>
  <c r="D593" i="3"/>
  <c r="M563" i="5"/>
  <c r="C563" i="5"/>
  <c r="L563" i="5"/>
  <c r="T563" i="5"/>
  <c r="H563" i="5"/>
  <c r="G563" i="5"/>
  <c r="AA564" i="5" s="1"/>
  <c r="R563" i="5"/>
  <c r="F563" i="5"/>
  <c r="I563" i="5"/>
  <c r="Q563" i="5"/>
  <c r="P563" i="5"/>
  <c r="D563" i="5"/>
  <c r="E563" i="5"/>
  <c r="O563" i="5"/>
  <c r="N563" i="5"/>
  <c r="K563" i="5"/>
  <c r="W563" i="5" s="1"/>
  <c r="J563" i="5"/>
  <c r="U593" i="3" l="1"/>
  <c r="N594" i="3"/>
  <c r="D594" i="3"/>
  <c r="C594" i="3"/>
  <c r="L594" i="3"/>
  <c r="O594" i="3"/>
  <c r="E594" i="3"/>
  <c r="P594" i="3"/>
  <c r="K594" i="3"/>
  <c r="W594" i="3" s="1"/>
  <c r="Q594" i="3"/>
  <c r="T594" i="3"/>
  <c r="R594" i="3"/>
  <c r="J594" i="3"/>
  <c r="I594" i="3"/>
  <c r="H594" i="3"/>
  <c r="G594" i="3"/>
  <c r="AA595" i="3" s="1"/>
  <c r="F594" i="3"/>
  <c r="Z593" i="3"/>
  <c r="Z563" i="5"/>
  <c r="X563" i="5"/>
  <c r="P564" i="5"/>
  <c r="F564" i="5"/>
  <c r="O564" i="5"/>
  <c r="E564" i="5"/>
  <c r="G564" i="5"/>
  <c r="AA565" i="5" s="1"/>
  <c r="R564" i="5"/>
  <c r="D564" i="5"/>
  <c r="Q564" i="5"/>
  <c r="C564" i="5"/>
  <c r="T564" i="5"/>
  <c r="H564" i="5"/>
  <c r="N564" i="5"/>
  <c r="M564" i="5"/>
  <c r="L564" i="5"/>
  <c r="K564" i="5"/>
  <c r="J564" i="5"/>
  <c r="I564" i="5"/>
  <c r="V563" i="5"/>
  <c r="X593" i="3"/>
  <c r="U563" i="5"/>
  <c r="V593" i="3"/>
  <c r="X594" i="3" l="1"/>
  <c r="Z564" i="5"/>
  <c r="U594" i="3"/>
  <c r="Z594" i="3"/>
  <c r="U564" i="5"/>
  <c r="V564" i="5"/>
  <c r="Q595" i="3"/>
  <c r="G595" i="3"/>
  <c r="AA596" i="3" s="1"/>
  <c r="P595" i="3"/>
  <c r="F595" i="3"/>
  <c r="O595" i="3"/>
  <c r="E595" i="3"/>
  <c r="R595" i="3"/>
  <c r="H595" i="3"/>
  <c r="T595" i="3"/>
  <c r="N595" i="3"/>
  <c r="C595" i="3"/>
  <c r="L595" i="3"/>
  <c r="K595" i="3"/>
  <c r="J595" i="3"/>
  <c r="I595" i="3"/>
  <c r="D595" i="3"/>
  <c r="I565" i="5"/>
  <c r="R565" i="5"/>
  <c r="H565" i="5"/>
  <c r="O565" i="5"/>
  <c r="C565" i="5"/>
  <c r="N565" i="5"/>
  <c r="M565" i="5"/>
  <c r="P565" i="5"/>
  <c r="D565" i="5"/>
  <c r="G565" i="5"/>
  <c r="AA566" i="5" s="1"/>
  <c r="F565" i="5"/>
  <c r="E565" i="5"/>
  <c r="J565" i="5"/>
  <c r="T565" i="5"/>
  <c r="Q565" i="5"/>
  <c r="L565" i="5"/>
  <c r="K565" i="5"/>
  <c r="W565" i="5" s="1"/>
  <c r="W564" i="5"/>
  <c r="V594" i="3"/>
  <c r="X564" i="5"/>
  <c r="W595" i="3" l="1"/>
  <c r="V595" i="3"/>
  <c r="U595" i="3"/>
  <c r="V565" i="5"/>
  <c r="Z565" i="5"/>
  <c r="X595" i="3"/>
  <c r="L566" i="5"/>
  <c r="K566" i="5"/>
  <c r="M566" i="5"/>
  <c r="J566" i="5"/>
  <c r="I566" i="5"/>
  <c r="N566" i="5"/>
  <c r="Q566" i="5"/>
  <c r="P566" i="5"/>
  <c r="O566" i="5"/>
  <c r="H566" i="5"/>
  <c r="R566" i="5"/>
  <c r="T566" i="5"/>
  <c r="G566" i="5"/>
  <c r="AA567" i="5" s="1"/>
  <c r="F566" i="5"/>
  <c r="E566" i="5"/>
  <c r="D566" i="5"/>
  <c r="C566" i="5"/>
  <c r="Z595" i="3"/>
  <c r="T596" i="3"/>
  <c r="J596" i="3"/>
  <c r="I596" i="3"/>
  <c r="R596" i="3"/>
  <c r="H596" i="3"/>
  <c r="K596" i="3"/>
  <c r="E596" i="3"/>
  <c r="D596" i="3"/>
  <c r="Q596" i="3"/>
  <c r="C596" i="3"/>
  <c r="F596" i="3"/>
  <c r="N596" i="3"/>
  <c r="L596" i="3"/>
  <c r="G596" i="3"/>
  <c r="AA597" i="3" s="1"/>
  <c r="P596" i="3"/>
  <c r="O596" i="3"/>
  <c r="U565" i="5"/>
  <c r="X565" i="5"/>
  <c r="Z596" i="3" l="1"/>
  <c r="Z566" i="5"/>
  <c r="O567" i="5"/>
  <c r="E567" i="5"/>
  <c r="N567" i="5"/>
  <c r="D567" i="5"/>
  <c r="J567" i="5"/>
  <c r="I567" i="5"/>
  <c r="T567" i="5"/>
  <c r="H567" i="5"/>
  <c r="K567" i="5"/>
  <c r="G567" i="5"/>
  <c r="AA568" i="5" s="1"/>
  <c r="F567" i="5"/>
  <c r="C567" i="5"/>
  <c r="L567" i="5"/>
  <c r="R567" i="5"/>
  <c r="Q567" i="5"/>
  <c r="P567" i="5"/>
  <c r="M567" i="5"/>
  <c r="U596" i="3"/>
  <c r="V566" i="5"/>
  <c r="W596" i="3"/>
  <c r="V596" i="3"/>
  <c r="U566" i="5"/>
  <c r="X566" i="5"/>
  <c r="W566" i="5"/>
  <c r="X596" i="3"/>
  <c r="C597" i="3"/>
  <c r="L597" i="3"/>
  <c r="K597" i="3"/>
  <c r="N597" i="3"/>
  <c r="D597" i="3"/>
  <c r="I597" i="3"/>
  <c r="H597" i="3"/>
  <c r="T597" i="3"/>
  <c r="G597" i="3"/>
  <c r="AA598" i="3" s="1"/>
  <c r="J597" i="3"/>
  <c r="O597" i="3"/>
  <c r="F597" i="3"/>
  <c r="E597" i="3"/>
  <c r="R597" i="3"/>
  <c r="Q597" i="3"/>
  <c r="P597" i="3"/>
  <c r="U567" i="5" l="1"/>
  <c r="Z597" i="3"/>
  <c r="V567" i="5"/>
  <c r="P598" i="3"/>
  <c r="F598" i="3"/>
  <c r="O598" i="3"/>
  <c r="E598" i="3"/>
  <c r="N598" i="3"/>
  <c r="D598" i="3"/>
  <c r="Q598" i="3"/>
  <c r="G598" i="3"/>
  <c r="AA599" i="3" s="1"/>
  <c r="L598" i="3"/>
  <c r="K598" i="3"/>
  <c r="R598" i="3"/>
  <c r="I598" i="3"/>
  <c r="H598" i="3"/>
  <c r="C598" i="3"/>
  <c r="T598" i="3"/>
  <c r="J598" i="3"/>
  <c r="W597" i="3"/>
  <c r="X597" i="3"/>
  <c r="V597" i="3"/>
  <c r="R568" i="5"/>
  <c r="H568" i="5"/>
  <c r="Q568" i="5"/>
  <c r="G568" i="5"/>
  <c r="AA569" i="5" s="1"/>
  <c r="T568" i="5"/>
  <c r="F568" i="5"/>
  <c r="E568" i="5"/>
  <c r="P568" i="5"/>
  <c r="D568" i="5"/>
  <c r="I568" i="5"/>
  <c r="O568" i="5"/>
  <c r="N568" i="5"/>
  <c r="M568" i="5"/>
  <c r="L568" i="5"/>
  <c r="V568" i="5" s="1"/>
  <c r="K568" i="5"/>
  <c r="J568" i="5"/>
  <c r="C568" i="5"/>
  <c r="Z567" i="5"/>
  <c r="U597" i="3"/>
  <c r="X567" i="5"/>
  <c r="W567" i="5"/>
  <c r="X598" i="3" l="1"/>
  <c r="Z568" i="5"/>
  <c r="K569" i="5"/>
  <c r="T569" i="5"/>
  <c r="J569" i="5"/>
  <c r="P569" i="5"/>
  <c r="D569" i="5"/>
  <c r="O569" i="5"/>
  <c r="C569" i="5"/>
  <c r="N569" i="5"/>
  <c r="Q569" i="5"/>
  <c r="E569" i="5"/>
  <c r="L569" i="5"/>
  <c r="I569" i="5"/>
  <c r="H569" i="5"/>
  <c r="G569" i="5"/>
  <c r="AA570" i="5" s="1"/>
  <c r="M569" i="5"/>
  <c r="R569" i="5"/>
  <c r="F569" i="5"/>
  <c r="X568" i="5"/>
  <c r="W568" i="5"/>
  <c r="W598" i="3"/>
  <c r="I599" i="3"/>
  <c r="R599" i="3"/>
  <c r="H599" i="3"/>
  <c r="Q599" i="3"/>
  <c r="G599" i="3"/>
  <c r="AA600" i="3" s="1"/>
  <c r="T599" i="3"/>
  <c r="J599" i="3"/>
  <c r="C599" i="3"/>
  <c r="P599" i="3"/>
  <c r="O599" i="3"/>
  <c r="D599" i="3"/>
  <c r="E599" i="3"/>
  <c r="N599" i="3"/>
  <c r="L599" i="3"/>
  <c r="V599" i="3" s="1"/>
  <c r="K599" i="3"/>
  <c r="W599" i="3" s="1"/>
  <c r="F599" i="3"/>
  <c r="Z598" i="3"/>
  <c r="U598" i="3"/>
  <c r="U568" i="5"/>
  <c r="V598" i="3"/>
  <c r="X599" i="3" l="1"/>
  <c r="Z599" i="3"/>
  <c r="X569" i="5"/>
  <c r="Z569" i="5"/>
  <c r="U569" i="5"/>
  <c r="U599" i="3"/>
  <c r="V569" i="5"/>
  <c r="W569" i="5"/>
  <c r="L600" i="3"/>
  <c r="K600" i="3"/>
  <c r="T600" i="3"/>
  <c r="J600" i="3"/>
  <c r="C600" i="3"/>
  <c r="G600" i="3"/>
  <c r="AA601" i="3" s="1"/>
  <c r="F600" i="3"/>
  <c r="R600" i="3"/>
  <c r="E600" i="3"/>
  <c r="H600" i="3"/>
  <c r="Q600" i="3"/>
  <c r="P600" i="3"/>
  <c r="O600" i="3"/>
  <c r="N600" i="3"/>
  <c r="I600" i="3"/>
  <c r="D600" i="3"/>
  <c r="N570" i="5"/>
  <c r="D570" i="5"/>
  <c r="M570" i="5"/>
  <c r="C570" i="5"/>
  <c r="O570" i="5"/>
  <c r="L570" i="5"/>
  <c r="K570" i="5"/>
  <c r="P570" i="5"/>
  <c r="E570" i="5"/>
  <c r="T570" i="5"/>
  <c r="R570" i="5"/>
  <c r="F570" i="5"/>
  <c r="G570" i="5"/>
  <c r="AA571" i="5" s="1"/>
  <c r="Q570" i="5"/>
  <c r="J570" i="5"/>
  <c r="I570" i="5"/>
  <c r="H570" i="5"/>
  <c r="X600" i="3" l="1"/>
  <c r="Z570" i="5"/>
  <c r="X570" i="5"/>
  <c r="W570" i="5"/>
  <c r="O601" i="3"/>
  <c r="E601" i="3"/>
  <c r="N601" i="3"/>
  <c r="D601" i="3"/>
  <c r="C601" i="3"/>
  <c r="P601" i="3"/>
  <c r="F601" i="3"/>
  <c r="K601" i="3"/>
  <c r="J601" i="3"/>
  <c r="I601" i="3"/>
  <c r="L601" i="3"/>
  <c r="T601" i="3"/>
  <c r="R601" i="3"/>
  <c r="Q601" i="3"/>
  <c r="H601" i="3"/>
  <c r="G601" i="3"/>
  <c r="AA602" i="3" s="1"/>
  <c r="U570" i="5"/>
  <c r="V570" i="5"/>
  <c r="W600" i="3"/>
  <c r="V600" i="3"/>
  <c r="U600" i="3"/>
  <c r="Z600" i="3"/>
  <c r="Q571" i="5"/>
  <c r="G571" i="5"/>
  <c r="AA572" i="5" s="1"/>
  <c r="P571" i="5"/>
  <c r="F571" i="5"/>
  <c r="L571" i="5"/>
  <c r="K571" i="5"/>
  <c r="J571" i="5"/>
  <c r="M571" i="5"/>
  <c r="N571" i="5"/>
  <c r="I571" i="5"/>
  <c r="H571" i="5"/>
  <c r="E571" i="5"/>
  <c r="O571" i="5"/>
  <c r="R571" i="5"/>
  <c r="D571" i="5"/>
  <c r="C571" i="5"/>
  <c r="T571" i="5"/>
  <c r="V601" i="3" l="1"/>
  <c r="X571" i="5"/>
  <c r="V571" i="5"/>
  <c r="X601" i="3"/>
  <c r="Z601" i="3"/>
  <c r="U601" i="3"/>
  <c r="U571" i="5"/>
  <c r="R602" i="3"/>
  <c r="H602" i="3"/>
  <c r="Q602" i="3"/>
  <c r="G602" i="3"/>
  <c r="AA603" i="3" s="1"/>
  <c r="P602" i="3"/>
  <c r="F602" i="3"/>
  <c r="I602" i="3"/>
  <c r="N602" i="3"/>
  <c r="L602" i="3"/>
  <c r="O602" i="3"/>
  <c r="T602" i="3"/>
  <c r="K602" i="3"/>
  <c r="J602" i="3"/>
  <c r="E602" i="3"/>
  <c r="D602" i="3"/>
  <c r="C602" i="3"/>
  <c r="T572" i="5"/>
  <c r="J572" i="5"/>
  <c r="I572" i="5"/>
  <c r="K572" i="5"/>
  <c r="H572" i="5"/>
  <c r="G572" i="5"/>
  <c r="AA573" i="5" s="1"/>
  <c r="L572" i="5"/>
  <c r="D572" i="5"/>
  <c r="C572" i="5"/>
  <c r="R572" i="5"/>
  <c r="Q572" i="5"/>
  <c r="E572" i="5"/>
  <c r="P572" i="5"/>
  <c r="O572" i="5"/>
  <c r="N572" i="5"/>
  <c r="M572" i="5"/>
  <c r="F572" i="5"/>
  <c r="Z571" i="5"/>
  <c r="W571" i="5"/>
  <c r="W601" i="3"/>
  <c r="W602" i="3" l="1"/>
  <c r="X572" i="5"/>
  <c r="V572" i="5"/>
  <c r="K603" i="3"/>
  <c r="T603" i="3"/>
  <c r="J603" i="3"/>
  <c r="I603" i="3"/>
  <c r="L603" i="3"/>
  <c r="Q603" i="3"/>
  <c r="C603" i="3"/>
  <c r="P603" i="3"/>
  <c r="O603" i="3"/>
  <c r="N603" i="3"/>
  <c r="R603" i="3"/>
  <c r="D603" i="3"/>
  <c r="G603" i="3"/>
  <c r="AA604" i="3" s="1"/>
  <c r="F603" i="3"/>
  <c r="E603" i="3"/>
  <c r="H603" i="3"/>
  <c r="W572" i="5"/>
  <c r="U572" i="5"/>
  <c r="M573" i="5"/>
  <c r="C573" i="5"/>
  <c r="L573" i="5"/>
  <c r="T573" i="5"/>
  <c r="H573" i="5"/>
  <c r="G573" i="5"/>
  <c r="AA574" i="5" s="1"/>
  <c r="R573" i="5"/>
  <c r="F573" i="5"/>
  <c r="I573" i="5"/>
  <c r="Q573" i="5"/>
  <c r="P573" i="5"/>
  <c r="O573" i="5"/>
  <c r="N573" i="5"/>
  <c r="K573" i="5"/>
  <c r="J573" i="5"/>
  <c r="E573" i="5"/>
  <c r="D573" i="5"/>
  <c r="U602" i="3"/>
  <c r="Z602" i="3"/>
  <c r="X602" i="3"/>
  <c r="V602" i="3"/>
  <c r="Z572" i="5"/>
  <c r="U603" i="3" l="1"/>
  <c r="U573" i="5"/>
  <c r="Z603" i="3"/>
  <c r="N604" i="3"/>
  <c r="D604" i="3"/>
  <c r="C604" i="3"/>
  <c r="L604" i="3"/>
  <c r="O604" i="3"/>
  <c r="E604" i="3"/>
  <c r="H604" i="3"/>
  <c r="T604" i="3"/>
  <c r="G604" i="3"/>
  <c r="AA605" i="3" s="1"/>
  <c r="F604" i="3"/>
  <c r="R604" i="3"/>
  <c r="I604" i="3"/>
  <c r="K604" i="3"/>
  <c r="J604" i="3"/>
  <c r="Q604" i="3"/>
  <c r="P604" i="3"/>
  <c r="X573" i="5"/>
  <c r="V603" i="3"/>
  <c r="W573" i="5"/>
  <c r="P574" i="5"/>
  <c r="F574" i="5"/>
  <c r="O574" i="5"/>
  <c r="E574" i="5"/>
  <c r="G574" i="5"/>
  <c r="AA575" i="5" s="1"/>
  <c r="R574" i="5"/>
  <c r="D574" i="5"/>
  <c r="Q574" i="5"/>
  <c r="C574" i="5"/>
  <c r="T574" i="5"/>
  <c r="H574" i="5"/>
  <c r="L574" i="5"/>
  <c r="K574" i="5"/>
  <c r="J574" i="5"/>
  <c r="I574" i="5"/>
  <c r="M574" i="5"/>
  <c r="N574" i="5"/>
  <c r="V573" i="5"/>
  <c r="W603" i="3"/>
  <c r="X603" i="3"/>
  <c r="Z573" i="5"/>
  <c r="V604" i="3" l="1"/>
  <c r="U574" i="5"/>
  <c r="Z604" i="3"/>
  <c r="X604" i="3"/>
  <c r="W604" i="3"/>
  <c r="W574" i="5"/>
  <c r="U604" i="3"/>
  <c r="X574" i="5"/>
  <c r="I575" i="5"/>
  <c r="R575" i="5"/>
  <c r="H575" i="5"/>
  <c r="O575" i="5"/>
  <c r="C575" i="5"/>
  <c r="N575" i="5"/>
  <c r="M575" i="5"/>
  <c r="P575" i="5"/>
  <c r="D575" i="5"/>
  <c r="E575" i="5"/>
  <c r="T575" i="5"/>
  <c r="F575" i="5"/>
  <c r="J575" i="5"/>
  <c r="G575" i="5"/>
  <c r="AA576" i="5" s="1"/>
  <c r="Q575" i="5"/>
  <c r="L575" i="5"/>
  <c r="K575" i="5"/>
  <c r="V574" i="5"/>
  <c r="Z574" i="5"/>
  <c r="Q605" i="3"/>
  <c r="G605" i="3"/>
  <c r="P605" i="3"/>
  <c r="F605" i="3"/>
  <c r="O605" i="3"/>
  <c r="E605" i="3"/>
  <c r="R605" i="3"/>
  <c r="H605" i="3"/>
  <c r="K605" i="3"/>
  <c r="J605" i="3"/>
  <c r="I605" i="3"/>
  <c r="D605" i="3"/>
  <c r="L605" i="3"/>
  <c r="C605" i="3"/>
  <c r="T605" i="3"/>
  <c r="N605" i="3"/>
  <c r="U575" i="5" l="1"/>
  <c r="W575" i="5"/>
  <c r="X605" i="3"/>
  <c r="Z605" i="3"/>
  <c r="V605" i="3"/>
  <c r="C7" i="7" s="1"/>
  <c r="E7" i="7" s="1"/>
  <c r="F7" i="7" s="1"/>
  <c r="X575" i="5"/>
  <c r="U605" i="3"/>
  <c r="C6" i="7" s="1"/>
  <c r="E6" i="7" s="1"/>
  <c r="F6" i="7" s="1"/>
  <c r="L576" i="5"/>
  <c r="V576" i="5" s="1"/>
  <c r="K576" i="5"/>
  <c r="T576" i="5"/>
  <c r="M576" i="5"/>
  <c r="J576" i="5"/>
  <c r="I576" i="5"/>
  <c r="N576" i="5"/>
  <c r="O576" i="5"/>
  <c r="H576" i="5"/>
  <c r="G576" i="5"/>
  <c r="AA577" i="5" s="1"/>
  <c r="F576" i="5"/>
  <c r="P576" i="5"/>
  <c r="R576" i="5"/>
  <c r="Q576" i="5"/>
  <c r="E576" i="5"/>
  <c r="D576" i="5"/>
  <c r="C576" i="5"/>
  <c r="W605" i="3"/>
  <c r="C8" i="7" s="1"/>
  <c r="E8" i="7" s="1"/>
  <c r="F8" i="7" s="1"/>
  <c r="V575" i="5"/>
  <c r="Z575" i="5"/>
  <c r="E8" i="2"/>
  <c r="B9" i="2"/>
  <c r="C8" i="2"/>
  <c r="B8" i="2"/>
  <c r="B10" i="2"/>
  <c r="B14" i="2"/>
  <c r="C10" i="7"/>
  <c r="D10" i="7"/>
  <c r="B12" i="2"/>
  <c r="B11" i="2"/>
  <c r="D9" i="7"/>
  <c r="W576" i="5" l="1"/>
  <c r="Z576" i="5"/>
  <c r="B13" i="2"/>
  <c r="U576" i="5"/>
  <c r="O577" i="5"/>
  <c r="E577" i="5"/>
  <c r="N577" i="5"/>
  <c r="D577" i="5"/>
  <c r="M577" i="5"/>
  <c r="C577" i="5"/>
  <c r="P577" i="5"/>
  <c r="L577" i="5"/>
  <c r="K577" i="5"/>
  <c r="J577" i="5"/>
  <c r="Q577" i="5"/>
  <c r="G577" i="5"/>
  <c r="AA578" i="5" s="1"/>
  <c r="F577" i="5"/>
  <c r="H577" i="5"/>
  <c r="T577" i="5"/>
  <c r="R577" i="5"/>
  <c r="I577" i="5"/>
  <c r="X576" i="5"/>
  <c r="E10" i="7"/>
  <c r="F10" i="7" s="1"/>
  <c r="C9" i="7"/>
  <c r="E9" i="7" s="1"/>
  <c r="F9" i="7" s="1"/>
  <c r="C15" i="2"/>
  <c r="B15" i="2"/>
  <c r="E15" i="2"/>
  <c r="R578" i="5" l="1"/>
  <c r="H578" i="5"/>
  <c r="Q578" i="5"/>
  <c r="G578" i="5"/>
  <c r="AA579" i="5" s="1"/>
  <c r="P578" i="5"/>
  <c r="F578" i="5"/>
  <c r="I578" i="5"/>
  <c r="U578" i="5" s="1"/>
  <c r="T578" i="5"/>
  <c r="O578" i="5"/>
  <c r="N578" i="5"/>
  <c r="C578" i="5"/>
  <c r="D578" i="5"/>
  <c r="E578" i="5"/>
  <c r="M578" i="5"/>
  <c r="L578" i="5"/>
  <c r="K578" i="5"/>
  <c r="J578" i="5"/>
  <c r="Z577" i="5"/>
  <c r="X577" i="5"/>
  <c r="V577" i="5"/>
  <c r="W577" i="5"/>
  <c r="U577" i="5"/>
  <c r="K579" i="5" l="1"/>
  <c r="T579" i="5"/>
  <c r="J579" i="5"/>
  <c r="I579" i="5"/>
  <c r="L579" i="5"/>
  <c r="E579" i="5"/>
  <c r="R579" i="5"/>
  <c r="D579" i="5"/>
  <c r="Q579" i="5"/>
  <c r="C579" i="5"/>
  <c r="F579" i="5"/>
  <c r="P579" i="5"/>
  <c r="G579" i="5"/>
  <c r="AA580" i="5" s="1"/>
  <c r="O579" i="5"/>
  <c r="N579" i="5"/>
  <c r="M579" i="5"/>
  <c r="H579" i="5"/>
  <c r="W578" i="5"/>
  <c r="V578" i="5"/>
  <c r="X578" i="5"/>
  <c r="Z578" i="5"/>
  <c r="Z579" i="5" l="1"/>
  <c r="U579" i="5"/>
  <c r="V579" i="5"/>
  <c r="N580" i="5"/>
  <c r="D580" i="5"/>
  <c r="M580" i="5"/>
  <c r="C580" i="5"/>
  <c r="L580" i="5"/>
  <c r="O580" i="5"/>
  <c r="E580" i="5"/>
  <c r="J580" i="5"/>
  <c r="I580" i="5"/>
  <c r="H580" i="5"/>
  <c r="K580" i="5"/>
  <c r="T580" i="5"/>
  <c r="Q580" i="5"/>
  <c r="P580" i="5"/>
  <c r="G580" i="5"/>
  <c r="AA581" i="5" s="1"/>
  <c r="F580" i="5"/>
  <c r="R580" i="5"/>
  <c r="X579" i="5"/>
  <c r="W579" i="5"/>
  <c r="U580" i="5" l="1"/>
  <c r="X580" i="5"/>
  <c r="Z580" i="5"/>
  <c r="V580" i="5"/>
  <c r="Q581" i="5"/>
  <c r="G581" i="5"/>
  <c r="AA582" i="5" s="1"/>
  <c r="P581" i="5"/>
  <c r="F581" i="5"/>
  <c r="O581" i="5"/>
  <c r="E581" i="5"/>
  <c r="R581" i="5"/>
  <c r="H581" i="5"/>
  <c r="N581" i="5"/>
  <c r="M581" i="5"/>
  <c r="L581" i="5"/>
  <c r="V581" i="5" s="1"/>
  <c r="T581" i="5"/>
  <c r="K581" i="5"/>
  <c r="J581" i="5"/>
  <c r="I581" i="5"/>
  <c r="D581" i="5"/>
  <c r="C581" i="5"/>
  <c r="W580" i="5"/>
  <c r="U581" i="5" l="1"/>
  <c r="X581" i="5"/>
  <c r="T582" i="5"/>
  <c r="J582" i="5"/>
  <c r="I582" i="5"/>
  <c r="R582" i="5"/>
  <c r="H582" i="5"/>
  <c r="K582" i="5"/>
  <c r="Q582" i="5"/>
  <c r="C582" i="5"/>
  <c r="P582" i="5"/>
  <c r="O582" i="5"/>
  <c r="D582" i="5"/>
  <c r="M582" i="5"/>
  <c r="L582" i="5"/>
  <c r="G582" i="5"/>
  <c r="AA583" i="5" s="1"/>
  <c r="F582" i="5"/>
  <c r="N582" i="5"/>
  <c r="E582" i="5"/>
  <c r="W581" i="5"/>
  <c r="Z581" i="5"/>
  <c r="X582" i="5" l="1"/>
  <c r="V582" i="5"/>
  <c r="W582" i="5"/>
  <c r="M583" i="5"/>
  <c r="C583" i="5"/>
  <c r="L583" i="5"/>
  <c r="K583" i="5"/>
  <c r="N583" i="5"/>
  <c r="D583" i="5"/>
  <c r="G583" i="5"/>
  <c r="AA584" i="5" s="1"/>
  <c r="T583" i="5"/>
  <c r="F583" i="5"/>
  <c r="E583" i="5"/>
  <c r="H583" i="5"/>
  <c r="O583" i="5"/>
  <c r="J583" i="5"/>
  <c r="I583" i="5"/>
  <c r="P583" i="5"/>
  <c r="Q583" i="5"/>
  <c r="R583" i="5"/>
  <c r="U582" i="5"/>
  <c r="Z582" i="5"/>
  <c r="P584" i="5" l="1"/>
  <c r="F584" i="5"/>
  <c r="O584" i="5"/>
  <c r="E584" i="5"/>
  <c r="N584" i="5"/>
  <c r="D584" i="5"/>
  <c r="Q584" i="5"/>
  <c r="G584" i="5"/>
  <c r="AA585" i="5" s="1"/>
  <c r="L584" i="5"/>
  <c r="V584" i="5" s="1"/>
  <c r="K584" i="5"/>
  <c r="W584" i="5" s="1"/>
  <c r="J584" i="5"/>
  <c r="M584" i="5"/>
  <c r="I584" i="5"/>
  <c r="H584" i="5"/>
  <c r="C584" i="5"/>
  <c r="R584" i="5"/>
  <c r="T584" i="5"/>
  <c r="W583" i="5"/>
  <c r="Z583" i="5"/>
  <c r="U583" i="5"/>
  <c r="V583" i="5"/>
  <c r="X583" i="5"/>
  <c r="I585" i="5" l="1"/>
  <c r="R585" i="5"/>
  <c r="H585" i="5"/>
  <c r="Q585" i="5"/>
  <c r="G585" i="5"/>
  <c r="AA586" i="5" s="1"/>
  <c r="T585" i="5"/>
  <c r="J585" i="5"/>
  <c r="P585" i="5"/>
  <c r="O585" i="5"/>
  <c r="N585" i="5"/>
  <c r="C585" i="5"/>
  <c r="E585" i="5"/>
  <c r="D585" i="5"/>
  <c r="F585" i="5"/>
  <c r="M585" i="5"/>
  <c r="L585" i="5"/>
  <c r="V585" i="5" s="1"/>
  <c r="K585" i="5"/>
  <c r="Z584" i="5"/>
  <c r="U584" i="5"/>
  <c r="X584" i="5"/>
  <c r="L586" i="5" l="1"/>
  <c r="K586" i="5"/>
  <c r="T586" i="5"/>
  <c r="J586" i="5"/>
  <c r="M586" i="5"/>
  <c r="C586" i="5"/>
  <c r="F586" i="5"/>
  <c r="E586" i="5"/>
  <c r="R586" i="5"/>
  <c r="D586" i="5"/>
  <c r="G586" i="5"/>
  <c r="AA587" i="5" s="1"/>
  <c r="H586" i="5"/>
  <c r="N586" i="5"/>
  <c r="I586" i="5"/>
  <c r="Q586" i="5"/>
  <c r="P586" i="5"/>
  <c r="O586" i="5"/>
  <c r="W585" i="5"/>
  <c r="X585" i="5"/>
  <c r="Z585" i="5"/>
  <c r="U585" i="5"/>
  <c r="X586" i="5" l="1"/>
  <c r="O587" i="5"/>
  <c r="E587" i="5"/>
  <c r="N587" i="5"/>
  <c r="D587" i="5"/>
  <c r="M587" i="5"/>
  <c r="C587" i="5"/>
  <c r="P587" i="5"/>
  <c r="F587" i="5"/>
  <c r="K587" i="5"/>
  <c r="J587" i="5"/>
  <c r="I587" i="5"/>
  <c r="L587" i="5"/>
  <c r="T587" i="5"/>
  <c r="R587" i="5"/>
  <c r="Q587" i="5"/>
  <c r="H587" i="5"/>
  <c r="G587" i="5"/>
  <c r="AA588" i="5" s="1"/>
  <c r="Z586" i="5"/>
  <c r="U586" i="5"/>
  <c r="W586" i="5"/>
  <c r="V586" i="5"/>
  <c r="V587" i="5" l="1"/>
  <c r="W587" i="5"/>
  <c r="X587" i="5"/>
  <c r="Z587" i="5"/>
  <c r="R588" i="5"/>
  <c r="H588" i="5"/>
  <c r="Q588" i="5"/>
  <c r="G588" i="5"/>
  <c r="AA589" i="5" s="1"/>
  <c r="P588" i="5"/>
  <c r="F588" i="5"/>
  <c r="I588" i="5"/>
  <c r="O588" i="5"/>
  <c r="N588" i="5"/>
  <c r="M588" i="5"/>
  <c r="T588" i="5"/>
  <c r="L588" i="5"/>
  <c r="V588" i="5" s="1"/>
  <c r="K588" i="5"/>
  <c r="J588" i="5"/>
  <c r="E588" i="5"/>
  <c r="D588" i="5"/>
  <c r="C588" i="5"/>
  <c r="U587" i="5"/>
  <c r="U588" i="5" l="1"/>
  <c r="Z588" i="5"/>
  <c r="X588" i="5"/>
  <c r="W588" i="5"/>
  <c r="K589" i="5"/>
  <c r="T589" i="5"/>
  <c r="J589" i="5"/>
  <c r="I589" i="5"/>
  <c r="L589" i="5"/>
  <c r="V589" i="5" s="1"/>
  <c r="R589" i="5"/>
  <c r="D589" i="5"/>
  <c r="Q589" i="5"/>
  <c r="C589" i="5"/>
  <c r="P589" i="5"/>
  <c r="E589" i="5"/>
  <c r="N589" i="5"/>
  <c r="M589" i="5"/>
  <c r="H589" i="5"/>
  <c r="G589" i="5"/>
  <c r="AA590" i="5" s="1"/>
  <c r="O589" i="5"/>
  <c r="F589" i="5"/>
  <c r="X589" i="5" l="1"/>
  <c r="U589" i="5"/>
  <c r="N590" i="5"/>
  <c r="D590" i="5"/>
  <c r="M590" i="5"/>
  <c r="C590" i="5"/>
  <c r="L590" i="5"/>
  <c r="O590" i="5"/>
  <c r="E590" i="5"/>
  <c r="I590" i="5"/>
  <c r="H590" i="5"/>
  <c r="G590" i="5"/>
  <c r="AA591" i="5" s="1"/>
  <c r="J590" i="5"/>
  <c r="Q590" i="5"/>
  <c r="P590" i="5"/>
  <c r="K590" i="5"/>
  <c r="W590" i="5" s="1"/>
  <c r="F590" i="5"/>
  <c r="R590" i="5"/>
  <c r="T590" i="5"/>
  <c r="W589" i="5"/>
  <c r="Z589" i="5"/>
  <c r="V590" i="5" l="1"/>
  <c r="U590" i="5"/>
  <c r="Q591" i="5"/>
  <c r="G591" i="5"/>
  <c r="AA592" i="5" s="1"/>
  <c r="P591" i="5"/>
  <c r="F591" i="5"/>
  <c r="O591" i="5"/>
  <c r="E591" i="5"/>
  <c r="R591" i="5"/>
  <c r="H591" i="5"/>
  <c r="M591" i="5"/>
  <c r="L591" i="5"/>
  <c r="K591" i="5"/>
  <c r="N591" i="5"/>
  <c r="J591" i="5"/>
  <c r="I591" i="5"/>
  <c r="D591" i="5"/>
  <c r="C591" i="5"/>
  <c r="T591" i="5"/>
  <c r="X590" i="5"/>
  <c r="Z590" i="5"/>
  <c r="T592" i="5" l="1"/>
  <c r="J592" i="5"/>
  <c r="I592" i="5"/>
  <c r="R592" i="5"/>
  <c r="H592" i="5"/>
  <c r="K592" i="5"/>
  <c r="W592" i="5" s="1"/>
  <c r="P592" i="5"/>
  <c r="O592" i="5"/>
  <c r="N592" i="5"/>
  <c r="Q592" i="5"/>
  <c r="C592" i="5"/>
  <c r="D592" i="5"/>
  <c r="E592" i="5"/>
  <c r="M592" i="5"/>
  <c r="L592" i="5"/>
  <c r="V592" i="5" s="1"/>
  <c r="G592" i="5"/>
  <c r="AA593" i="5" s="1"/>
  <c r="F592" i="5"/>
  <c r="U591" i="5"/>
  <c r="Z591" i="5"/>
  <c r="W591" i="5"/>
  <c r="X591" i="5"/>
  <c r="V591" i="5"/>
  <c r="U592" i="5" l="1"/>
  <c r="X592" i="5"/>
  <c r="Z592" i="5"/>
  <c r="M593" i="5"/>
  <c r="C593" i="5"/>
  <c r="L593" i="5"/>
  <c r="K593" i="5"/>
  <c r="N593" i="5"/>
  <c r="D593" i="5"/>
  <c r="T593" i="5"/>
  <c r="F593" i="5"/>
  <c r="E593" i="5"/>
  <c r="R593" i="5"/>
  <c r="G593" i="5"/>
  <c r="AA594" i="5" s="1"/>
  <c r="Q593" i="5"/>
  <c r="P593" i="5"/>
  <c r="I593" i="5"/>
  <c r="H593" i="5"/>
  <c r="O593" i="5"/>
  <c r="J593" i="5"/>
  <c r="W593" i="5" l="1"/>
  <c r="U593" i="5"/>
  <c r="P594" i="5"/>
  <c r="F594" i="5"/>
  <c r="O594" i="5"/>
  <c r="E594" i="5"/>
  <c r="N594" i="5"/>
  <c r="D594" i="5"/>
  <c r="Q594" i="5"/>
  <c r="G594" i="5"/>
  <c r="AA595" i="5" s="1"/>
  <c r="K594" i="5"/>
  <c r="J594" i="5"/>
  <c r="I594" i="5"/>
  <c r="L594" i="5"/>
  <c r="T594" i="5"/>
  <c r="R594" i="5"/>
  <c r="M594" i="5"/>
  <c r="H594" i="5"/>
  <c r="C594" i="5"/>
  <c r="Z593" i="5"/>
  <c r="V593" i="5"/>
  <c r="X593" i="5"/>
  <c r="W594" i="5" l="1"/>
  <c r="Z594" i="5"/>
  <c r="I595" i="5"/>
  <c r="R595" i="5"/>
  <c r="H595" i="5"/>
  <c r="Q595" i="5"/>
  <c r="G595" i="5"/>
  <c r="AA596" i="5" s="1"/>
  <c r="T595" i="5"/>
  <c r="J595" i="5"/>
  <c r="O595" i="5"/>
  <c r="N595" i="5"/>
  <c r="M595" i="5"/>
  <c r="P595" i="5"/>
  <c r="L595" i="5"/>
  <c r="K595" i="5"/>
  <c r="F595" i="5"/>
  <c r="E595" i="5"/>
  <c r="D595" i="5"/>
  <c r="C595" i="5"/>
  <c r="V594" i="5"/>
  <c r="X594" i="5"/>
  <c r="U594" i="5"/>
  <c r="Z595" i="5" l="1"/>
  <c r="L596" i="5"/>
  <c r="K596" i="5"/>
  <c r="T596" i="5"/>
  <c r="J596" i="5"/>
  <c r="M596" i="5"/>
  <c r="C596" i="5"/>
  <c r="E596" i="5"/>
  <c r="R596" i="5"/>
  <c r="D596" i="5"/>
  <c r="Q596" i="5"/>
  <c r="F596" i="5"/>
  <c r="I596" i="5"/>
  <c r="H596" i="5"/>
  <c r="G596" i="5"/>
  <c r="AA597" i="5" s="1"/>
  <c r="N596" i="5"/>
  <c r="O596" i="5"/>
  <c r="P596" i="5"/>
  <c r="X595" i="5"/>
  <c r="W595" i="5"/>
  <c r="V595" i="5"/>
  <c r="U595" i="5"/>
  <c r="Z596" i="5" l="1"/>
  <c r="W596" i="5"/>
  <c r="O597" i="5"/>
  <c r="E597" i="5"/>
  <c r="N597" i="5"/>
  <c r="D597" i="5"/>
  <c r="M597" i="5"/>
  <c r="C597" i="5"/>
  <c r="P597" i="5"/>
  <c r="F597" i="5"/>
  <c r="J597" i="5"/>
  <c r="I597" i="5"/>
  <c r="H597" i="5"/>
  <c r="K597" i="5"/>
  <c r="L597" i="5"/>
  <c r="V597" i="5" s="1"/>
  <c r="G597" i="5"/>
  <c r="AA598" i="5" s="1"/>
  <c r="Q597" i="5"/>
  <c r="T597" i="5"/>
  <c r="R597" i="5"/>
  <c r="U596" i="5"/>
  <c r="X596" i="5"/>
  <c r="V596" i="5"/>
  <c r="Z597" i="5" l="1"/>
  <c r="X597" i="5"/>
  <c r="R598" i="5"/>
  <c r="H598" i="5"/>
  <c r="Q598" i="5"/>
  <c r="G598" i="5"/>
  <c r="AA599" i="5" s="1"/>
  <c r="P598" i="5"/>
  <c r="F598" i="5"/>
  <c r="I598" i="5"/>
  <c r="N598" i="5"/>
  <c r="M598" i="5"/>
  <c r="L598" i="5"/>
  <c r="O598" i="5"/>
  <c r="D598" i="5"/>
  <c r="C598" i="5"/>
  <c r="E598" i="5"/>
  <c r="T598" i="5"/>
  <c r="K598" i="5"/>
  <c r="J598" i="5"/>
  <c r="W597" i="5"/>
  <c r="U597" i="5"/>
  <c r="U598" i="5" l="1"/>
  <c r="W598" i="5"/>
  <c r="X598" i="5"/>
  <c r="K599" i="5"/>
  <c r="T599" i="5"/>
  <c r="J599" i="5"/>
  <c r="I599" i="5"/>
  <c r="L599" i="5"/>
  <c r="Q599" i="5"/>
  <c r="C599" i="5"/>
  <c r="P599" i="5"/>
  <c r="O599" i="5"/>
  <c r="R599" i="5"/>
  <c r="D599" i="5"/>
  <c r="N599" i="5"/>
  <c r="M599" i="5"/>
  <c r="F599" i="5"/>
  <c r="E599" i="5"/>
  <c r="H599" i="5"/>
  <c r="G599" i="5"/>
  <c r="AA600" i="5" s="1"/>
  <c r="Z598" i="5"/>
  <c r="V598" i="5"/>
  <c r="Z599" i="5" l="1"/>
  <c r="U599" i="5"/>
  <c r="W599" i="5"/>
  <c r="X599" i="5"/>
  <c r="N600" i="5"/>
  <c r="D600" i="5"/>
  <c r="M600" i="5"/>
  <c r="C600" i="5"/>
  <c r="L600" i="5"/>
  <c r="V600" i="5" s="1"/>
  <c r="O600" i="5"/>
  <c r="E600" i="5"/>
  <c r="H600" i="5"/>
  <c r="G600" i="5"/>
  <c r="AA601" i="5" s="1"/>
  <c r="T600" i="5"/>
  <c r="F600" i="5"/>
  <c r="I600" i="5"/>
  <c r="R600" i="5"/>
  <c r="Q600" i="5"/>
  <c r="P600" i="5"/>
  <c r="K600" i="5"/>
  <c r="W600" i="5" s="1"/>
  <c r="J600" i="5"/>
  <c r="V599" i="5"/>
  <c r="U600" i="5" l="1"/>
  <c r="X600" i="5"/>
  <c r="Q601" i="5"/>
  <c r="G601" i="5"/>
  <c r="AA602" i="5" s="1"/>
  <c r="P601" i="5"/>
  <c r="F601" i="5"/>
  <c r="O601" i="5"/>
  <c r="E601" i="5"/>
  <c r="R601" i="5"/>
  <c r="H601" i="5"/>
  <c r="L601" i="5"/>
  <c r="K601" i="5"/>
  <c r="J601" i="5"/>
  <c r="M601" i="5"/>
  <c r="T601" i="5"/>
  <c r="N601" i="5"/>
  <c r="I601" i="5"/>
  <c r="D601" i="5"/>
  <c r="C601" i="5"/>
  <c r="Z600" i="5"/>
  <c r="V601" i="5" l="1"/>
  <c r="Z601" i="5"/>
  <c r="U601" i="5"/>
  <c r="T602" i="5"/>
  <c r="J602" i="5"/>
  <c r="I602" i="5"/>
  <c r="R602" i="5"/>
  <c r="H602" i="5"/>
  <c r="K602" i="5"/>
  <c r="W602" i="5" s="1"/>
  <c r="O602" i="5"/>
  <c r="N602" i="5"/>
  <c r="M602" i="5"/>
  <c r="P602" i="5"/>
  <c r="G602" i="5"/>
  <c r="AA603" i="5" s="1"/>
  <c r="F602" i="5"/>
  <c r="E602" i="5"/>
  <c r="D602" i="5"/>
  <c r="C602" i="5"/>
  <c r="L602" i="5"/>
  <c r="V602" i="5" s="1"/>
  <c r="Q602" i="5"/>
  <c r="X601" i="5"/>
  <c r="W601" i="5"/>
  <c r="Z602" i="5" l="1"/>
  <c r="M603" i="5"/>
  <c r="C603" i="5"/>
  <c r="L603" i="5"/>
  <c r="K603" i="5"/>
  <c r="N603" i="5"/>
  <c r="D603" i="5"/>
  <c r="E603" i="5"/>
  <c r="R603" i="5"/>
  <c r="Q603" i="5"/>
  <c r="T603" i="5"/>
  <c r="F603" i="5"/>
  <c r="H603" i="5"/>
  <c r="G603" i="5"/>
  <c r="AA604" i="5" s="1"/>
  <c r="I603" i="5"/>
  <c r="P603" i="5"/>
  <c r="O603" i="5"/>
  <c r="J603" i="5"/>
  <c r="U602" i="5"/>
  <c r="X602" i="5"/>
  <c r="Z603" i="5" l="1"/>
  <c r="W603" i="5"/>
  <c r="V603" i="5"/>
  <c r="X603" i="5"/>
  <c r="U603" i="5"/>
  <c r="P604" i="5"/>
  <c r="F604" i="5"/>
  <c r="O604" i="5"/>
  <c r="E604" i="5"/>
  <c r="N604" i="5"/>
  <c r="D604" i="5"/>
  <c r="Q604" i="5"/>
  <c r="G604" i="5"/>
  <c r="AA605" i="5" s="1"/>
  <c r="J604" i="5"/>
  <c r="I604" i="5"/>
  <c r="H604" i="5"/>
  <c r="K604" i="5"/>
  <c r="C604" i="5"/>
  <c r="L604" i="5"/>
  <c r="R604" i="5"/>
  <c r="M604" i="5"/>
  <c r="T604" i="5"/>
  <c r="W604" i="5" l="1"/>
  <c r="Z604" i="5"/>
  <c r="V604" i="5"/>
  <c r="X604" i="5"/>
  <c r="U604" i="5"/>
  <c r="I605" i="5"/>
  <c r="R605" i="5"/>
  <c r="H605" i="5"/>
  <c r="Q605" i="5"/>
  <c r="G605" i="5"/>
  <c r="T605" i="5"/>
  <c r="J605" i="5"/>
  <c r="N605" i="5"/>
  <c r="M605" i="5"/>
  <c r="L605" i="5"/>
  <c r="O605" i="5"/>
  <c r="C605" i="5"/>
  <c r="D605" i="5"/>
  <c r="P605" i="5"/>
  <c r="K605" i="5"/>
  <c r="W605" i="5" s="1"/>
  <c r="C18" i="7" s="1"/>
  <c r="E18" i="7" s="1"/>
  <c r="F18" i="7" s="1"/>
  <c r="F605" i="5"/>
  <c r="E605" i="5"/>
  <c r="X605" i="5" l="1"/>
  <c r="C20" i="7"/>
  <c r="D10" i="2"/>
  <c r="D14" i="2"/>
  <c r="D11" i="2"/>
  <c r="D19" i="7"/>
  <c r="D12" i="2"/>
  <c r="D9" i="2"/>
  <c r="D20" i="7"/>
  <c r="D7" i="8"/>
  <c r="D8" i="2"/>
  <c r="Z605" i="5"/>
  <c r="C13" i="8" s="1"/>
  <c r="E13" i="8" s="1"/>
  <c r="F13" i="8" s="1"/>
  <c r="U605" i="5"/>
  <c r="C16" i="7" s="1"/>
  <c r="E16" i="7" s="1"/>
  <c r="F16" i="7" s="1"/>
  <c r="V605" i="5"/>
  <c r="C17" i="7" s="1"/>
  <c r="E17" i="7" s="1"/>
  <c r="F17" i="7" s="1"/>
  <c r="C19" i="7" l="1"/>
  <c r="E19" i="7" s="1"/>
  <c r="F19" i="7" s="1"/>
  <c r="C7" i="8"/>
  <c r="E7" i="8" s="1"/>
  <c r="F7" i="8" s="1"/>
  <c r="D15" i="2"/>
  <c r="D13" i="2"/>
  <c r="E20" i="7"/>
  <c r="F20" i="7" s="1"/>
  <c r="C12" i="8"/>
  <c r="E12" i="8" s="1"/>
  <c r="F12" i="8" s="1"/>
</calcChain>
</file>

<file path=xl/sharedStrings.xml><?xml version="1.0" encoding="utf-8"?>
<sst xmlns="http://schemas.openxmlformats.org/spreadsheetml/2006/main" count="276" uniqueCount="127">
  <si>
    <t>住宅ローン比較シミュレーター｜入力</t>
  </si>
  <si>
    <t>【常時表示】このExcelは変動金利・元利均等返済の仕組みを理解するための独自の概算です。銀行固有の日割り計算・端数処理・返済日・金利適用日・契約条件、手数料・保証料・団信・税金は再現しません。金額は月次で円単位に丸めています。実際の返済条件は必ず金融機関へ確認してください。</t>
  </si>
  <si>
    <t>入力項目</t>
  </si>
  <si>
    <t>入力値</t>
  </si>
  <si>
    <t>説明</t>
  </si>
  <si>
    <t>返済開始日</t>
  </si>
  <si>
    <t>初回返済の年月として扱います</t>
  </si>
  <si>
    <t>黄色・青文字：入力／灰色：自動計算</t>
  </si>
  <si>
    <t>借入額</t>
  </si>
  <si>
    <t>円単位</t>
  </si>
  <si>
    <t>当初返済期間（年）</t>
  </si>
  <si>
    <t>1～50年</t>
  </si>
  <si>
    <t>当初返済期間（月、自動計算）</t>
  </si>
  <si>
    <t>年×12</t>
  </si>
  <si>
    <t>当初金利（年率）</t>
  </si>
  <si>
    <t>例：0.7%</t>
  </si>
  <si>
    <t>金利上昇月</t>
  </si>
  <si>
    <t>返済開始月を1か月目とします</t>
  </si>
  <si>
    <t>上昇後金利（年率）</t>
  </si>
  <si>
    <t>例：2.5%</t>
  </si>
  <si>
    <t>5年ルール</t>
  </si>
  <si>
    <t>有効</t>
  </si>
  <si>
    <t>プルダウンで選択</t>
  </si>
  <si>
    <t>125%ルール</t>
  </si>
  <si>
    <t>繰上返済実行月</t>
  </si>
  <si>
    <t>繰上返済額</t>
  </si>
  <si>
    <t>当月の通常返済後残元金が上限</t>
  </si>
  <si>
    <t>方式3の新しい返済期間（年）</t>
  </si>
  <si>
    <t>繰上返済の翌月から数えます</t>
  </si>
  <si>
    <t>方式3の新しい返済期間（月）</t>
  </si>
  <si>
    <t>0～11か月</t>
  </si>
  <si>
    <t>方式3の新しい返済期間（合計月数、自動計算）</t>
  </si>
  <si>
    <t>年×12＋月</t>
  </si>
  <si>
    <t>方式3の返済期間上限（月、自動計算）</t>
  </si>
  <si>
    <t>当初期間－繰上返済実行月</t>
  </si>
  <si>
    <t>返済方式（固定）</t>
  </si>
  <si>
    <t>変動金利・元利均等返済</t>
  </si>
  <si>
    <t>初版では変更不可</t>
  </si>
  <si>
    <t>4方式の比較結果</t>
  </si>
  <si>
    <t>比較項目</t>
  </si>
  <si>
    <t>何もしない場合</t>
  </si>
  <si>
    <t>方式1：期間短縮型</t>
  </si>
  <si>
    <t>方式2：返済額軽減型</t>
  </si>
  <si>
    <t>方式3：期間・返済額変更</t>
  </si>
  <si>
    <t>繰上返済後の毎月返済額</t>
  </si>
  <si>
    <t>短縮月数</t>
  </si>
  <si>
    <t>完済予定日</t>
  </si>
  <si>
    <t>最終月の通常返済額</t>
  </si>
  <si>
    <t>最終回の追加額（持越元金）</t>
  </si>
  <si>
    <t>最終回の追加額（未払利息）</t>
  </si>
  <si>
    <t>最終回の合計返済額</t>
  </si>
  <si>
    <t>総利息（累計発生利息）</t>
  </si>
  <si>
    <t>削減利息</t>
  </si>
  <si>
    <t>方式1の期間短縮状況</t>
  </si>
  <si>
    <t>対象外</t>
  </si>
  <si>
    <t>総利息は「累計発生利息」です。未払利息残高を追加せず、二重計上しません。最終回の追加額は、予定最終月に残る元金・未払利息を分けて表示します。</t>
  </si>
  <si>
    <t>何もしない場合｜月次詳細</t>
  </si>
  <si>
    <t>月</t>
  </si>
  <si>
    <t>返済年月</t>
  </si>
  <si>
    <t>期首元金</t>
  </si>
  <si>
    <t>期首未払利息</t>
  </si>
  <si>
    <t>年率</t>
  </si>
  <si>
    <t>当月発生利息</t>
  </si>
  <si>
    <t>通常返済額（計画）</t>
  </si>
  <si>
    <t>通常返済額（実際）</t>
  </si>
  <si>
    <t>当月支払利息</t>
  </si>
  <si>
    <t>未払利息増減</t>
  </si>
  <si>
    <t>未払利息残高</t>
  </si>
  <si>
    <t>元金返済額</t>
  </si>
  <si>
    <t>期末元金</t>
  </si>
  <si>
    <t>累計発生利息</t>
  </si>
  <si>
    <t>返済額見直し理由</t>
  </si>
  <si>
    <t>125%上限</t>
  </si>
  <si>
    <t>予定最終月</t>
  </si>
  <si>
    <t>完済判定</t>
  </si>
  <si>
    <t>内部：支払利息差</t>
  </si>
  <si>
    <t>内部：元金返済差</t>
  </si>
  <si>
    <t>内部：未払利息差</t>
  </si>
  <si>
    <t>内部：小数円残り</t>
  </si>
  <si>
    <t>内部：方式3事前差</t>
  </si>
  <si>
    <t>内部：数式エラー数</t>
  </si>
  <si>
    <t>内部：見直し期待額</t>
  </si>
  <si>
    <t>方式1：期間短縮型｜月次詳細</t>
  </si>
  <si>
    <t>方式2：返済額軽減型｜月次詳細</t>
  </si>
  <si>
    <t>方式3：期間と返済額を両方変更｜月次詳細</t>
  </si>
  <si>
    <t>計算チェック</t>
  </si>
  <si>
    <t>方式</t>
  </si>
  <si>
    <t>確認項目</t>
  </si>
  <si>
    <t>実績値</t>
  </si>
  <si>
    <t>期待値・基準</t>
  </si>
  <si>
    <t>差額</t>
  </si>
  <si>
    <t>状態</t>
  </si>
  <si>
    <t>確認内容</t>
  </si>
  <si>
    <t>当月支払利息が指定式と一致する</t>
  </si>
  <si>
    <t>指定式との差額合計</t>
  </si>
  <si>
    <t>元金返済額が指定式と一致する</t>
  </si>
  <si>
    <t>通常返済額－当月支払利息</t>
  </si>
  <si>
    <t>未払利息残高のつながりが一致する</t>
  </si>
  <si>
    <t>期首未払利息＋増減</t>
  </si>
  <si>
    <t>総利息と累計発生利息が一致する</t>
  </si>
  <si>
    <t>総利息は累計発生利息のみ</t>
  </si>
  <si>
    <t>最終月の通常返済額が残債務以下である</t>
  </si>
  <si>
    <t>最終月の通常返済額は残債務が上限</t>
  </si>
  <si>
    <t>方式3：期間と返済額を両方変更</t>
  </si>
  <si>
    <t>方式3</t>
  </si>
  <si>
    <t>方式3返済期間の上限超過</t>
  </si>
  <si>
    <t>必須テストケース（現在の入力値と連動）</t>
  </si>
  <si>
    <t>No.</t>
  </si>
  <si>
    <t>テスト項目</t>
  </si>
  <si>
    <t>期待値</t>
  </si>
  <si>
    <t>方式2・3の返済額再計算月</t>
  </si>
  <si>
    <t>両方式とも繰上返済実行月の翌月に再計算</t>
  </si>
  <si>
    <t>利息の二重計上防止</t>
  </si>
  <si>
    <t>総利息＝各方式の最終行の累計発生利息</t>
  </si>
  <si>
    <t>方式1の繰上返済月の返済額</t>
  </si>
  <si>
    <t>繰上返済そのものでは前月と同額</t>
  </si>
  <si>
    <t>方式3の繰上返済前返済額</t>
  </si>
  <si>
    <t>繰上返済前は何もしない場合と同額</t>
  </si>
  <si>
    <t>方式1でも5年見直しが有効</t>
  </si>
  <si>
    <t>「5年見直し」を含む</t>
  </si>
  <si>
    <t>方式1の見直し額が計算へ反映</t>
  </si>
  <si>
    <t>再計算額または125%上限額と一致</t>
  </si>
  <si>
    <t>円未満・浮動小数点残り</t>
  </si>
  <si>
    <t>月次金額・最終回追加額に小数円や極小値がない</t>
  </si>
  <si>
    <t>数式エラー</t>
  </si>
  <si>
    <t>#REF!、#DIV/0!、#VALUE!、#NAME?、#N/Aがない</t>
  </si>
  <si>
    <t>セルの見方</t>
    <rPh sb="3" eb="5">
      <t xml:space="preserve">ミカタ 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</si>
</sst>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\-mm\-dd"/>
    <numFmt numFmtId="177" formatCode="#,##0&quot;円&quot;;[Red]\-#,##0&quot;円&quot;;\-"/>
    <numFmt numFmtId="178" formatCode="0&quot;年&quot;"/>
    <numFmt numFmtId="179" formatCode="#,##0&quot;か月&quot;;[Red]\-#,##0&quot;か月&quot;;\-"/>
    <numFmt numFmtId="180" formatCode="0.000%"/>
    <numFmt numFmtId="181" formatCode="0&quot;か月&quot;"/>
    <numFmt numFmtId="182" formatCode="#,##0;[Red]\-#,##0;0"/>
  </numFmts>
  <fonts count="12">
    <font>
      <sz val="11"/>
      <name val="Carlito"/>
    </font>
    <font>
      <b/>
      <sz val="16"/>
      <color rgb="FFFFFFFF"/>
      <name val="Carlito"/>
    </font>
    <font>
      <sz val="10"/>
      <color rgb="FF7F6000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0000FF"/>
      <name val="Carlito"/>
    </font>
    <font>
      <sz val="11"/>
      <color rgb="FF222222"/>
      <name val="Carlito"/>
    </font>
    <font>
      <sz val="9"/>
      <name val="Carlito"/>
    </font>
    <font>
      <sz val="1"/>
      <color rgb="FFFFFFFF"/>
      <name val="Carlito"/>
    </font>
    <font>
      <sz val="11"/>
      <color rgb="FF008000"/>
      <name val="Carlito"/>
    </font>
    <font>
      <sz val="11"/>
      <name val="Carlito"/>
    </font>
    <font>
      <sz val="6"/>
      <name val="Noto Sans JP Black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9E6"/>
      </patternFill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3F6F8"/>
      </patternFill>
    </fill>
    <fill>
      <patternFill patternType="solid">
        <fgColor rgb="FFD9EAF7"/>
      </patternFill>
    </fill>
  </fills>
  <borders count="16">
    <border>
      <left/>
      <right/>
      <top/>
      <bottom/>
      <diagonal/>
    </border>
    <border>
      <left style="thin">
        <color rgb="FFD6B656"/>
      </left>
      <right/>
      <top style="thin">
        <color rgb="FFD6B656"/>
      </top>
      <bottom/>
      <diagonal/>
    </border>
    <border>
      <left/>
      <right/>
      <top style="thin">
        <color rgb="FFD6B656"/>
      </top>
      <bottom/>
      <diagonal/>
    </border>
    <border>
      <left/>
      <right style="thin">
        <color rgb="FFD6B656"/>
      </right>
      <top style="thin">
        <color rgb="FFD6B656"/>
      </top>
      <bottom/>
      <diagonal/>
    </border>
    <border>
      <left style="thin">
        <color rgb="FFD6B656"/>
      </left>
      <right/>
      <top/>
      <bottom style="thin">
        <color rgb="FFD6B656"/>
      </bottom>
      <diagonal/>
    </border>
    <border>
      <left/>
      <right/>
      <top/>
      <bottom style="thin">
        <color rgb="FFD6B656"/>
      </bottom>
      <diagonal/>
    </border>
    <border>
      <left/>
      <right style="thin">
        <color rgb="FFD6B656"/>
      </right>
      <top/>
      <bottom style="thin">
        <color rgb="FFD6B65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 style="thin">
        <color rgb="FFC9B458"/>
      </left>
      <right style="thin">
        <color rgb="FFC9B458"/>
      </right>
      <top style="thin">
        <color rgb="FFC9B458"/>
      </top>
      <bottom style="thin">
        <color rgb="FFC9B458"/>
      </bottom>
      <diagonal/>
    </border>
    <border>
      <left/>
      <right/>
      <top/>
      <bottom style="hair">
        <color rgb="FFE5E5E5"/>
      </bottom>
      <diagonal/>
    </border>
    <border>
      <left/>
      <right/>
      <top style="hair">
        <color rgb="FFE5E5E5"/>
      </top>
      <bottom style="hair">
        <color rgb="FFE5E5E5"/>
      </bottom>
      <diagonal/>
    </border>
    <border>
      <left/>
      <right/>
      <top style="hair">
        <color rgb="FFE5E5E5"/>
      </top>
      <bottom/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2">
    <xf numFmtId="0" fontId="0" fillId="0" borderId="0"/>
    <xf numFmtId="0" fontId="10" fillId="0" borderId="0"/>
  </cellStyleXfs>
  <cellXfs count="58">
    <xf numFmtId="0" fontId="0" fillId="0" borderId="0" xfId="0"/>
    <xf numFmtId="0" fontId="3" fillId="4" borderId="7" xfId="1" applyFont="1" applyFill="1" applyBorder="1" applyAlignment="1">
      <alignment horizontal="center" vertical="center" wrapText="1"/>
    </xf>
    <xf numFmtId="0" fontId="8" fillId="0" borderId="0" xfId="1" applyFont="1"/>
    <xf numFmtId="0" fontId="0" fillId="0" borderId="0" xfId="1" applyFont="1" applyAlignment="1">
      <alignment vertical="center"/>
    </xf>
    <xf numFmtId="0" fontId="4" fillId="0" borderId="8" xfId="1" applyFont="1" applyBorder="1" applyAlignment="1">
      <alignment vertical="center"/>
    </xf>
    <xf numFmtId="176" fontId="5" fillId="5" borderId="10" xfId="1" applyNumberFormat="1" applyFont="1" applyFill="1" applyBorder="1" applyAlignment="1">
      <alignment vertical="center"/>
    </xf>
    <xf numFmtId="0" fontId="0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/>
    </xf>
    <xf numFmtId="177" fontId="5" fillId="5" borderId="10" xfId="1" applyNumberFormat="1" applyFont="1" applyFill="1" applyBorder="1" applyAlignment="1">
      <alignment vertical="center"/>
    </xf>
    <xf numFmtId="0" fontId="0" fillId="0" borderId="9" xfId="1" applyFont="1" applyBorder="1" applyAlignment="1">
      <alignment vertical="center" wrapText="1"/>
    </xf>
    <xf numFmtId="178" fontId="5" fillId="5" borderId="10" xfId="1" applyNumberFormat="1" applyFont="1" applyFill="1" applyBorder="1" applyAlignment="1">
      <alignment vertical="center"/>
    </xf>
    <xf numFmtId="179" fontId="6" fillId="6" borderId="7" xfId="1" applyNumberFormat="1" applyFont="1" applyFill="1" applyBorder="1" applyAlignment="1">
      <alignment vertical="center"/>
    </xf>
    <xf numFmtId="180" fontId="5" fillId="5" borderId="10" xfId="1" applyNumberFormat="1" applyFont="1" applyFill="1" applyBorder="1" applyAlignment="1">
      <alignment vertical="center"/>
    </xf>
    <xf numFmtId="179" fontId="5" fillId="5" borderId="10" xfId="1" applyNumberFormat="1" applyFont="1" applyFill="1" applyBorder="1" applyAlignment="1">
      <alignment vertical="center"/>
    </xf>
    <xf numFmtId="0" fontId="5" fillId="5" borderId="10" xfId="1" applyFont="1" applyFill="1" applyBorder="1" applyAlignment="1">
      <alignment vertical="center"/>
    </xf>
    <xf numFmtId="181" fontId="5" fillId="5" borderId="10" xfId="1" applyNumberFormat="1" applyFont="1" applyFill="1" applyBorder="1" applyAlignment="1">
      <alignment vertical="center"/>
    </xf>
    <xf numFmtId="0" fontId="6" fillId="6" borderId="7" xfId="1" applyFont="1" applyFill="1" applyBorder="1" applyAlignment="1">
      <alignment vertical="center"/>
    </xf>
    <xf numFmtId="0" fontId="4" fillId="6" borderId="7" xfId="1" applyFont="1" applyFill="1" applyBorder="1" applyAlignment="1">
      <alignment vertical="center"/>
    </xf>
    <xf numFmtId="177" fontId="9" fillId="0" borderId="7" xfId="1" applyNumberFormat="1" applyFont="1" applyBorder="1" applyAlignment="1">
      <alignment vertical="center"/>
    </xf>
    <xf numFmtId="179" fontId="9" fillId="0" borderId="7" xfId="1" applyNumberFormat="1" applyFont="1" applyBorder="1" applyAlignment="1">
      <alignment vertical="center"/>
    </xf>
    <xf numFmtId="55" fontId="9" fillId="0" borderId="7" xfId="1" applyNumberFormat="1" applyFont="1" applyBorder="1" applyAlignment="1">
      <alignment vertical="center"/>
    </xf>
    <xf numFmtId="0" fontId="9" fillId="0" borderId="7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1" fontId="7" fillId="0" borderId="11" xfId="1" applyNumberFormat="1" applyFont="1" applyBorder="1" applyAlignment="1">
      <alignment vertical="center"/>
    </xf>
    <xf numFmtId="55" fontId="7" fillId="0" borderId="11" xfId="1" applyNumberFormat="1" applyFont="1" applyBorder="1" applyAlignment="1">
      <alignment vertical="center"/>
    </xf>
    <xf numFmtId="177" fontId="7" fillId="0" borderId="11" xfId="1" applyNumberFormat="1" applyFont="1" applyBorder="1" applyAlignment="1">
      <alignment vertical="center"/>
    </xf>
    <xf numFmtId="180" fontId="7" fillId="0" borderId="11" xfId="1" applyNumberFormat="1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0" fontId="7" fillId="0" borderId="11" xfId="1" applyFont="1" applyBorder="1" applyAlignment="1">
      <alignment vertical="center"/>
    </xf>
    <xf numFmtId="179" fontId="7" fillId="0" borderId="11" xfId="1" applyNumberFormat="1" applyFont="1" applyBorder="1" applyAlignment="1">
      <alignment vertical="center"/>
    </xf>
    <xf numFmtId="1" fontId="7" fillId="0" borderId="12" xfId="1" applyNumberFormat="1" applyFont="1" applyBorder="1" applyAlignment="1">
      <alignment vertical="center"/>
    </xf>
    <xf numFmtId="55" fontId="7" fillId="0" borderId="12" xfId="1" applyNumberFormat="1" applyFont="1" applyBorder="1" applyAlignment="1">
      <alignment vertical="center"/>
    </xf>
    <xf numFmtId="177" fontId="7" fillId="0" borderId="12" xfId="1" applyNumberFormat="1" applyFont="1" applyBorder="1" applyAlignment="1">
      <alignment vertical="center"/>
    </xf>
    <xf numFmtId="180" fontId="7" fillId="0" borderId="12" xfId="1" applyNumberFormat="1" applyFont="1" applyBorder="1" applyAlignment="1">
      <alignment vertical="center"/>
    </xf>
    <xf numFmtId="0" fontId="7" fillId="0" borderId="12" xfId="1" applyFont="1" applyBorder="1" applyAlignment="1">
      <alignment vertical="center" wrapText="1"/>
    </xf>
    <xf numFmtId="0" fontId="7" fillId="0" borderId="12" xfId="1" applyFont="1" applyBorder="1" applyAlignment="1">
      <alignment vertical="center"/>
    </xf>
    <xf numFmtId="179" fontId="7" fillId="0" borderId="12" xfId="1" applyNumberFormat="1" applyFont="1" applyBorder="1" applyAlignment="1">
      <alignment vertical="center"/>
    </xf>
    <xf numFmtId="1" fontId="7" fillId="0" borderId="13" xfId="1" applyNumberFormat="1" applyFont="1" applyBorder="1" applyAlignment="1">
      <alignment vertical="center"/>
    </xf>
    <xf numFmtId="55" fontId="7" fillId="0" borderId="13" xfId="1" applyNumberFormat="1" applyFont="1" applyBorder="1" applyAlignment="1">
      <alignment vertical="center"/>
    </xf>
    <xf numFmtId="177" fontId="7" fillId="0" borderId="13" xfId="1" applyNumberFormat="1" applyFont="1" applyBorder="1" applyAlignment="1">
      <alignment vertical="center"/>
    </xf>
    <xf numFmtId="180" fontId="7" fillId="0" borderId="13" xfId="1" applyNumberFormat="1" applyFont="1" applyBorder="1" applyAlignment="1">
      <alignment vertical="center"/>
    </xf>
    <xf numFmtId="0" fontId="7" fillId="0" borderId="13" xfId="1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179" fontId="7" fillId="0" borderId="13" xfId="1" applyNumberFormat="1" applyFont="1" applyBorder="1" applyAlignment="1">
      <alignment vertical="center"/>
    </xf>
    <xf numFmtId="0" fontId="0" fillId="0" borderId="7" xfId="1" applyFont="1" applyBorder="1" applyAlignment="1">
      <alignment vertical="center" wrapText="1"/>
    </xf>
    <xf numFmtId="182" fontId="0" fillId="0" borderId="7" xfId="1" applyNumberFormat="1" applyFont="1" applyBorder="1" applyAlignment="1">
      <alignment vertical="center"/>
    </xf>
    <xf numFmtId="0" fontId="0" fillId="0" borderId="7" xfId="1" applyFont="1" applyBorder="1" applyAlignment="1">
      <alignment vertical="center"/>
    </xf>
    <xf numFmtId="0" fontId="1" fillId="2" borderId="0" xfId="1" applyFont="1" applyFill="1" applyAlignment="1">
      <alignment vertical="center"/>
    </xf>
    <xf numFmtId="0" fontId="2" fillId="3" borderId="1" xfId="1" applyFont="1" applyFill="1" applyBorder="1" applyAlignment="1">
      <alignment vertical="center" wrapText="1"/>
    </xf>
    <xf numFmtId="0" fontId="2" fillId="3" borderId="2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2" fillId="3" borderId="4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6" xfId="1" applyFont="1" applyFill="1" applyBorder="1" applyAlignment="1">
      <alignment vertical="center" wrapText="1"/>
    </xf>
    <xf numFmtId="0" fontId="0" fillId="3" borderId="0" xfId="1" applyFont="1" applyFill="1" applyAlignment="1">
      <alignment vertical="center" wrapText="1"/>
    </xf>
    <xf numFmtId="0" fontId="0" fillId="7" borderId="0" xfId="1" applyFont="1" applyFill="1" applyAlignment="1">
      <alignment vertical="center" wrapText="1"/>
    </xf>
    <xf numFmtId="0" fontId="3" fillId="4" borderId="14" xfId="1" applyFont="1" applyFill="1" applyBorder="1" applyAlignment="1">
      <alignment horizontal="center" vertical="center" wrapText="1"/>
    </xf>
    <xf numFmtId="0" fontId="3" fillId="4" borderId="15" xfId="1" applyFont="1" applyFill="1" applyBorder="1" applyAlignment="1">
      <alignment horizontal="center" vertical="center" wrapText="1"/>
    </xf>
  </cellXfs>
  <cellStyles count="2">
    <cellStyle name="Normal" xfId="1" xr:uid="{00000000-0005-0000-0000-000000000000}"/>
    <cellStyle name="標準" xfId="0" builtinId="0"/>
  </cellStyles>
  <dxfs count="4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006100"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05"/>
  <sheetViews>
    <sheetView showGridLines="0" tabSelected="1" workbookViewId="0">
      <selection activeCell="L29" sqref="L29"/>
    </sheetView>
  </sheetViews>
  <sheetFormatPr baseColWidth="10" defaultColWidth="8.83203125" defaultRowHeight="14"/>
  <cols>
    <col min="1" max="1" width="46" customWidth="1"/>
    <col min="2" max="2" width="24" customWidth="1"/>
    <col min="3" max="3" width="38" customWidth="1"/>
    <col min="4" max="4" width="3" customWidth="1"/>
    <col min="5" max="6" width="18" customWidth="1"/>
  </cols>
  <sheetData>
    <row r="1" spans="1:26" ht="30" customHeight="1">
      <c r="A1" s="47" t="s">
        <v>0</v>
      </c>
      <c r="B1" s="47"/>
      <c r="C1" s="47"/>
      <c r="D1" s="47"/>
      <c r="E1" s="47"/>
      <c r="F1" s="47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8" t="s">
        <v>1</v>
      </c>
      <c r="B2" s="49"/>
      <c r="C2" s="49"/>
      <c r="D2" s="49"/>
      <c r="E2" s="49"/>
      <c r="F2" s="50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51"/>
      <c r="B3" s="52"/>
      <c r="C3" s="52"/>
      <c r="D3" s="52"/>
      <c r="E3" s="52"/>
      <c r="F3" s="5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" customHeight="1">
      <c r="A5" s="1" t="s">
        <v>2</v>
      </c>
      <c r="B5" s="1" t="s">
        <v>3</v>
      </c>
      <c r="C5" s="56" t="s">
        <v>4</v>
      </c>
      <c r="D5" s="57"/>
      <c r="E5" s="56" t="s">
        <v>126</v>
      </c>
      <c r="F5" s="5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4" t="s">
        <v>5</v>
      </c>
      <c r="B6" s="5">
        <v>46235</v>
      </c>
      <c r="C6" s="6" t="s">
        <v>6</v>
      </c>
      <c r="D6" s="3"/>
      <c r="E6" s="54" t="s">
        <v>7</v>
      </c>
      <c r="F6" s="5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7" t="s">
        <v>8</v>
      </c>
      <c r="B7" s="8">
        <v>35000000</v>
      </c>
      <c r="C7" s="9" t="s">
        <v>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7" t="s">
        <v>10</v>
      </c>
      <c r="B8" s="10">
        <v>35</v>
      </c>
      <c r="C8" s="9" t="s">
        <v>11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7" t="s">
        <v>12</v>
      </c>
      <c r="B9" s="11">
        <f>ROUND(B8*12,0)</f>
        <v>420</v>
      </c>
      <c r="C9" s="9" t="s">
        <v>13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7" t="s">
        <v>14</v>
      </c>
      <c r="B10" s="12">
        <v>7.0000000000000001E-3</v>
      </c>
      <c r="C10" s="9" t="s">
        <v>15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7" t="s">
        <v>16</v>
      </c>
      <c r="B11" s="13">
        <v>61</v>
      </c>
      <c r="C11" s="9" t="s">
        <v>17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7" t="s">
        <v>18</v>
      </c>
      <c r="B12" s="12">
        <v>2.5000000000000001E-2</v>
      </c>
      <c r="C12" s="9" t="s">
        <v>19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7" t="s">
        <v>20</v>
      </c>
      <c r="B13" s="14" t="s">
        <v>21</v>
      </c>
      <c r="C13" s="9" t="s">
        <v>22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7" t="s">
        <v>23</v>
      </c>
      <c r="B14" s="14" t="s">
        <v>21</v>
      </c>
      <c r="C14" s="9" t="s">
        <v>22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7" t="s">
        <v>24</v>
      </c>
      <c r="B15" s="13">
        <v>120</v>
      </c>
      <c r="C15" s="9" t="s">
        <v>17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7" t="s">
        <v>25</v>
      </c>
      <c r="B16" s="8">
        <v>5000000</v>
      </c>
      <c r="C16" s="9" t="s">
        <v>26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7" t="s">
        <v>27</v>
      </c>
      <c r="B17" s="10">
        <v>20</v>
      </c>
      <c r="C17" s="9" t="s">
        <v>28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7" t="s">
        <v>29</v>
      </c>
      <c r="B18" s="15">
        <v>0</v>
      </c>
      <c r="C18" s="9" t="s">
        <v>30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7" t="s">
        <v>31</v>
      </c>
      <c r="B19" s="11">
        <f>ROUND(B17*12+B18,0)</f>
        <v>240</v>
      </c>
      <c r="C19" s="9" t="s">
        <v>32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7" t="s">
        <v>33</v>
      </c>
      <c r="B20" s="11">
        <f>MAX(0,B9-B15)</f>
        <v>300</v>
      </c>
      <c r="C20" s="9" t="s">
        <v>34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7" t="s">
        <v>35</v>
      </c>
      <c r="B21" s="16" t="s">
        <v>36</v>
      </c>
      <c r="C21" s="9" t="s">
        <v>37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</sheetData>
  <mergeCells count="5">
    <mergeCell ref="A1:F1"/>
    <mergeCell ref="A2:F3"/>
    <mergeCell ref="E6:F6"/>
    <mergeCell ref="E5:F5"/>
    <mergeCell ref="C5:D5"/>
  </mergeCells>
  <phoneticPr fontId="11"/>
  <dataValidations count="1">
    <dataValidation type="list" sqref="B13:B14" xr:uid="{00000000-0002-0000-0000-000000000000}">
      <formula1>"有効,無効"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05"/>
  <sheetViews>
    <sheetView showGridLines="0" workbookViewId="0"/>
  </sheetViews>
  <sheetFormatPr baseColWidth="10" defaultColWidth="8.83203125" defaultRowHeight="14"/>
  <cols>
    <col min="1" max="1" width="34" customWidth="1"/>
    <col min="2" max="5" width="24" customWidth="1"/>
  </cols>
  <sheetData>
    <row r="1" spans="1:26" ht="30" customHeight="1">
      <c r="A1" s="47" t="s">
        <v>38</v>
      </c>
      <c r="B1" s="47"/>
      <c r="C1" s="47"/>
      <c r="D1" s="47"/>
      <c r="E1" s="4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8" t="s">
        <v>1</v>
      </c>
      <c r="B2" s="49"/>
      <c r="C2" s="49"/>
      <c r="D2" s="49"/>
      <c r="E2" s="5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51"/>
      <c r="B3" s="52"/>
      <c r="C3" s="52"/>
      <c r="D3" s="52"/>
      <c r="E3" s="5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7" t="s">
        <v>25</v>
      </c>
      <c r="B6" s="18">
        <f>INDEX(何もしない_月次!$M$6:$M$605,入力!$B$15)</f>
        <v>0</v>
      </c>
      <c r="C6" s="18">
        <f>INDEX(方式1_月次!$M$6:$M$605,入力!$B$15)</f>
        <v>5000000</v>
      </c>
      <c r="D6" s="18">
        <f>INDEX(方式2_月次!$M$6:$M$605,入力!$B$15)</f>
        <v>5000000</v>
      </c>
      <c r="E6" s="18">
        <f>INDEX(方式3_月次!$M$6:$M$605,入力!$B$15)</f>
        <v>5000000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7" t="s">
        <v>44</v>
      </c>
      <c r="B7" s="18">
        <f>INDEX(何もしない_月次!$G$6:$G$605,MIN(600,入力!$B$15+1))</f>
        <v>121428</v>
      </c>
      <c r="C7" s="18">
        <f>INDEX(方式1_月次!$G$6:$G$605,MIN(600,入力!$B$15+1))</f>
        <v>117312</v>
      </c>
      <c r="D7" s="18">
        <f>INDEX(方式2_月次!$G$6:$G$605,MIN(600,入力!$B$15+1))</f>
        <v>98997</v>
      </c>
      <c r="E7" s="18">
        <f>INDEX(方式3_月次!$G$6:$G$605,MIN(600,入力!$B$15+1))</f>
        <v>116935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7" t="s">
        <v>45</v>
      </c>
      <c r="B8" s="19">
        <f>MAX(0,INDEX(何もしない_月次!$A$6:$A$605,IFERROR(MATCH("完済",何もしない_月次!$T$6:$T$605,0),MATCH("最終回清算",何もしない_月次!$T$6:$T$605,0)))-INDEX(何もしない_月次!$A$6:$A$605,IFERROR(MATCH("完済",何もしない_月次!$T$6:$T$605,0),MATCH("最終回清算",何もしない_月次!$T$6:$T$605,0))))</f>
        <v>0</v>
      </c>
      <c r="C8" s="19">
        <f>MAX(0,INDEX(何もしない_月次!$A$6:$A$605,IFERROR(MATCH("完済",何もしない_月次!$T$6:$T$605,0),MATCH("最終回清算",何もしない_月次!$T$6:$T$605,0)))-INDEX(方式1_月次!$A$6:$A$605,IFERROR(MATCH("完済",方式1_月次!$T$6:$T$605,0),MATCH("最終回清算",方式1_月次!$T$6:$T$605,0))))</f>
        <v>61</v>
      </c>
      <c r="D8" s="19">
        <f>MAX(0,INDEX(何もしない_月次!$A$6:$A$605,IFERROR(MATCH("完済",何もしない_月次!$T$6:$T$605,0),MATCH("最終回清算",何もしない_月次!$T$6:$T$605,0)))-INDEX(方式2_月次!$A$6:$A$605,IFERROR(MATCH("完済",方式2_月次!$T$6:$T$605,0),MATCH("最終回清算",方式2_月次!$T$6:$T$605,0))))</f>
        <v>0</v>
      </c>
      <c r="E8" s="19">
        <f>MAX(0,INDEX(何もしない_月次!$A$6:$A$605,IFERROR(MATCH("完済",何もしない_月次!$T$6:$T$605,0),MATCH("最終回清算",何もしない_月次!$T$6:$T$605,0)))-INDEX(方式3_月次!$A$6:$A$605,IFERROR(MATCH("完済",方式3_月次!$T$6:$T$605,0),MATCH("最終回清算",方式3_月次!$T$6:$T$605,0))))</f>
        <v>60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7" t="s">
        <v>46</v>
      </c>
      <c r="B9" s="20">
        <f>EDATE(入力!$B$6,INDEX(何もしない_月次!$A$6:$A$605,IFERROR(MATCH("完済",何もしない_月次!$T$6:$T$605,0),MATCH("最終回清算",何もしない_月次!$T$6:$T$605,0)))-1)</f>
        <v>58988</v>
      </c>
      <c r="C9" s="20">
        <f>EDATE(入力!$B$6,INDEX(方式1_月次!$A$6:$A$605,IFERROR(MATCH("完済",方式1_月次!$T$6:$T$605,0),MATCH("最終回清算",方式1_月次!$T$6:$T$605,0)))-1)</f>
        <v>57132</v>
      </c>
      <c r="D9" s="20">
        <f>EDATE(入力!$B$6,INDEX(方式2_月次!$A$6:$A$605,IFERROR(MATCH("完済",方式2_月次!$T$6:$T$605,0),MATCH("最終回清算",方式2_月次!$T$6:$T$605,0)))-1)</f>
        <v>58988</v>
      </c>
      <c r="E9" s="20">
        <f>EDATE(入力!$B$6,INDEX(方式3_月次!$A$6:$A$605,IFERROR(MATCH("完済",方式3_月次!$T$6:$T$605,0),MATCH("最終回清算",方式3_月次!$T$6:$T$605,0)))-1)</f>
        <v>57162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17" t="s">
        <v>47</v>
      </c>
      <c r="B10" s="18">
        <f>INDEX(何もしない_月次!$H$6:$H$605,IFERROR(MATCH("完済",何もしない_月次!$T$6:$T$605,0),MATCH("最終回清算",何もしない_月次!$T$6:$T$605,0)))</f>
        <v>121423</v>
      </c>
      <c r="C10" s="18">
        <f>INDEX(方式1_月次!$H$6:$H$605,IFERROR(MATCH("完済",方式1_月次!$T$6:$T$605,0),MATCH("最終回清算",方式1_月次!$T$6:$T$605,0)))</f>
        <v>117307</v>
      </c>
      <c r="D10" s="18">
        <f>INDEX(方式2_月次!$H$6:$H$605,IFERROR(MATCH("完済",方式2_月次!$T$6:$T$605,0),MATCH("最終回清算",方式2_月次!$T$6:$T$605,0)))</f>
        <v>98997</v>
      </c>
      <c r="E10" s="18">
        <f>INDEX(方式3_月次!$H$6:$H$605,IFERROR(MATCH("完済",方式3_月次!$T$6:$T$605,0),MATCH("最終回清算",方式3_月次!$T$6:$T$605,0)))</f>
        <v>116928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7" t="s">
        <v>48</v>
      </c>
      <c r="B11" s="18">
        <f>INDEX(何もしない_月次!$N$6:$N$605,IFERROR(MATCH("完済",何もしない_月次!$T$6:$T$605,0),MATCH("最終回清算",何もしない_月次!$T$6:$T$605,0)))</f>
        <v>0</v>
      </c>
      <c r="C11" s="18">
        <f>INDEX(方式1_月次!$N$6:$N$605,IFERROR(MATCH("完済",方式1_月次!$T$6:$T$605,0),MATCH("最終回清算",方式1_月次!$T$6:$T$605,0)))</f>
        <v>0</v>
      </c>
      <c r="D11" s="18">
        <f>INDEX(方式2_月次!$N$6:$N$605,IFERROR(MATCH("完済",方式2_月次!$T$6:$T$605,0),MATCH("最終回清算",方式2_月次!$T$6:$T$605,0)))</f>
        <v>6</v>
      </c>
      <c r="E11" s="18">
        <f>INDEX(方式3_月次!$N$6:$N$605,IFERROR(MATCH("完済",方式3_月次!$T$6:$T$605,0),MATCH("最終回清算",方式3_月次!$T$6:$T$605,0)))</f>
        <v>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7" t="s">
        <v>49</v>
      </c>
      <c r="B12" s="18">
        <f>INDEX(何もしない_月次!$K$6:$K$605,IFERROR(MATCH("完済",何もしない_月次!$T$6:$T$605,0),MATCH("最終回清算",何もしない_月次!$T$6:$T$605,0)))</f>
        <v>0</v>
      </c>
      <c r="C12" s="18">
        <f>INDEX(方式1_月次!$K$6:$K$605,IFERROR(MATCH("完済",方式1_月次!$T$6:$T$605,0),MATCH("最終回清算",方式1_月次!$T$6:$T$605,0)))</f>
        <v>0</v>
      </c>
      <c r="D12" s="18">
        <f>INDEX(方式2_月次!$K$6:$K$605,IFERROR(MATCH("完済",方式2_月次!$T$6:$T$605,0),MATCH("最終回清算",方式2_月次!$T$6:$T$605,0)))</f>
        <v>0</v>
      </c>
      <c r="E12" s="18">
        <f>INDEX(方式3_月次!$K$6:$K$605,IFERROR(MATCH("完済",方式3_月次!$T$6:$T$605,0),MATCH("最終回清算",方式3_月次!$T$6:$T$605,0)))</f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7" t="s">
        <v>50</v>
      </c>
      <c r="B13" s="18">
        <f>ROUND(B10+B11+B12,0)</f>
        <v>121423</v>
      </c>
      <c r="C13" s="18">
        <f>ROUND(C10+C11+C12,0)</f>
        <v>117307</v>
      </c>
      <c r="D13" s="18">
        <f>ROUND(D10+D11+D12,0)</f>
        <v>99003</v>
      </c>
      <c r="E13" s="18">
        <f>ROUND(E10+E11+E12,0)</f>
        <v>116928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7" t="s">
        <v>51</v>
      </c>
      <c r="B14" s="18">
        <f>INDEX(何もしない_月次!$O$6:$O$605,IFERROR(MATCH("完済",何もしない_月次!$T$6:$T$605,0),MATCH("最終回清算",何もしない_月次!$T$6:$T$605,0)))</f>
        <v>14115936</v>
      </c>
      <c r="C14" s="18">
        <f>INDEX(方式1_月次!$O$6:$O$605,IFERROR(MATCH("完済",方式1_月次!$T$6:$T$605,0),MATCH("最終回清算",方式1_月次!$T$6:$T$605,0)))</f>
        <v>10725103</v>
      </c>
      <c r="D14" s="18">
        <f>INDEX(方式2_月次!$O$6:$O$605,IFERROR(MATCH("完済",方式2_月次!$T$6:$T$605,0),MATCH("最終回清算",方式2_月次!$T$6:$T$605,0)))</f>
        <v>12386706</v>
      </c>
      <c r="E14" s="18">
        <f>INDEX(方式3_月次!$O$6:$O$605,IFERROR(MATCH("完済",方式3_月次!$T$6:$T$605,0),MATCH("最終回清算",方式3_月次!$T$6:$T$605,0)))</f>
        <v>10751874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7" t="s">
        <v>52</v>
      </c>
      <c r="B15" s="18">
        <f>ROUND($B$14-B14,0)</f>
        <v>0</v>
      </c>
      <c r="C15" s="18">
        <f>ROUND($B$14-C14,0)</f>
        <v>3390833</v>
      </c>
      <c r="D15" s="18">
        <f>ROUND($B$14-D14,0)</f>
        <v>1729230</v>
      </c>
      <c r="E15" s="18">
        <f>ROUND($B$14-E14,0)</f>
        <v>3364062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4" customHeight="1">
      <c r="A16" s="17" t="s">
        <v>53</v>
      </c>
      <c r="B16" s="21" t="s">
        <v>54</v>
      </c>
      <c r="C16" s="21" t="str">
        <f>IF(INDEX(方式1_月次!$S$6:$S$605,入力!$B$15)&lt;INDEX(方式1_月次!$S$6:$S$605,入力!$B$15-1),"期間短縮成立","短縮不可・未払利息発生")</f>
        <v>期間短縮成立</v>
      </c>
      <c r="D16" s="21" t="s">
        <v>54</v>
      </c>
      <c r="E16" s="21" t="s">
        <v>54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55" t="s">
        <v>55</v>
      </c>
      <c r="B18" s="55"/>
      <c r="C18" s="55"/>
      <c r="D18" s="55"/>
      <c r="E18" s="5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55"/>
      <c r="B19" s="55"/>
      <c r="C19" s="55"/>
      <c r="D19" s="55"/>
      <c r="E19" s="5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</sheetData>
  <mergeCells count="3">
    <mergeCell ref="A1:E1"/>
    <mergeCell ref="A2:E3"/>
    <mergeCell ref="A18:E19"/>
  </mergeCells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605"/>
  <sheetViews>
    <sheetView showGridLines="0" workbookViewId="0"/>
  </sheetViews>
  <sheetFormatPr baseColWidth="10" defaultColWidth="8.83203125" defaultRowHeight="14"/>
  <cols>
    <col min="1" max="1" width="7" customWidth="1"/>
    <col min="2" max="2" width="13" customWidth="1"/>
    <col min="3" max="6" width="15" customWidth="1"/>
    <col min="7" max="8" width="18" customWidth="1"/>
    <col min="9" max="15" width="15" customWidth="1"/>
    <col min="16" max="16" width="30" customWidth="1"/>
    <col min="17" max="17" width="12" customWidth="1"/>
    <col min="18" max="18" width="15" customWidth="1"/>
    <col min="19" max="19" width="13" customWidth="1"/>
    <col min="20" max="20" width="14" customWidth="1"/>
    <col min="21" max="27" width="2" customWidth="1"/>
  </cols>
  <sheetData>
    <row r="1" spans="1:27" ht="30" customHeight="1">
      <c r="A1" s="47" t="s">
        <v>56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2"/>
      <c r="V1" s="22"/>
      <c r="W1" s="22"/>
      <c r="X1" s="22"/>
      <c r="Y1" s="22"/>
      <c r="Z1" s="22"/>
      <c r="AA1" s="2"/>
    </row>
    <row r="2" spans="1:27" ht="24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3"/>
      <c r="V2" s="3"/>
      <c r="W2" s="3"/>
      <c r="X2" s="3"/>
      <c r="Y2" s="3"/>
      <c r="Z2" s="3"/>
    </row>
    <row r="3" spans="1:27" ht="24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3"/>
      <c r="V3" s="3"/>
      <c r="W3" s="3"/>
      <c r="X3" s="3"/>
      <c r="Y3" s="3"/>
      <c r="Z3" s="3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42" customHeight="1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25</v>
      </c>
      <c r="N5" s="1" t="s">
        <v>69</v>
      </c>
      <c r="O5" s="1" t="s">
        <v>70</v>
      </c>
      <c r="P5" s="1" t="s">
        <v>71</v>
      </c>
      <c r="Q5" s="1" t="s">
        <v>20</v>
      </c>
      <c r="R5" s="1" t="s">
        <v>72</v>
      </c>
      <c r="S5" s="1" t="s">
        <v>73</v>
      </c>
      <c r="T5" s="1" t="s">
        <v>74</v>
      </c>
      <c r="U5" s="1" t="s">
        <v>75</v>
      </c>
      <c r="V5" s="1" t="s">
        <v>76</v>
      </c>
      <c r="W5" s="1" t="s">
        <v>77</v>
      </c>
      <c r="X5" s="1" t="s">
        <v>78</v>
      </c>
      <c r="Y5" s="1" t="s">
        <v>79</v>
      </c>
      <c r="Z5" s="1" t="s">
        <v>80</v>
      </c>
      <c r="AA5" s="1" t="s">
        <v>81</v>
      </c>
    </row>
    <row r="6" spans="1:27">
      <c r="A6" s="23">
        <f>1</f>
        <v>1</v>
      </c>
      <c r="B6" s="24">
        <f>EDATE(入力!$B$6,A6-1)</f>
        <v>46235</v>
      </c>
      <c r="C6" s="25">
        <f>入力!$B$7</f>
        <v>35000000</v>
      </c>
      <c r="D6" s="25">
        <f>0</f>
        <v>0</v>
      </c>
      <c r="E6" s="26">
        <f>IF(TRUE,IF(A6&lt;入力!$B$11,入力!$B$10,入力!$B$12),0)</f>
        <v>7.0000000000000001E-3</v>
      </c>
      <c r="F6" s="25">
        <f>IF(TRUE,ROUND(C6*E6/12,0),0)</f>
        <v>20417</v>
      </c>
      <c r="G6" s="25">
        <f>ROUND(IF(E6=0,ROUND(入力!$B$7/入力!$B$9,0),ROUND(-PMT(E6/12,入力!$B$9,入力!$B$7),0)),0)</f>
        <v>93982</v>
      </c>
      <c r="H6" s="25">
        <f>IF(TRUE,ROUND(MIN(G6,C6+D6+F6),0),0)</f>
        <v>93982</v>
      </c>
      <c r="I6" s="25">
        <f>IF(TRUE,ROUND(MIN(H6,D6+F6),0),0)</f>
        <v>20417</v>
      </c>
      <c r="J6" s="25">
        <f>IF(TRUE,ROUND(F6-I6,0),0)</f>
        <v>0</v>
      </c>
      <c r="K6" s="25">
        <f>IF(TRUE,ROUND(D6+J6,0),0)</f>
        <v>0</v>
      </c>
      <c r="L6" s="25">
        <f>IF(TRUE,ROUND(H6-I6,0),0)</f>
        <v>73565</v>
      </c>
      <c r="M6" s="25">
        <f>0</f>
        <v>0</v>
      </c>
      <c r="N6" s="25">
        <f>IF(TRUE,ROUND(MAX(0,C6-L6-M6),0),0)</f>
        <v>34926435</v>
      </c>
      <c r="O6" s="25">
        <f>ROUND(F6,0)</f>
        <v>20417</v>
      </c>
      <c r="P6" s="27" t="str">
        <f>""</f>
        <v/>
      </c>
      <c r="Q6" s="28" t="str">
        <f>IF(TRUE,入力!$B$13,"")</f>
        <v>有効</v>
      </c>
      <c r="R6" s="25" t="str">
        <f>""</f>
        <v/>
      </c>
      <c r="S6" s="29">
        <f>入力!$B$9</f>
        <v>420</v>
      </c>
      <c r="T6" s="28" t="str">
        <f>IF(NOT(TRUE),"",IF(AND(N6=0,K6=0),"完済",IF(A6=S6,"最終回清算","")))</f>
        <v/>
      </c>
      <c r="U6" s="3">
        <f t="shared" ref="U6:U69" si="0">ABS(I6-MIN(H6,D6+F6))</f>
        <v>0</v>
      </c>
      <c r="V6" s="3">
        <f t="shared" ref="V6:V69" si="1">ABS(L6-(H6-I6))</f>
        <v>0</v>
      </c>
      <c r="W6" s="3">
        <f t="shared" ref="W6:W69" si="2">ABS(K6-(D6+J6))</f>
        <v>0</v>
      </c>
      <c r="X6" s="3">
        <f t="shared" ref="X6:X69" si="3">ABS(F6-ROUND(F6,0))+ABS(G6-ROUND(G6,0))+ABS(H6-ROUND(H6,0))+ABS(I6-ROUND(I6,0))+ABS(J6-ROUND(J6,0))+ABS(K6-ROUND(K6,0))+ABS(L6-ROUND(L6,0))+ABS(M6-ROUND(M6,0))+ABS(N6-ROUND(N6,0))+ABS(O6-ROUND(O6,0))</f>
        <v>0</v>
      </c>
      <c r="Y6" s="3">
        <f>0</f>
        <v>0</v>
      </c>
      <c r="Z6" s="3">
        <f t="shared" ref="Z6:Z69" si="4">SUM(--ISERROR(A6),--ISERROR(B6),--ISERROR(C6),--ISERROR(D6),--ISERROR(E6),--ISERROR(F6),--ISERROR(G6),--ISERROR(H6),--ISERROR(I6),--ISERROR(J6),--ISERROR(K6),--ISERROR(L6),--ISERROR(M6),--ISERROR(N6),--ISERROR(O6),--ISERROR(P6),--ISERROR(Q6),--ISERROR(R6),--ISERROR(S6),--ISERROR(T6))</f>
        <v>0</v>
      </c>
      <c r="AA6">
        <f>ROUND(IF(E6=0,ROUND(入力!$B$7/入力!$B$9,0),ROUND(-PMT(E6/12,入力!$B$9,入力!$B$7),0)),0)</f>
        <v>93982</v>
      </c>
    </row>
    <row r="7" spans="1:27">
      <c r="A7" s="30">
        <f>2</f>
        <v>2</v>
      </c>
      <c r="B7" s="31">
        <f>EDATE(入力!$B$6,A7-1)</f>
        <v>46266</v>
      </c>
      <c r="C7" s="32">
        <f t="shared" ref="C7:C70" si="5">IF(AND(T6="",A7&lt;=S6),N6,0)</f>
        <v>34926435</v>
      </c>
      <c r="D7" s="32">
        <f t="shared" ref="D7:D70" si="6">IF(AND(T6="",A7&lt;=S6),K6,0)</f>
        <v>0</v>
      </c>
      <c r="E7" s="33">
        <f>IF(AND(T6="",A7&lt;=S6),IF(A7&lt;入力!$B$11,入力!$B$10,入力!$B$12),0)</f>
        <v>7.0000000000000001E-3</v>
      </c>
      <c r="F7" s="32">
        <f t="shared" ref="F7:F70" si="7">IF(AND(T6="",A7&lt;=S6),ROUND(C7*E7/12,0),0)</f>
        <v>20374</v>
      </c>
      <c r="G7" s="32">
        <f>ROUND(IF(NOT(AND(T6="",A7&lt;=S6)),0,IF(FALSE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),0)</f>
        <v>93982</v>
      </c>
      <c r="H7" s="32">
        <f t="shared" ref="H7:H70" si="8">IF(AND(T6="",A7&lt;=S6),ROUND(MIN(G7,C7+D7+F7),0),0)</f>
        <v>93982</v>
      </c>
      <c r="I7" s="32">
        <f t="shared" ref="I7:I70" si="9">IF(AND(T6="",A7&lt;=S6),ROUND(MIN(H7,D7+F7),0),0)</f>
        <v>20374</v>
      </c>
      <c r="J7" s="32">
        <f t="shared" ref="J7:J70" si="10">IF(AND(T6="",A7&lt;=S6),ROUND(F7-I7,0),0)</f>
        <v>0</v>
      </c>
      <c r="K7" s="32">
        <f t="shared" ref="K7:K70" si="11">IF(AND(T6="",A7&lt;=S6),ROUND(D7+J7,0),0)</f>
        <v>0</v>
      </c>
      <c r="L7" s="32">
        <f t="shared" ref="L7:L70" si="12">IF(AND(T6="",A7&lt;=S6),ROUND(H7-I7,0),0)</f>
        <v>73608</v>
      </c>
      <c r="M7" s="32">
        <f>0</f>
        <v>0</v>
      </c>
      <c r="N7" s="32">
        <f t="shared" ref="N7:N70" si="13">IF(AND(T6="",A7&lt;=S6),ROUND(MAX(0,C7-L7-M7),0),0)</f>
        <v>34852827</v>
      </c>
      <c r="O7" s="32">
        <f t="shared" ref="O7:O70" si="14">IF(AND(T6="",A7&lt;=S6),ROUND(O6+F7,0),O6)</f>
        <v>40791</v>
      </c>
      <c r="P7" s="34" t="str">
        <f>IF(NOT(AND(T6="",A7&lt;=S6)),"",IF(FALSE,"繰上返済後再計算","")&amp;IF(AND(入力!$B$13="有効",A7&gt;1,MOD(A7-1,60)=0),IF(FALSE,"・","")&amp;"5年見直し","")&amp;IF(AND(A7=入力!$B$11,A7&gt;1),IF(OR(FALSE,AND(入力!$B$13="有効",A7&gt;1,MOD(A7-1,60)=0)),"・","")&amp;"金利変更","")&amp;IF(AND(OR(AND(入力!$B$13="有効",A7&gt;1,MOD(A7-1,60)=0),AND(A7=入力!$B$11,A7&gt;1)),入力!$B$14="有効",IF(E7=0,ROUND(C7/MAX(1,S6-A7+1),0),ROUND(-PMT(E7/12,MAX(1,S6-A7+1),C7),0))&gt;ROUND(G6*1.25,0),NOT(FALSE)),"・上限適用",""))</f>
        <v/>
      </c>
      <c r="Q7" s="35" t="str">
        <f>IF(AND(T6="",A7&lt;=S6),入力!$B$13,"")</f>
        <v>有効</v>
      </c>
      <c r="R7" s="32" t="str">
        <f>IF(AND(AND(T6="",A7&lt;=S6),OR(AND(入力!$B$13="有効",A7&gt;1,MOD(A7-1,60)=0),AND(A7=入力!$B$11,A7&gt;1)),入力!$B$14="有効"),ROUND(G6*1.25,0),"")</f>
        <v/>
      </c>
      <c r="S7" s="36">
        <f t="shared" ref="S7:S70" si="15">S6</f>
        <v>420</v>
      </c>
      <c r="T7" s="35" t="str">
        <f t="shared" ref="T7:T70" si="16">IF(NOT(AND(T6="",A7&lt;=S6)),"",IF(AND(N7=0,K7=0),"完済",IF(A7=S7,"最終回清算","")))</f>
        <v/>
      </c>
      <c r="U7" s="3">
        <f t="shared" si="0"/>
        <v>0</v>
      </c>
      <c r="V7" s="3">
        <f t="shared" si="1"/>
        <v>0</v>
      </c>
      <c r="W7" s="3">
        <f t="shared" si="2"/>
        <v>0</v>
      </c>
      <c r="X7" s="3">
        <f t="shared" si="3"/>
        <v>0</v>
      </c>
      <c r="Y7" s="3">
        <f>0</f>
        <v>0</v>
      </c>
      <c r="Z7" s="3">
        <f t="shared" si="4"/>
        <v>0</v>
      </c>
      <c r="AA7">
        <f>ROUND(IF(FALSE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,0)</f>
        <v>93982</v>
      </c>
    </row>
    <row r="8" spans="1:27">
      <c r="A8" s="30">
        <f>3</f>
        <v>3</v>
      </c>
      <c r="B8" s="31">
        <f>EDATE(入力!$B$6,A8-1)</f>
        <v>46296</v>
      </c>
      <c r="C8" s="32">
        <f t="shared" si="5"/>
        <v>34852827</v>
      </c>
      <c r="D8" s="32">
        <f t="shared" si="6"/>
        <v>0</v>
      </c>
      <c r="E8" s="33">
        <f>IF(AND(T7="",A8&lt;=S7),IF(A8&lt;入力!$B$11,入力!$B$10,入力!$B$12),0)</f>
        <v>7.0000000000000001E-3</v>
      </c>
      <c r="F8" s="32">
        <f t="shared" si="7"/>
        <v>20331</v>
      </c>
      <c r="G8" s="32">
        <f>ROUND(IF(NOT(AND(T7="",A8&lt;=S7)),0,IF(FALSE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),0)</f>
        <v>93982</v>
      </c>
      <c r="H8" s="32">
        <f t="shared" si="8"/>
        <v>93982</v>
      </c>
      <c r="I8" s="32">
        <f t="shared" si="9"/>
        <v>20331</v>
      </c>
      <c r="J8" s="32">
        <f t="shared" si="10"/>
        <v>0</v>
      </c>
      <c r="K8" s="32">
        <f t="shared" si="11"/>
        <v>0</v>
      </c>
      <c r="L8" s="32">
        <f t="shared" si="12"/>
        <v>73651</v>
      </c>
      <c r="M8" s="32">
        <f>0</f>
        <v>0</v>
      </c>
      <c r="N8" s="32">
        <f t="shared" si="13"/>
        <v>34779176</v>
      </c>
      <c r="O8" s="32">
        <f t="shared" si="14"/>
        <v>61122</v>
      </c>
      <c r="P8" s="34" t="str">
        <f>IF(NOT(AND(T7="",A8&lt;=S7)),"",IF(FALSE,"繰上返済後再計算","")&amp;IF(AND(入力!$B$13="有効",A8&gt;1,MOD(A8-1,60)=0),IF(FALSE,"・","")&amp;"5年見直し","")&amp;IF(AND(A8=入力!$B$11,A8&gt;1),IF(OR(FALSE,AND(入力!$B$13="有効",A8&gt;1,MOD(A8-1,60)=0)),"・","")&amp;"金利変更","")&amp;IF(AND(OR(AND(入力!$B$13="有効",A8&gt;1,MOD(A8-1,60)=0),AND(A8=入力!$B$11,A8&gt;1)),入力!$B$14="有効",IF(E8=0,ROUND(C8/MAX(1,S7-A8+1),0),ROUND(-PMT(E8/12,MAX(1,S7-A8+1),C8),0))&gt;ROUND(G7*1.25,0),NOT(FALSE)),"・上限適用",""))</f>
        <v/>
      </c>
      <c r="Q8" s="35" t="str">
        <f>IF(AND(T7="",A8&lt;=S7),入力!$B$13,"")</f>
        <v>有効</v>
      </c>
      <c r="R8" s="32" t="str">
        <f>IF(AND(AND(T7="",A8&lt;=S7),OR(AND(入力!$B$13="有効",A8&gt;1,MOD(A8-1,60)=0),AND(A8=入力!$B$11,A8&gt;1)),入力!$B$14="有効"),ROUND(G7*1.25,0),"")</f>
        <v/>
      </c>
      <c r="S8" s="36">
        <f t="shared" si="15"/>
        <v>420</v>
      </c>
      <c r="T8" s="35" t="str">
        <f t="shared" si="16"/>
        <v/>
      </c>
      <c r="U8" s="3">
        <f t="shared" si="0"/>
        <v>0</v>
      </c>
      <c r="V8" s="3">
        <f t="shared" si="1"/>
        <v>0</v>
      </c>
      <c r="W8" s="3">
        <f t="shared" si="2"/>
        <v>0</v>
      </c>
      <c r="X8" s="3">
        <f t="shared" si="3"/>
        <v>0</v>
      </c>
      <c r="Y8" s="3">
        <f>0</f>
        <v>0</v>
      </c>
      <c r="Z8" s="3">
        <f t="shared" si="4"/>
        <v>0</v>
      </c>
      <c r="AA8">
        <f>ROUND(IF(FALSE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,0)</f>
        <v>93982</v>
      </c>
    </row>
    <row r="9" spans="1:27">
      <c r="A9" s="30">
        <f>4</f>
        <v>4</v>
      </c>
      <c r="B9" s="31">
        <f>EDATE(入力!$B$6,A9-1)</f>
        <v>46327</v>
      </c>
      <c r="C9" s="32">
        <f t="shared" si="5"/>
        <v>34779176</v>
      </c>
      <c r="D9" s="32">
        <f t="shared" si="6"/>
        <v>0</v>
      </c>
      <c r="E9" s="33">
        <f>IF(AND(T8="",A9&lt;=S8),IF(A9&lt;入力!$B$11,入力!$B$10,入力!$B$12),0)</f>
        <v>7.0000000000000001E-3</v>
      </c>
      <c r="F9" s="32">
        <f t="shared" si="7"/>
        <v>20288</v>
      </c>
      <c r="G9" s="32">
        <f>ROUND(IF(NOT(AND(T8="",A9&lt;=S8)),0,IF(FALSE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),0)</f>
        <v>93982</v>
      </c>
      <c r="H9" s="32">
        <f t="shared" si="8"/>
        <v>93982</v>
      </c>
      <c r="I9" s="32">
        <f t="shared" si="9"/>
        <v>20288</v>
      </c>
      <c r="J9" s="32">
        <f t="shared" si="10"/>
        <v>0</v>
      </c>
      <c r="K9" s="32">
        <f t="shared" si="11"/>
        <v>0</v>
      </c>
      <c r="L9" s="32">
        <f t="shared" si="12"/>
        <v>73694</v>
      </c>
      <c r="M9" s="32">
        <f>0</f>
        <v>0</v>
      </c>
      <c r="N9" s="32">
        <f t="shared" si="13"/>
        <v>34705482</v>
      </c>
      <c r="O9" s="32">
        <f t="shared" si="14"/>
        <v>81410</v>
      </c>
      <c r="P9" s="34" t="str">
        <f>IF(NOT(AND(T8="",A9&lt;=S8)),"",IF(FALSE,"繰上返済後再計算","")&amp;IF(AND(入力!$B$13="有効",A9&gt;1,MOD(A9-1,60)=0),IF(FALSE,"・","")&amp;"5年見直し","")&amp;IF(AND(A9=入力!$B$11,A9&gt;1),IF(OR(FALSE,AND(入力!$B$13="有効",A9&gt;1,MOD(A9-1,60)=0)),"・","")&amp;"金利変更","")&amp;IF(AND(OR(AND(入力!$B$13="有効",A9&gt;1,MOD(A9-1,60)=0),AND(A9=入力!$B$11,A9&gt;1)),入力!$B$14="有効",IF(E9=0,ROUND(C9/MAX(1,S8-A9+1),0),ROUND(-PMT(E9/12,MAX(1,S8-A9+1),C9),0))&gt;ROUND(G8*1.25,0),NOT(FALSE)),"・上限適用",""))</f>
        <v/>
      </c>
      <c r="Q9" s="35" t="str">
        <f>IF(AND(T8="",A9&lt;=S8),入力!$B$13,"")</f>
        <v>有効</v>
      </c>
      <c r="R9" s="32" t="str">
        <f>IF(AND(AND(T8="",A9&lt;=S8),OR(AND(入力!$B$13="有効",A9&gt;1,MOD(A9-1,60)=0),AND(A9=入力!$B$11,A9&gt;1)),入力!$B$14="有効"),ROUND(G8*1.25,0),"")</f>
        <v/>
      </c>
      <c r="S9" s="36">
        <f t="shared" si="15"/>
        <v>420</v>
      </c>
      <c r="T9" s="35" t="str">
        <f t="shared" si="16"/>
        <v/>
      </c>
      <c r="U9" s="3">
        <f t="shared" si="0"/>
        <v>0</v>
      </c>
      <c r="V9" s="3">
        <f t="shared" si="1"/>
        <v>0</v>
      </c>
      <c r="W9" s="3">
        <f t="shared" si="2"/>
        <v>0</v>
      </c>
      <c r="X9" s="3">
        <f t="shared" si="3"/>
        <v>0</v>
      </c>
      <c r="Y9" s="3">
        <f>0</f>
        <v>0</v>
      </c>
      <c r="Z9" s="3">
        <f t="shared" si="4"/>
        <v>0</v>
      </c>
      <c r="AA9">
        <f>ROUND(IF(FALSE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,0)</f>
        <v>93982</v>
      </c>
    </row>
    <row r="10" spans="1:27">
      <c r="A10" s="30">
        <f>5</f>
        <v>5</v>
      </c>
      <c r="B10" s="31">
        <f>EDATE(入力!$B$6,A10-1)</f>
        <v>46357</v>
      </c>
      <c r="C10" s="32">
        <f t="shared" si="5"/>
        <v>34705482</v>
      </c>
      <c r="D10" s="32">
        <f t="shared" si="6"/>
        <v>0</v>
      </c>
      <c r="E10" s="33">
        <f>IF(AND(T9="",A10&lt;=S9),IF(A10&lt;入力!$B$11,入力!$B$10,入力!$B$12),0)</f>
        <v>7.0000000000000001E-3</v>
      </c>
      <c r="F10" s="32">
        <f t="shared" si="7"/>
        <v>20245</v>
      </c>
      <c r="G10" s="32">
        <f>ROUND(IF(NOT(AND(T9="",A10&lt;=S9)),0,IF(FALSE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),0)</f>
        <v>93982</v>
      </c>
      <c r="H10" s="32">
        <f t="shared" si="8"/>
        <v>93982</v>
      </c>
      <c r="I10" s="32">
        <f t="shared" si="9"/>
        <v>20245</v>
      </c>
      <c r="J10" s="32">
        <f t="shared" si="10"/>
        <v>0</v>
      </c>
      <c r="K10" s="32">
        <f t="shared" si="11"/>
        <v>0</v>
      </c>
      <c r="L10" s="32">
        <f t="shared" si="12"/>
        <v>73737</v>
      </c>
      <c r="M10" s="32">
        <f>0</f>
        <v>0</v>
      </c>
      <c r="N10" s="32">
        <f t="shared" si="13"/>
        <v>34631745</v>
      </c>
      <c r="O10" s="32">
        <f t="shared" si="14"/>
        <v>101655</v>
      </c>
      <c r="P10" s="34" t="str">
        <f>IF(NOT(AND(T9="",A10&lt;=S9)),"",IF(FALSE,"繰上返済後再計算","")&amp;IF(AND(入力!$B$13="有効",A10&gt;1,MOD(A10-1,60)=0),IF(FALSE,"・","")&amp;"5年見直し","")&amp;IF(AND(A10=入力!$B$11,A10&gt;1),IF(OR(FALSE,AND(入力!$B$13="有効",A10&gt;1,MOD(A10-1,60)=0)),"・","")&amp;"金利変更","")&amp;IF(AND(OR(AND(入力!$B$13="有効",A10&gt;1,MOD(A10-1,60)=0),AND(A10=入力!$B$11,A10&gt;1)),入力!$B$14="有効",IF(E10=0,ROUND(C10/MAX(1,S9-A10+1),0),ROUND(-PMT(E10/12,MAX(1,S9-A10+1),C10),0))&gt;ROUND(G9*1.25,0),NOT(FALSE)),"・上限適用",""))</f>
        <v/>
      </c>
      <c r="Q10" s="35" t="str">
        <f>IF(AND(T9="",A10&lt;=S9),入力!$B$13,"")</f>
        <v>有効</v>
      </c>
      <c r="R10" s="32" t="str">
        <f>IF(AND(AND(T9="",A10&lt;=S9),OR(AND(入力!$B$13="有効",A10&gt;1,MOD(A10-1,60)=0),AND(A10=入力!$B$11,A10&gt;1)),入力!$B$14="有効"),ROUND(G9*1.25,0),"")</f>
        <v/>
      </c>
      <c r="S10" s="36">
        <f t="shared" si="15"/>
        <v>420</v>
      </c>
      <c r="T10" s="35" t="str">
        <f t="shared" si="16"/>
        <v/>
      </c>
      <c r="U10" s="3">
        <f t="shared" si="0"/>
        <v>0</v>
      </c>
      <c r="V10" s="3">
        <f t="shared" si="1"/>
        <v>0</v>
      </c>
      <c r="W10" s="3">
        <f t="shared" si="2"/>
        <v>0</v>
      </c>
      <c r="X10" s="3">
        <f t="shared" si="3"/>
        <v>0</v>
      </c>
      <c r="Y10" s="3">
        <f>0</f>
        <v>0</v>
      </c>
      <c r="Z10" s="3">
        <f t="shared" si="4"/>
        <v>0</v>
      </c>
      <c r="AA10">
        <f>ROUND(IF(FALSE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,0)</f>
        <v>93982</v>
      </c>
    </row>
    <row r="11" spans="1:27">
      <c r="A11" s="30">
        <f>6</f>
        <v>6</v>
      </c>
      <c r="B11" s="31">
        <f>EDATE(入力!$B$6,A11-1)</f>
        <v>46388</v>
      </c>
      <c r="C11" s="32">
        <f t="shared" si="5"/>
        <v>34631745</v>
      </c>
      <c r="D11" s="32">
        <f t="shared" si="6"/>
        <v>0</v>
      </c>
      <c r="E11" s="33">
        <f>IF(AND(T10="",A11&lt;=S10),IF(A11&lt;入力!$B$11,入力!$B$10,入力!$B$12),0)</f>
        <v>7.0000000000000001E-3</v>
      </c>
      <c r="F11" s="32">
        <f t="shared" si="7"/>
        <v>20202</v>
      </c>
      <c r="G11" s="32">
        <f>ROUND(IF(NOT(AND(T10="",A11&lt;=S10)),0,IF(FALSE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),0)</f>
        <v>93982</v>
      </c>
      <c r="H11" s="32">
        <f t="shared" si="8"/>
        <v>93982</v>
      </c>
      <c r="I11" s="32">
        <f t="shared" si="9"/>
        <v>20202</v>
      </c>
      <c r="J11" s="32">
        <f t="shared" si="10"/>
        <v>0</v>
      </c>
      <c r="K11" s="32">
        <f t="shared" si="11"/>
        <v>0</v>
      </c>
      <c r="L11" s="32">
        <f t="shared" si="12"/>
        <v>73780</v>
      </c>
      <c r="M11" s="32">
        <f>0</f>
        <v>0</v>
      </c>
      <c r="N11" s="32">
        <f t="shared" si="13"/>
        <v>34557965</v>
      </c>
      <c r="O11" s="32">
        <f t="shared" si="14"/>
        <v>121857</v>
      </c>
      <c r="P11" s="34" t="str">
        <f>IF(NOT(AND(T10="",A11&lt;=S10)),"",IF(FALSE,"繰上返済後再計算","")&amp;IF(AND(入力!$B$13="有効",A11&gt;1,MOD(A11-1,60)=0),IF(FALSE,"・","")&amp;"5年見直し","")&amp;IF(AND(A11=入力!$B$11,A11&gt;1),IF(OR(FALSE,AND(入力!$B$13="有効",A11&gt;1,MOD(A11-1,60)=0)),"・","")&amp;"金利変更","")&amp;IF(AND(OR(AND(入力!$B$13="有効",A11&gt;1,MOD(A11-1,60)=0),AND(A11=入力!$B$11,A11&gt;1)),入力!$B$14="有効",IF(E11=0,ROUND(C11/MAX(1,S10-A11+1),0),ROUND(-PMT(E11/12,MAX(1,S10-A11+1),C11),0))&gt;ROUND(G10*1.25,0),NOT(FALSE)),"・上限適用",""))</f>
        <v/>
      </c>
      <c r="Q11" s="35" t="str">
        <f>IF(AND(T10="",A11&lt;=S10),入力!$B$13,"")</f>
        <v>有効</v>
      </c>
      <c r="R11" s="32" t="str">
        <f>IF(AND(AND(T10="",A11&lt;=S10),OR(AND(入力!$B$13="有効",A11&gt;1,MOD(A11-1,60)=0),AND(A11=入力!$B$11,A11&gt;1)),入力!$B$14="有効"),ROUND(G10*1.25,0),"")</f>
        <v/>
      </c>
      <c r="S11" s="36">
        <f t="shared" si="15"/>
        <v>420</v>
      </c>
      <c r="T11" s="35" t="str">
        <f t="shared" si="16"/>
        <v/>
      </c>
      <c r="U11" s="3">
        <f t="shared" si="0"/>
        <v>0</v>
      </c>
      <c r="V11" s="3">
        <f t="shared" si="1"/>
        <v>0</v>
      </c>
      <c r="W11" s="3">
        <f t="shared" si="2"/>
        <v>0</v>
      </c>
      <c r="X11" s="3">
        <f t="shared" si="3"/>
        <v>0</v>
      </c>
      <c r="Y11" s="3">
        <f>0</f>
        <v>0</v>
      </c>
      <c r="Z11" s="3">
        <f t="shared" si="4"/>
        <v>0</v>
      </c>
      <c r="AA11">
        <f>ROUND(IF(FALSE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,0)</f>
        <v>93982</v>
      </c>
    </row>
    <row r="12" spans="1:27">
      <c r="A12" s="30">
        <f>7</f>
        <v>7</v>
      </c>
      <c r="B12" s="31">
        <f>EDATE(入力!$B$6,A12-1)</f>
        <v>46419</v>
      </c>
      <c r="C12" s="32">
        <f t="shared" si="5"/>
        <v>34557965</v>
      </c>
      <c r="D12" s="32">
        <f t="shared" si="6"/>
        <v>0</v>
      </c>
      <c r="E12" s="33">
        <f>IF(AND(T11="",A12&lt;=S11),IF(A12&lt;入力!$B$11,入力!$B$10,入力!$B$12),0)</f>
        <v>7.0000000000000001E-3</v>
      </c>
      <c r="F12" s="32">
        <f t="shared" si="7"/>
        <v>20159</v>
      </c>
      <c r="G12" s="32">
        <f>ROUND(IF(NOT(AND(T11="",A12&lt;=S11)),0,IF(FALSE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),0)</f>
        <v>93982</v>
      </c>
      <c r="H12" s="32">
        <f t="shared" si="8"/>
        <v>93982</v>
      </c>
      <c r="I12" s="32">
        <f t="shared" si="9"/>
        <v>20159</v>
      </c>
      <c r="J12" s="32">
        <f t="shared" si="10"/>
        <v>0</v>
      </c>
      <c r="K12" s="32">
        <f t="shared" si="11"/>
        <v>0</v>
      </c>
      <c r="L12" s="32">
        <f t="shared" si="12"/>
        <v>73823</v>
      </c>
      <c r="M12" s="32">
        <f>0</f>
        <v>0</v>
      </c>
      <c r="N12" s="32">
        <f t="shared" si="13"/>
        <v>34484142</v>
      </c>
      <c r="O12" s="32">
        <f t="shared" si="14"/>
        <v>142016</v>
      </c>
      <c r="P12" s="34" t="str">
        <f>IF(NOT(AND(T11="",A12&lt;=S11)),"",IF(FALSE,"繰上返済後再計算","")&amp;IF(AND(入力!$B$13="有効",A12&gt;1,MOD(A12-1,60)=0),IF(FALSE,"・","")&amp;"5年見直し","")&amp;IF(AND(A12=入力!$B$11,A12&gt;1),IF(OR(FALSE,AND(入力!$B$13="有効",A12&gt;1,MOD(A12-1,60)=0)),"・","")&amp;"金利変更","")&amp;IF(AND(OR(AND(入力!$B$13="有効",A12&gt;1,MOD(A12-1,60)=0),AND(A12=入力!$B$11,A12&gt;1)),入力!$B$14="有効",IF(E12=0,ROUND(C12/MAX(1,S11-A12+1),0),ROUND(-PMT(E12/12,MAX(1,S11-A12+1),C12),0))&gt;ROUND(G11*1.25,0),NOT(FALSE)),"・上限適用",""))</f>
        <v/>
      </c>
      <c r="Q12" s="35" t="str">
        <f>IF(AND(T11="",A12&lt;=S11),入力!$B$13,"")</f>
        <v>有効</v>
      </c>
      <c r="R12" s="32" t="str">
        <f>IF(AND(AND(T11="",A12&lt;=S11),OR(AND(入力!$B$13="有効",A12&gt;1,MOD(A12-1,60)=0),AND(A12=入力!$B$11,A12&gt;1)),入力!$B$14="有効"),ROUND(G11*1.25,0),"")</f>
        <v/>
      </c>
      <c r="S12" s="36">
        <f t="shared" si="15"/>
        <v>420</v>
      </c>
      <c r="T12" s="35" t="str">
        <f t="shared" si="16"/>
        <v/>
      </c>
      <c r="U12" s="3">
        <f t="shared" si="0"/>
        <v>0</v>
      </c>
      <c r="V12" s="3">
        <f t="shared" si="1"/>
        <v>0</v>
      </c>
      <c r="W12" s="3">
        <f t="shared" si="2"/>
        <v>0</v>
      </c>
      <c r="X12" s="3">
        <f t="shared" si="3"/>
        <v>0</v>
      </c>
      <c r="Y12" s="3">
        <f>0</f>
        <v>0</v>
      </c>
      <c r="Z12" s="3">
        <f t="shared" si="4"/>
        <v>0</v>
      </c>
      <c r="AA12">
        <f>ROUND(IF(FALSE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,0)</f>
        <v>93982</v>
      </c>
    </row>
    <row r="13" spans="1:27">
      <c r="A13" s="30">
        <f>8</f>
        <v>8</v>
      </c>
      <c r="B13" s="31">
        <f>EDATE(入力!$B$6,A13-1)</f>
        <v>46447</v>
      </c>
      <c r="C13" s="32">
        <f t="shared" si="5"/>
        <v>34484142</v>
      </c>
      <c r="D13" s="32">
        <f t="shared" si="6"/>
        <v>0</v>
      </c>
      <c r="E13" s="33">
        <f>IF(AND(T12="",A13&lt;=S12),IF(A13&lt;入力!$B$11,入力!$B$10,入力!$B$12),0)</f>
        <v>7.0000000000000001E-3</v>
      </c>
      <c r="F13" s="32">
        <f t="shared" si="7"/>
        <v>20116</v>
      </c>
      <c r="G13" s="32">
        <f>ROUND(IF(NOT(AND(T12="",A13&lt;=S12)),0,IF(FALSE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),0)</f>
        <v>93982</v>
      </c>
      <c r="H13" s="32">
        <f t="shared" si="8"/>
        <v>93982</v>
      </c>
      <c r="I13" s="32">
        <f t="shared" si="9"/>
        <v>20116</v>
      </c>
      <c r="J13" s="32">
        <f t="shared" si="10"/>
        <v>0</v>
      </c>
      <c r="K13" s="32">
        <f t="shared" si="11"/>
        <v>0</v>
      </c>
      <c r="L13" s="32">
        <f t="shared" si="12"/>
        <v>73866</v>
      </c>
      <c r="M13" s="32">
        <f>0</f>
        <v>0</v>
      </c>
      <c r="N13" s="32">
        <f t="shared" si="13"/>
        <v>34410276</v>
      </c>
      <c r="O13" s="32">
        <f t="shared" si="14"/>
        <v>162132</v>
      </c>
      <c r="P13" s="34" t="str">
        <f>IF(NOT(AND(T12="",A13&lt;=S12)),"",IF(FALSE,"繰上返済後再計算","")&amp;IF(AND(入力!$B$13="有効",A13&gt;1,MOD(A13-1,60)=0),IF(FALSE,"・","")&amp;"5年見直し","")&amp;IF(AND(A13=入力!$B$11,A13&gt;1),IF(OR(FALSE,AND(入力!$B$13="有効",A13&gt;1,MOD(A13-1,60)=0)),"・","")&amp;"金利変更","")&amp;IF(AND(OR(AND(入力!$B$13="有効",A13&gt;1,MOD(A13-1,60)=0),AND(A13=入力!$B$11,A13&gt;1)),入力!$B$14="有効",IF(E13=0,ROUND(C13/MAX(1,S12-A13+1),0),ROUND(-PMT(E13/12,MAX(1,S12-A13+1),C13),0))&gt;ROUND(G12*1.25,0),NOT(FALSE)),"・上限適用",""))</f>
        <v/>
      </c>
      <c r="Q13" s="35" t="str">
        <f>IF(AND(T12="",A13&lt;=S12),入力!$B$13,"")</f>
        <v>有効</v>
      </c>
      <c r="R13" s="32" t="str">
        <f>IF(AND(AND(T12="",A13&lt;=S12),OR(AND(入力!$B$13="有効",A13&gt;1,MOD(A13-1,60)=0),AND(A13=入力!$B$11,A13&gt;1)),入力!$B$14="有効"),ROUND(G12*1.25,0),"")</f>
        <v/>
      </c>
      <c r="S13" s="36">
        <f t="shared" si="15"/>
        <v>420</v>
      </c>
      <c r="T13" s="35" t="str">
        <f t="shared" si="16"/>
        <v/>
      </c>
      <c r="U13" s="3">
        <f t="shared" si="0"/>
        <v>0</v>
      </c>
      <c r="V13" s="3">
        <f t="shared" si="1"/>
        <v>0</v>
      </c>
      <c r="W13" s="3">
        <f t="shared" si="2"/>
        <v>0</v>
      </c>
      <c r="X13" s="3">
        <f t="shared" si="3"/>
        <v>0</v>
      </c>
      <c r="Y13" s="3">
        <f>0</f>
        <v>0</v>
      </c>
      <c r="Z13" s="3">
        <f t="shared" si="4"/>
        <v>0</v>
      </c>
      <c r="AA13">
        <f>ROUND(IF(FALSE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,0)</f>
        <v>93982</v>
      </c>
    </row>
    <row r="14" spans="1:27">
      <c r="A14" s="30">
        <f>9</f>
        <v>9</v>
      </c>
      <c r="B14" s="31">
        <f>EDATE(入力!$B$6,A14-1)</f>
        <v>46478</v>
      </c>
      <c r="C14" s="32">
        <f t="shared" si="5"/>
        <v>34410276</v>
      </c>
      <c r="D14" s="32">
        <f t="shared" si="6"/>
        <v>0</v>
      </c>
      <c r="E14" s="33">
        <f>IF(AND(T13="",A14&lt;=S13),IF(A14&lt;入力!$B$11,入力!$B$10,入力!$B$12),0)</f>
        <v>7.0000000000000001E-3</v>
      </c>
      <c r="F14" s="32">
        <f t="shared" si="7"/>
        <v>20073</v>
      </c>
      <c r="G14" s="32">
        <f>ROUND(IF(NOT(AND(T13="",A14&lt;=S13)),0,IF(FALSE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),0)</f>
        <v>93982</v>
      </c>
      <c r="H14" s="32">
        <f t="shared" si="8"/>
        <v>93982</v>
      </c>
      <c r="I14" s="32">
        <f t="shared" si="9"/>
        <v>20073</v>
      </c>
      <c r="J14" s="32">
        <f t="shared" si="10"/>
        <v>0</v>
      </c>
      <c r="K14" s="32">
        <f t="shared" si="11"/>
        <v>0</v>
      </c>
      <c r="L14" s="32">
        <f t="shared" si="12"/>
        <v>73909</v>
      </c>
      <c r="M14" s="32">
        <f>0</f>
        <v>0</v>
      </c>
      <c r="N14" s="32">
        <f t="shared" si="13"/>
        <v>34336367</v>
      </c>
      <c r="O14" s="32">
        <f t="shared" si="14"/>
        <v>182205</v>
      </c>
      <c r="P14" s="34" t="str">
        <f>IF(NOT(AND(T13="",A14&lt;=S13)),"",IF(FALSE,"繰上返済後再計算","")&amp;IF(AND(入力!$B$13="有効",A14&gt;1,MOD(A14-1,60)=0),IF(FALSE,"・","")&amp;"5年見直し","")&amp;IF(AND(A14=入力!$B$11,A14&gt;1),IF(OR(FALSE,AND(入力!$B$13="有効",A14&gt;1,MOD(A14-1,60)=0)),"・","")&amp;"金利変更","")&amp;IF(AND(OR(AND(入力!$B$13="有効",A14&gt;1,MOD(A14-1,60)=0),AND(A14=入力!$B$11,A14&gt;1)),入力!$B$14="有効",IF(E14=0,ROUND(C14/MAX(1,S13-A14+1),0),ROUND(-PMT(E14/12,MAX(1,S13-A14+1),C14),0))&gt;ROUND(G13*1.25,0),NOT(FALSE)),"・上限適用",""))</f>
        <v/>
      </c>
      <c r="Q14" s="35" t="str">
        <f>IF(AND(T13="",A14&lt;=S13),入力!$B$13,"")</f>
        <v>有効</v>
      </c>
      <c r="R14" s="32" t="str">
        <f>IF(AND(AND(T13="",A14&lt;=S13),OR(AND(入力!$B$13="有効",A14&gt;1,MOD(A14-1,60)=0),AND(A14=入力!$B$11,A14&gt;1)),入力!$B$14="有効"),ROUND(G13*1.25,0),"")</f>
        <v/>
      </c>
      <c r="S14" s="36">
        <f t="shared" si="15"/>
        <v>420</v>
      </c>
      <c r="T14" s="35" t="str">
        <f t="shared" si="16"/>
        <v/>
      </c>
      <c r="U14" s="3">
        <f t="shared" si="0"/>
        <v>0</v>
      </c>
      <c r="V14" s="3">
        <f t="shared" si="1"/>
        <v>0</v>
      </c>
      <c r="W14" s="3">
        <f t="shared" si="2"/>
        <v>0</v>
      </c>
      <c r="X14" s="3">
        <f t="shared" si="3"/>
        <v>0</v>
      </c>
      <c r="Y14" s="3">
        <f>0</f>
        <v>0</v>
      </c>
      <c r="Z14" s="3">
        <f t="shared" si="4"/>
        <v>0</v>
      </c>
      <c r="AA14">
        <f>ROUND(IF(FALSE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,0)</f>
        <v>93982</v>
      </c>
    </row>
    <row r="15" spans="1:27">
      <c r="A15" s="30">
        <f>10</f>
        <v>10</v>
      </c>
      <c r="B15" s="31">
        <f>EDATE(入力!$B$6,A15-1)</f>
        <v>46508</v>
      </c>
      <c r="C15" s="32">
        <f t="shared" si="5"/>
        <v>34336367</v>
      </c>
      <c r="D15" s="32">
        <f t="shared" si="6"/>
        <v>0</v>
      </c>
      <c r="E15" s="33">
        <f>IF(AND(T14="",A15&lt;=S14),IF(A15&lt;入力!$B$11,入力!$B$10,入力!$B$12),0)</f>
        <v>7.0000000000000001E-3</v>
      </c>
      <c r="F15" s="32">
        <f t="shared" si="7"/>
        <v>20030</v>
      </c>
      <c r="G15" s="32">
        <f>ROUND(IF(NOT(AND(T14="",A15&lt;=S14)),0,IF(FALSE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),0)</f>
        <v>93982</v>
      </c>
      <c r="H15" s="32">
        <f t="shared" si="8"/>
        <v>93982</v>
      </c>
      <c r="I15" s="32">
        <f t="shared" si="9"/>
        <v>20030</v>
      </c>
      <c r="J15" s="32">
        <f t="shared" si="10"/>
        <v>0</v>
      </c>
      <c r="K15" s="32">
        <f t="shared" si="11"/>
        <v>0</v>
      </c>
      <c r="L15" s="32">
        <f t="shared" si="12"/>
        <v>73952</v>
      </c>
      <c r="M15" s="32">
        <f>0</f>
        <v>0</v>
      </c>
      <c r="N15" s="32">
        <f t="shared" si="13"/>
        <v>34262415</v>
      </c>
      <c r="O15" s="32">
        <f t="shared" si="14"/>
        <v>202235</v>
      </c>
      <c r="P15" s="34" t="str">
        <f>IF(NOT(AND(T14="",A15&lt;=S14)),"",IF(FALSE,"繰上返済後再計算","")&amp;IF(AND(入力!$B$13="有効",A15&gt;1,MOD(A15-1,60)=0),IF(FALSE,"・","")&amp;"5年見直し","")&amp;IF(AND(A15=入力!$B$11,A15&gt;1),IF(OR(FALSE,AND(入力!$B$13="有効",A15&gt;1,MOD(A15-1,60)=0)),"・","")&amp;"金利変更","")&amp;IF(AND(OR(AND(入力!$B$13="有効",A15&gt;1,MOD(A15-1,60)=0),AND(A15=入力!$B$11,A15&gt;1)),入力!$B$14="有効",IF(E15=0,ROUND(C15/MAX(1,S14-A15+1),0),ROUND(-PMT(E15/12,MAX(1,S14-A15+1),C15),0))&gt;ROUND(G14*1.25,0),NOT(FALSE)),"・上限適用",""))</f>
        <v/>
      </c>
      <c r="Q15" s="35" t="str">
        <f>IF(AND(T14="",A15&lt;=S14),入力!$B$13,"")</f>
        <v>有効</v>
      </c>
      <c r="R15" s="32" t="str">
        <f>IF(AND(AND(T14="",A15&lt;=S14),OR(AND(入力!$B$13="有効",A15&gt;1,MOD(A15-1,60)=0),AND(A15=入力!$B$11,A15&gt;1)),入力!$B$14="有効"),ROUND(G14*1.25,0),"")</f>
        <v/>
      </c>
      <c r="S15" s="36">
        <f t="shared" si="15"/>
        <v>420</v>
      </c>
      <c r="T15" s="35" t="str">
        <f t="shared" si="16"/>
        <v/>
      </c>
      <c r="U15" s="3">
        <f t="shared" si="0"/>
        <v>0</v>
      </c>
      <c r="V15" s="3">
        <f t="shared" si="1"/>
        <v>0</v>
      </c>
      <c r="W15" s="3">
        <f t="shared" si="2"/>
        <v>0</v>
      </c>
      <c r="X15" s="3">
        <f t="shared" si="3"/>
        <v>0</v>
      </c>
      <c r="Y15" s="3">
        <f>0</f>
        <v>0</v>
      </c>
      <c r="Z15" s="3">
        <f t="shared" si="4"/>
        <v>0</v>
      </c>
      <c r="AA15">
        <f>ROUND(IF(FALSE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,0)</f>
        <v>93982</v>
      </c>
    </row>
    <row r="16" spans="1:27">
      <c r="A16" s="30">
        <f>11</f>
        <v>11</v>
      </c>
      <c r="B16" s="31">
        <f>EDATE(入力!$B$6,A16-1)</f>
        <v>46539</v>
      </c>
      <c r="C16" s="32">
        <f t="shared" si="5"/>
        <v>34262415</v>
      </c>
      <c r="D16" s="32">
        <f t="shared" si="6"/>
        <v>0</v>
      </c>
      <c r="E16" s="33">
        <f>IF(AND(T15="",A16&lt;=S15),IF(A16&lt;入力!$B$11,入力!$B$10,入力!$B$12),0)</f>
        <v>7.0000000000000001E-3</v>
      </c>
      <c r="F16" s="32">
        <f t="shared" si="7"/>
        <v>19986</v>
      </c>
      <c r="G16" s="32">
        <f>ROUND(IF(NOT(AND(T15="",A16&lt;=S15)),0,IF(FALSE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),0)</f>
        <v>93982</v>
      </c>
      <c r="H16" s="32">
        <f t="shared" si="8"/>
        <v>93982</v>
      </c>
      <c r="I16" s="32">
        <f t="shared" si="9"/>
        <v>19986</v>
      </c>
      <c r="J16" s="32">
        <f t="shared" si="10"/>
        <v>0</v>
      </c>
      <c r="K16" s="32">
        <f t="shared" si="11"/>
        <v>0</v>
      </c>
      <c r="L16" s="32">
        <f t="shared" si="12"/>
        <v>73996</v>
      </c>
      <c r="M16" s="32">
        <f>0</f>
        <v>0</v>
      </c>
      <c r="N16" s="32">
        <f t="shared" si="13"/>
        <v>34188419</v>
      </c>
      <c r="O16" s="32">
        <f t="shared" si="14"/>
        <v>222221</v>
      </c>
      <c r="P16" s="34" t="str">
        <f>IF(NOT(AND(T15="",A16&lt;=S15)),"",IF(FALSE,"繰上返済後再計算","")&amp;IF(AND(入力!$B$13="有効",A16&gt;1,MOD(A16-1,60)=0),IF(FALSE,"・","")&amp;"5年見直し","")&amp;IF(AND(A16=入力!$B$11,A16&gt;1),IF(OR(FALSE,AND(入力!$B$13="有効",A16&gt;1,MOD(A16-1,60)=0)),"・","")&amp;"金利変更","")&amp;IF(AND(OR(AND(入力!$B$13="有効",A16&gt;1,MOD(A16-1,60)=0),AND(A16=入力!$B$11,A16&gt;1)),入力!$B$14="有効",IF(E16=0,ROUND(C16/MAX(1,S15-A16+1),0),ROUND(-PMT(E16/12,MAX(1,S15-A16+1),C16),0))&gt;ROUND(G15*1.25,0),NOT(FALSE)),"・上限適用",""))</f>
        <v/>
      </c>
      <c r="Q16" s="35" t="str">
        <f>IF(AND(T15="",A16&lt;=S15),入力!$B$13,"")</f>
        <v>有効</v>
      </c>
      <c r="R16" s="32" t="str">
        <f>IF(AND(AND(T15="",A16&lt;=S15),OR(AND(入力!$B$13="有効",A16&gt;1,MOD(A16-1,60)=0),AND(A16=入力!$B$11,A16&gt;1)),入力!$B$14="有効"),ROUND(G15*1.25,0),"")</f>
        <v/>
      </c>
      <c r="S16" s="36">
        <f t="shared" si="15"/>
        <v>420</v>
      </c>
      <c r="T16" s="35" t="str">
        <f t="shared" si="16"/>
        <v/>
      </c>
      <c r="U16" s="3">
        <f t="shared" si="0"/>
        <v>0</v>
      </c>
      <c r="V16" s="3">
        <f t="shared" si="1"/>
        <v>0</v>
      </c>
      <c r="W16" s="3">
        <f t="shared" si="2"/>
        <v>0</v>
      </c>
      <c r="X16" s="3">
        <f t="shared" si="3"/>
        <v>0</v>
      </c>
      <c r="Y16" s="3">
        <f>0</f>
        <v>0</v>
      </c>
      <c r="Z16" s="3">
        <f t="shared" si="4"/>
        <v>0</v>
      </c>
      <c r="AA16">
        <f>ROUND(IF(FALSE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,0)</f>
        <v>93982</v>
      </c>
    </row>
    <row r="17" spans="1:27">
      <c r="A17" s="30">
        <f>12</f>
        <v>12</v>
      </c>
      <c r="B17" s="31">
        <f>EDATE(入力!$B$6,A17-1)</f>
        <v>46569</v>
      </c>
      <c r="C17" s="32">
        <f t="shared" si="5"/>
        <v>34188419</v>
      </c>
      <c r="D17" s="32">
        <f t="shared" si="6"/>
        <v>0</v>
      </c>
      <c r="E17" s="33">
        <f>IF(AND(T16="",A17&lt;=S16),IF(A17&lt;入力!$B$11,入力!$B$10,入力!$B$12),0)</f>
        <v>7.0000000000000001E-3</v>
      </c>
      <c r="F17" s="32">
        <f t="shared" si="7"/>
        <v>19943</v>
      </c>
      <c r="G17" s="32">
        <f>ROUND(IF(NOT(AND(T16="",A17&lt;=S16)),0,IF(FALSE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),0)</f>
        <v>93982</v>
      </c>
      <c r="H17" s="32">
        <f t="shared" si="8"/>
        <v>93982</v>
      </c>
      <c r="I17" s="32">
        <f t="shared" si="9"/>
        <v>19943</v>
      </c>
      <c r="J17" s="32">
        <f t="shared" si="10"/>
        <v>0</v>
      </c>
      <c r="K17" s="32">
        <f t="shared" si="11"/>
        <v>0</v>
      </c>
      <c r="L17" s="32">
        <f t="shared" si="12"/>
        <v>74039</v>
      </c>
      <c r="M17" s="32">
        <f>0</f>
        <v>0</v>
      </c>
      <c r="N17" s="32">
        <f t="shared" si="13"/>
        <v>34114380</v>
      </c>
      <c r="O17" s="32">
        <f t="shared" si="14"/>
        <v>242164</v>
      </c>
      <c r="P17" s="34" t="str">
        <f>IF(NOT(AND(T16="",A17&lt;=S16)),"",IF(FALSE,"繰上返済後再計算","")&amp;IF(AND(入力!$B$13="有効",A17&gt;1,MOD(A17-1,60)=0),IF(FALSE,"・","")&amp;"5年見直し","")&amp;IF(AND(A17=入力!$B$11,A17&gt;1),IF(OR(FALSE,AND(入力!$B$13="有効",A17&gt;1,MOD(A17-1,60)=0)),"・","")&amp;"金利変更","")&amp;IF(AND(OR(AND(入力!$B$13="有効",A17&gt;1,MOD(A17-1,60)=0),AND(A17=入力!$B$11,A17&gt;1)),入力!$B$14="有効",IF(E17=0,ROUND(C17/MAX(1,S16-A17+1),0),ROUND(-PMT(E17/12,MAX(1,S16-A17+1),C17),0))&gt;ROUND(G16*1.25,0),NOT(FALSE)),"・上限適用",""))</f>
        <v/>
      </c>
      <c r="Q17" s="35" t="str">
        <f>IF(AND(T16="",A17&lt;=S16),入力!$B$13,"")</f>
        <v>有効</v>
      </c>
      <c r="R17" s="32" t="str">
        <f>IF(AND(AND(T16="",A17&lt;=S16),OR(AND(入力!$B$13="有効",A17&gt;1,MOD(A17-1,60)=0),AND(A17=入力!$B$11,A17&gt;1)),入力!$B$14="有効"),ROUND(G16*1.25,0),"")</f>
        <v/>
      </c>
      <c r="S17" s="36">
        <f t="shared" si="15"/>
        <v>420</v>
      </c>
      <c r="T17" s="35" t="str">
        <f t="shared" si="16"/>
        <v/>
      </c>
      <c r="U17" s="3">
        <f t="shared" si="0"/>
        <v>0</v>
      </c>
      <c r="V17" s="3">
        <f t="shared" si="1"/>
        <v>0</v>
      </c>
      <c r="W17" s="3">
        <f t="shared" si="2"/>
        <v>0</v>
      </c>
      <c r="X17" s="3">
        <f t="shared" si="3"/>
        <v>0</v>
      </c>
      <c r="Y17" s="3">
        <f>0</f>
        <v>0</v>
      </c>
      <c r="Z17" s="3">
        <f t="shared" si="4"/>
        <v>0</v>
      </c>
      <c r="AA17">
        <f>ROUND(IF(FALSE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,0)</f>
        <v>93982</v>
      </c>
    </row>
    <row r="18" spans="1:27">
      <c r="A18" s="30">
        <f>13</f>
        <v>13</v>
      </c>
      <c r="B18" s="31">
        <f>EDATE(入力!$B$6,A18-1)</f>
        <v>46600</v>
      </c>
      <c r="C18" s="32">
        <f t="shared" si="5"/>
        <v>34114380</v>
      </c>
      <c r="D18" s="32">
        <f t="shared" si="6"/>
        <v>0</v>
      </c>
      <c r="E18" s="33">
        <f>IF(AND(T17="",A18&lt;=S17),IF(A18&lt;入力!$B$11,入力!$B$10,入力!$B$12),0)</f>
        <v>7.0000000000000001E-3</v>
      </c>
      <c r="F18" s="32">
        <f t="shared" si="7"/>
        <v>19900</v>
      </c>
      <c r="G18" s="32">
        <f>ROUND(IF(NOT(AND(T17="",A18&lt;=S17)),0,IF(FALSE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),0)</f>
        <v>93982</v>
      </c>
      <c r="H18" s="32">
        <f t="shared" si="8"/>
        <v>93982</v>
      </c>
      <c r="I18" s="32">
        <f t="shared" si="9"/>
        <v>19900</v>
      </c>
      <c r="J18" s="32">
        <f t="shared" si="10"/>
        <v>0</v>
      </c>
      <c r="K18" s="32">
        <f t="shared" si="11"/>
        <v>0</v>
      </c>
      <c r="L18" s="32">
        <f t="shared" si="12"/>
        <v>74082</v>
      </c>
      <c r="M18" s="32">
        <f>0</f>
        <v>0</v>
      </c>
      <c r="N18" s="32">
        <f t="shared" si="13"/>
        <v>34040298</v>
      </c>
      <c r="O18" s="32">
        <f t="shared" si="14"/>
        <v>262064</v>
      </c>
      <c r="P18" s="34" t="str">
        <f>IF(NOT(AND(T17="",A18&lt;=S17)),"",IF(FALSE,"繰上返済後再計算","")&amp;IF(AND(入力!$B$13="有効",A18&gt;1,MOD(A18-1,60)=0),IF(FALSE,"・","")&amp;"5年見直し","")&amp;IF(AND(A18=入力!$B$11,A18&gt;1),IF(OR(FALSE,AND(入力!$B$13="有効",A18&gt;1,MOD(A18-1,60)=0)),"・","")&amp;"金利変更","")&amp;IF(AND(OR(AND(入力!$B$13="有効",A18&gt;1,MOD(A18-1,60)=0),AND(A18=入力!$B$11,A18&gt;1)),入力!$B$14="有効",IF(E18=0,ROUND(C18/MAX(1,S17-A18+1),0),ROUND(-PMT(E18/12,MAX(1,S17-A18+1),C18),0))&gt;ROUND(G17*1.25,0),NOT(FALSE)),"・上限適用",""))</f>
        <v/>
      </c>
      <c r="Q18" s="35" t="str">
        <f>IF(AND(T17="",A18&lt;=S17),入力!$B$13,"")</f>
        <v>有効</v>
      </c>
      <c r="R18" s="32" t="str">
        <f>IF(AND(AND(T17="",A18&lt;=S17),OR(AND(入力!$B$13="有効",A18&gt;1,MOD(A18-1,60)=0),AND(A18=入力!$B$11,A18&gt;1)),入力!$B$14="有効"),ROUND(G17*1.25,0),"")</f>
        <v/>
      </c>
      <c r="S18" s="36">
        <f t="shared" si="15"/>
        <v>420</v>
      </c>
      <c r="T18" s="35" t="str">
        <f t="shared" si="16"/>
        <v/>
      </c>
      <c r="U18" s="3">
        <f t="shared" si="0"/>
        <v>0</v>
      </c>
      <c r="V18" s="3">
        <f t="shared" si="1"/>
        <v>0</v>
      </c>
      <c r="W18" s="3">
        <f t="shared" si="2"/>
        <v>0</v>
      </c>
      <c r="X18" s="3">
        <f t="shared" si="3"/>
        <v>0</v>
      </c>
      <c r="Y18" s="3">
        <f>0</f>
        <v>0</v>
      </c>
      <c r="Z18" s="3">
        <f t="shared" si="4"/>
        <v>0</v>
      </c>
      <c r="AA18">
        <f>ROUND(IF(FALSE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,0)</f>
        <v>93982</v>
      </c>
    </row>
    <row r="19" spans="1:27">
      <c r="A19" s="30">
        <f>14</f>
        <v>14</v>
      </c>
      <c r="B19" s="31">
        <f>EDATE(入力!$B$6,A19-1)</f>
        <v>46631</v>
      </c>
      <c r="C19" s="32">
        <f t="shared" si="5"/>
        <v>34040298</v>
      </c>
      <c r="D19" s="32">
        <f t="shared" si="6"/>
        <v>0</v>
      </c>
      <c r="E19" s="33">
        <f>IF(AND(T18="",A19&lt;=S18),IF(A19&lt;入力!$B$11,入力!$B$10,入力!$B$12),0)</f>
        <v>7.0000000000000001E-3</v>
      </c>
      <c r="F19" s="32">
        <f t="shared" si="7"/>
        <v>19857</v>
      </c>
      <c r="G19" s="32">
        <f>ROUND(IF(NOT(AND(T18="",A19&lt;=S18)),0,IF(FALSE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),0)</f>
        <v>93982</v>
      </c>
      <c r="H19" s="32">
        <f t="shared" si="8"/>
        <v>93982</v>
      </c>
      <c r="I19" s="32">
        <f t="shared" si="9"/>
        <v>19857</v>
      </c>
      <c r="J19" s="32">
        <f t="shared" si="10"/>
        <v>0</v>
      </c>
      <c r="K19" s="32">
        <f t="shared" si="11"/>
        <v>0</v>
      </c>
      <c r="L19" s="32">
        <f t="shared" si="12"/>
        <v>74125</v>
      </c>
      <c r="M19" s="32">
        <f>0</f>
        <v>0</v>
      </c>
      <c r="N19" s="32">
        <f t="shared" si="13"/>
        <v>33966173</v>
      </c>
      <c r="O19" s="32">
        <f t="shared" si="14"/>
        <v>281921</v>
      </c>
      <c r="P19" s="34" t="str">
        <f>IF(NOT(AND(T18="",A19&lt;=S18)),"",IF(FALSE,"繰上返済後再計算","")&amp;IF(AND(入力!$B$13="有効",A19&gt;1,MOD(A19-1,60)=0),IF(FALSE,"・","")&amp;"5年見直し","")&amp;IF(AND(A19=入力!$B$11,A19&gt;1),IF(OR(FALSE,AND(入力!$B$13="有効",A19&gt;1,MOD(A19-1,60)=0)),"・","")&amp;"金利変更","")&amp;IF(AND(OR(AND(入力!$B$13="有効",A19&gt;1,MOD(A19-1,60)=0),AND(A19=入力!$B$11,A19&gt;1)),入力!$B$14="有効",IF(E19=0,ROUND(C19/MAX(1,S18-A19+1),0),ROUND(-PMT(E19/12,MAX(1,S18-A19+1),C19),0))&gt;ROUND(G18*1.25,0),NOT(FALSE)),"・上限適用",""))</f>
        <v/>
      </c>
      <c r="Q19" s="35" t="str">
        <f>IF(AND(T18="",A19&lt;=S18),入力!$B$13,"")</f>
        <v>有効</v>
      </c>
      <c r="R19" s="32" t="str">
        <f>IF(AND(AND(T18="",A19&lt;=S18),OR(AND(入力!$B$13="有効",A19&gt;1,MOD(A19-1,60)=0),AND(A19=入力!$B$11,A19&gt;1)),入力!$B$14="有効"),ROUND(G18*1.25,0),"")</f>
        <v/>
      </c>
      <c r="S19" s="36">
        <f t="shared" si="15"/>
        <v>420</v>
      </c>
      <c r="T19" s="35" t="str">
        <f t="shared" si="16"/>
        <v/>
      </c>
      <c r="U19" s="3">
        <f t="shared" si="0"/>
        <v>0</v>
      </c>
      <c r="V19" s="3">
        <f t="shared" si="1"/>
        <v>0</v>
      </c>
      <c r="W19" s="3">
        <f t="shared" si="2"/>
        <v>0</v>
      </c>
      <c r="X19" s="3">
        <f t="shared" si="3"/>
        <v>0</v>
      </c>
      <c r="Y19" s="3">
        <f>0</f>
        <v>0</v>
      </c>
      <c r="Z19" s="3">
        <f t="shared" si="4"/>
        <v>0</v>
      </c>
      <c r="AA19">
        <f>ROUND(IF(FALSE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,0)</f>
        <v>93982</v>
      </c>
    </row>
    <row r="20" spans="1:27">
      <c r="A20" s="30">
        <f>15</f>
        <v>15</v>
      </c>
      <c r="B20" s="31">
        <f>EDATE(入力!$B$6,A20-1)</f>
        <v>46661</v>
      </c>
      <c r="C20" s="32">
        <f t="shared" si="5"/>
        <v>33966173</v>
      </c>
      <c r="D20" s="32">
        <f t="shared" si="6"/>
        <v>0</v>
      </c>
      <c r="E20" s="33">
        <f>IF(AND(T19="",A20&lt;=S19),IF(A20&lt;入力!$B$11,入力!$B$10,入力!$B$12),0)</f>
        <v>7.0000000000000001E-3</v>
      </c>
      <c r="F20" s="32">
        <f t="shared" si="7"/>
        <v>19814</v>
      </c>
      <c r="G20" s="32">
        <f>ROUND(IF(NOT(AND(T19="",A20&lt;=S19)),0,IF(FALSE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),0)</f>
        <v>93982</v>
      </c>
      <c r="H20" s="32">
        <f t="shared" si="8"/>
        <v>93982</v>
      </c>
      <c r="I20" s="32">
        <f t="shared" si="9"/>
        <v>19814</v>
      </c>
      <c r="J20" s="32">
        <f t="shared" si="10"/>
        <v>0</v>
      </c>
      <c r="K20" s="32">
        <f t="shared" si="11"/>
        <v>0</v>
      </c>
      <c r="L20" s="32">
        <f t="shared" si="12"/>
        <v>74168</v>
      </c>
      <c r="M20" s="32">
        <f>0</f>
        <v>0</v>
      </c>
      <c r="N20" s="32">
        <f t="shared" si="13"/>
        <v>33892005</v>
      </c>
      <c r="O20" s="32">
        <f t="shared" si="14"/>
        <v>301735</v>
      </c>
      <c r="P20" s="34" t="str">
        <f>IF(NOT(AND(T19="",A20&lt;=S19)),"",IF(FALSE,"繰上返済後再計算","")&amp;IF(AND(入力!$B$13="有効",A20&gt;1,MOD(A20-1,60)=0),IF(FALSE,"・","")&amp;"5年見直し","")&amp;IF(AND(A20=入力!$B$11,A20&gt;1),IF(OR(FALSE,AND(入力!$B$13="有効",A20&gt;1,MOD(A20-1,60)=0)),"・","")&amp;"金利変更","")&amp;IF(AND(OR(AND(入力!$B$13="有効",A20&gt;1,MOD(A20-1,60)=0),AND(A20=入力!$B$11,A20&gt;1)),入力!$B$14="有効",IF(E20=0,ROUND(C20/MAX(1,S19-A20+1),0),ROUND(-PMT(E20/12,MAX(1,S19-A20+1),C20),0))&gt;ROUND(G19*1.25,0),NOT(FALSE)),"・上限適用",""))</f>
        <v/>
      </c>
      <c r="Q20" s="35" t="str">
        <f>IF(AND(T19="",A20&lt;=S19),入力!$B$13,"")</f>
        <v>有効</v>
      </c>
      <c r="R20" s="32" t="str">
        <f>IF(AND(AND(T19="",A20&lt;=S19),OR(AND(入力!$B$13="有効",A20&gt;1,MOD(A20-1,60)=0),AND(A20=入力!$B$11,A20&gt;1)),入力!$B$14="有効"),ROUND(G19*1.25,0),"")</f>
        <v/>
      </c>
      <c r="S20" s="36">
        <f t="shared" si="15"/>
        <v>420</v>
      </c>
      <c r="T20" s="35" t="str">
        <f t="shared" si="16"/>
        <v/>
      </c>
      <c r="U20" s="3">
        <f t="shared" si="0"/>
        <v>0</v>
      </c>
      <c r="V20" s="3">
        <f t="shared" si="1"/>
        <v>0</v>
      </c>
      <c r="W20" s="3">
        <f t="shared" si="2"/>
        <v>0</v>
      </c>
      <c r="X20" s="3">
        <f t="shared" si="3"/>
        <v>0</v>
      </c>
      <c r="Y20" s="3">
        <f>0</f>
        <v>0</v>
      </c>
      <c r="Z20" s="3">
        <f t="shared" si="4"/>
        <v>0</v>
      </c>
      <c r="AA20">
        <f>ROUND(IF(FALSE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,0)</f>
        <v>93982</v>
      </c>
    </row>
    <row r="21" spans="1:27">
      <c r="A21" s="30">
        <f>16</f>
        <v>16</v>
      </c>
      <c r="B21" s="31">
        <f>EDATE(入力!$B$6,A21-1)</f>
        <v>46692</v>
      </c>
      <c r="C21" s="32">
        <f t="shared" si="5"/>
        <v>33892005</v>
      </c>
      <c r="D21" s="32">
        <f t="shared" si="6"/>
        <v>0</v>
      </c>
      <c r="E21" s="33">
        <f>IF(AND(T20="",A21&lt;=S20),IF(A21&lt;入力!$B$11,入力!$B$10,入力!$B$12),0)</f>
        <v>7.0000000000000001E-3</v>
      </c>
      <c r="F21" s="32">
        <f t="shared" si="7"/>
        <v>19770</v>
      </c>
      <c r="G21" s="32">
        <f>ROUND(IF(NOT(AND(T20="",A21&lt;=S20)),0,IF(FALSE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),0)</f>
        <v>93982</v>
      </c>
      <c r="H21" s="32">
        <f t="shared" si="8"/>
        <v>93982</v>
      </c>
      <c r="I21" s="32">
        <f t="shared" si="9"/>
        <v>19770</v>
      </c>
      <c r="J21" s="32">
        <f t="shared" si="10"/>
        <v>0</v>
      </c>
      <c r="K21" s="32">
        <f t="shared" si="11"/>
        <v>0</v>
      </c>
      <c r="L21" s="32">
        <f t="shared" si="12"/>
        <v>74212</v>
      </c>
      <c r="M21" s="32">
        <f>0</f>
        <v>0</v>
      </c>
      <c r="N21" s="32">
        <f t="shared" si="13"/>
        <v>33817793</v>
      </c>
      <c r="O21" s="32">
        <f t="shared" si="14"/>
        <v>321505</v>
      </c>
      <c r="P21" s="34" t="str">
        <f>IF(NOT(AND(T20="",A21&lt;=S20)),"",IF(FALSE,"繰上返済後再計算","")&amp;IF(AND(入力!$B$13="有効",A21&gt;1,MOD(A21-1,60)=0),IF(FALSE,"・","")&amp;"5年見直し","")&amp;IF(AND(A21=入力!$B$11,A21&gt;1),IF(OR(FALSE,AND(入力!$B$13="有効",A21&gt;1,MOD(A21-1,60)=0)),"・","")&amp;"金利変更","")&amp;IF(AND(OR(AND(入力!$B$13="有効",A21&gt;1,MOD(A21-1,60)=0),AND(A21=入力!$B$11,A21&gt;1)),入力!$B$14="有効",IF(E21=0,ROUND(C21/MAX(1,S20-A21+1),0),ROUND(-PMT(E21/12,MAX(1,S20-A21+1),C21),0))&gt;ROUND(G20*1.25,0),NOT(FALSE)),"・上限適用",""))</f>
        <v/>
      </c>
      <c r="Q21" s="35" t="str">
        <f>IF(AND(T20="",A21&lt;=S20),入力!$B$13,"")</f>
        <v>有効</v>
      </c>
      <c r="R21" s="32" t="str">
        <f>IF(AND(AND(T20="",A21&lt;=S20),OR(AND(入力!$B$13="有効",A21&gt;1,MOD(A21-1,60)=0),AND(A21=入力!$B$11,A21&gt;1)),入力!$B$14="有効"),ROUND(G20*1.25,0),"")</f>
        <v/>
      </c>
      <c r="S21" s="36">
        <f t="shared" si="15"/>
        <v>420</v>
      </c>
      <c r="T21" s="35" t="str">
        <f t="shared" si="16"/>
        <v/>
      </c>
      <c r="U21" s="3">
        <f t="shared" si="0"/>
        <v>0</v>
      </c>
      <c r="V21" s="3">
        <f t="shared" si="1"/>
        <v>0</v>
      </c>
      <c r="W21" s="3">
        <f t="shared" si="2"/>
        <v>0</v>
      </c>
      <c r="X21" s="3">
        <f t="shared" si="3"/>
        <v>0</v>
      </c>
      <c r="Y21" s="3">
        <f>0</f>
        <v>0</v>
      </c>
      <c r="Z21" s="3">
        <f t="shared" si="4"/>
        <v>0</v>
      </c>
      <c r="AA21">
        <f>ROUND(IF(FALSE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,0)</f>
        <v>93982</v>
      </c>
    </row>
    <row r="22" spans="1:27">
      <c r="A22" s="30">
        <f>17</f>
        <v>17</v>
      </c>
      <c r="B22" s="31">
        <f>EDATE(入力!$B$6,A22-1)</f>
        <v>46722</v>
      </c>
      <c r="C22" s="32">
        <f t="shared" si="5"/>
        <v>33817793</v>
      </c>
      <c r="D22" s="32">
        <f t="shared" si="6"/>
        <v>0</v>
      </c>
      <c r="E22" s="33">
        <f>IF(AND(T21="",A22&lt;=S21),IF(A22&lt;入力!$B$11,入力!$B$10,入力!$B$12),0)</f>
        <v>7.0000000000000001E-3</v>
      </c>
      <c r="F22" s="32">
        <f t="shared" si="7"/>
        <v>19727</v>
      </c>
      <c r="G22" s="32">
        <f>ROUND(IF(NOT(AND(T21="",A22&lt;=S21)),0,IF(FALSE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),0)</f>
        <v>93982</v>
      </c>
      <c r="H22" s="32">
        <f t="shared" si="8"/>
        <v>93982</v>
      </c>
      <c r="I22" s="32">
        <f t="shared" si="9"/>
        <v>19727</v>
      </c>
      <c r="J22" s="32">
        <f t="shared" si="10"/>
        <v>0</v>
      </c>
      <c r="K22" s="32">
        <f t="shared" si="11"/>
        <v>0</v>
      </c>
      <c r="L22" s="32">
        <f t="shared" si="12"/>
        <v>74255</v>
      </c>
      <c r="M22" s="32">
        <f>0</f>
        <v>0</v>
      </c>
      <c r="N22" s="32">
        <f t="shared" si="13"/>
        <v>33743538</v>
      </c>
      <c r="O22" s="32">
        <f t="shared" si="14"/>
        <v>341232</v>
      </c>
      <c r="P22" s="34" t="str">
        <f>IF(NOT(AND(T21="",A22&lt;=S21)),"",IF(FALSE,"繰上返済後再計算","")&amp;IF(AND(入力!$B$13="有効",A22&gt;1,MOD(A22-1,60)=0),IF(FALSE,"・","")&amp;"5年見直し","")&amp;IF(AND(A22=入力!$B$11,A22&gt;1),IF(OR(FALSE,AND(入力!$B$13="有効",A22&gt;1,MOD(A22-1,60)=0)),"・","")&amp;"金利変更","")&amp;IF(AND(OR(AND(入力!$B$13="有効",A22&gt;1,MOD(A22-1,60)=0),AND(A22=入力!$B$11,A22&gt;1)),入力!$B$14="有効",IF(E22=0,ROUND(C22/MAX(1,S21-A22+1),0),ROUND(-PMT(E22/12,MAX(1,S21-A22+1),C22),0))&gt;ROUND(G21*1.25,0),NOT(FALSE)),"・上限適用",""))</f>
        <v/>
      </c>
      <c r="Q22" s="35" t="str">
        <f>IF(AND(T21="",A22&lt;=S21),入力!$B$13,"")</f>
        <v>有効</v>
      </c>
      <c r="R22" s="32" t="str">
        <f>IF(AND(AND(T21="",A22&lt;=S21),OR(AND(入力!$B$13="有効",A22&gt;1,MOD(A22-1,60)=0),AND(A22=入力!$B$11,A22&gt;1)),入力!$B$14="有効"),ROUND(G21*1.25,0),"")</f>
        <v/>
      </c>
      <c r="S22" s="36">
        <f t="shared" si="15"/>
        <v>420</v>
      </c>
      <c r="T22" s="35" t="str">
        <f t="shared" si="16"/>
        <v/>
      </c>
      <c r="U22" s="3">
        <f t="shared" si="0"/>
        <v>0</v>
      </c>
      <c r="V22" s="3">
        <f t="shared" si="1"/>
        <v>0</v>
      </c>
      <c r="W22" s="3">
        <f t="shared" si="2"/>
        <v>0</v>
      </c>
      <c r="X22" s="3">
        <f t="shared" si="3"/>
        <v>0</v>
      </c>
      <c r="Y22" s="3">
        <f>0</f>
        <v>0</v>
      </c>
      <c r="Z22" s="3">
        <f t="shared" si="4"/>
        <v>0</v>
      </c>
      <c r="AA22">
        <f>ROUND(IF(FALSE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,0)</f>
        <v>93982</v>
      </c>
    </row>
    <row r="23" spans="1:27">
      <c r="A23" s="30">
        <f>18</f>
        <v>18</v>
      </c>
      <c r="B23" s="31">
        <f>EDATE(入力!$B$6,A23-1)</f>
        <v>46753</v>
      </c>
      <c r="C23" s="32">
        <f t="shared" si="5"/>
        <v>33743538</v>
      </c>
      <c r="D23" s="32">
        <f t="shared" si="6"/>
        <v>0</v>
      </c>
      <c r="E23" s="33">
        <f>IF(AND(T22="",A23&lt;=S22),IF(A23&lt;入力!$B$11,入力!$B$10,入力!$B$12),0)</f>
        <v>7.0000000000000001E-3</v>
      </c>
      <c r="F23" s="32">
        <f t="shared" si="7"/>
        <v>19684</v>
      </c>
      <c r="G23" s="32">
        <f>ROUND(IF(NOT(AND(T22="",A23&lt;=S22)),0,IF(FALSE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),0)</f>
        <v>93982</v>
      </c>
      <c r="H23" s="32">
        <f t="shared" si="8"/>
        <v>93982</v>
      </c>
      <c r="I23" s="32">
        <f t="shared" si="9"/>
        <v>19684</v>
      </c>
      <c r="J23" s="32">
        <f t="shared" si="10"/>
        <v>0</v>
      </c>
      <c r="K23" s="32">
        <f t="shared" si="11"/>
        <v>0</v>
      </c>
      <c r="L23" s="32">
        <f t="shared" si="12"/>
        <v>74298</v>
      </c>
      <c r="M23" s="32">
        <f>0</f>
        <v>0</v>
      </c>
      <c r="N23" s="32">
        <f t="shared" si="13"/>
        <v>33669240</v>
      </c>
      <c r="O23" s="32">
        <f t="shared" si="14"/>
        <v>360916</v>
      </c>
      <c r="P23" s="34" t="str">
        <f>IF(NOT(AND(T22="",A23&lt;=S22)),"",IF(FALSE,"繰上返済後再計算","")&amp;IF(AND(入力!$B$13="有効",A23&gt;1,MOD(A23-1,60)=0),IF(FALSE,"・","")&amp;"5年見直し","")&amp;IF(AND(A23=入力!$B$11,A23&gt;1),IF(OR(FALSE,AND(入力!$B$13="有効",A23&gt;1,MOD(A23-1,60)=0)),"・","")&amp;"金利変更","")&amp;IF(AND(OR(AND(入力!$B$13="有効",A23&gt;1,MOD(A23-1,60)=0),AND(A23=入力!$B$11,A23&gt;1)),入力!$B$14="有効",IF(E23=0,ROUND(C23/MAX(1,S22-A23+1),0),ROUND(-PMT(E23/12,MAX(1,S22-A23+1),C23),0))&gt;ROUND(G22*1.25,0),NOT(FALSE)),"・上限適用",""))</f>
        <v/>
      </c>
      <c r="Q23" s="35" t="str">
        <f>IF(AND(T22="",A23&lt;=S22),入力!$B$13,"")</f>
        <v>有効</v>
      </c>
      <c r="R23" s="32" t="str">
        <f>IF(AND(AND(T22="",A23&lt;=S22),OR(AND(入力!$B$13="有効",A23&gt;1,MOD(A23-1,60)=0),AND(A23=入力!$B$11,A23&gt;1)),入力!$B$14="有効"),ROUND(G22*1.25,0),"")</f>
        <v/>
      </c>
      <c r="S23" s="36">
        <f t="shared" si="15"/>
        <v>420</v>
      </c>
      <c r="T23" s="35" t="str">
        <f t="shared" si="16"/>
        <v/>
      </c>
      <c r="U23" s="3">
        <f t="shared" si="0"/>
        <v>0</v>
      </c>
      <c r="V23" s="3">
        <f t="shared" si="1"/>
        <v>0</v>
      </c>
      <c r="W23" s="3">
        <f t="shared" si="2"/>
        <v>0</v>
      </c>
      <c r="X23" s="3">
        <f t="shared" si="3"/>
        <v>0</v>
      </c>
      <c r="Y23" s="3">
        <f>0</f>
        <v>0</v>
      </c>
      <c r="Z23" s="3">
        <f t="shared" si="4"/>
        <v>0</v>
      </c>
      <c r="AA23">
        <f>ROUND(IF(FALSE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,0)</f>
        <v>93982</v>
      </c>
    </row>
    <row r="24" spans="1:27">
      <c r="A24" s="30">
        <f>19</f>
        <v>19</v>
      </c>
      <c r="B24" s="31">
        <f>EDATE(入力!$B$6,A24-1)</f>
        <v>46784</v>
      </c>
      <c r="C24" s="32">
        <f t="shared" si="5"/>
        <v>33669240</v>
      </c>
      <c r="D24" s="32">
        <f t="shared" si="6"/>
        <v>0</v>
      </c>
      <c r="E24" s="33">
        <f>IF(AND(T23="",A24&lt;=S23),IF(A24&lt;入力!$B$11,入力!$B$10,入力!$B$12),0)</f>
        <v>7.0000000000000001E-3</v>
      </c>
      <c r="F24" s="32">
        <f t="shared" si="7"/>
        <v>19640</v>
      </c>
      <c r="G24" s="32">
        <f>ROUND(IF(NOT(AND(T23="",A24&lt;=S23)),0,IF(FALSE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),0)</f>
        <v>93982</v>
      </c>
      <c r="H24" s="32">
        <f t="shared" si="8"/>
        <v>93982</v>
      </c>
      <c r="I24" s="32">
        <f t="shared" si="9"/>
        <v>19640</v>
      </c>
      <c r="J24" s="32">
        <f t="shared" si="10"/>
        <v>0</v>
      </c>
      <c r="K24" s="32">
        <f t="shared" si="11"/>
        <v>0</v>
      </c>
      <c r="L24" s="32">
        <f t="shared" si="12"/>
        <v>74342</v>
      </c>
      <c r="M24" s="32">
        <f>0</f>
        <v>0</v>
      </c>
      <c r="N24" s="32">
        <f t="shared" si="13"/>
        <v>33594898</v>
      </c>
      <c r="O24" s="32">
        <f t="shared" si="14"/>
        <v>380556</v>
      </c>
      <c r="P24" s="34" t="str">
        <f>IF(NOT(AND(T23="",A24&lt;=S23)),"",IF(FALSE,"繰上返済後再計算","")&amp;IF(AND(入力!$B$13="有効",A24&gt;1,MOD(A24-1,60)=0),IF(FALSE,"・","")&amp;"5年見直し","")&amp;IF(AND(A24=入力!$B$11,A24&gt;1),IF(OR(FALSE,AND(入力!$B$13="有効",A24&gt;1,MOD(A24-1,60)=0)),"・","")&amp;"金利変更","")&amp;IF(AND(OR(AND(入力!$B$13="有効",A24&gt;1,MOD(A24-1,60)=0),AND(A24=入力!$B$11,A24&gt;1)),入力!$B$14="有効",IF(E24=0,ROUND(C24/MAX(1,S23-A24+1),0),ROUND(-PMT(E24/12,MAX(1,S23-A24+1),C24),0))&gt;ROUND(G23*1.25,0),NOT(FALSE)),"・上限適用",""))</f>
        <v/>
      </c>
      <c r="Q24" s="35" t="str">
        <f>IF(AND(T23="",A24&lt;=S23),入力!$B$13,"")</f>
        <v>有効</v>
      </c>
      <c r="R24" s="32" t="str">
        <f>IF(AND(AND(T23="",A24&lt;=S23),OR(AND(入力!$B$13="有効",A24&gt;1,MOD(A24-1,60)=0),AND(A24=入力!$B$11,A24&gt;1)),入力!$B$14="有効"),ROUND(G23*1.25,0),"")</f>
        <v/>
      </c>
      <c r="S24" s="36">
        <f t="shared" si="15"/>
        <v>420</v>
      </c>
      <c r="T24" s="35" t="str">
        <f t="shared" si="16"/>
        <v/>
      </c>
      <c r="U24" s="3">
        <f t="shared" si="0"/>
        <v>0</v>
      </c>
      <c r="V24" s="3">
        <f t="shared" si="1"/>
        <v>0</v>
      </c>
      <c r="W24" s="3">
        <f t="shared" si="2"/>
        <v>0</v>
      </c>
      <c r="X24" s="3">
        <f t="shared" si="3"/>
        <v>0</v>
      </c>
      <c r="Y24" s="3">
        <f>0</f>
        <v>0</v>
      </c>
      <c r="Z24" s="3">
        <f t="shared" si="4"/>
        <v>0</v>
      </c>
      <c r="AA24">
        <f>ROUND(IF(FALSE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,0)</f>
        <v>93982</v>
      </c>
    </row>
    <row r="25" spans="1:27">
      <c r="A25" s="30">
        <f>20</f>
        <v>20</v>
      </c>
      <c r="B25" s="31">
        <f>EDATE(入力!$B$6,A25-1)</f>
        <v>46813</v>
      </c>
      <c r="C25" s="32">
        <f t="shared" si="5"/>
        <v>33594898</v>
      </c>
      <c r="D25" s="32">
        <f t="shared" si="6"/>
        <v>0</v>
      </c>
      <c r="E25" s="33">
        <f>IF(AND(T24="",A25&lt;=S24),IF(A25&lt;入力!$B$11,入力!$B$10,入力!$B$12),0)</f>
        <v>7.0000000000000001E-3</v>
      </c>
      <c r="F25" s="32">
        <f t="shared" si="7"/>
        <v>19597</v>
      </c>
      <c r="G25" s="32">
        <f>ROUND(IF(NOT(AND(T24="",A25&lt;=S24)),0,IF(FALSE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),0)</f>
        <v>93982</v>
      </c>
      <c r="H25" s="32">
        <f t="shared" si="8"/>
        <v>93982</v>
      </c>
      <c r="I25" s="32">
        <f t="shared" si="9"/>
        <v>19597</v>
      </c>
      <c r="J25" s="32">
        <f t="shared" si="10"/>
        <v>0</v>
      </c>
      <c r="K25" s="32">
        <f t="shared" si="11"/>
        <v>0</v>
      </c>
      <c r="L25" s="32">
        <f t="shared" si="12"/>
        <v>74385</v>
      </c>
      <c r="M25" s="32">
        <f>0</f>
        <v>0</v>
      </c>
      <c r="N25" s="32">
        <f t="shared" si="13"/>
        <v>33520513</v>
      </c>
      <c r="O25" s="32">
        <f t="shared" si="14"/>
        <v>400153</v>
      </c>
      <c r="P25" s="34" t="str">
        <f>IF(NOT(AND(T24="",A25&lt;=S24)),"",IF(FALSE,"繰上返済後再計算","")&amp;IF(AND(入力!$B$13="有効",A25&gt;1,MOD(A25-1,60)=0),IF(FALSE,"・","")&amp;"5年見直し","")&amp;IF(AND(A25=入力!$B$11,A25&gt;1),IF(OR(FALSE,AND(入力!$B$13="有効",A25&gt;1,MOD(A25-1,60)=0)),"・","")&amp;"金利変更","")&amp;IF(AND(OR(AND(入力!$B$13="有効",A25&gt;1,MOD(A25-1,60)=0),AND(A25=入力!$B$11,A25&gt;1)),入力!$B$14="有効",IF(E25=0,ROUND(C25/MAX(1,S24-A25+1),0),ROUND(-PMT(E25/12,MAX(1,S24-A25+1),C25),0))&gt;ROUND(G24*1.25,0),NOT(FALSE)),"・上限適用",""))</f>
        <v/>
      </c>
      <c r="Q25" s="35" t="str">
        <f>IF(AND(T24="",A25&lt;=S24),入力!$B$13,"")</f>
        <v>有効</v>
      </c>
      <c r="R25" s="32" t="str">
        <f>IF(AND(AND(T24="",A25&lt;=S24),OR(AND(入力!$B$13="有効",A25&gt;1,MOD(A25-1,60)=0),AND(A25=入力!$B$11,A25&gt;1)),入力!$B$14="有効"),ROUND(G24*1.25,0),"")</f>
        <v/>
      </c>
      <c r="S25" s="36">
        <f t="shared" si="15"/>
        <v>420</v>
      </c>
      <c r="T25" s="35" t="str">
        <f t="shared" si="16"/>
        <v/>
      </c>
      <c r="U25" s="3">
        <f t="shared" si="0"/>
        <v>0</v>
      </c>
      <c r="V25" s="3">
        <f t="shared" si="1"/>
        <v>0</v>
      </c>
      <c r="W25" s="3">
        <f t="shared" si="2"/>
        <v>0</v>
      </c>
      <c r="X25" s="3">
        <f t="shared" si="3"/>
        <v>0</v>
      </c>
      <c r="Y25" s="3">
        <f>0</f>
        <v>0</v>
      </c>
      <c r="Z25" s="3">
        <f t="shared" si="4"/>
        <v>0</v>
      </c>
      <c r="AA25">
        <f>ROUND(IF(FALSE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,0)</f>
        <v>93982</v>
      </c>
    </row>
    <row r="26" spans="1:27">
      <c r="A26" s="30">
        <f>21</f>
        <v>21</v>
      </c>
      <c r="B26" s="31">
        <f>EDATE(入力!$B$6,A26-1)</f>
        <v>46844</v>
      </c>
      <c r="C26" s="32">
        <f t="shared" si="5"/>
        <v>33520513</v>
      </c>
      <c r="D26" s="32">
        <f t="shared" si="6"/>
        <v>0</v>
      </c>
      <c r="E26" s="33">
        <f>IF(AND(T25="",A26&lt;=S25),IF(A26&lt;入力!$B$11,入力!$B$10,入力!$B$12),0)</f>
        <v>7.0000000000000001E-3</v>
      </c>
      <c r="F26" s="32">
        <f t="shared" si="7"/>
        <v>19554</v>
      </c>
      <c r="G26" s="32">
        <f>ROUND(IF(NOT(AND(T25="",A26&lt;=S25)),0,IF(FALSE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),0)</f>
        <v>93982</v>
      </c>
      <c r="H26" s="32">
        <f t="shared" si="8"/>
        <v>93982</v>
      </c>
      <c r="I26" s="32">
        <f t="shared" si="9"/>
        <v>19554</v>
      </c>
      <c r="J26" s="32">
        <f t="shared" si="10"/>
        <v>0</v>
      </c>
      <c r="K26" s="32">
        <f t="shared" si="11"/>
        <v>0</v>
      </c>
      <c r="L26" s="32">
        <f t="shared" si="12"/>
        <v>74428</v>
      </c>
      <c r="M26" s="32">
        <f>0</f>
        <v>0</v>
      </c>
      <c r="N26" s="32">
        <f t="shared" si="13"/>
        <v>33446085</v>
      </c>
      <c r="O26" s="32">
        <f t="shared" si="14"/>
        <v>419707</v>
      </c>
      <c r="P26" s="34" t="str">
        <f>IF(NOT(AND(T25="",A26&lt;=S25)),"",IF(FALSE,"繰上返済後再計算","")&amp;IF(AND(入力!$B$13="有効",A26&gt;1,MOD(A26-1,60)=0),IF(FALSE,"・","")&amp;"5年見直し","")&amp;IF(AND(A26=入力!$B$11,A26&gt;1),IF(OR(FALSE,AND(入力!$B$13="有効",A26&gt;1,MOD(A26-1,60)=0)),"・","")&amp;"金利変更","")&amp;IF(AND(OR(AND(入力!$B$13="有効",A26&gt;1,MOD(A26-1,60)=0),AND(A26=入力!$B$11,A26&gt;1)),入力!$B$14="有効",IF(E26=0,ROUND(C26/MAX(1,S25-A26+1),0),ROUND(-PMT(E26/12,MAX(1,S25-A26+1),C26),0))&gt;ROUND(G25*1.25,0),NOT(FALSE)),"・上限適用",""))</f>
        <v/>
      </c>
      <c r="Q26" s="35" t="str">
        <f>IF(AND(T25="",A26&lt;=S25),入力!$B$13,"")</f>
        <v>有効</v>
      </c>
      <c r="R26" s="32" t="str">
        <f>IF(AND(AND(T25="",A26&lt;=S25),OR(AND(入力!$B$13="有効",A26&gt;1,MOD(A26-1,60)=0),AND(A26=入力!$B$11,A26&gt;1)),入力!$B$14="有効"),ROUND(G25*1.25,0),"")</f>
        <v/>
      </c>
      <c r="S26" s="36">
        <f t="shared" si="15"/>
        <v>420</v>
      </c>
      <c r="T26" s="35" t="str">
        <f t="shared" si="16"/>
        <v/>
      </c>
      <c r="U26" s="3">
        <f t="shared" si="0"/>
        <v>0</v>
      </c>
      <c r="V26" s="3">
        <f t="shared" si="1"/>
        <v>0</v>
      </c>
      <c r="W26" s="3">
        <f t="shared" si="2"/>
        <v>0</v>
      </c>
      <c r="X26" s="3">
        <f t="shared" si="3"/>
        <v>0</v>
      </c>
      <c r="Y26" s="3">
        <f>0</f>
        <v>0</v>
      </c>
      <c r="Z26" s="3">
        <f t="shared" si="4"/>
        <v>0</v>
      </c>
      <c r="AA26">
        <f>ROUND(IF(FALSE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,0)</f>
        <v>93982</v>
      </c>
    </row>
    <row r="27" spans="1:27">
      <c r="A27" s="30">
        <f>22</f>
        <v>22</v>
      </c>
      <c r="B27" s="31">
        <f>EDATE(入力!$B$6,A27-1)</f>
        <v>46874</v>
      </c>
      <c r="C27" s="32">
        <f t="shared" si="5"/>
        <v>33446085</v>
      </c>
      <c r="D27" s="32">
        <f t="shared" si="6"/>
        <v>0</v>
      </c>
      <c r="E27" s="33">
        <f>IF(AND(T26="",A27&lt;=S26),IF(A27&lt;入力!$B$11,入力!$B$10,入力!$B$12),0)</f>
        <v>7.0000000000000001E-3</v>
      </c>
      <c r="F27" s="32">
        <f t="shared" si="7"/>
        <v>19510</v>
      </c>
      <c r="G27" s="32">
        <f>ROUND(IF(NOT(AND(T26="",A27&lt;=S26)),0,IF(FALSE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),0)</f>
        <v>93982</v>
      </c>
      <c r="H27" s="32">
        <f t="shared" si="8"/>
        <v>93982</v>
      </c>
      <c r="I27" s="32">
        <f t="shared" si="9"/>
        <v>19510</v>
      </c>
      <c r="J27" s="32">
        <f t="shared" si="10"/>
        <v>0</v>
      </c>
      <c r="K27" s="32">
        <f t="shared" si="11"/>
        <v>0</v>
      </c>
      <c r="L27" s="32">
        <f t="shared" si="12"/>
        <v>74472</v>
      </c>
      <c r="M27" s="32">
        <f>0</f>
        <v>0</v>
      </c>
      <c r="N27" s="32">
        <f t="shared" si="13"/>
        <v>33371613</v>
      </c>
      <c r="O27" s="32">
        <f t="shared" si="14"/>
        <v>439217</v>
      </c>
      <c r="P27" s="34" t="str">
        <f>IF(NOT(AND(T26="",A27&lt;=S26)),"",IF(FALSE,"繰上返済後再計算","")&amp;IF(AND(入力!$B$13="有効",A27&gt;1,MOD(A27-1,60)=0),IF(FALSE,"・","")&amp;"5年見直し","")&amp;IF(AND(A27=入力!$B$11,A27&gt;1),IF(OR(FALSE,AND(入力!$B$13="有効",A27&gt;1,MOD(A27-1,60)=0)),"・","")&amp;"金利変更","")&amp;IF(AND(OR(AND(入力!$B$13="有効",A27&gt;1,MOD(A27-1,60)=0),AND(A27=入力!$B$11,A27&gt;1)),入力!$B$14="有効",IF(E27=0,ROUND(C27/MAX(1,S26-A27+1),0),ROUND(-PMT(E27/12,MAX(1,S26-A27+1),C27),0))&gt;ROUND(G26*1.25,0),NOT(FALSE)),"・上限適用",""))</f>
        <v/>
      </c>
      <c r="Q27" s="35" t="str">
        <f>IF(AND(T26="",A27&lt;=S26),入力!$B$13,"")</f>
        <v>有効</v>
      </c>
      <c r="R27" s="32" t="str">
        <f>IF(AND(AND(T26="",A27&lt;=S26),OR(AND(入力!$B$13="有効",A27&gt;1,MOD(A27-1,60)=0),AND(A27=入力!$B$11,A27&gt;1)),入力!$B$14="有効"),ROUND(G26*1.25,0),"")</f>
        <v/>
      </c>
      <c r="S27" s="36">
        <f t="shared" si="15"/>
        <v>420</v>
      </c>
      <c r="T27" s="35" t="str">
        <f t="shared" si="16"/>
        <v/>
      </c>
      <c r="U27" s="3">
        <f t="shared" si="0"/>
        <v>0</v>
      </c>
      <c r="V27" s="3">
        <f t="shared" si="1"/>
        <v>0</v>
      </c>
      <c r="W27" s="3">
        <f t="shared" si="2"/>
        <v>0</v>
      </c>
      <c r="X27" s="3">
        <f t="shared" si="3"/>
        <v>0</v>
      </c>
      <c r="Y27" s="3">
        <f>0</f>
        <v>0</v>
      </c>
      <c r="Z27" s="3">
        <f t="shared" si="4"/>
        <v>0</v>
      </c>
      <c r="AA27">
        <f>ROUND(IF(FALSE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,0)</f>
        <v>93982</v>
      </c>
    </row>
    <row r="28" spans="1:27">
      <c r="A28" s="30">
        <f>23</f>
        <v>23</v>
      </c>
      <c r="B28" s="31">
        <f>EDATE(入力!$B$6,A28-1)</f>
        <v>46905</v>
      </c>
      <c r="C28" s="32">
        <f t="shared" si="5"/>
        <v>33371613</v>
      </c>
      <c r="D28" s="32">
        <f t="shared" si="6"/>
        <v>0</v>
      </c>
      <c r="E28" s="33">
        <f>IF(AND(T27="",A28&lt;=S27),IF(A28&lt;入力!$B$11,入力!$B$10,入力!$B$12),0)</f>
        <v>7.0000000000000001E-3</v>
      </c>
      <c r="F28" s="32">
        <f t="shared" si="7"/>
        <v>19467</v>
      </c>
      <c r="G28" s="32">
        <f>ROUND(IF(NOT(AND(T27="",A28&lt;=S27)),0,IF(FALSE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),0)</f>
        <v>93982</v>
      </c>
      <c r="H28" s="32">
        <f t="shared" si="8"/>
        <v>93982</v>
      </c>
      <c r="I28" s="32">
        <f t="shared" si="9"/>
        <v>19467</v>
      </c>
      <c r="J28" s="32">
        <f t="shared" si="10"/>
        <v>0</v>
      </c>
      <c r="K28" s="32">
        <f t="shared" si="11"/>
        <v>0</v>
      </c>
      <c r="L28" s="32">
        <f t="shared" si="12"/>
        <v>74515</v>
      </c>
      <c r="M28" s="32">
        <f>0</f>
        <v>0</v>
      </c>
      <c r="N28" s="32">
        <f t="shared" si="13"/>
        <v>33297098</v>
      </c>
      <c r="O28" s="32">
        <f t="shared" si="14"/>
        <v>458684</v>
      </c>
      <c r="P28" s="34" t="str">
        <f>IF(NOT(AND(T27="",A28&lt;=S27)),"",IF(FALSE,"繰上返済後再計算","")&amp;IF(AND(入力!$B$13="有効",A28&gt;1,MOD(A28-1,60)=0),IF(FALSE,"・","")&amp;"5年見直し","")&amp;IF(AND(A28=入力!$B$11,A28&gt;1),IF(OR(FALSE,AND(入力!$B$13="有効",A28&gt;1,MOD(A28-1,60)=0)),"・","")&amp;"金利変更","")&amp;IF(AND(OR(AND(入力!$B$13="有効",A28&gt;1,MOD(A28-1,60)=0),AND(A28=入力!$B$11,A28&gt;1)),入力!$B$14="有効",IF(E28=0,ROUND(C28/MAX(1,S27-A28+1),0),ROUND(-PMT(E28/12,MAX(1,S27-A28+1),C28),0))&gt;ROUND(G27*1.25,0),NOT(FALSE)),"・上限適用",""))</f>
        <v/>
      </c>
      <c r="Q28" s="35" t="str">
        <f>IF(AND(T27="",A28&lt;=S27),入力!$B$13,"")</f>
        <v>有効</v>
      </c>
      <c r="R28" s="32" t="str">
        <f>IF(AND(AND(T27="",A28&lt;=S27),OR(AND(入力!$B$13="有効",A28&gt;1,MOD(A28-1,60)=0),AND(A28=入力!$B$11,A28&gt;1)),入力!$B$14="有効"),ROUND(G27*1.25,0),"")</f>
        <v/>
      </c>
      <c r="S28" s="36">
        <f t="shared" si="15"/>
        <v>420</v>
      </c>
      <c r="T28" s="35" t="str">
        <f t="shared" si="16"/>
        <v/>
      </c>
      <c r="U28" s="3">
        <f t="shared" si="0"/>
        <v>0</v>
      </c>
      <c r="V28" s="3">
        <f t="shared" si="1"/>
        <v>0</v>
      </c>
      <c r="W28" s="3">
        <f t="shared" si="2"/>
        <v>0</v>
      </c>
      <c r="X28" s="3">
        <f t="shared" si="3"/>
        <v>0</v>
      </c>
      <c r="Y28" s="3">
        <f>0</f>
        <v>0</v>
      </c>
      <c r="Z28" s="3">
        <f t="shared" si="4"/>
        <v>0</v>
      </c>
      <c r="AA28">
        <f>ROUND(IF(FALSE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,0)</f>
        <v>93982</v>
      </c>
    </row>
    <row r="29" spans="1:27">
      <c r="A29" s="30">
        <f>24</f>
        <v>24</v>
      </c>
      <c r="B29" s="31">
        <f>EDATE(入力!$B$6,A29-1)</f>
        <v>46935</v>
      </c>
      <c r="C29" s="32">
        <f t="shared" si="5"/>
        <v>33297098</v>
      </c>
      <c r="D29" s="32">
        <f t="shared" si="6"/>
        <v>0</v>
      </c>
      <c r="E29" s="33">
        <f>IF(AND(T28="",A29&lt;=S28),IF(A29&lt;入力!$B$11,入力!$B$10,入力!$B$12),0)</f>
        <v>7.0000000000000001E-3</v>
      </c>
      <c r="F29" s="32">
        <f t="shared" si="7"/>
        <v>19423</v>
      </c>
      <c r="G29" s="32">
        <f>ROUND(IF(NOT(AND(T28="",A29&lt;=S28)),0,IF(FALSE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),0)</f>
        <v>93982</v>
      </c>
      <c r="H29" s="32">
        <f t="shared" si="8"/>
        <v>93982</v>
      </c>
      <c r="I29" s="32">
        <f t="shared" si="9"/>
        <v>19423</v>
      </c>
      <c r="J29" s="32">
        <f t="shared" si="10"/>
        <v>0</v>
      </c>
      <c r="K29" s="32">
        <f t="shared" si="11"/>
        <v>0</v>
      </c>
      <c r="L29" s="32">
        <f t="shared" si="12"/>
        <v>74559</v>
      </c>
      <c r="M29" s="32">
        <f>0</f>
        <v>0</v>
      </c>
      <c r="N29" s="32">
        <f t="shared" si="13"/>
        <v>33222539</v>
      </c>
      <c r="O29" s="32">
        <f t="shared" si="14"/>
        <v>478107</v>
      </c>
      <c r="P29" s="34" t="str">
        <f>IF(NOT(AND(T28="",A29&lt;=S28)),"",IF(FALSE,"繰上返済後再計算","")&amp;IF(AND(入力!$B$13="有効",A29&gt;1,MOD(A29-1,60)=0),IF(FALSE,"・","")&amp;"5年見直し","")&amp;IF(AND(A29=入力!$B$11,A29&gt;1),IF(OR(FALSE,AND(入力!$B$13="有効",A29&gt;1,MOD(A29-1,60)=0)),"・","")&amp;"金利変更","")&amp;IF(AND(OR(AND(入力!$B$13="有効",A29&gt;1,MOD(A29-1,60)=0),AND(A29=入力!$B$11,A29&gt;1)),入力!$B$14="有効",IF(E29=0,ROUND(C29/MAX(1,S28-A29+1),0),ROUND(-PMT(E29/12,MAX(1,S28-A29+1),C29),0))&gt;ROUND(G28*1.25,0),NOT(FALSE)),"・上限適用",""))</f>
        <v/>
      </c>
      <c r="Q29" s="35" t="str">
        <f>IF(AND(T28="",A29&lt;=S28),入力!$B$13,"")</f>
        <v>有効</v>
      </c>
      <c r="R29" s="32" t="str">
        <f>IF(AND(AND(T28="",A29&lt;=S28),OR(AND(入力!$B$13="有効",A29&gt;1,MOD(A29-1,60)=0),AND(A29=入力!$B$11,A29&gt;1)),入力!$B$14="有効"),ROUND(G28*1.25,0),"")</f>
        <v/>
      </c>
      <c r="S29" s="36">
        <f t="shared" si="15"/>
        <v>420</v>
      </c>
      <c r="T29" s="35" t="str">
        <f t="shared" si="16"/>
        <v/>
      </c>
      <c r="U29" s="3">
        <f t="shared" si="0"/>
        <v>0</v>
      </c>
      <c r="V29" s="3">
        <f t="shared" si="1"/>
        <v>0</v>
      </c>
      <c r="W29" s="3">
        <f t="shared" si="2"/>
        <v>0</v>
      </c>
      <c r="X29" s="3">
        <f t="shared" si="3"/>
        <v>0</v>
      </c>
      <c r="Y29" s="3">
        <f>0</f>
        <v>0</v>
      </c>
      <c r="Z29" s="3">
        <f t="shared" si="4"/>
        <v>0</v>
      </c>
      <c r="AA29">
        <f>ROUND(IF(FALSE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,0)</f>
        <v>93982</v>
      </c>
    </row>
    <row r="30" spans="1:27">
      <c r="A30" s="30">
        <f>25</f>
        <v>25</v>
      </c>
      <c r="B30" s="31">
        <f>EDATE(入力!$B$6,A30-1)</f>
        <v>46966</v>
      </c>
      <c r="C30" s="32">
        <f t="shared" si="5"/>
        <v>33222539</v>
      </c>
      <c r="D30" s="32">
        <f t="shared" si="6"/>
        <v>0</v>
      </c>
      <c r="E30" s="33">
        <f>IF(AND(T29="",A30&lt;=S29),IF(A30&lt;入力!$B$11,入力!$B$10,入力!$B$12),0)</f>
        <v>7.0000000000000001E-3</v>
      </c>
      <c r="F30" s="32">
        <f t="shared" si="7"/>
        <v>19380</v>
      </c>
      <c r="G30" s="32">
        <f>ROUND(IF(NOT(AND(T29="",A30&lt;=S29)),0,IF(FALSE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),0)</f>
        <v>93982</v>
      </c>
      <c r="H30" s="32">
        <f t="shared" si="8"/>
        <v>93982</v>
      </c>
      <c r="I30" s="32">
        <f t="shared" si="9"/>
        <v>19380</v>
      </c>
      <c r="J30" s="32">
        <f t="shared" si="10"/>
        <v>0</v>
      </c>
      <c r="K30" s="32">
        <f t="shared" si="11"/>
        <v>0</v>
      </c>
      <c r="L30" s="32">
        <f t="shared" si="12"/>
        <v>74602</v>
      </c>
      <c r="M30" s="32">
        <f>0</f>
        <v>0</v>
      </c>
      <c r="N30" s="32">
        <f t="shared" si="13"/>
        <v>33147937</v>
      </c>
      <c r="O30" s="32">
        <f t="shared" si="14"/>
        <v>497487</v>
      </c>
      <c r="P30" s="34" t="str">
        <f>IF(NOT(AND(T29="",A30&lt;=S29)),"",IF(FALSE,"繰上返済後再計算","")&amp;IF(AND(入力!$B$13="有効",A30&gt;1,MOD(A30-1,60)=0),IF(FALSE,"・","")&amp;"5年見直し","")&amp;IF(AND(A30=入力!$B$11,A30&gt;1),IF(OR(FALSE,AND(入力!$B$13="有効",A30&gt;1,MOD(A30-1,60)=0)),"・","")&amp;"金利変更","")&amp;IF(AND(OR(AND(入力!$B$13="有効",A30&gt;1,MOD(A30-1,60)=0),AND(A30=入力!$B$11,A30&gt;1)),入力!$B$14="有効",IF(E30=0,ROUND(C30/MAX(1,S29-A30+1),0),ROUND(-PMT(E30/12,MAX(1,S29-A30+1),C30),0))&gt;ROUND(G29*1.25,0),NOT(FALSE)),"・上限適用",""))</f>
        <v/>
      </c>
      <c r="Q30" s="35" t="str">
        <f>IF(AND(T29="",A30&lt;=S29),入力!$B$13,"")</f>
        <v>有効</v>
      </c>
      <c r="R30" s="32" t="str">
        <f>IF(AND(AND(T29="",A30&lt;=S29),OR(AND(入力!$B$13="有効",A30&gt;1,MOD(A30-1,60)=0),AND(A30=入力!$B$11,A30&gt;1)),入力!$B$14="有効"),ROUND(G29*1.25,0),"")</f>
        <v/>
      </c>
      <c r="S30" s="36">
        <f t="shared" si="15"/>
        <v>420</v>
      </c>
      <c r="T30" s="35" t="str">
        <f t="shared" si="16"/>
        <v/>
      </c>
      <c r="U30" s="3">
        <f t="shared" si="0"/>
        <v>0</v>
      </c>
      <c r="V30" s="3">
        <f t="shared" si="1"/>
        <v>0</v>
      </c>
      <c r="W30" s="3">
        <f t="shared" si="2"/>
        <v>0</v>
      </c>
      <c r="X30" s="3">
        <f t="shared" si="3"/>
        <v>0</v>
      </c>
      <c r="Y30" s="3">
        <f>0</f>
        <v>0</v>
      </c>
      <c r="Z30" s="3">
        <f t="shared" si="4"/>
        <v>0</v>
      </c>
      <c r="AA30">
        <f>ROUND(IF(FALSE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,0)</f>
        <v>93982</v>
      </c>
    </row>
    <row r="31" spans="1:27">
      <c r="A31" s="30">
        <f>26</f>
        <v>26</v>
      </c>
      <c r="B31" s="31">
        <f>EDATE(入力!$B$6,A31-1)</f>
        <v>46997</v>
      </c>
      <c r="C31" s="32">
        <f t="shared" si="5"/>
        <v>33147937</v>
      </c>
      <c r="D31" s="32">
        <f t="shared" si="6"/>
        <v>0</v>
      </c>
      <c r="E31" s="33">
        <f>IF(AND(T30="",A31&lt;=S30),IF(A31&lt;入力!$B$11,入力!$B$10,入力!$B$12),0)</f>
        <v>7.0000000000000001E-3</v>
      </c>
      <c r="F31" s="32">
        <f t="shared" si="7"/>
        <v>19336</v>
      </c>
      <c r="G31" s="32">
        <f>ROUND(IF(NOT(AND(T30="",A31&lt;=S30)),0,IF(FALSE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),0)</f>
        <v>93982</v>
      </c>
      <c r="H31" s="32">
        <f t="shared" si="8"/>
        <v>93982</v>
      </c>
      <c r="I31" s="32">
        <f t="shared" si="9"/>
        <v>19336</v>
      </c>
      <c r="J31" s="32">
        <f t="shared" si="10"/>
        <v>0</v>
      </c>
      <c r="K31" s="32">
        <f t="shared" si="11"/>
        <v>0</v>
      </c>
      <c r="L31" s="32">
        <f t="shared" si="12"/>
        <v>74646</v>
      </c>
      <c r="M31" s="32">
        <f>0</f>
        <v>0</v>
      </c>
      <c r="N31" s="32">
        <f t="shared" si="13"/>
        <v>33073291</v>
      </c>
      <c r="O31" s="32">
        <f t="shared" si="14"/>
        <v>516823</v>
      </c>
      <c r="P31" s="34" t="str">
        <f>IF(NOT(AND(T30="",A31&lt;=S30)),"",IF(FALSE,"繰上返済後再計算","")&amp;IF(AND(入力!$B$13="有効",A31&gt;1,MOD(A31-1,60)=0),IF(FALSE,"・","")&amp;"5年見直し","")&amp;IF(AND(A31=入力!$B$11,A31&gt;1),IF(OR(FALSE,AND(入力!$B$13="有効",A31&gt;1,MOD(A31-1,60)=0)),"・","")&amp;"金利変更","")&amp;IF(AND(OR(AND(入力!$B$13="有効",A31&gt;1,MOD(A31-1,60)=0),AND(A31=入力!$B$11,A31&gt;1)),入力!$B$14="有効",IF(E31=0,ROUND(C31/MAX(1,S30-A31+1),0),ROUND(-PMT(E31/12,MAX(1,S30-A31+1),C31),0))&gt;ROUND(G30*1.25,0),NOT(FALSE)),"・上限適用",""))</f>
        <v/>
      </c>
      <c r="Q31" s="35" t="str">
        <f>IF(AND(T30="",A31&lt;=S30),入力!$B$13,"")</f>
        <v>有効</v>
      </c>
      <c r="R31" s="32" t="str">
        <f>IF(AND(AND(T30="",A31&lt;=S30),OR(AND(入力!$B$13="有効",A31&gt;1,MOD(A31-1,60)=0),AND(A31=入力!$B$11,A31&gt;1)),入力!$B$14="有効"),ROUND(G30*1.25,0),"")</f>
        <v/>
      </c>
      <c r="S31" s="36">
        <f t="shared" si="15"/>
        <v>420</v>
      </c>
      <c r="T31" s="35" t="str">
        <f t="shared" si="16"/>
        <v/>
      </c>
      <c r="U31" s="3">
        <f t="shared" si="0"/>
        <v>0</v>
      </c>
      <c r="V31" s="3">
        <f t="shared" si="1"/>
        <v>0</v>
      </c>
      <c r="W31" s="3">
        <f t="shared" si="2"/>
        <v>0</v>
      </c>
      <c r="X31" s="3">
        <f t="shared" si="3"/>
        <v>0</v>
      </c>
      <c r="Y31" s="3">
        <f>0</f>
        <v>0</v>
      </c>
      <c r="Z31" s="3">
        <f t="shared" si="4"/>
        <v>0</v>
      </c>
      <c r="AA31">
        <f>ROUND(IF(FALSE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,0)</f>
        <v>93982</v>
      </c>
    </row>
    <row r="32" spans="1:27">
      <c r="A32" s="30">
        <f>27</f>
        <v>27</v>
      </c>
      <c r="B32" s="31">
        <f>EDATE(入力!$B$6,A32-1)</f>
        <v>47027</v>
      </c>
      <c r="C32" s="32">
        <f t="shared" si="5"/>
        <v>33073291</v>
      </c>
      <c r="D32" s="32">
        <f t="shared" si="6"/>
        <v>0</v>
      </c>
      <c r="E32" s="33">
        <f>IF(AND(T31="",A32&lt;=S31),IF(A32&lt;入力!$B$11,入力!$B$10,入力!$B$12),0)</f>
        <v>7.0000000000000001E-3</v>
      </c>
      <c r="F32" s="32">
        <f t="shared" si="7"/>
        <v>19293</v>
      </c>
      <c r="G32" s="32">
        <f>ROUND(IF(NOT(AND(T31="",A32&lt;=S31)),0,IF(FALSE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),0)</f>
        <v>93982</v>
      </c>
      <c r="H32" s="32">
        <f t="shared" si="8"/>
        <v>93982</v>
      </c>
      <c r="I32" s="32">
        <f t="shared" si="9"/>
        <v>19293</v>
      </c>
      <c r="J32" s="32">
        <f t="shared" si="10"/>
        <v>0</v>
      </c>
      <c r="K32" s="32">
        <f t="shared" si="11"/>
        <v>0</v>
      </c>
      <c r="L32" s="32">
        <f t="shared" si="12"/>
        <v>74689</v>
      </c>
      <c r="M32" s="32">
        <f>0</f>
        <v>0</v>
      </c>
      <c r="N32" s="32">
        <f t="shared" si="13"/>
        <v>32998602</v>
      </c>
      <c r="O32" s="32">
        <f t="shared" si="14"/>
        <v>536116</v>
      </c>
      <c r="P32" s="34" t="str">
        <f>IF(NOT(AND(T31="",A32&lt;=S31)),"",IF(FALSE,"繰上返済後再計算","")&amp;IF(AND(入力!$B$13="有効",A32&gt;1,MOD(A32-1,60)=0),IF(FALSE,"・","")&amp;"5年見直し","")&amp;IF(AND(A32=入力!$B$11,A32&gt;1),IF(OR(FALSE,AND(入力!$B$13="有効",A32&gt;1,MOD(A32-1,60)=0)),"・","")&amp;"金利変更","")&amp;IF(AND(OR(AND(入力!$B$13="有効",A32&gt;1,MOD(A32-1,60)=0),AND(A32=入力!$B$11,A32&gt;1)),入力!$B$14="有効",IF(E32=0,ROUND(C32/MAX(1,S31-A32+1),0),ROUND(-PMT(E32/12,MAX(1,S31-A32+1),C32),0))&gt;ROUND(G31*1.25,0),NOT(FALSE)),"・上限適用",""))</f>
        <v/>
      </c>
      <c r="Q32" s="35" t="str">
        <f>IF(AND(T31="",A32&lt;=S31),入力!$B$13,"")</f>
        <v>有効</v>
      </c>
      <c r="R32" s="32" t="str">
        <f>IF(AND(AND(T31="",A32&lt;=S31),OR(AND(入力!$B$13="有効",A32&gt;1,MOD(A32-1,60)=0),AND(A32=入力!$B$11,A32&gt;1)),入力!$B$14="有効"),ROUND(G31*1.25,0),"")</f>
        <v/>
      </c>
      <c r="S32" s="36">
        <f t="shared" si="15"/>
        <v>420</v>
      </c>
      <c r="T32" s="35" t="str">
        <f t="shared" si="16"/>
        <v/>
      </c>
      <c r="U32" s="3">
        <f t="shared" si="0"/>
        <v>0</v>
      </c>
      <c r="V32" s="3">
        <f t="shared" si="1"/>
        <v>0</v>
      </c>
      <c r="W32" s="3">
        <f t="shared" si="2"/>
        <v>0</v>
      </c>
      <c r="X32" s="3">
        <f t="shared" si="3"/>
        <v>0</v>
      </c>
      <c r="Y32" s="3">
        <f>0</f>
        <v>0</v>
      </c>
      <c r="Z32" s="3">
        <f t="shared" si="4"/>
        <v>0</v>
      </c>
      <c r="AA32">
        <f>ROUND(IF(FALSE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,0)</f>
        <v>93982</v>
      </c>
    </row>
    <row r="33" spans="1:27">
      <c r="A33" s="30">
        <f>28</f>
        <v>28</v>
      </c>
      <c r="B33" s="31">
        <f>EDATE(入力!$B$6,A33-1)</f>
        <v>47058</v>
      </c>
      <c r="C33" s="32">
        <f t="shared" si="5"/>
        <v>32998602</v>
      </c>
      <c r="D33" s="32">
        <f t="shared" si="6"/>
        <v>0</v>
      </c>
      <c r="E33" s="33">
        <f>IF(AND(T32="",A33&lt;=S32),IF(A33&lt;入力!$B$11,入力!$B$10,入力!$B$12),0)</f>
        <v>7.0000000000000001E-3</v>
      </c>
      <c r="F33" s="32">
        <f t="shared" si="7"/>
        <v>19249</v>
      </c>
      <c r="G33" s="32">
        <f>ROUND(IF(NOT(AND(T32="",A33&lt;=S32)),0,IF(FALSE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),0)</f>
        <v>93982</v>
      </c>
      <c r="H33" s="32">
        <f t="shared" si="8"/>
        <v>93982</v>
      </c>
      <c r="I33" s="32">
        <f t="shared" si="9"/>
        <v>19249</v>
      </c>
      <c r="J33" s="32">
        <f t="shared" si="10"/>
        <v>0</v>
      </c>
      <c r="K33" s="32">
        <f t="shared" si="11"/>
        <v>0</v>
      </c>
      <c r="L33" s="32">
        <f t="shared" si="12"/>
        <v>74733</v>
      </c>
      <c r="M33" s="32">
        <f>0</f>
        <v>0</v>
      </c>
      <c r="N33" s="32">
        <f t="shared" si="13"/>
        <v>32923869</v>
      </c>
      <c r="O33" s="32">
        <f t="shared" si="14"/>
        <v>555365</v>
      </c>
      <c r="P33" s="34" t="str">
        <f>IF(NOT(AND(T32="",A33&lt;=S32)),"",IF(FALSE,"繰上返済後再計算","")&amp;IF(AND(入力!$B$13="有効",A33&gt;1,MOD(A33-1,60)=0),IF(FALSE,"・","")&amp;"5年見直し","")&amp;IF(AND(A33=入力!$B$11,A33&gt;1),IF(OR(FALSE,AND(入力!$B$13="有効",A33&gt;1,MOD(A33-1,60)=0)),"・","")&amp;"金利変更","")&amp;IF(AND(OR(AND(入力!$B$13="有効",A33&gt;1,MOD(A33-1,60)=0),AND(A33=入力!$B$11,A33&gt;1)),入力!$B$14="有効",IF(E33=0,ROUND(C33/MAX(1,S32-A33+1),0),ROUND(-PMT(E33/12,MAX(1,S32-A33+1),C33),0))&gt;ROUND(G32*1.25,0),NOT(FALSE)),"・上限適用",""))</f>
        <v/>
      </c>
      <c r="Q33" s="35" t="str">
        <f>IF(AND(T32="",A33&lt;=S32),入力!$B$13,"")</f>
        <v>有効</v>
      </c>
      <c r="R33" s="32" t="str">
        <f>IF(AND(AND(T32="",A33&lt;=S32),OR(AND(入力!$B$13="有効",A33&gt;1,MOD(A33-1,60)=0),AND(A33=入力!$B$11,A33&gt;1)),入力!$B$14="有効"),ROUND(G32*1.25,0),"")</f>
        <v/>
      </c>
      <c r="S33" s="36">
        <f t="shared" si="15"/>
        <v>420</v>
      </c>
      <c r="T33" s="35" t="str">
        <f t="shared" si="16"/>
        <v/>
      </c>
      <c r="U33" s="3">
        <f t="shared" si="0"/>
        <v>0</v>
      </c>
      <c r="V33" s="3">
        <f t="shared" si="1"/>
        <v>0</v>
      </c>
      <c r="W33" s="3">
        <f t="shared" si="2"/>
        <v>0</v>
      </c>
      <c r="X33" s="3">
        <f t="shared" si="3"/>
        <v>0</v>
      </c>
      <c r="Y33" s="3">
        <f>0</f>
        <v>0</v>
      </c>
      <c r="Z33" s="3">
        <f t="shared" si="4"/>
        <v>0</v>
      </c>
      <c r="AA33">
        <f>ROUND(IF(FALSE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,0)</f>
        <v>93982</v>
      </c>
    </row>
    <row r="34" spans="1:27">
      <c r="A34" s="30">
        <f>29</f>
        <v>29</v>
      </c>
      <c r="B34" s="31">
        <f>EDATE(入力!$B$6,A34-1)</f>
        <v>47088</v>
      </c>
      <c r="C34" s="32">
        <f t="shared" si="5"/>
        <v>32923869</v>
      </c>
      <c r="D34" s="32">
        <f t="shared" si="6"/>
        <v>0</v>
      </c>
      <c r="E34" s="33">
        <f>IF(AND(T33="",A34&lt;=S33),IF(A34&lt;入力!$B$11,入力!$B$10,入力!$B$12),0)</f>
        <v>7.0000000000000001E-3</v>
      </c>
      <c r="F34" s="32">
        <f t="shared" si="7"/>
        <v>19206</v>
      </c>
      <c r="G34" s="32">
        <f>ROUND(IF(NOT(AND(T33="",A34&lt;=S33)),0,IF(FALSE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),0)</f>
        <v>93982</v>
      </c>
      <c r="H34" s="32">
        <f t="shared" si="8"/>
        <v>93982</v>
      </c>
      <c r="I34" s="32">
        <f t="shared" si="9"/>
        <v>19206</v>
      </c>
      <c r="J34" s="32">
        <f t="shared" si="10"/>
        <v>0</v>
      </c>
      <c r="K34" s="32">
        <f t="shared" si="11"/>
        <v>0</v>
      </c>
      <c r="L34" s="32">
        <f t="shared" si="12"/>
        <v>74776</v>
      </c>
      <c r="M34" s="32">
        <f>0</f>
        <v>0</v>
      </c>
      <c r="N34" s="32">
        <f t="shared" si="13"/>
        <v>32849093</v>
      </c>
      <c r="O34" s="32">
        <f t="shared" si="14"/>
        <v>574571</v>
      </c>
      <c r="P34" s="34" t="str">
        <f>IF(NOT(AND(T33="",A34&lt;=S33)),"",IF(FALSE,"繰上返済後再計算","")&amp;IF(AND(入力!$B$13="有効",A34&gt;1,MOD(A34-1,60)=0),IF(FALSE,"・","")&amp;"5年見直し","")&amp;IF(AND(A34=入力!$B$11,A34&gt;1),IF(OR(FALSE,AND(入力!$B$13="有効",A34&gt;1,MOD(A34-1,60)=0)),"・","")&amp;"金利変更","")&amp;IF(AND(OR(AND(入力!$B$13="有効",A34&gt;1,MOD(A34-1,60)=0),AND(A34=入力!$B$11,A34&gt;1)),入力!$B$14="有効",IF(E34=0,ROUND(C34/MAX(1,S33-A34+1),0),ROUND(-PMT(E34/12,MAX(1,S33-A34+1),C34),0))&gt;ROUND(G33*1.25,0),NOT(FALSE)),"・上限適用",""))</f>
        <v/>
      </c>
      <c r="Q34" s="35" t="str">
        <f>IF(AND(T33="",A34&lt;=S33),入力!$B$13,"")</f>
        <v>有効</v>
      </c>
      <c r="R34" s="32" t="str">
        <f>IF(AND(AND(T33="",A34&lt;=S33),OR(AND(入力!$B$13="有効",A34&gt;1,MOD(A34-1,60)=0),AND(A34=入力!$B$11,A34&gt;1)),入力!$B$14="有効"),ROUND(G33*1.25,0),"")</f>
        <v/>
      </c>
      <c r="S34" s="36">
        <f t="shared" si="15"/>
        <v>420</v>
      </c>
      <c r="T34" s="35" t="str">
        <f t="shared" si="16"/>
        <v/>
      </c>
      <c r="U34" s="3">
        <f t="shared" si="0"/>
        <v>0</v>
      </c>
      <c r="V34" s="3">
        <f t="shared" si="1"/>
        <v>0</v>
      </c>
      <c r="W34" s="3">
        <f t="shared" si="2"/>
        <v>0</v>
      </c>
      <c r="X34" s="3">
        <f t="shared" si="3"/>
        <v>0</v>
      </c>
      <c r="Y34" s="3">
        <f>0</f>
        <v>0</v>
      </c>
      <c r="Z34" s="3">
        <f t="shared" si="4"/>
        <v>0</v>
      </c>
      <c r="AA34">
        <f>ROUND(IF(FALSE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,0)</f>
        <v>93982</v>
      </c>
    </row>
    <row r="35" spans="1:27">
      <c r="A35" s="30">
        <f>30</f>
        <v>30</v>
      </c>
      <c r="B35" s="31">
        <f>EDATE(入力!$B$6,A35-1)</f>
        <v>47119</v>
      </c>
      <c r="C35" s="32">
        <f t="shared" si="5"/>
        <v>32849093</v>
      </c>
      <c r="D35" s="32">
        <f t="shared" si="6"/>
        <v>0</v>
      </c>
      <c r="E35" s="33">
        <f>IF(AND(T34="",A35&lt;=S34),IF(A35&lt;入力!$B$11,入力!$B$10,入力!$B$12),0)</f>
        <v>7.0000000000000001E-3</v>
      </c>
      <c r="F35" s="32">
        <f t="shared" si="7"/>
        <v>19162</v>
      </c>
      <c r="G35" s="32">
        <f>ROUND(IF(NOT(AND(T34="",A35&lt;=S34)),0,IF(FALSE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),0)</f>
        <v>93982</v>
      </c>
      <c r="H35" s="32">
        <f t="shared" si="8"/>
        <v>93982</v>
      </c>
      <c r="I35" s="32">
        <f t="shared" si="9"/>
        <v>19162</v>
      </c>
      <c r="J35" s="32">
        <f t="shared" si="10"/>
        <v>0</v>
      </c>
      <c r="K35" s="32">
        <f t="shared" si="11"/>
        <v>0</v>
      </c>
      <c r="L35" s="32">
        <f t="shared" si="12"/>
        <v>74820</v>
      </c>
      <c r="M35" s="32">
        <f>0</f>
        <v>0</v>
      </c>
      <c r="N35" s="32">
        <f t="shared" si="13"/>
        <v>32774273</v>
      </c>
      <c r="O35" s="32">
        <f t="shared" si="14"/>
        <v>593733</v>
      </c>
      <c r="P35" s="34" t="str">
        <f>IF(NOT(AND(T34="",A35&lt;=S34)),"",IF(FALSE,"繰上返済後再計算","")&amp;IF(AND(入力!$B$13="有効",A35&gt;1,MOD(A35-1,60)=0),IF(FALSE,"・","")&amp;"5年見直し","")&amp;IF(AND(A35=入力!$B$11,A35&gt;1),IF(OR(FALSE,AND(入力!$B$13="有効",A35&gt;1,MOD(A35-1,60)=0)),"・","")&amp;"金利変更","")&amp;IF(AND(OR(AND(入力!$B$13="有効",A35&gt;1,MOD(A35-1,60)=0),AND(A35=入力!$B$11,A35&gt;1)),入力!$B$14="有効",IF(E35=0,ROUND(C35/MAX(1,S34-A35+1),0),ROUND(-PMT(E35/12,MAX(1,S34-A35+1),C35),0))&gt;ROUND(G34*1.25,0),NOT(FALSE)),"・上限適用",""))</f>
        <v/>
      </c>
      <c r="Q35" s="35" t="str">
        <f>IF(AND(T34="",A35&lt;=S34),入力!$B$13,"")</f>
        <v>有効</v>
      </c>
      <c r="R35" s="32" t="str">
        <f>IF(AND(AND(T34="",A35&lt;=S34),OR(AND(入力!$B$13="有効",A35&gt;1,MOD(A35-1,60)=0),AND(A35=入力!$B$11,A35&gt;1)),入力!$B$14="有効"),ROUND(G34*1.25,0),"")</f>
        <v/>
      </c>
      <c r="S35" s="36">
        <f t="shared" si="15"/>
        <v>420</v>
      </c>
      <c r="T35" s="35" t="str">
        <f t="shared" si="16"/>
        <v/>
      </c>
      <c r="U35" s="3">
        <f t="shared" si="0"/>
        <v>0</v>
      </c>
      <c r="V35" s="3">
        <f t="shared" si="1"/>
        <v>0</v>
      </c>
      <c r="W35" s="3">
        <f t="shared" si="2"/>
        <v>0</v>
      </c>
      <c r="X35" s="3">
        <f t="shared" si="3"/>
        <v>0</v>
      </c>
      <c r="Y35" s="3">
        <f>0</f>
        <v>0</v>
      </c>
      <c r="Z35" s="3">
        <f t="shared" si="4"/>
        <v>0</v>
      </c>
      <c r="AA35">
        <f>ROUND(IF(FALSE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,0)</f>
        <v>93982</v>
      </c>
    </row>
    <row r="36" spans="1:27">
      <c r="A36" s="30">
        <f>31</f>
        <v>31</v>
      </c>
      <c r="B36" s="31">
        <f>EDATE(入力!$B$6,A36-1)</f>
        <v>47150</v>
      </c>
      <c r="C36" s="32">
        <f t="shared" si="5"/>
        <v>32774273</v>
      </c>
      <c r="D36" s="32">
        <f t="shared" si="6"/>
        <v>0</v>
      </c>
      <c r="E36" s="33">
        <f>IF(AND(T35="",A36&lt;=S35),IF(A36&lt;入力!$B$11,入力!$B$10,入力!$B$12),0)</f>
        <v>7.0000000000000001E-3</v>
      </c>
      <c r="F36" s="32">
        <f t="shared" si="7"/>
        <v>19118</v>
      </c>
      <c r="G36" s="32">
        <f>ROUND(IF(NOT(AND(T35="",A36&lt;=S35)),0,IF(FALSE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),0)</f>
        <v>93982</v>
      </c>
      <c r="H36" s="32">
        <f t="shared" si="8"/>
        <v>93982</v>
      </c>
      <c r="I36" s="32">
        <f t="shared" si="9"/>
        <v>19118</v>
      </c>
      <c r="J36" s="32">
        <f t="shared" si="10"/>
        <v>0</v>
      </c>
      <c r="K36" s="32">
        <f t="shared" si="11"/>
        <v>0</v>
      </c>
      <c r="L36" s="32">
        <f t="shared" si="12"/>
        <v>74864</v>
      </c>
      <c r="M36" s="32">
        <f>0</f>
        <v>0</v>
      </c>
      <c r="N36" s="32">
        <f t="shared" si="13"/>
        <v>32699409</v>
      </c>
      <c r="O36" s="32">
        <f t="shared" si="14"/>
        <v>612851</v>
      </c>
      <c r="P36" s="34" t="str">
        <f>IF(NOT(AND(T35="",A36&lt;=S35)),"",IF(FALSE,"繰上返済後再計算","")&amp;IF(AND(入力!$B$13="有効",A36&gt;1,MOD(A36-1,60)=0),IF(FALSE,"・","")&amp;"5年見直し","")&amp;IF(AND(A36=入力!$B$11,A36&gt;1),IF(OR(FALSE,AND(入力!$B$13="有効",A36&gt;1,MOD(A36-1,60)=0)),"・","")&amp;"金利変更","")&amp;IF(AND(OR(AND(入力!$B$13="有効",A36&gt;1,MOD(A36-1,60)=0),AND(A36=入力!$B$11,A36&gt;1)),入力!$B$14="有効",IF(E36=0,ROUND(C36/MAX(1,S35-A36+1),0),ROUND(-PMT(E36/12,MAX(1,S35-A36+1),C36),0))&gt;ROUND(G35*1.25,0),NOT(FALSE)),"・上限適用",""))</f>
        <v/>
      </c>
      <c r="Q36" s="35" t="str">
        <f>IF(AND(T35="",A36&lt;=S35),入力!$B$13,"")</f>
        <v>有効</v>
      </c>
      <c r="R36" s="32" t="str">
        <f>IF(AND(AND(T35="",A36&lt;=S35),OR(AND(入力!$B$13="有効",A36&gt;1,MOD(A36-1,60)=0),AND(A36=入力!$B$11,A36&gt;1)),入力!$B$14="有効"),ROUND(G35*1.25,0),"")</f>
        <v/>
      </c>
      <c r="S36" s="36">
        <f t="shared" si="15"/>
        <v>420</v>
      </c>
      <c r="T36" s="35" t="str">
        <f t="shared" si="16"/>
        <v/>
      </c>
      <c r="U36" s="3">
        <f t="shared" si="0"/>
        <v>0</v>
      </c>
      <c r="V36" s="3">
        <f t="shared" si="1"/>
        <v>0</v>
      </c>
      <c r="W36" s="3">
        <f t="shared" si="2"/>
        <v>0</v>
      </c>
      <c r="X36" s="3">
        <f t="shared" si="3"/>
        <v>0</v>
      </c>
      <c r="Y36" s="3">
        <f>0</f>
        <v>0</v>
      </c>
      <c r="Z36" s="3">
        <f t="shared" si="4"/>
        <v>0</v>
      </c>
      <c r="AA36">
        <f>ROUND(IF(FALSE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,0)</f>
        <v>93982</v>
      </c>
    </row>
    <row r="37" spans="1:27">
      <c r="A37" s="30">
        <f>32</f>
        <v>32</v>
      </c>
      <c r="B37" s="31">
        <f>EDATE(入力!$B$6,A37-1)</f>
        <v>47178</v>
      </c>
      <c r="C37" s="32">
        <f t="shared" si="5"/>
        <v>32699409</v>
      </c>
      <c r="D37" s="32">
        <f t="shared" si="6"/>
        <v>0</v>
      </c>
      <c r="E37" s="33">
        <f>IF(AND(T36="",A37&lt;=S36),IF(A37&lt;入力!$B$11,入力!$B$10,入力!$B$12),0)</f>
        <v>7.0000000000000001E-3</v>
      </c>
      <c r="F37" s="32">
        <f t="shared" si="7"/>
        <v>19075</v>
      </c>
      <c r="G37" s="32">
        <f>ROUND(IF(NOT(AND(T36="",A37&lt;=S36)),0,IF(FALSE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),0)</f>
        <v>93982</v>
      </c>
      <c r="H37" s="32">
        <f t="shared" si="8"/>
        <v>93982</v>
      </c>
      <c r="I37" s="32">
        <f t="shared" si="9"/>
        <v>19075</v>
      </c>
      <c r="J37" s="32">
        <f t="shared" si="10"/>
        <v>0</v>
      </c>
      <c r="K37" s="32">
        <f t="shared" si="11"/>
        <v>0</v>
      </c>
      <c r="L37" s="32">
        <f t="shared" si="12"/>
        <v>74907</v>
      </c>
      <c r="M37" s="32">
        <f>0</f>
        <v>0</v>
      </c>
      <c r="N37" s="32">
        <f t="shared" si="13"/>
        <v>32624502</v>
      </c>
      <c r="O37" s="32">
        <f t="shared" si="14"/>
        <v>631926</v>
      </c>
      <c r="P37" s="34" t="str">
        <f>IF(NOT(AND(T36="",A37&lt;=S36)),"",IF(FALSE,"繰上返済後再計算","")&amp;IF(AND(入力!$B$13="有効",A37&gt;1,MOD(A37-1,60)=0),IF(FALSE,"・","")&amp;"5年見直し","")&amp;IF(AND(A37=入力!$B$11,A37&gt;1),IF(OR(FALSE,AND(入力!$B$13="有効",A37&gt;1,MOD(A37-1,60)=0)),"・","")&amp;"金利変更","")&amp;IF(AND(OR(AND(入力!$B$13="有効",A37&gt;1,MOD(A37-1,60)=0),AND(A37=入力!$B$11,A37&gt;1)),入力!$B$14="有効",IF(E37=0,ROUND(C37/MAX(1,S36-A37+1),0),ROUND(-PMT(E37/12,MAX(1,S36-A37+1),C37),0))&gt;ROUND(G36*1.25,0),NOT(FALSE)),"・上限適用",""))</f>
        <v/>
      </c>
      <c r="Q37" s="35" t="str">
        <f>IF(AND(T36="",A37&lt;=S36),入力!$B$13,"")</f>
        <v>有効</v>
      </c>
      <c r="R37" s="32" t="str">
        <f>IF(AND(AND(T36="",A37&lt;=S36),OR(AND(入力!$B$13="有効",A37&gt;1,MOD(A37-1,60)=0),AND(A37=入力!$B$11,A37&gt;1)),入力!$B$14="有効"),ROUND(G36*1.25,0),"")</f>
        <v/>
      </c>
      <c r="S37" s="36">
        <f t="shared" si="15"/>
        <v>420</v>
      </c>
      <c r="T37" s="35" t="str">
        <f t="shared" si="16"/>
        <v/>
      </c>
      <c r="U37" s="3">
        <f t="shared" si="0"/>
        <v>0</v>
      </c>
      <c r="V37" s="3">
        <f t="shared" si="1"/>
        <v>0</v>
      </c>
      <c r="W37" s="3">
        <f t="shared" si="2"/>
        <v>0</v>
      </c>
      <c r="X37" s="3">
        <f t="shared" si="3"/>
        <v>0</v>
      </c>
      <c r="Y37" s="3">
        <f>0</f>
        <v>0</v>
      </c>
      <c r="Z37" s="3">
        <f t="shared" si="4"/>
        <v>0</v>
      </c>
      <c r="AA37">
        <f>ROUND(IF(FALSE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,0)</f>
        <v>93982</v>
      </c>
    </row>
    <row r="38" spans="1:27">
      <c r="A38" s="30">
        <f>33</f>
        <v>33</v>
      </c>
      <c r="B38" s="31">
        <f>EDATE(入力!$B$6,A38-1)</f>
        <v>47209</v>
      </c>
      <c r="C38" s="32">
        <f t="shared" si="5"/>
        <v>32624502</v>
      </c>
      <c r="D38" s="32">
        <f t="shared" si="6"/>
        <v>0</v>
      </c>
      <c r="E38" s="33">
        <f>IF(AND(T37="",A38&lt;=S37),IF(A38&lt;入力!$B$11,入力!$B$10,入力!$B$12),0)</f>
        <v>7.0000000000000001E-3</v>
      </c>
      <c r="F38" s="32">
        <f t="shared" si="7"/>
        <v>19031</v>
      </c>
      <c r="G38" s="32">
        <f>ROUND(IF(NOT(AND(T37="",A38&lt;=S37)),0,IF(FALSE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),0)</f>
        <v>93982</v>
      </c>
      <c r="H38" s="32">
        <f t="shared" si="8"/>
        <v>93982</v>
      </c>
      <c r="I38" s="32">
        <f t="shared" si="9"/>
        <v>19031</v>
      </c>
      <c r="J38" s="32">
        <f t="shared" si="10"/>
        <v>0</v>
      </c>
      <c r="K38" s="32">
        <f t="shared" si="11"/>
        <v>0</v>
      </c>
      <c r="L38" s="32">
        <f t="shared" si="12"/>
        <v>74951</v>
      </c>
      <c r="M38" s="32">
        <f>0</f>
        <v>0</v>
      </c>
      <c r="N38" s="32">
        <f t="shared" si="13"/>
        <v>32549551</v>
      </c>
      <c r="O38" s="32">
        <f t="shared" si="14"/>
        <v>650957</v>
      </c>
      <c r="P38" s="34" t="str">
        <f>IF(NOT(AND(T37="",A38&lt;=S37)),"",IF(FALSE,"繰上返済後再計算","")&amp;IF(AND(入力!$B$13="有効",A38&gt;1,MOD(A38-1,60)=0),IF(FALSE,"・","")&amp;"5年見直し","")&amp;IF(AND(A38=入力!$B$11,A38&gt;1),IF(OR(FALSE,AND(入力!$B$13="有効",A38&gt;1,MOD(A38-1,60)=0)),"・","")&amp;"金利変更","")&amp;IF(AND(OR(AND(入力!$B$13="有効",A38&gt;1,MOD(A38-1,60)=0),AND(A38=入力!$B$11,A38&gt;1)),入力!$B$14="有効",IF(E38=0,ROUND(C38/MAX(1,S37-A38+1),0),ROUND(-PMT(E38/12,MAX(1,S37-A38+1),C38),0))&gt;ROUND(G37*1.25,0),NOT(FALSE)),"・上限適用",""))</f>
        <v/>
      </c>
      <c r="Q38" s="35" t="str">
        <f>IF(AND(T37="",A38&lt;=S37),入力!$B$13,"")</f>
        <v>有効</v>
      </c>
      <c r="R38" s="32" t="str">
        <f>IF(AND(AND(T37="",A38&lt;=S37),OR(AND(入力!$B$13="有効",A38&gt;1,MOD(A38-1,60)=0),AND(A38=入力!$B$11,A38&gt;1)),入力!$B$14="有効"),ROUND(G37*1.25,0),"")</f>
        <v/>
      </c>
      <c r="S38" s="36">
        <f t="shared" si="15"/>
        <v>420</v>
      </c>
      <c r="T38" s="35" t="str">
        <f t="shared" si="16"/>
        <v/>
      </c>
      <c r="U38" s="3">
        <f t="shared" si="0"/>
        <v>0</v>
      </c>
      <c r="V38" s="3">
        <f t="shared" si="1"/>
        <v>0</v>
      </c>
      <c r="W38" s="3">
        <f t="shared" si="2"/>
        <v>0</v>
      </c>
      <c r="X38" s="3">
        <f t="shared" si="3"/>
        <v>0</v>
      </c>
      <c r="Y38" s="3">
        <f>0</f>
        <v>0</v>
      </c>
      <c r="Z38" s="3">
        <f t="shared" si="4"/>
        <v>0</v>
      </c>
      <c r="AA38">
        <f>ROUND(IF(FALSE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,0)</f>
        <v>93982</v>
      </c>
    </row>
    <row r="39" spans="1:27">
      <c r="A39" s="30">
        <f>34</f>
        <v>34</v>
      </c>
      <c r="B39" s="31">
        <f>EDATE(入力!$B$6,A39-1)</f>
        <v>47239</v>
      </c>
      <c r="C39" s="32">
        <f t="shared" si="5"/>
        <v>32549551</v>
      </c>
      <c r="D39" s="32">
        <f t="shared" si="6"/>
        <v>0</v>
      </c>
      <c r="E39" s="33">
        <f>IF(AND(T38="",A39&lt;=S38),IF(A39&lt;入力!$B$11,入力!$B$10,入力!$B$12),0)</f>
        <v>7.0000000000000001E-3</v>
      </c>
      <c r="F39" s="32">
        <f t="shared" si="7"/>
        <v>18987</v>
      </c>
      <c r="G39" s="32">
        <f>ROUND(IF(NOT(AND(T38="",A39&lt;=S38)),0,IF(FALSE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),0)</f>
        <v>93982</v>
      </c>
      <c r="H39" s="32">
        <f t="shared" si="8"/>
        <v>93982</v>
      </c>
      <c r="I39" s="32">
        <f t="shared" si="9"/>
        <v>18987</v>
      </c>
      <c r="J39" s="32">
        <f t="shared" si="10"/>
        <v>0</v>
      </c>
      <c r="K39" s="32">
        <f t="shared" si="11"/>
        <v>0</v>
      </c>
      <c r="L39" s="32">
        <f t="shared" si="12"/>
        <v>74995</v>
      </c>
      <c r="M39" s="32">
        <f>0</f>
        <v>0</v>
      </c>
      <c r="N39" s="32">
        <f t="shared" si="13"/>
        <v>32474556</v>
      </c>
      <c r="O39" s="32">
        <f t="shared" si="14"/>
        <v>669944</v>
      </c>
      <c r="P39" s="34" t="str">
        <f>IF(NOT(AND(T38="",A39&lt;=S38)),"",IF(FALSE,"繰上返済後再計算","")&amp;IF(AND(入力!$B$13="有効",A39&gt;1,MOD(A39-1,60)=0),IF(FALSE,"・","")&amp;"5年見直し","")&amp;IF(AND(A39=入力!$B$11,A39&gt;1),IF(OR(FALSE,AND(入力!$B$13="有効",A39&gt;1,MOD(A39-1,60)=0)),"・","")&amp;"金利変更","")&amp;IF(AND(OR(AND(入力!$B$13="有効",A39&gt;1,MOD(A39-1,60)=0),AND(A39=入力!$B$11,A39&gt;1)),入力!$B$14="有効",IF(E39=0,ROUND(C39/MAX(1,S38-A39+1),0),ROUND(-PMT(E39/12,MAX(1,S38-A39+1),C39),0))&gt;ROUND(G38*1.25,0),NOT(FALSE)),"・上限適用",""))</f>
        <v/>
      </c>
      <c r="Q39" s="35" t="str">
        <f>IF(AND(T38="",A39&lt;=S38),入力!$B$13,"")</f>
        <v>有効</v>
      </c>
      <c r="R39" s="32" t="str">
        <f>IF(AND(AND(T38="",A39&lt;=S38),OR(AND(入力!$B$13="有効",A39&gt;1,MOD(A39-1,60)=0),AND(A39=入力!$B$11,A39&gt;1)),入力!$B$14="有効"),ROUND(G38*1.25,0),"")</f>
        <v/>
      </c>
      <c r="S39" s="36">
        <f t="shared" si="15"/>
        <v>420</v>
      </c>
      <c r="T39" s="35" t="str">
        <f t="shared" si="16"/>
        <v/>
      </c>
      <c r="U39" s="3">
        <f t="shared" si="0"/>
        <v>0</v>
      </c>
      <c r="V39" s="3">
        <f t="shared" si="1"/>
        <v>0</v>
      </c>
      <c r="W39" s="3">
        <f t="shared" si="2"/>
        <v>0</v>
      </c>
      <c r="X39" s="3">
        <f t="shared" si="3"/>
        <v>0</v>
      </c>
      <c r="Y39" s="3">
        <f>0</f>
        <v>0</v>
      </c>
      <c r="Z39" s="3">
        <f t="shared" si="4"/>
        <v>0</v>
      </c>
      <c r="AA39">
        <f>ROUND(IF(FALSE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,0)</f>
        <v>93982</v>
      </c>
    </row>
    <row r="40" spans="1:27">
      <c r="A40" s="30">
        <f>35</f>
        <v>35</v>
      </c>
      <c r="B40" s="31">
        <f>EDATE(入力!$B$6,A40-1)</f>
        <v>47270</v>
      </c>
      <c r="C40" s="32">
        <f t="shared" si="5"/>
        <v>32474556</v>
      </c>
      <c r="D40" s="32">
        <f t="shared" si="6"/>
        <v>0</v>
      </c>
      <c r="E40" s="33">
        <f>IF(AND(T39="",A40&lt;=S39),IF(A40&lt;入力!$B$11,入力!$B$10,入力!$B$12),0)</f>
        <v>7.0000000000000001E-3</v>
      </c>
      <c r="F40" s="32">
        <f t="shared" si="7"/>
        <v>18943</v>
      </c>
      <c r="G40" s="32">
        <f>ROUND(IF(NOT(AND(T39="",A40&lt;=S39)),0,IF(FALSE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),0)</f>
        <v>93982</v>
      </c>
      <c r="H40" s="32">
        <f t="shared" si="8"/>
        <v>93982</v>
      </c>
      <c r="I40" s="32">
        <f t="shared" si="9"/>
        <v>18943</v>
      </c>
      <c r="J40" s="32">
        <f t="shared" si="10"/>
        <v>0</v>
      </c>
      <c r="K40" s="32">
        <f t="shared" si="11"/>
        <v>0</v>
      </c>
      <c r="L40" s="32">
        <f t="shared" si="12"/>
        <v>75039</v>
      </c>
      <c r="M40" s="32">
        <f>0</f>
        <v>0</v>
      </c>
      <c r="N40" s="32">
        <f t="shared" si="13"/>
        <v>32399517</v>
      </c>
      <c r="O40" s="32">
        <f t="shared" si="14"/>
        <v>688887</v>
      </c>
      <c r="P40" s="34" t="str">
        <f>IF(NOT(AND(T39="",A40&lt;=S39)),"",IF(FALSE,"繰上返済後再計算","")&amp;IF(AND(入力!$B$13="有効",A40&gt;1,MOD(A40-1,60)=0),IF(FALSE,"・","")&amp;"5年見直し","")&amp;IF(AND(A40=入力!$B$11,A40&gt;1),IF(OR(FALSE,AND(入力!$B$13="有効",A40&gt;1,MOD(A40-1,60)=0)),"・","")&amp;"金利変更","")&amp;IF(AND(OR(AND(入力!$B$13="有効",A40&gt;1,MOD(A40-1,60)=0),AND(A40=入力!$B$11,A40&gt;1)),入力!$B$14="有効",IF(E40=0,ROUND(C40/MAX(1,S39-A40+1),0),ROUND(-PMT(E40/12,MAX(1,S39-A40+1),C40),0))&gt;ROUND(G39*1.25,0),NOT(FALSE)),"・上限適用",""))</f>
        <v/>
      </c>
      <c r="Q40" s="35" t="str">
        <f>IF(AND(T39="",A40&lt;=S39),入力!$B$13,"")</f>
        <v>有効</v>
      </c>
      <c r="R40" s="32" t="str">
        <f>IF(AND(AND(T39="",A40&lt;=S39),OR(AND(入力!$B$13="有効",A40&gt;1,MOD(A40-1,60)=0),AND(A40=入力!$B$11,A40&gt;1)),入力!$B$14="有効"),ROUND(G39*1.25,0),"")</f>
        <v/>
      </c>
      <c r="S40" s="36">
        <f t="shared" si="15"/>
        <v>420</v>
      </c>
      <c r="T40" s="35" t="str">
        <f t="shared" si="16"/>
        <v/>
      </c>
      <c r="U40" s="3">
        <f t="shared" si="0"/>
        <v>0</v>
      </c>
      <c r="V40" s="3">
        <f t="shared" si="1"/>
        <v>0</v>
      </c>
      <c r="W40" s="3">
        <f t="shared" si="2"/>
        <v>0</v>
      </c>
      <c r="X40" s="3">
        <f t="shared" si="3"/>
        <v>0</v>
      </c>
      <c r="Y40" s="3">
        <f>0</f>
        <v>0</v>
      </c>
      <c r="Z40" s="3">
        <f t="shared" si="4"/>
        <v>0</v>
      </c>
      <c r="AA40">
        <f>ROUND(IF(FALSE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,0)</f>
        <v>93982</v>
      </c>
    </row>
    <row r="41" spans="1:27">
      <c r="A41" s="30">
        <f>36</f>
        <v>36</v>
      </c>
      <c r="B41" s="31">
        <f>EDATE(入力!$B$6,A41-1)</f>
        <v>47300</v>
      </c>
      <c r="C41" s="32">
        <f t="shared" si="5"/>
        <v>32399517</v>
      </c>
      <c r="D41" s="32">
        <f t="shared" si="6"/>
        <v>0</v>
      </c>
      <c r="E41" s="33">
        <f>IF(AND(T40="",A41&lt;=S40),IF(A41&lt;入力!$B$11,入力!$B$10,入力!$B$12),0)</f>
        <v>7.0000000000000001E-3</v>
      </c>
      <c r="F41" s="32">
        <f t="shared" si="7"/>
        <v>18900</v>
      </c>
      <c r="G41" s="32">
        <f>ROUND(IF(NOT(AND(T40="",A41&lt;=S40)),0,IF(FALSE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),0)</f>
        <v>93982</v>
      </c>
      <c r="H41" s="32">
        <f t="shared" si="8"/>
        <v>93982</v>
      </c>
      <c r="I41" s="32">
        <f t="shared" si="9"/>
        <v>18900</v>
      </c>
      <c r="J41" s="32">
        <f t="shared" si="10"/>
        <v>0</v>
      </c>
      <c r="K41" s="32">
        <f t="shared" si="11"/>
        <v>0</v>
      </c>
      <c r="L41" s="32">
        <f t="shared" si="12"/>
        <v>75082</v>
      </c>
      <c r="M41" s="32">
        <f>0</f>
        <v>0</v>
      </c>
      <c r="N41" s="32">
        <f t="shared" si="13"/>
        <v>32324435</v>
      </c>
      <c r="O41" s="32">
        <f t="shared" si="14"/>
        <v>707787</v>
      </c>
      <c r="P41" s="34" t="str">
        <f>IF(NOT(AND(T40="",A41&lt;=S40)),"",IF(FALSE,"繰上返済後再計算","")&amp;IF(AND(入力!$B$13="有効",A41&gt;1,MOD(A41-1,60)=0),IF(FALSE,"・","")&amp;"5年見直し","")&amp;IF(AND(A41=入力!$B$11,A41&gt;1),IF(OR(FALSE,AND(入力!$B$13="有効",A41&gt;1,MOD(A41-1,60)=0)),"・","")&amp;"金利変更","")&amp;IF(AND(OR(AND(入力!$B$13="有効",A41&gt;1,MOD(A41-1,60)=0),AND(A41=入力!$B$11,A41&gt;1)),入力!$B$14="有効",IF(E41=0,ROUND(C41/MAX(1,S40-A41+1),0),ROUND(-PMT(E41/12,MAX(1,S40-A41+1),C41),0))&gt;ROUND(G40*1.25,0),NOT(FALSE)),"・上限適用",""))</f>
        <v/>
      </c>
      <c r="Q41" s="35" t="str">
        <f>IF(AND(T40="",A41&lt;=S40),入力!$B$13,"")</f>
        <v>有効</v>
      </c>
      <c r="R41" s="32" t="str">
        <f>IF(AND(AND(T40="",A41&lt;=S40),OR(AND(入力!$B$13="有効",A41&gt;1,MOD(A41-1,60)=0),AND(A41=入力!$B$11,A41&gt;1)),入力!$B$14="有効"),ROUND(G40*1.25,0),"")</f>
        <v/>
      </c>
      <c r="S41" s="36">
        <f t="shared" si="15"/>
        <v>420</v>
      </c>
      <c r="T41" s="35" t="str">
        <f t="shared" si="16"/>
        <v/>
      </c>
      <c r="U41" s="3">
        <f t="shared" si="0"/>
        <v>0</v>
      </c>
      <c r="V41" s="3">
        <f t="shared" si="1"/>
        <v>0</v>
      </c>
      <c r="W41" s="3">
        <f t="shared" si="2"/>
        <v>0</v>
      </c>
      <c r="X41" s="3">
        <f t="shared" si="3"/>
        <v>0</v>
      </c>
      <c r="Y41" s="3">
        <f>0</f>
        <v>0</v>
      </c>
      <c r="Z41" s="3">
        <f t="shared" si="4"/>
        <v>0</v>
      </c>
      <c r="AA41">
        <f>ROUND(IF(FALSE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,0)</f>
        <v>93982</v>
      </c>
    </row>
    <row r="42" spans="1:27">
      <c r="A42" s="30">
        <f>37</f>
        <v>37</v>
      </c>
      <c r="B42" s="31">
        <f>EDATE(入力!$B$6,A42-1)</f>
        <v>47331</v>
      </c>
      <c r="C42" s="32">
        <f t="shared" si="5"/>
        <v>32324435</v>
      </c>
      <c r="D42" s="32">
        <f t="shared" si="6"/>
        <v>0</v>
      </c>
      <c r="E42" s="33">
        <f>IF(AND(T41="",A42&lt;=S41),IF(A42&lt;入力!$B$11,入力!$B$10,入力!$B$12),0)</f>
        <v>7.0000000000000001E-3</v>
      </c>
      <c r="F42" s="32">
        <f t="shared" si="7"/>
        <v>18856</v>
      </c>
      <c r="G42" s="32">
        <f>ROUND(IF(NOT(AND(T41="",A42&lt;=S41)),0,IF(FALSE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),0)</f>
        <v>93982</v>
      </c>
      <c r="H42" s="32">
        <f t="shared" si="8"/>
        <v>93982</v>
      </c>
      <c r="I42" s="32">
        <f t="shared" si="9"/>
        <v>18856</v>
      </c>
      <c r="J42" s="32">
        <f t="shared" si="10"/>
        <v>0</v>
      </c>
      <c r="K42" s="32">
        <f t="shared" si="11"/>
        <v>0</v>
      </c>
      <c r="L42" s="32">
        <f t="shared" si="12"/>
        <v>75126</v>
      </c>
      <c r="M42" s="32">
        <f>0</f>
        <v>0</v>
      </c>
      <c r="N42" s="32">
        <f t="shared" si="13"/>
        <v>32249309</v>
      </c>
      <c r="O42" s="32">
        <f t="shared" si="14"/>
        <v>726643</v>
      </c>
      <c r="P42" s="34" t="str">
        <f>IF(NOT(AND(T41="",A42&lt;=S41)),"",IF(FALSE,"繰上返済後再計算","")&amp;IF(AND(入力!$B$13="有効",A42&gt;1,MOD(A42-1,60)=0),IF(FALSE,"・","")&amp;"5年見直し","")&amp;IF(AND(A42=入力!$B$11,A42&gt;1),IF(OR(FALSE,AND(入力!$B$13="有効",A42&gt;1,MOD(A42-1,60)=0)),"・","")&amp;"金利変更","")&amp;IF(AND(OR(AND(入力!$B$13="有効",A42&gt;1,MOD(A42-1,60)=0),AND(A42=入力!$B$11,A42&gt;1)),入力!$B$14="有効",IF(E42=0,ROUND(C42/MAX(1,S41-A42+1),0),ROUND(-PMT(E42/12,MAX(1,S41-A42+1),C42),0))&gt;ROUND(G41*1.25,0),NOT(FALSE)),"・上限適用",""))</f>
        <v/>
      </c>
      <c r="Q42" s="35" t="str">
        <f>IF(AND(T41="",A42&lt;=S41),入力!$B$13,"")</f>
        <v>有効</v>
      </c>
      <c r="R42" s="32" t="str">
        <f>IF(AND(AND(T41="",A42&lt;=S41),OR(AND(入力!$B$13="有効",A42&gt;1,MOD(A42-1,60)=0),AND(A42=入力!$B$11,A42&gt;1)),入力!$B$14="有効"),ROUND(G41*1.25,0),"")</f>
        <v/>
      </c>
      <c r="S42" s="36">
        <f t="shared" si="15"/>
        <v>420</v>
      </c>
      <c r="T42" s="35" t="str">
        <f t="shared" si="16"/>
        <v/>
      </c>
      <c r="U42" s="3">
        <f t="shared" si="0"/>
        <v>0</v>
      </c>
      <c r="V42" s="3">
        <f t="shared" si="1"/>
        <v>0</v>
      </c>
      <c r="W42" s="3">
        <f t="shared" si="2"/>
        <v>0</v>
      </c>
      <c r="X42" s="3">
        <f t="shared" si="3"/>
        <v>0</v>
      </c>
      <c r="Y42" s="3">
        <f>0</f>
        <v>0</v>
      </c>
      <c r="Z42" s="3">
        <f t="shared" si="4"/>
        <v>0</v>
      </c>
      <c r="AA42">
        <f>ROUND(IF(FALSE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,0)</f>
        <v>93982</v>
      </c>
    </row>
    <row r="43" spans="1:27">
      <c r="A43" s="30">
        <f>38</f>
        <v>38</v>
      </c>
      <c r="B43" s="31">
        <f>EDATE(入力!$B$6,A43-1)</f>
        <v>47362</v>
      </c>
      <c r="C43" s="32">
        <f t="shared" si="5"/>
        <v>32249309</v>
      </c>
      <c r="D43" s="32">
        <f t="shared" si="6"/>
        <v>0</v>
      </c>
      <c r="E43" s="33">
        <f>IF(AND(T42="",A43&lt;=S42),IF(A43&lt;入力!$B$11,入力!$B$10,入力!$B$12),0)</f>
        <v>7.0000000000000001E-3</v>
      </c>
      <c r="F43" s="32">
        <f t="shared" si="7"/>
        <v>18812</v>
      </c>
      <c r="G43" s="32">
        <f>ROUND(IF(NOT(AND(T42="",A43&lt;=S42)),0,IF(FALSE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),0)</f>
        <v>93982</v>
      </c>
      <c r="H43" s="32">
        <f t="shared" si="8"/>
        <v>93982</v>
      </c>
      <c r="I43" s="32">
        <f t="shared" si="9"/>
        <v>18812</v>
      </c>
      <c r="J43" s="32">
        <f t="shared" si="10"/>
        <v>0</v>
      </c>
      <c r="K43" s="32">
        <f t="shared" si="11"/>
        <v>0</v>
      </c>
      <c r="L43" s="32">
        <f t="shared" si="12"/>
        <v>75170</v>
      </c>
      <c r="M43" s="32">
        <f>0</f>
        <v>0</v>
      </c>
      <c r="N43" s="32">
        <f t="shared" si="13"/>
        <v>32174139</v>
      </c>
      <c r="O43" s="32">
        <f t="shared" si="14"/>
        <v>745455</v>
      </c>
      <c r="P43" s="34" t="str">
        <f>IF(NOT(AND(T42="",A43&lt;=S42)),"",IF(FALSE,"繰上返済後再計算","")&amp;IF(AND(入力!$B$13="有効",A43&gt;1,MOD(A43-1,60)=0),IF(FALSE,"・","")&amp;"5年見直し","")&amp;IF(AND(A43=入力!$B$11,A43&gt;1),IF(OR(FALSE,AND(入力!$B$13="有効",A43&gt;1,MOD(A43-1,60)=0)),"・","")&amp;"金利変更","")&amp;IF(AND(OR(AND(入力!$B$13="有効",A43&gt;1,MOD(A43-1,60)=0),AND(A43=入力!$B$11,A43&gt;1)),入力!$B$14="有効",IF(E43=0,ROUND(C43/MAX(1,S42-A43+1),0),ROUND(-PMT(E43/12,MAX(1,S42-A43+1),C43),0))&gt;ROUND(G42*1.25,0),NOT(FALSE)),"・上限適用",""))</f>
        <v/>
      </c>
      <c r="Q43" s="35" t="str">
        <f>IF(AND(T42="",A43&lt;=S42),入力!$B$13,"")</f>
        <v>有効</v>
      </c>
      <c r="R43" s="32" t="str">
        <f>IF(AND(AND(T42="",A43&lt;=S42),OR(AND(入力!$B$13="有効",A43&gt;1,MOD(A43-1,60)=0),AND(A43=入力!$B$11,A43&gt;1)),入力!$B$14="有効"),ROUND(G42*1.25,0),"")</f>
        <v/>
      </c>
      <c r="S43" s="36">
        <f t="shared" si="15"/>
        <v>420</v>
      </c>
      <c r="T43" s="35" t="str">
        <f t="shared" si="16"/>
        <v/>
      </c>
      <c r="U43" s="3">
        <f t="shared" si="0"/>
        <v>0</v>
      </c>
      <c r="V43" s="3">
        <f t="shared" si="1"/>
        <v>0</v>
      </c>
      <c r="W43" s="3">
        <f t="shared" si="2"/>
        <v>0</v>
      </c>
      <c r="X43" s="3">
        <f t="shared" si="3"/>
        <v>0</v>
      </c>
      <c r="Y43" s="3">
        <f>0</f>
        <v>0</v>
      </c>
      <c r="Z43" s="3">
        <f t="shared" si="4"/>
        <v>0</v>
      </c>
      <c r="AA43">
        <f>ROUND(IF(FALSE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,0)</f>
        <v>93982</v>
      </c>
    </row>
    <row r="44" spans="1:27">
      <c r="A44" s="30">
        <f>39</f>
        <v>39</v>
      </c>
      <c r="B44" s="31">
        <f>EDATE(入力!$B$6,A44-1)</f>
        <v>47392</v>
      </c>
      <c r="C44" s="32">
        <f t="shared" si="5"/>
        <v>32174139</v>
      </c>
      <c r="D44" s="32">
        <f t="shared" si="6"/>
        <v>0</v>
      </c>
      <c r="E44" s="33">
        <f>IF(AND(T43="",A44&lt;=S43),IF(A44&lt;入力!$B$11,入力!$B$10,入力!$B$12),0)</f>
        <v>7.0000000000000001E-3</v>
      </c>
      <c r="F44" s="32">
        <f t="shared" si="7"/>
        <v>18768</v>
      </c>
      <c r="G44" s="32">
        <f>ROUND(IF(NOT(AND(T43="",A44&lt;=S43)),0,IF(FALSE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),0)</f>
        <v>93982</v>
      </c>
      <c r="H44" s="32">
        <f t="shared" si="8"/>
        <v>93982</v>
      </c>
      <c r="I44" s="32">
        <f t="shared" si="9"/>
        <v>18768</v>
      </c>
      <c r="J44" s="32">
        <f t="shared" si="10"/>
        <v>0</v>
      </c>
      <c r="K44" s="32">
        <f t="shared" si="11"/>
        <v>0</v>
      </c>
      <c r="L44" s="32">
        <f t="shared" si="12"/>
        <v>75214</v>
      </c>
      <c r="M44" s="32">
        <f>0</f>
        <v>0</v>
      </c>
      <c r="N44" s="32">
        <f t="shared" si="13"/>
        <v>32098925</v>
      </c>
      <c r="O44" s="32">
        <f t="shared" si="14"/>
        <v>764223</v>
      </c>
      <c r="P44" s="34" t="str">
        <f>IF(NOT(AND(T43="",A44&lt;=S43)),"",IF(FALSE,"繰上返済後再計算","")&amp;IF(AND(入力!$B$13="有効",A44&gt;1,MOD(A44-1,60)=0),IF(FALSE,"・","")&amp;"5年見直し","")&amp;IF(AND(A44=入力!$B$11,A44&gt;1),IF(OR(FALSE,AND(入力!$B$13="有効",A44&gt;1,MOD(A44-1,60)=0)),"・","")&amp;"金利変更","")&amp;IF(AND(OR(AND(入力!$B$13="有効",A44&gt;1,MOD(A44-1,60)=0),AND(A44=入力!$B$11,A44&gt;1)),入力!$B$14="有効",IF(E44=0,ROUND(C44/MAX(1,S43-A44+1),0),ROUND(-PMT(E44/12,MAX(1,S43-A44+1),C44),0))&gt;ROUND(G43*1.25,0),NOT(FALSE)),"・上限適用",""))</f>
        <v/>
      </c>
      <c r="Q44" s="35" t="str">
        <f>IF(AND(T43="",A44&lt;=S43),入力!$B$13,"")</f>
        <v>有効</v>
      </c>
      <c r="R44" s="32" t="str">
        <f>IF(AND(AND(T43="",A44&lt;=S43),OR(AND(入力!$B$13="有効",A44&gt;1,MOD(A44-1,60)=0),AND(A44=入力!$B$11,A44&gt;1)),入力!$B$14="有効"),ROUND(G43*1.25,0),"")</f>
        <v/>
      </c>
      <c r="S44" s="36">
        <f t="shared" si="15"/>
        <v>420</v>
      </c>
      <c r="T44" s="35" t="str">
        <f t="shared" si="16"/>
        <v/>
      </c>
      <c r="U44" s="3">
        <f t="shared" si="0"/>
        <v>0</v>
      </c>
      <c r="V44" s="3">
        <f t="shared" si="1"/>
        <v>0</v>
      </c>
      <c r="W44" s="3">
        <f t="shared" si="2"/>
        <v>0</v>
      </c>
      <c r="X44" s="3">
        <f t="shared" si="3"/>
        <v>0</v>
      </c>
      <c r="Y44" s="3">
        <f>0</f>
        <v>0</v>
      </c>
      <c r="Z44" s="3">
        <f t="shared" si="4"/>
        <v>0</v>
      </c>
      <c r="AA44">
        <f>ROUND(IF(FALSE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,0)</f>
        <v>93982</v>
      </c>
    </row>
    <row r="45" spans="1:27">
      <c r="A45" s="30">
        <f>40</f>
        <v>40</v>
      </c>
      <c r="B45" s="31">
        <f>EDATE(入力!$B$6,A45-1)</f>
        <v>47423</v>
      </c>
      <c r="C45" s="32">
        <f t="shared" si="5"/>
        <v>32098925</v>
      </c>
      <c r="D45" s="32">
        <f t="shared" si="6"/>
        <v>0</v>
      </c>
      <c r="E45" s="33">
        <f>IF(AND(T44="",A45&lt;=S44),IF(A45&lt;入力!$B$11,入力!$B$10,入力!$B$12),0)</f>
        <v>7.0000000000000001E-3</v>
      </c>
      <c r="F45" s="32">
        <f t="shared" si="7"/>
        <v>18724</v>
      </c>
      <c r="G45" s="32">
        <f>ROUND(IF(NOT(AND(T44="",A45&lt;=S44)),0,IF(FALSE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),0)</f>
        <v>93982</v>
      </c>
      <c r="H45" s="32">
        <f t="shared" si="8"/>
        <v>93982</v>
      </c>
      <c r="I45" s="32">
        <f t="shared" si="9"/>
        <v>18724</v>
      </c>
      <c r="J45" s="32">
        <f t="shared" si="10"/>
        <v>0</v>
      </c>
      <c r="K45" s="32">
        <f t="shared" si="11"/>
        <v>0</v>
      </c>
      <c r="L45" s="32">
        <f t="shared" si="12"/>
        <v>75258</v>
      </c>
      <c r="M45" s="32">
        <f>0</f>
        <v>0</v>
      </c>
      <c r="N45" s="32">
        <f t="shared" si="13"/>
        <v>32023667</v>
      </c>
      <c r="O45" s="32">
        <f t="shared" si="14"/>
        <v>782947</v>
      </c>
      <c r="P45" s="34" t="str">
        <f>IF(NOT(AND(T44="",A45&lt;=S44)),"",IF(FALSE,"繰上返済後再計算","")&amp;IF(AND(入力!$B$13="有効",A45&gt;1,MOD(A45-1,60)=0),IF(FALSE,"・","")&amp;"5年見直し","")&amp;IF(AND(A45=入力!$B$11,A45&gt;1),IF(OR(FALSE,AND(入力!$B$13="有効",A45&gt;1,MOD(A45-1,60)=0)),"・","")&amp;"金利変更","")&amp;IF(AND(OR(AND(入力!$B$13="有効",A45&gt;1,MOD(A45-1,60)=0),AND(A45=入力!$B$11,A45&gt;1)),入力!$B$14="有効",IF(E45=0,ROUND(C45/MAX(1,S44-A45+1),0),ROUND(-PMT(E45/12,MAX(1,S44-A45+1),C45),0))&gt;ROUND(G44*1.25,0),NOT(FALSE)),"・上限適用",""))</f>
        <v/>
      </c>
      <c r="Q45" s="35" t="str">
        <f>IF(AND(T44="",A45&lt;=S44),入力!$B$13,"")</f>
        <v>有効</v>
      </c>
      <c r="R45" s="32" t="str">
        <f>IF(AND(AND(T44="",A45&lt;=S44),OR(AND(入力!$B$13="有効",A45&gt;1,MOD(A45-1,60)=0),AND(A45=入力!$B$11,A45&gt;1)),入力!$B$14="有効"),ROUND(G44*1.25,0),"")</f>
        <v/>
      </c>
      <c r="S45" s="36">
        <f t="shared" si="15"/>
        <v>420</v>
      </c>
      <c r="T45" s="35" t="str">
        <f t="shared" si="16"/>
        <v/>
      </c>
      <c r="U45" s="3">
        <f t="shared" si="0"/>
        <v>0</v>
      </c>
      <c r="V45" s="3">
        <f t="shared" si="1"/>
        <v>0</v>
      </c>
      <c r="W45" s="3">
        <f t="shared" si="2"/>
        <v>0</v>
      </c>
      <c r="X45" s="3">
        <f t="shared" si="3"/>
        <v>0</v>
      </c>
      <c r="Y45" s="3">
        <f>0</f>
        <v>0</v>
      </c>
      <c r="Z45" s="3">
        <f t="shared" si="4"/>
        <v>0</v>
      </c>
      <c r="AA45">
        <f>ROUND(IF(FALSE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,0)</f>
        <v>93982</v>
      </c>
    </row>
    <row r="46" spans="1:27">
      <c r="A46" s="30">
        <f>41</f>
        <v>41</v>
      </c>
      <c r="B46" s="31">
        <f>EDATE(入力!$B$6,A46-1)</f>
        <v>47453</v>
      </c>
      <c r="C46" s="32">
        <f t="shared" si="5"/>
        <v>32023667</v>
      </c>
      <c r="D46" s="32">
        <f t="shared" si="6"/>
        <v>0</v>
      </c>
      <c r="E46" s="33">
        <f>IF(AND(T45="",A46&lt;=S45),IF(A46&lt;入力!$B$11,入力!$B$10,入力!$B$12),0)</f>
        <v>7.0000000000000001E-3</v>
      </c>
      <c r="F46" s="32">
        <f t="shared" si="7"/>
        <v>18680</v>
      </c>
      <c r="G46" s="32">
        <f>ROUND(IF(NOT(AND(T45="",A46&lt;=S45)),0,IF(FALSE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),0)</f>
        <v>93982</v>
      </c>
      <c r="H46" s="32">
        <f t="shared" si="8"/>
        <v>93982</v>
      </c>
      <c r="I46" s="32">
        <f t="shared" si="9"/>
        <v>18680</v>
      </c>
      <c r="J46" s="32">
        <f t="shared" si="10"/>
        <v>0</v>
      </c>
      <c r="K46" s="32">
        <f t="shared" si="11"/>
        <v>0</v>
      </c>
      <c r="L46" s="32">
        <f t="shared" si="12"/>
        <v>75302</v>
      </c>
      <c r="M46" s="32">
        <f>0</f>
        <v>0</v>
      </c>
      <c r="N46" s="32">
        <f t="shared" si="13"/>
        <v>31948365</v>
      </c>
      <c r="O46" s="32">
        <f t="shared" si="14"/>
        <v>801627</v>
      </c>
      <c r="P46" s="34" t="str">
        <f>IF(NOT(AND(T45="",A46&lt;=S45)),"",IF(FALSE,"繰上返済後再計算","")&amp;IF(AND(入力!$B$13="有効",A46&gt;1,MOD(A46-1,60)=0),IF(FALSE,"・","")&amp;"5年見直し","")&amp;IF(AND(A46=入力!$B$11,A46&gt;1),IF(OR(FALSE,AND(入力!$B$13="有効",A46&gt;1,MOD(A46-1,60)=0)),"・","")&amp;"金利変更","")&amp;IF(AND(OR(AND(入力!$B$13="有効",A46&gt;1,MOD(A46-1,60)=0),AND(A46=入力!$B$11,A46&gt;1)),入力!$B$14="有効",IF(E46=0,ROUND(C46/MAX(1,S45-A46+1),0),ROUND(-PMT(E46/12,MAX(1,S45-A46+1),C46),0))&gt;ROUND(G45*1.25,0),NOT(FALSE)),"・上限適用",""))</f>
        <v/>
      </c>
      <c r="Q46" s="35" t="str">
        <f>IF(AND(T45="",A46&lt;=S45),入力!$B$13,"")</f>
        <v>有効</v>
      </c>
      <c r="R46" s="32" t="str">
        <f>IF(AND(AND(T45="",A46&lt;=S45),OR(AND(入力!$B$13="有効",A46&gt;1,MOD(A46-1,60)=0),AND(A46=入力!$B$11,A46&gt;1)),入力!$B$14="有効"),ROUND(G45*1.25,0),"")</f>
        <v/>
      </c>
      <c r="S46" s="36">
        <f t="shared" si="15"/>
        <v>420</v>
      </c>
      <c r="T46" s="35" t="str">
        <f t="shared" si="16"/>
        <v/>
      </c>
      <c r="U46" s="3">
        <f t="shared" si="0"/>
        <v>0</v>
      </c>
      <c r="V46" s="3">
        <f t="shared" si="1"/>
        <v>0</v>
      </c>
      <c r="W46" s="3">
        <f t="shared" si="2"/>
        <v>0</v>
      </c>
      <c r="X46" s="3">
        <f t="shared" si="3"/>
        <v>0</v>
      </c>
      <c r="Y46" s="3">
        <f>0</f>
        <v>0</v>
      </c>
      <c r="Z46" s="3">
        <f t="shared" si="4"/>
        <v>0</v>
      </c>
      <c r="AA46">
        <f>ROUND(IF(FALSE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,0)</f>
        <v>93982</v>
      </c>
    </row>
    <row r="47" spans="1:27">
      <c r="A47" s="30">
        <f>42</f>
        <v>42</v>
      </c>
      <c r="B47" s="31">
        <f>EDATE(入力!$B$6,A47-1)</f>
        <v>47484</v>
      </c>
      <c r="C47" s="32">
        <f t="shared" si="5"/>
        <v>31948365</v>
      </c>
      <c r="D47" s="32">
        <f t="shared" si="6"/>
        <v>0</v>
      </c>
      <c r="E47" s="33">
        <f>IF(AND(T46="",A47&lt;=S46),IF(A47&lt;入力!$B$11,入力!$B$10,入力!$B$12),0)</f>
        <v>7.0000000000000001E-3</v>
      </c>
      <c r="F47" s="32">
        <f t="shared" si="7"/>
        <v>18637</v>
      </c>
      <c r="G47" s="32">
        <f>ROUND(IF(NOT(AND(T46="",A47&lt;=S46)),0,IF(FALSE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),0)</f>
        <v>93982</v>
      </c>
      <c r="H47" s="32">
        <f t="shared" si="8"/>
        <v>93982</v>
      </c>
      <c r="I47" s="32">
        <f t="shared" si="9"/>
        <v>18637</v>
      </c>
      <c r="J47" s="32">
        <f t="shared" si="10"/>
        <v>0</v>
      </c>
      <c r="K47" s="32">
        <f t="shared" si="11"/>
        <v>0</v>
      </c>
      <c r="L47" s="32">
        <f t="shared" si="12"/>
        <v>75345</v>
      </c>
      <c r="M47" s="32">
        <f>0</f>
        <v>0</v>
      </c>
      <c r="N47" s="32">
        <f t="shared" si="13"/>
        <v>31873020</v>
      </c>
      <c r="O47" s="32">
        <f t="shared" si="14"/>
        <v>820264</v>
      </c>
      <c r="P47" s="34" t="str">
        <f>IF(NOT(AND(T46="",A47&lt;=S46)),"",IF(FALSE,"繰上返済後再計算","")&amp;IF(AND(入力!$B$13="有効",A47&gt;1,MOD(A47-1,60)=0),IF(FALSE,"・","")&amp;"5年見直し","")&amp;IF(AND(A47=入力!$B$11,A47&gt;1),IF(OR(FALSE,AND(入力!$B$13="有効",A47&gt;1,MOD(A47-1,60)=0)),"・","")&amp;"金利変更","")&amp;IF(AND(OR(AND(入力!$B$13="有効",A47&gt;1,MOD(A47-1,60)=0),AND(A47=入力!$B$11,A47&gt;1)),入力!$B$14="有効",IF(E47=0,ROUND(C47/MAX(1,S46-A47+1),0),ROUND(-PMT(E47/12,MAX(1,S46-A47+1),C47),0))&gt;ROUND(G46*1.25,0),NOT(FALSE)),"・上限適用",""))</f>
        <v/>
      </c>
      <c r="Q47" s="35" t="str">
        <f>IF(AND(T46="",A47&lt;=S46),入力!$B$13,"")</f>
        <v>有効</v>
      </c>
      <c r="R47" s="32" t="str">
        <f>IF(AND(AND(T46="",A47&lt;=S46),OR(AND(入力!$B$13="有効",A47&gt;1,MOD(A47-1,60)=0),AND(A47=入力!$B$11,A47&gt;1)),入力!$B$14="有効"),ROUND(G46*1.25,0),"")</f>
        <v/>
      </c>
      <c r="S47" s="36">
        <f t="shared" si="15"/>
        <v>420</v>
      </c>
      <c r="T47" s="35" t="str">
        <f t="shared" si="16"/>
        <v/>
      </c>
      <c r="U47" s="3">
        <f t="shared" si="0"/>
        <v>0</v>
      </c>
      <c r="V47" s="3">
        <f t="shared" si="1"/>
        <v>0</v>
      </c>
      <c r="W47" s="3">
        <f t="shared" si="2"/>
        <v>0</v>
      </c>
      <c r="X47" s="3">
        <f t="shared" si="3"/>
        <v>0</v>
      </c>
      <c r="Y47" s="3">
        <f>0</f>
        <v>0</v>
      </c>
      <c r="Z47" s="3">
        <f t="shared" si="4"/>
        <v>0</v>
      </c>
      <c r="AA47">
        <f>ROUND(IF(FALSE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,0)</f>
        <v>93982</v>
      </c>
    </row>
    <row r="48" spans="1:27">
      <c r="A48" s="30">
        <f>43</f>
        <v>43</v>
      </c>
      <c r="B48" s="31">
        <f>EDATE(入力!$B$6,A48-1)</f>
        <v>47515</v>
      </c>
      <c r="C48" s="32">
        <f t="shared" si="5"/>
        <v>31873020</v>
      </c>
      <c r="D48" s="32">
        <f t="shared" si="6"/>
        <v>0</v>
      </c>
      <c r="E48" s="33">
        <f>IF(AND(T47="",A48&lt;=S47),IF(A48&lt;入力!$B$11,入力!$B$10,入力!$B$12),0)</f>
        <v>7.0000000000000001E-3</v>
      </c>
      <c r="F48" s="32">
        <f t="shared" si="7"/>
        <v>18593</v>
      </c>
      <c r="G48" s="32">
        <f>ROUND(IF(NOT(AND(T47="",A48&lt;=S47)),0,IF(FALSE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),0)</f>
        <v>93982</v>
      </c>
      <c r="H48" s="32">
        <f t="shared" si="8"/>
        <v>93982</v>
      </c>
      <c r="I48" s="32">
        <f t="shared" si="9"/>
        <v>18593</v>
      </c>
      <c r="J48" s="32">
        <f t="shared" si="10"/>
        <v>0</v>
      </c>
      <c r="K48" s="32">
        <f t="shared" si="11"/>
        <v>0</v>
      </c>
      <c r="L48" s="32">
        <f t="shared" si="12"/>
        <v>75389</v>
      </c>
      <c r="M48" s="32">
        <f>0</f>
        <v>0</v>
      </c>
      <c r="N48" s="32">
        <f t="shared" si="13"/>
        <v>31797631</v>
      </c>
      <c r="O48" s="32">
        <f t="shared" si="14"/>
        <v>838857</v>
      </c>
      <c r="P48" s="34" t="str">
        <f>IF(NOT(AND(T47="",A48&lt;=S47)),"",IF(FALSE,"繰上返済後再計算","")&amp;IF(AND(入力!$B$13="有効",A48&gt;1,MOD(A48-1,60)=0),IF(FALSE,"・","")&amp;"5年見直し","")&amp;IF(AND(A48=入力!$B$11,A48&gt;1),IF(OR(FALSE,AND(入力!$B$13="有効",A48&gt;1,MOD(A48-1,60)=0)),"・","")&amp;"金利変更","")&amp;IF(AND(OR(AND(入力!$B$13="有効",A48&gt;1,MOD(A48-1,60)=0),AND(A48=入力!$B$11,A48&gt;1)),入力!$B$14="有効",IF(E48=0,ROUND(C48/MAX(1,S47-A48+1),0),ROUND(-PMT(E48/12,MAX(1,S47-A48+1),C48),0))&gt;ROUND(G47*1.25,0),NOT(FALSE)),"・上限適用",""))</f>
        <v/>
      </c>
      <c r="Q48" s="35" t="str">
        <f>IF(AND(T47="",A48&lt;=S47),入力!$B$13,"")</f>
        <v>有効</v>
      </c>
      <c r="R48" s="32" t="str">
        <f>IF(AND(AND(T47="",A48&lt;=S47),OR(AND(入力!$B$13="有効",A48&gt;1,MOD(A48-1,60)=0),AND(A48=入力!$B$11,A48&gt;1)),入力!$B$14="有効"),ROUND(G47*1.25,0),"")</f>
        <v/>
      </c>
      <c r="S48" s="36">
        <f t="shared" si="15"/>
        <v>420</v>
      </c>
      <c r="T48" s="35" t="str">
        <f t="shared" si="16"/>
        <v/>
      </c>
      <c r="U48" s="3">
        <f t="shared" si="0"/>
        <v>0</v>
      </c>
      <c r="V48" s="3">
        <f t="shared" si="1"/>
        <v>0</v>
      </c>
      <c r="W48" s="3">
        <f t="shared" si="2"/>
        <v>0</v>
      </c>
      <c r="X48" s="3">
        <f t="shared" si="3"/>
        <v>0</v>
      </c>
      <c r="Y48" s="3">
        <f>0</f>
        <v>0</v>
      </c>
      <c r="Z48" s="3">
        <f t="shared" si="4"/>
        <v>0</v>
      </c>
      <c r="AA48">
        <f>ROUND(IF(FALSE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,0)</f>
        <v>93982</v>
      </c>
    </row>
    <row r="49" spans="1:27">
      <c r="A49" s="30">
        <f>44</f>
        <v>44</v>
      </c>
      <c r="B49" s="31">
        <f>EDATE(入力!$B$6,A49-1)</f>
        <v>47543</v>
      </c>
      <c r="C49" s="32">
        <f t="shared" si="5"/>
        <v>31797631</v>
      </c>
      <c r="D49" s="32">
        <f t="shared" si="6"/>
        <v>0</v>
      </c>
      <c r="E49" s="33">
        <f>IF(AND(T48="",A49&lt;=S48),IF(A49&lt;入力!$B$11,入力!$B$10,入力!$B$12),0)</f>
        <v>7.0000000000000001E-3</v>
      </c>
      <c r="F49" s="32">
        <f t="shared" si="7"/>
        <v>18549</v>
      </c>
      <c r="G49" s="32">
        <f>ROUND(IF(NOT(AND(T48="",A49&lt;=S48)),0,IF(FALSE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),0)</f>
        <v>93982</v>
      </c>
      <c r="H49" s="32">
        <f t="shared" si="8"/>
        <v>93982</v>
      </c>
      <c r="I49" s="32">
        <f t="shared" si="9"/>
        <v>18549</v>
      </c>
      <c r="J49" s="32">
        <f t="shared" si="10"/>
        <v>0</v>
      </c>
      <c r="K49" s="32">
        <f t="shared" si="11"/>
        <v>0</v>
      </c>
      <c r="L49" s="32">
        <f t="shared" si="12"/>
        <v>75433</v>
      </c>
      <c r="M49" s="32">
        <f>0</f>
        <v>0</v>
      </c>
      <c r="N49" s="32">
        <f t="shared" si="13"/>
        <v>31722198</v>
      </c>
      <c r="O49" s="32">
        <f t="shared" si="14"/>
        <v>857406</v>
      </c>
      <c r="P49" s="34" t="str">
        <f>IF(NOT(AND(T48="",A49&lt;=S48)),"",IF(FALSE,"繰上返済後再計算","")&amp;IF(AND(入力!$B$13="有効",A49&gt;1,MOD(A49-1,60)=0),IF(FALSE,"・","")&amp;"5年見直し","")&amp;IF(AND(A49=入力!$B$11,A49&gt;1),IF(OR(FALSE,AND(入力!$B$13="有効",A49&gt;1,MOD(A49-1,60)=0)),"・","")&amp;"金利変更","")&amp;IF(AND(OR(AND(入力!$B$13="有効",A49&gt;1,MOD(A49-1,60)=0),AND(A49=入力!$B$11,A49&gt;1)),入力!$B$14="有効",IF(E49=0,ROUND(C49/MAX(1,S48-A49+1),0),ROUND(-PMT(E49/12,MAX(1,S48-A49+1),C49),0))&gt;ROUND(G48*1.25,0),NOT(FALSE)),"・上限適用",""))</f>
        <v/>
      </c>
      <c r="Q49" s="35" t="str">
        <f>IF(AND(T48="",A49&lt;=S48),入力!$B$13,"")</f>
        <v>有効</v>
      </c>
      <c r="R49" s="32" t="str">
        <f>IF(AND(AND(T48="",A49&lt;=S48),OR(AND(入力!$B$13="有効",A49&gt;1,MOD(A49-1,60)=0),AND(A49=入力!$B$11,A49&gt;1)),入力!$B$14="有効"),ROUND(G48*1.25,0),"")</f>
        <v/>
      </c>
      <c r="S49" s="36">
        <f t="shared" si="15"/>
        <v>420</v>
      </c>
      <c r="T49" s="35" t="str">
        <f t="shared" si="16"/>
        <v/>
      </c>
      <c r="U49" s="3">
        <f t="shared" si="0"/>
        <v>0</v>
      </c>
      <c r="V49" s="3">
        <f t="shared" si="1"/>
        <v>0</v>
      </c>
      <c r="W49" s="3">
        <f t="shared" si="2"/>
        <v>0</v>
      </c>
      <c r="X49" s="3">
        <f t="shared" si="3"/>
        <v>0</v>
      </c>
      <c r="Y49" s="3">
        <f>0</f>
        <v>0</v>
      </c>
      <c r="Z49" s="3">
        <f t="shared" si="4"/>
        <v>0</v>
      </c>
      <c r="AA49">
        <f>ROUND(IF(FALSE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,0)</f>
        <v>93982</v>
      </c>
    </row>
    <row r="50" spans="1:27">
      <c r="A50" s="30">
        <f>45</f>
        <v>45</v>
      </c>
      <c r="B50" s="31">
        <f>EDATE(入力!$B$6,A50-1)</f>
        <v>47574</v>
      </c>
      <c r="C50" s="32">
        <f t="shared" si="5"/>
        <v>31722198</v>
      </c>
      <c r="D50" s="32">
        <f t="shared" si="6"/>
        <v>0</v>
      </c>
      <c r="E50" s="33">
        <f>IF(AND(T49="",A50&lt;=S49),IF(A50&lt;入力!$B$11,入力!$B$10,入力!$B$12),0)</f>
        <v>7.0000000000000001E-3</v>
      </c>
      <c r="F50" s="32">
        <f t="shared" si="7"/>
        <v>18505</v>
      </c>
      <c r="G50" s="32">
        <f>ROUND(IF(NOT(AND(T49="",A50&lt;=S49)),0,IF(FALSE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),0)</f>
        <v>93982</v>
      </c>
      <c r="H50" s="32">
        <f t="shared" si="8"/>
        <v>93982</v>
      </c>
      <c r="I50" s="32">
        <f t="shared" si="9"/>
        <v>18505</v>
      </c>
      <c r="J50" s="32">
        <f t="shared" si="10"/>
        <v>0</v>
      </c>
      <c r="K50" s="32">
        <f t="shared" si="11"/>
        <v>0</v>
      </c>
      <c r="L50" s="32">
        <f t="shared" si="12"/>
        <v>75477</v>
      </c>
      <c r="M50" s="32">
        <f>0</f>
        <v>0</v>
      </c>
      <c r="N50" s="32">
        <f t="shared" si="13"/>
        <v>31646721</v>
      </c>
      <c r="O50" s="32">
        <f t="shared" si="14"/>
        <v>875911</v>
      </c>
      <c r="P50" s="34" t="str">
        <f>IF(NOT(AND(T49="",A50&lt;=S49)),"",IF(FALSE,"繰上返済後再計算","")&amp;IF(AND(入力!$B$13="有効",A50&gt;1,MOD(A50-1,60)=0),IF(FALSE,"・","")&amp;"5年見直し","")&amp;IF(AND(A50=入力!$B$11,A50&gt;1),IF(OR(FALSE,AND(入力!$B$13="有効",A50&gt;1,MOD(A50-1,60)=0)),"・","")&amp;"金利変更","")&amp;IF(AND(OR(AND(入力!$B$13="有効",A50&gt;1,MOD(A50-1,60)=0),AND(A50=入力!$B$11,A50&gt;1)),入力!$B$14="有効",IF(E50=0,ROUND(C50/MAX(1,S49-A50+1),0),ROUND(-PMT(E50/12,MAX(1,S49-A50+1),C50),0))&gt;ROUND(G49*1.25,0),NOT(FALSE)),"・上限適用",""))</f>
        <v/>
      </c>
      <c r="Q50" s="35" t="str">
        <f>IF(AND(T49="",A50&lt;=S49),入力!$B$13,"")</f>
        <v>有効</v>
      </c>
      <c r="R50" s="32" t="str">
        <f>IF(AND(AND(T49="",A50&lt;=S49),OR(AND(入力!$B$13="有効",A50&gt;1,MOD(A50-1,60)=0),AND(A50=入力!$B$11,A50&gt;1)),入力!$B$14="有効"),ROUND(G49*1.25,0),"")</f>
        <v/>
      </c>
      <c r="S50" s="36">
        <f t="shared" si="15"/>
        <v>420</v>
      </c>
      <c r="T50" s="35" t="str">
        <f t="shared" si="16"/>
        <v/>
      </c>
      <c r="U50" s="3">
        <f t="shared" si="0"/>
        <v>0</v>
      </c>
      <c r="V50" s="3">
        <f t="shared" si="1"/>
        <v>0</v>
      </c>
      <c r="W50" s="3">
        <f t="shared" si="2"/>
        <v>0</v>
      </c>
      <c r="X50" s="3">
        <f t="shared" si="3"/>
        <v>0</v>
      </c>
      <c r="Y50" s="3">
        <f>0</f>
        <v>0</v>
      </c>
      <c r="Z50" s="3">
        <f t="shared" si="4"/>
        <v>0</v>
      </c>
      <c r="AA50">
        <f>ROUND(IF(FALSE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,0)</f>
        <v>93982</v>
      </c>
    </row>
    <row r="51" spans="1:27">
      <c r="A51" s="30">
        <f>46</f>
        <v>46</v>
      </c>
      <c r="B51" s="31">
        <f>EDATE(入力!$B$6,A51-1)</f>
        <v>47604</v>
      </c>
      <c r="C51" s="32">
        <f t="shared" si="5"/>
        <v>31646721</v>
      </c>
      <c r="D51" s="32">
        <f t="shared" si="6"/>
        <v>0</v>
      </c>
      <c r="E51" s="33">
        <f>IF(AND(T50="",A51&lt;=S50),IF(A51&lt;入力!$B$11,入力!$B$10,入力!$B$12),0)</f>
        <v>7.0000000000000001E-3</v>
      </c>
      <c r="F51" s="32">
        <f t="shared" si="7"/>
        <v>18461</v>
      </c>
      <c r="G51" s="32">
        <f>ROUND(IF(NOT(AND(T50="",A51&lt;=S50)),0,IF(FALSE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),0)</f>
        <v>93982</v>
      </c>
      <c r="H51" s="32">
        <f t="shared" si="8"/>
        <v>93982</v>
      </c>
      <c r="I51" s="32">
        <f t="shared" si="9"/>
        <v>18461</v>
      </c>
      <c r="J51" s="32">
        <f t="shared" si="10"/>
        <v>0</v>
      </c>
      <c r="K51" s="32">
        <f t="shared" si="11"/>
        <v>0</v>
      </c>
      <c r="L51" s="32">
        <f t="shared" si="12"/>
        <v>75521</v>
      </c>
      <c r="M51" s="32">
        <f>0</f>
        <v>0</v>
      </c>
      <c r="N51" s="32">
        <f t="shared" si="13"/>
        <v>31571200</v>
      </c>
      <c r="O51" s="32">
        <f t="shared" si="14"/>
        <v>894372</v>
      </c>
      <c r="P51" s="34" t="str">
        <f>IF(NOT(AND(T50="",A51&lt;=S50)),"",IF(FALSE,"繰上返済後再計算","")&amp;IF(AND(入力!$B$13="有効",A51&gt;1,MOD(A51-1,60)=0),IF(FALSE,"・","")&amp;"5年見直し","")&amp;IF(AND(A51=入力!$B$11,A51&gt;1),IF(OR(FALSE,AND(入力!$B$13="有効",A51&gt;1,MOD(A51-1,60)=0)),"・","")&amp;"金利変更","")&amp;IF(AND(OR(AND(入力!$B$13="有効",A51&gt;1,MOD(A51-1,60)=0),AND(A51=入力!$B$11,A51&gt;1)),入力!$B$14="有効",IF(E51=0,ROUND(C51/MAX(1,S50-A51+1),0),ROUND(-PMT(E51/12,MAX(1,S50-A51+1),C51),0))&gt;ROUND(G50*1.25,0),NOT(FALSE)),"・上限適用",""))</f>
        <v/>
      </c>
      <c r="Q51" s="35" t="str">
        <f>IF(AND(T50="",A51&lt;=S50),入力!$B$13,"")</f>
        <v>有効</v>
      </c>
      <c r="R51" s="32" t="str">
        <f>IF(AND(AND(T50="",A51&lt;=S50),OR(AND(入力!$B$13="有効",A51&gt;1,MOD(A51-1,60)=0),AND(A51=入力!$B$11,A51&gt;1)),入力!$B$14="有効"),ROUND(G50*1.25,0),"")</f>
        <v/>
      </c>
      <c r="S51" s="36">
        <f t="shared" si="15"/>
        <v>420</v>
      </c>
      <c r="T51" s="35" t="str">
        <f t="shared" si="16"/>
        <v/>
      </c>
      <c r="U51" s="3">
        <f t="shared" si="0"/>
        <v>0</v>
      </c>
      <c r="V51" s="3">
        <f t="shared" si="1"/>
        <v>0</v>
      </c>
      <c r="W51" s="3">
        <f t="shared" si="2"/>
        <v>0</v>
      </c>
      <c r="X51" s="3">
        <f t="shared" si="3"/>
        <v>0</v>
      </c>
      <c r="Y51" s="3">
        <f>0</f>
        <v>0</v>
      </c>
      <c r="Z51" s="3">
        <f t="shared" si="4"/>
        <v>0</v>
      </c>
      <c r="AA51">
        <f>ROUND(IF(FALSE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,0)</f>
        <v>93982</v>
      </c>
    </row>
    <row r="52" spans="1:27">
      <c r="A52" s="30">
        <f>47</f>
        <v>47</v>
      </c>
      <c r="B52" s="31">
        <f>EDATE(入力!$B$6,A52-1)</f>
        <v>47635</v>
      </c>
      <c r="C52" s="32">
        <f t="shared" si="5"/>
        <v>31571200</v>
      </c>
      <c r="D52" s="32">
        <f t="shared" si="6"/>
        <v>0</v>
      </c>
      <c r="E52" s="33">
        <f>IF(AND(T51="",A52&lt;=S51),IF(A52&lt;入力!$B$11,入力!$B$10,入力!$B$12),0)</f>
        <v>7.0000000000000001E-3</v>
      </c>
      <c r="F52" s="32">
        <f t="shared" si="7"/>
        <v>18417</v>
      </c>
      <c r="G52" s="32">
        <f>ROUND(IF(NOT(AND(T51="",A52&lt;=S51)),0,IF(FALSE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),0)</f>
        <v>93982</v>
      </c>
      <c r="H52" s="32">
        <f t="shared" si="8"/>
        <v>93982</v>
      </c>
      <c r="I52" s="32">
        <f t="shared" si="9"/>
        <v>18417</v>
      </c>
      <c r="J52" s="32">
        <f t="shared" si="10"/>
        <v>0</v>
      </c>
      <c r="K52" s="32">
        <f t="shared" si="11"/>
        <v>0</v>
      </c>
      <c r="L52" s="32">
        <f t="shared" si="12"/>
        <v>75565</v>
      </c>
      <c r="M52" s="32">
        <f>0</f>
        <v>0</v>
      </c>
      <c r="N52" s="32">
        <f t="shared" si="13"/>
        <v>31495635</v>
      </c>
      <c r="O52" s="32">
        <f t="shared" si="14"/>
        <v>912789</v>
      </c>
      <c r="P52" s="34" t="str">
        <f>IF(NOT(AND(T51="",A52&lt;=S51)),"",IF(FALSE,"繰上返済後再計算","")&amp;IF(AND(入力!$B$13="有効",A52&gt;1,MOD(A52-1,60)=0),IF(FALSE,"・","")&amp;"5年見直し","")&amp;IF(AND(A52=入力!$B$11,A52&gt;1),IF(OR(FALSE,AND(入力!$B$13="有効",A52&gt;1,MOD(A52-1,60)=0)),"・","")&amp;"金利変更","")&amp;IF(AND(OR(AND(入力!$B$13="有効",A52&gt;1,MOD(A52-1,60)=0),AND(A52=入力!$B$11,A52&gt;1)),入力!$B$14="有効",IF(E52=0,ROUND(C52/MAX(1,S51-A52+1),0),ROUND(-PMT(E52/12,MAX(1,S51-A52+1),C52),0))&gt;ROUND(G51*1.25,0),NOT(FALSE)),"・上限適用",""))</f>
        <v/>
      </c>
      <c r="Q52" s="35" t="str">
        <f>IF(AND(T51="",A52&lt;=S51),入力!$B$13,"")</f>
        <v>有効</v>
      </c>
      <c r="R52" s="32" t="str">
        <f>IF(AND(AND(T51="",A52&lt;=S51),OR(AND(入力!$B$13="有効",A52&gt;1,MOD(A52-1,60)=0),AND(A52=入力!$B$11,A52&gt;1)),入力!$B$14="有効"),ROUND(G51*1.25,0),"")</f>
        <v/>
      </c>
      <c r="S52" s="36">
        <f t="shared" si="15"/>
        <v>420</v>
      </c>
      <c r="T52" s="35" t="str">
        <f t="shared" si="16"/>
        <v/>
      </c>
      <c r="U52" s="3">
        <f t="shared" si="0"/>
        <v>0</v>
      </c>
      <c r="V52" s="3">
        <f t="shared" si="1"/>
        <v>0</v>
      </c>
      <c r="W52" s="3">
        <f t="shared" si="2"/>
        <v>0</v>
      </c>
      <c r="X52" s="3">
        <f t="shared" si="3"/>
        <v>0</v>
      </c>
      <c r="Y52" s="3">
        <f>0</f>
        <v>0</v>
      </c>
      <c r="Z52" s="3">
        <f t="shared" si="4"/>
        <v>0</v>
      </c>
      <c r="AA52">
        <f>ROUND(IF(FALSE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,0)</f>
        <v>93982</v>
      </c>
    </row>
    <row r="53" spans="1:27">
      <c r="A53" s="30">
        <f>48</f>
        <v>48</v>
      </c>
      <c r="B53" s="31">
        <f>EDATE(入力!$B$6,A53-1)</f>
        <v>47665</v>
      </c>
      <c r="C53" s="32">
        <f t="shared" si="5"/>
        <v>31495635</v>
      </c>
      <c r="D53" s="32">
        <f t="shared" si="6"/>
        <v>0</v>
      </c>
      <c r="E53" s="33">
        <f>IF(AND(T52="",A53&lt;=S52),IF(A53&lt;入力!$B$11,入力!$B$10,入力!$B$12),0)</f>
        <v>7.0000000000000001E-3</v>
      </c>
      <c r="F53" s="32">
        <f t="shared" si="7"/>
        <v>18372</v>
      </c>
      <c r="G53" s="32">
        <f>ROUND(IF(NOT(AND(T52="",A53&lt;=S52)),0,IF(FALSE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),0)</f>
        <v>93982</v>
      </c>
      <c r="H53" s="32">
        <f t="shared" si="8"/>
        <v>93982</v>
      </c>
      <c r="I53" s="32">
        <f t="shared" si="9"/>
        <v>18372</v>
      </c>
      <c r="J53" s="32">
        <f t="shared" si="10"/>
        <v>0</v>
      </c>
      <c r="K53" s="32">
        <f t="shared" si="11"/>
        <v>0</v>
      </c>
      <c r="L53" s="32">
        <f t="shared" si="12"/>
        <v>75610</v>
      </c>
      <c r="M53" s="32">
        <f>0</f>
        <v>0</v>
      </c>
      <c r="N53" s="32">
        <f t="shared" si="13"/>
        <v>31420025</v>
      </c>
      <c r="O53" s="32">
        <f t="shared" si="14"/>
        <v>931161</v>
      </c>
      <c r="P53" s="34" t="str">
        <f>IF(NOT(AND(T52="",A53&lt;=S52)),"",IF(FALSE,"繰上返済後再計算","")&amp;IF(AND(入力!$B$13="有効",A53&gt;1,MOD(A53-1,60)=0),IF(FALSE,"・","")&amp;"5年見直し","")&amp;IF(AND(A53=入力!$B$11,A53&gt;1),IF(OR(FALSE,AND(入力!$B$13="有効",A53&gt;1,MOD(A53-1,60)=0)),"・","")&amp;"金利変更","")&amp;IF(AND(OR(AND(入力!$B$13="有効",A53&gt;1,MOD(A53-1,60)=0),AND(A53=入力!$B$11,A53&gt;1)),入力!$B$14="有効",IF(E53=0,ROUND(C53/MAX(1,S52-A53+1),0),ROUND(-PMT(E53/12,MAX(1,S52-A53+1),C53),0))&gt;ROUND(G52*1.25,0),NOT(FALSE)),"・上限適用",""))</f>
        <v/>
      </c>
      <c r="Q53" s="35" t="str">
        <f>IF(AND(T52="",A53&lt;=S52),入力!$B$13,"")</f>
        <v>有効</v>
      </c>
      <c r="R53" s="32" t="str">
        <f>IF(AND(AND(T52="",A53&lt;=S52),OR(AND(入力!$B$13="有効",A53&gt;1,MOD(A53-1,60)=0),AND(A53=入力!$B$11,A53&gt;1)),入力!$B$14="有効"),ROUND(G52*1.25,0),"")</f>
        <v/>
      </c>
      <c r="S53" s="36">
        <f t="shared" si="15"/>
        <v>420</v>
      </c>
      <c r="T53" s="35" t="str">
        <f t="shared" si="16"/>
        <v/>
      </c>
      <c r="U53" s="3">
        <f t="shared" si="0"/>
        <v>0</v>
      </c>
      <c r="V53" s="3">
        <f t="shared" si="1"/>
        <v>0</v>
      </c>
      <c r="W53" s="3">
        <f t="shared" si="2"/>
        <v>0</v>
      </c>
      <c r="X53" s="3">
        <f t="shared" si="3"/>
        <v>0</v>
      </c>
      <c r="Y53" s="3">
        <f>0</f>
        <v>0</v>
      </c>
      <c r="Z53" s="3">
        <f t="shared" si="4"/>
        <v>0</v>
      </c>
      <c r="AA53">
        <f>ROUND(IF(FALSE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,0)</f>
        <v>93982</v>
      </c>
    </row>
    <row r="54" spans="1:27">
      <c r="A54" s="30">
        <f>49</f>
        <v>49</v>
      </c>
      <c r="B54" s="31">
        <f>EDATE(入力!$B$6,A54-1)</f>
        <v>47696</v>
      </c>
      <c r="C54" s="32">
        <f t="shared" si="5"/>
        <v>31420025</v>
      </c>
      <c r="D54" s="32">
        <f t="shared" si="6"/>
        <v>0</v>
      </c>
      <c r="E54" s="33">
        <f>IF(AND(T53="",A54&lt;=S53),IF(A54&lt;入力!$B$11,入力!$B$10,入力!$B$12),0)</f>
        <v>7.0000000000000001E-3</v>
      </c>
      <c r="F54" s="32">
        <f t="shared" si="7"/>
        <v>18328</v>
      </c>
      <c r="G54" s="32">
        <f>ROUND(IF(NOT(AND(T53="",A54&lt;=S53)),0,IF(FALSE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),0)</f>
        <v>93982</v>
      </c>
      <c r="H54" s="32">
        <f t="shared" si="8"/>
        <v>93982</v>
      </c>
      <c r="I54" s="32">
        <f t="shared" si="9"/>
        <v>18328</v>
      </c>
      <c r="J54" s="32">
        <f t="shared" si="10"/>
        <v>0</v>
      </c>
      <c r="K54" s="32">
        <f t="shared" si="11"/>
        <v>0</v>
      </c>
      <c r="L54" s="32">
        <f t="shared" si="12"/>
        <v>75654</v>
      </c>
      <c r="M54" s="32">
        <f>0</f>
        <v>0</v>
      </c>
      <c r="N54" s="32">
        <f t="shared" si="13"/>
        <v>31344371</v>
      </c>
      <c r="O54" s="32">
        <f t="shared" si="14"/>
        <v>949489</v>
      </c>
      <c r="P54" s="34" t="str">
        <f>IF(NOT(AND(T53="",A54&lt;=S53)),"",IF(FALSE,"繰上返済後再計算","")&amp;IF(AND(入力!$B$13="有効",A54&gt;1,MOD(A54-1,60)=0),IF(FALSE,"・","")&amp;"5年見直し","")&amp;IF(AND(A54=入力!$B$11,A54&gt;1),IF(OR(FALSE,AND(入力!$B$13="有効",A54&gt;1,MOD(A54-1,60)=0)),"・","")&amp;"金利変更","")&amp;IF(AND(OR(AND(入力!$B$13="有効",A54&gt;1,MOD(A54-1,60)=0),AND(A54=入力!$B$11,A54&gt;1)),入力!$B$14="有効",IF(E54=0,ROUND(C54/MAX(1,S53-A54+1),0),ROUND(-PMT(E54/12,MAX(1,S53-A54+1),C54),0))&gt;ROUND(G53*1.25,0),NOT(FALSE)),"・上限適用",""))</f>
        <v/>
      </c>
      <c r="Q54" s="35" t="str">
        <f>IF(AND(T53="",A54&lt;=S53),入力!$B$13,"")</f>
        <v>有効</v>
      </c>
      <c r="R54" s="32" t="str">
        <f>IF(AND(AND(T53="",A54&lt;=S53),OR(AND(入力!$B$13="有効",A54&gt;1,MOD(A54-1,60)=0),AND(A54=入力!$B$11,A54&gt;1)),入力!$B$14="有効"),ROUND(G53*1.25,0),"")</f>
        <v/>
      </c>
      <c r="S54" s="36">
        <f t="shared" si="15"/>
        <v>420</v>
      </c>
      <c r="T54" s="35" t="str">
        <f t="shared" si="16"/>
        <v/>
      </c>
      <c r="U54" s="3">
        <f t="shared" si="0"/>
        <v>0</v>
      </c>
      <c r="V54" s="3">
        <f t="shared" si="1"/>
        <v>0</v>
      </c>
      <c r="W54" s="3">
        <f t="shared" si="2"/>
        <v>0</v>
      </c>
      <c r="X54" s="3">
        <f t="shared" si="3"/>
        <v>0</v>
      </c>
      <c r="Y54" s="3">
        <f>0</f>
        <v>0</v>
      </c>
      <c r="Z54" s="3">
        <f t="shared" si="4"/>
        <v>0</v>
      </c>
      <c r="AA54">
        <f>ROUND(IF(FALSE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,0)</f>
        <v>93982</v>
      </c>
    </row>
    <row r="55" spans="1:27">
      <c r="A55" s="30">
        <f>50</f>
        <v>50</v>
      </c>
      <c r="B55" s="31">
        <f>EDATE(入力!$B$6,A55-1)</f>
        <v>47727</v>
      </c>
      <c r="C55" s="32">
        <f t="shared" si="5"/>
        <v>31344371</v>
      </c>
      <c r="D55" s="32">
        <f t="shared" si="6"/>
        <v>0</v>
      </c>
      <c r="E55" s="33">
        <f>IF(AND(T54="",A55&lt;=S54),IF(A55&lt;入力!$B$11,入力!$B$10,入力!$B$12),0)</f>
        <v>7.0000000000000001E-3</v>
      </c>
      <c r="F55" s="32">
        <f t="shared" si="7"/>
        <v>18284</v>
      </c>
      <c r="G55" s="32">
        <f>ROUND(IF(NOT(AND(T54="",A55&lt;=S54)),0,IF(FALSE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),0)</f>
        <v>93982</v>
      </c>
      <c r="H55" s="32">
        <f t="shared" si="8"/>
        <v>93982</v>
      </c>
      <c r="I55" s="32">
        <f t="shared" si="9"/>
        <v>18284</v>
      </c>
      <c r="J55" s="32">
        <f t="shared" si="10"/>
        <v>0</v>
      </c>
      <c r="K55" s="32">
        <f t="shared" si="11"/>
        <v>0</v>
      </c>
      <c r="L55" s="32">
        <f t="shared" si="12"/>
        <v>75698</v>
      </c>
      <c r="M55" s="32">
        <f>0</f>
        <v>0</v>
      </c>
      <c r="N55" s="32">
        <f t="shared" si="13"/>
        <v>31268673</v>
      </c>
      <c r="O55" s="32">
        <f t="shared" si="14"/>
        <v>967773</v>
      </c>
      <c r="P55" s="34" t="str">
        <f>IF(NOT(AND(T54="",A55&lt;=S54)),"",IF(FALSE,"繰上返済後再計算","")&amp;IF(AND(入力!$B$13="有効",A55&gt;1,MOD(A55-1,60)=0),IF(FALSE,"・","")&amp;"5年見直し","")&amp;IF(AND(A55=入力!$B$11,A55&gt;1),IF(OR(FALSE,AND(入力!$B$13="有効",A55&gt;1,MOD(A55-1,60)=0)),"・","")&amp;"金利変更","")&amp;IF(AND(OR(AND(入力!$B$13="有効",A55&gt;1,MOD(A55-1,60)=0),AND(A55=入力!$B$11,A55&gt;1)),入力!$B$14="有効",IF(E55=0,ROUND(C55/MAX(1,S54-A55+1),0),ROUND(-PMT(E55/12,MAX(1,S54-A55+1),C55),0))&gt;ROUND(G54*1.25,0),NOT(FALSE)),"・上限適用",""))</f>
        <v/>
      </c>
      <c r="Q55" s="35" t="str">
        <f>IF(AND(T54="",A55&lt;=S54),入力!$B$13,"")</f>
        <v>有効</v>
      </c>
      <c r="R55" s="32" t="str">
        <f>IF(AND(AND(T54="",A55&lt;=S54),OR(AND(入力!$B$13="有効",A55&gt;1,MOD(A55-1,60)=0),AND(A55=入力!$B$11,A55&gt;1)),入力!$B$14="有効"),ROUND(G54*1.25,0),"")</f>
        <v/>
      </c>
      <c r="S55" s="36">
        <f t="shared" si="15"/>
        <v>420</v>
      </c>
      <c r="T55" s="35" t="str">
        <f t="shared" si="16"/>
        <v/>
      </c>
      <c r="U55" s="3">
        <f t="shared" si="0"/>
        <v>0</v>
      </c>
      <c r="V55" s="3">
        <f t="shared" si="1"/>
        <v>0</v>
      </c>
      <c r="W55" s="3">
        <f t="shared" si="2"/>
        <v>0</v>
      </c>
      <c r="X55" s="3">
        <f t="shared" si="3"/>
        <v>0</v>
      </c>
      <c r="Y55" s="3">
        <f>0</f>
        <v>0</v>
      </c>
      <c r="Z55" s="3">
        <f t="shared" si="4"/>
        <v>0</v>
      </c>
      <c r="AA55">
        <f>ROUND(IF(FALSE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,0)</f>
        <v>93982</v>
      </c>
    </row>
    <row r="56" spans="1:27">
      <c r="A56" s="30">
        <f>51</f>
        <v>51</v>
      </c>
      <c r="B56" s="31">
        <f>EDATE(入力!$B$6,A56-1)</f>
        <v>47757</v>
      </c>
      <c r="C56" s="32">
        <f t="shared" si="5"/>
        <v>31268673</v>
      </c>
      <c r="D56" s="32">
        <f t="shared" si="6"/>
        <v>0</v>
      </c>
      <c r="E56" s="33">
        <f>IF(AND(T55="",A56&lt;=S55),IF(A56&lt;入力!$B$11,入力!$B$10,入力!$B$12),0)</f>
        <v>7.0000000000000001E-3</v>
      </c>
      <c r="F56" s="32">
        <f t="shared" si="7"/>
        <v>18240</v>
      </c>
      <c r="G56" s="32">
        <f>ROUND(IF(NOT(AND(T55="",A56&lt;=S55)),0,IF(FALSE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),0)</f>
        <v>93982</v>
      </c>
      <c r="H56" s="32">
        <f t="shared" si="8"/>
        <v>93982</v>
      </c>
      <c r="I56" s="32">
        <f t="shared" si="9"/>
        <v>18240</v>
      </c>
      <c r="J56" s="32">
        <f t="shared" si="10"/>
        <v>0</v>
      </c>
      <c r="K56" s="32">
        <f t="shared" si="11"/>
        <v>0</v>
      </c>
      <c r="L56" s="32">
        <f t="shared" si="12"/>
        <v>75742</v>
      </c>
      <c r="M56" s="32">
        <f>0</f>
        <v>0</v>
      </c>
      <c r="N56" s="32">
        <f t="shared" si="13"/>
        <v>31192931</v>
      </c>
      <c r="O56" s="32">
        <f t="shared" si="14"/>
        <v>986013</v>
      </c>
      <c r="P56" s="34" t="str">
        <f>IF(NOT(AND(T55="",A56&lt;=S55)),"",IF(FALSE,"繰上返済後再計算","")&amp;IF(AND(入力!$B$13="有効",A56&gt;1,MOD(A56-1,60)=0),IF(FALSE,"・","")&amp;"5年見直し","")&amp;IF(AND(A56=入力!$B$11,A56&gt;1),IF(OR(FALSE,AND(入力!$B$13="有効",A56&gt;1,MOD(A56-1,60)=0)),"・","")&amp;"金利変更","")&amp;IF(AND(OR(AND(入力!$B$13="有効",A56&gt;1,MOD(A56-1,60)=0),AND(A56=入力!$B$11,A56&gt;1)),入力!$B$14="有効",IF(E56=0,ROUND(C56/MAX(1,S55-A56+1),0),ROUND(-PMT(E56/12,MAX(1,S55-A56+1),C56),0))&gt;ROUND(G55*1.25,0),NOT(FALSE)),"・上限適用",""))</f>
        <v/>
      </c>
      <c r="Q56" s="35" t="str">
        <f>IF(AND(T55="",A56&lt;=S55),入力!$B$13,"")</f>
        <v>有効</v>
      </c>
      <c r="R56" s="32" t="str">
        <f>IF(AND(AND(T55="",A56&lt;=S55),OR(AND(入力!$B$13="有効",A56&gt;1,MOD(A56-1,60)=0),AND(A56=入力!$B$11,A56&gt;1)),入力!$B$14="有効"),ROUND(G55*1.25,0),"")</f>
        <v/>
      </c>
      <c r="S56" s="36">
        <f t="shared" si="15"/>
        <v>420</v>
      </c>
      <c r="T56" s="35" t="str">
        <f t="shared" si="16"/>
        <v/>
      </c>
      <c r="U56" s="3">
        <f t="shared" si="0"/>
        <v>0</v>
      </c>
      <c r="V56" s="3">
        <f t="shared" si="1"/>
        <v>0</v>
      </c>
      <c r="W56" s="3">
        <f t="shared" si="2"/>
        <v>0</v>
      </c>
      <c r="X56" s="3">
        <f t="shared" si="3"/>
        <v>0</v>
      </c>
      <c r="Y56" s="3">
        <f>0</f>
        <v>0</v>
      </c>
      <c r="Z56" s="3">
        <f t="shared" si="4"/>
        <v>0</v>
      </c>
      <c r="AA56">
        <f>ROUND(IF(FALSE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,0)</f>
        <v>93982</v>
      </c>
    </row>
    <row r="57" spans="1:27">
      <c r="A57" s="30">
        <f>52</f>
        <v>52</v>
      </c>
      <c r="B57" s="31">
        <f>EDATE(入力!$B$6,A57-1)</f>
        <v>47788</v>
      </c>
      <c r="C57" s="32">
        <f t="shared" si="5"/>
        <v>31192931</v>
      </c>
      <c r="D57" s="32">
        <f t="shared" si="6"/>
        <v>0</v>
      </c>
      <c r="E57" s="33">
        <f>IF(AND(T56="",A57&lt;=S56),IF(A57&lt;入力!$B$11,入力!$B$10,入力!$B$12),0)</f>
        <v>7.0000000000000001E-3</v>
      </c>
      <c r="F57" s="32">
        <f t="shared" si="7"/>
        <v>18196</v>
      </c>
      <c r="G57" s="32">
        <f>ROUND(IF(NOT(AND(T56="",A57&lt;=S56)),0,IF(FALSE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),0)</f>
        <v>93982</v>
      </c>
      <c r="H57" s="32">
        <f t="shared" si="8"/>
        <v>93982</v>
      </c>
      <c r="I57" s="32">
        <f t="shared" si="9"/>
        <v>18196</v>
      </c>
      <c r="J57" s="32">
        <f t="shared" si="10"/>
        <v>0</v>
      </c>
      <c r="K57" s="32">
        <f t="shared" si="11"/>
        <v>0</v>
      </c>
      <c r="L57" s="32">
        <f t="shared" si="12"/>
        <v>75786</v>
      </c>
      <c r="M57" s="32">
        <f>0</f>
        <v>0</v>
      </c>
      <c r="N57" s="32">
        <f t="shared" si="13"/>
        <v>31117145</v>
      </c>
      <c r="O57" s="32">
        <f t="shared" si="14"/>
        <v>1004209</v>
      </c>
      <c r="P57" s="34" t="str">
        <f>IF(NOT(AND(T56="",A57&lt;=S56)),"",IF(FALSE,"繰上返済後再計算","")&amp;IF(AND(入力!$B$13="有効",A57&gt;1,MOD(A57-1,60)=0),IF(FALSE,"・","")&amp;"5年見直し","")&amp;IF(AND(A57=入力!$B$11,A57&gt;1),IF(OR(FALSE,AND(入力!$B$13="有効",A57&gt;1,MOD(A57-1,60)=0)),"・","")&amp;"金利変更","")&amp;IF(AND(OR(AND(入力!$B$13="有効",A57&gt;1,MOD(A57-1,60)=0),AND(A57=入力!$B$11,A57&gt;1)),入力!$B$14="有効",IF(E57=0,ROUND(C57/MAX(1,S56-A57+1),0),ROUND(-PMT(E57/12,MAX(1,S56-A57+1),C57),0))&gt;ROUND(G56*1.25,0),NOT(FALSE)),"・上限適用",""))</f>
        <v/>
      </c>
      <c r="Q57" s="35" t="str">
        <f>IF(AND(T56="",A57&lt;=S56),入力!$B$13,"")</f>
        <v>有効</v>
      </c>
      <c r="R57" s="32" t="str">
        <f>IF(AND(AND(T56="",A57&lt;=S56),OR(AND(入力!$B$13="有効",A57&gt;1,MOD(A57-1,60)=0),AND(A57=入力!$B$11,A57&gt;1)),入力!$B$14="有効"),ROUND(G56*1.25,0),"")</f>
        <v/>
      </c>
      <c r="S57" s="36">
        <f t="shared" si="15"/>
        <v>420</v>
      </c>
      <c r="T57" s="35" t="str">
        <f t="shared" si="16"/>
        <v/>
      </c>
      <c r="U57" s="3">
        <f t="shared" si="0"/>
        <v>0</v>
      </c>
      <c r="V57" s="3">
        <f t="shared" si="1"/>
        <v>0</v>
      </c>
      <c r="W57" s="3">
        <f t="shared" si="2"/>
        <v>0</v>
      </c>
      <c r="X57" s="3">
        <f t="shared" si="3"/>
        <v>0</v>
      </c>
      <c r="Y57" s="3">
        <f>0</f>
        <v>0</v>
      </c>
      <c r="Z57" s="3">
        <f t="shared" si="4"/>
        <v>0</v>
      </c>
      <c r="AA57">
        <f>ROUND(IF(FALSE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,0)</f>
        <v>93982</v>
      </c>
    </row>
    <row r="58" spans="1:27">
      <c r="A58" s="30">
        <f>53</f>
        <v>53</v>
      </c>
      <c r="B58" s="31">
        <f>EDATE(入力!$B$6,A58-1)</f>
        <v>47818</v>
      </c>
      <c r="C58" s="32">
        <f t="shared" si="5"/>
        <v>31117145</v>
      </c>
      <c r="D58" s="32">
        <f t="shared" si="6"/>
        <v>0</v>
      </c>
      <c r="E58" s="33">
        <f>IF(AND(T57="",A58&lt;=S57),IF(A58&lt;入力!$B$11,入力!$B$10,入力!$B$12),0)</f>
        <v>7.0000000000000001E-3</v>
      </c>
      <c r="F58" s="32">
        <f t="shared" si="7"/>
        <v>18152</v>
      </c>
      <c r="G58" s="32">
        <f>ROUND(IF(NOT(AND(T57="",A58&lt;=S57)),0,IF(FALSE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),0)</f>
        <v>93982</v>
      </c>
      <c r="H58" s="32">
        <f t="shared" si="8"/>
        <v>93982</v>
      </c>
      <c r="I58" s="32">
        <f t="shared" si="9"/>
        <v>18152</v>
      </c>
      <c r="J58" s="32">
        <f t="shared" si="10"/>
        <v>0</v>
      </c>
      <c r="K58" s="32">
        <f t="shared" si="11"/>
        <v>0</v>
      </c>
      <c r="L58" s="32">
        <f t="shared" si="12"/>
        <v>75830</v>
      </c>
      <c r="M58" s="32">
        <f>0</f>
        <v>0</v>
      </c>
      <c r="N58" s="32">
        <f t="shared" si="13"/>
        <v>31041315</v>
      </c>
      <c r="O58" s="32">
        <f t="shared" si="14"/>
        <v>1022361</v>
      </c>
      <c r="P58" s="34" t="str">
        <f>IF(NOT(AND(T57="",A58&lt;=S57)),"",IF(FALSE,"繰上返済後再計算","")&amp;IF(AND(入力!$B$13="有効",A58&gt;1,MOD(A58-1,60)=0),IF(FALSE,"・","")&amp;"5年見直し","")&amp;IF(AND(A58=入力!$B$11,A58&gt;1),IF(OR(FALSE,AND(入力!$B$13="有効",A58&gt;1,MOD(A58-1,60)=0)),"・","")&amp;"金利変更","")&amp;IF(AND(OR(AND(入力!$B$13="有効",A58&gt;1,MOD(A58-1,60)=0),AND(A58=入力!$B$11,A58&gt;1)),入力!$B$14="有効",IF(E58=0,ROUND(C58/MAX(1,S57-A58+1),0),ROUND(-PMT(E58/12,MAX(1,S57-A58+1),C58),0))&gt;ROUND(G57*1.25,0),NOT(FALSE)),"・上限適用",""))</f>
        <v/>
      </c>
      <c r="Q58" s="35" t="str">
        <f>IF(AND(T57="",A58&lt;=S57),入力!$B$13,"")</f>
        <v>有効</v>
      </c>
      <c r="R58" s="32" t="str">
        <f>IF(AND(AND(T57="",A58&lt;=S57),OR(AND(入力!$B$13="有効",A58&gt;1,MOD(A58-1,60)=0),AND(A58=入力!$B$11,A58&gt;1)),入力!$B$14="有効"),ROUND(G57*1.25,0),"")</f>
        <v/>
      </c>
      <c r="S58" s="36">
        <f t="shared" si="15"/>
        <v>420</v>
      </c>
      <c r="T58" s="35" t="str">
        <f t="shared" si="16"/>
        <v/>
      </c>
      <c r="U58" s="3">
        <f t="shared" si="0"/>
        <v>0</v>
      </c>
      <c r="V58" s="3">
        <f t="shared" si="1"/>
        <v>0</v>
      </c>
      <c r="W58" s="3">
        <f t="shared" si="2"/>
        <v>0</v>
      </c>
      <c r="X58" s="3">
        <f t="shared" si="3"/>
        <v>0</v>
      </c>
      <c r="Y58" s="3">
        <f>0</f>
        <v>0</v>
      </c>
      <c r="Z58" s="3">
        <f t="shared" si="4"/>
        <v>0</v>
      </c>
      <c r="AA58">
        <f>ROUND(IF(FALSE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,0)</f>
        <v>93982</v>
      </c>
    </row>
    <row r="59" spans="1:27">
      <c r="A59" s="30">
        <f>54</f>
        <v>54</v>
      </c>
      <c r="B59" s="31">
        <f>EDATE(入力!$B$6,A59-1)</f>
        <v>47849</v>
      </c>
      <c r="C59" s="32">
        <f t="shared" si="5"/>
        <v>31041315</v>
      </c>
      <c r="D59" s="32">
        <f t="shared" si="6"/>
        <v>0</v>
      </c>
      <c r="E59" s="33">
        <f>IF(AND(T58="",A59&lt;=S58),IF(A59&lt;入力!$B$11,入力!$B$10,入力!$B$12),0)</f>
        <v>7.0000000000000001E-3</v>
      </c>
      <c r="F59" s="32">
        <f t="shared" si="7"/>
        <v>18107</v>
      </c>
      <c r="G59" s="32">
        <f>ROUND(IF(NOT(AND(T58="",A59&lt;=S58)),0,IF(FALSE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),0)</f>
        <v>93982</v>
      </c>
      <c r="H59" s="32">
        <f t="shared" si="8"/>
        <v>93982</v>
      </c>
      <c r="I59" s="32">
        <f t="shared" si="9"/>
        <v>18107</v>
      </c>
      <c r="J59" s="32">
        <f t="shared" si="10"/>
        <v>0</v>
      </c>
      <c r="K59" s="32">
        <f t="shared" si="11"/>
        <v>0</v>
      </c>
      <c r="L59" s="32">
        <f t="shared" si="12"/>
        <v>75875</v>
      </c>
      <c r="M59" s="32">
        <f>0</f>
        <v>0</v>
      </c>
      <c r="N59" s="32">
        <f t="shared" si="13"/>
        <v>30965440</v>
      </c>
      <c r="O59" s="32">
        <f t="shared" si="14"/>
        <v>1040468</v>
      </c>
      <c r="P59" s="34" t="str">
        <f>IF(NOT(AND(T58="",A59&lt;=S58)),"",IF(FALSE,"繰上返済後再計算","")&amp;IF(AND(入力!$B$13="有効",A59&gt;1,MOD(A59-1,60)=0),IF(FALSE,"・","")&amp;"5年見直し","")&amp;IF(AND(A59=入力!$B$11,A59&gt;1),IF(OR(FALSE,AND(入力!$B$13="有効",A59&gt;1,MOD(A59-1,60)=0)),"・","")&amp;"金利変更","")&amp;IF(AND(OR(AND(入力!$B$13="有効",A59&gt;1,MOD(A59-1,60)=0),AND(A59=入力!$B$11,A59&gt;1)),入力!$B$14="有効",IF(E59=0,ROUND(C59/MAX(1,S58-A59+1),0),ROUND(-PMT(E59/12,MAX(1,S58-A59+1),C59),0))&gt;ROUND(G58*1.25,0),NOT(FALSE)),"・上限適用",""))</f>
        <v/>
      </c>
      <c r="Q59" s="35" t="str">
        <f>IF(AND(T58="",A59&lt;=S58),入力!$B$13,"")</f>
        <v>有効</v>
      </c>
      <c r="R59" s="32" t="str">
        <f>IF(AND(AND(T58="",A59&lt;=S58),OR(AND(入力!$B$13="有効",A59&gt;1,MOD(A59-1,60)=0),AND(A59=入力!$B$11,A59&gt;1)),入力!$B$14="有効"),ROUND(G58*1.25,0),"")</f>
        <v/>
      </c>
      <c r="S59" s="36">
        <f t="shared" si="15"/>
        <v>420</v>
      </c>
      <c r="T59" s="35" t="str">
        <f t="shared" si="16"/>
        <v/>
      </c>
      <c r="U59" s="3">
        <f t="shared" si="0"/>
        <v>0</v>
      </c>
      <c r="V59" s="3">
        <f t="shared" si="1"/>
        <v>0</v>
      </c>
      <c r="W59" s="3">
        <f t="shared" si="2"/>
        <v>0</v>
      </c>
      <c r="X59" s="3">
        <f t="shared" si="3"/>
        <v>0</v>
      </c>
      <c r="Y59" s="3">
        <f>0</f>
        <v>0</v>
      </c>
      <c r="Z59" s="3">
        <f t="shared" si="4"/>
        <v>0</v>
      </c>
      <c r="AA59">
        <f>ROUND(IF(FALSE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,0)</f>
        <v>93982</v>
      </c>
    </row>
    <row r="60" spans="1:27">
      <c r="A60" s="30">
        <f>55</f>
        <v>55</v>
      </c>
      <c r="B60" s="31">
        <f>EDATE(入力!$B$6,A60-1)</f>
        <v>47880</v>
      </c>
      <c r="C60" s="32">
        <f t="shared" si="5"/>
        <v>30965440</v>
      </c>
      <c r="D60" s="32">
        <f t="shared" si="6"/>
        <v>0</v>
      </c>
      <c r="E60" s="33">
        <f>IF(AND(T59="",A60&lt;=S59),IF(A60&lt;入力!$B$11,入力!$B$10,入力!$B$12),0)</f>
        <v>7.0000000000000001E-3</v>
      </c>
      <c r="F60" s="32">
        <f t="shared" si="7"/>
        <v>18063</v>
      </c>
      <c r="G60" s="32">
        <f>ROUND(IF(NOT(AND(T59="",A60&lt;=S59)),0,IF(FALSE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),0)</f>
        <v>93982</v>
      </c>
      <c r="H60" s="32">
        <f t="shared" si="8"/>
        <v>93982</v>
      </c>
      <c r="I60" s="32">
        <f t="shared" si="9"/>
        <v>18063</v>
      </c>
      <c r="J60" s="32">
        <f t="shared" si="10"/>
        <v>0</v>
      </c>
      <c r="K60" s="32">
        <f t="shared" si="11"/>
        <v>0</v>
      </c>
      <c r="L60" s="32">
        <f t="shared" si="12"/>
        <v>75919</v>
      </c>
      <c r="M60" s="32">
        <f>0</f>
        <v>0</v>
      </c>
      <c r="N60" s="32">
        <f t="shared" si="13"/>
        <v>30889521</v>
      </c>
      <c r="O60" s="32">
        <f t="shared" si="14"/>
        <v>1058531</v>
      </c>
      <c r="P60" s="34" t="str">
        <f>IF(NOT(AND(T59="",A60&lt;=S59)),"",IF(FALSE,"繰上返済後再計算","")&amp;IF(AND(入力!$B$13="有効",A60&gt;1,MOD(A60-1,60)=0),IF(FALSE,"・","")&amp;"5年見直し","")&amp;IF(AND(A60=入力!$B$11,A60&gt;1),IF(OR(FALSE,AND(入力!$B$13="有効",A60&gt;1,MOD(A60-1,60)=0)),"・","")&amp;"金利変更","")&amp;IF(AND(OR(AND(入力!$B$13="有効",A60&gt;1,MOD(A60-1,60)=0),AND(A60=入力!$B$11,A60&gt;1)),入力!$B$14="有効",IF(E60=0,ROUND(C60/MAX(1,S59-A60+1),0),ROUND(-PMT(E60/12,MAX(1,S59-A60+1),C60),0))&gt;ROUND(G59*1.25,0),NOT(FALSE)),"・上限適用",""))</f>
        <v/>
      </c>
      <c r="Q60" s="35" t="str">
        <f>IF(AND(T59="",A60&lt;=S59),入力!$B$13,"")</f>
        <v>有効</v>
      </c>
      <c r="R60" s="32" t="str">
        <f>IF(AND(AND(T59="",A60&lt;=S59),OR(AND(入力!$B$13="有効",A60&gt;1,MOD(A60-1,60)=0),AND(A60=入力!$B$11,A60&gt;1)),入力!$B$14="有効"),ROUND(G59*1.25,0),"")</f>
        <v/>
      </c>
      <c r="S60" s="36">
        <f t="shared" si="15"/>
        <v>420</v>
      </c>
      <c r="T60" s="35" t="str">
        <f t="shared" si="16"/>
        <v/>
      </c>
      <c r="U60" s="3">
        <f t="shared" si="0"/>
        <v>0</v>
      </c>
      <c r="V60" s="3">
        <f t="shared" si="1"/>
        <v>0</v>
      </c>
      <c r="W60" s="3">
        <f t="shared" si="2"/>
        <v>0</v>
      </c>
      <c r="X60" s="3">
        <f t="shared" si="3"/>
        <v>0</v>
      </c>
      <c r="Y60" s="3">
        <f>0</f>
        <v>0</v>
      </c>
      <c r="Z60" s="3">
        <f t="shared" si="4"/>
        <v>0</v>
      </c>
      <c r="AA60">
        <f>ROUND(IF(FALSE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,0)</f>
        <v>93982</v>
      </c>
    </row>
    <row r="61" spans="1:27">
      <c r="A61" s="30">
        <f>56</f>
        <v>56</v>
      </c>
      <c r="B61" s="31">
        <f>EDATE(入力!$B$6,A61-1)</f>
        <v>47908</v>
      </c>
      <c r="C61" s="32">
        <f t="shared" si="5"/>
        <v>30889521</v>
      </c>
      <c r="D61" s="32">
        <f t="shared" si="6"/>
        <v>0</v>
      </c>
      <c r="E61" s="33">
        <f>IF(AND(T60="",A61&lt;=S60),IF(A61&lt;入力!$B$11,入力!$B$10,入力!$B$12),0)</f>
        <v>7.0000000000000001E-3</v>
      </c>
      <c r="F61" s="32">
        <f t="shared" si="7"/>
        <v>18019</v>
      </c>
      <c r="G61" s="32">
        <f>ROUND(IF(NOT(AND(T60="",A61&lt;=S60)),0,IF(FALSE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),0)</f>
        <v>93982</v>
      </c>
      <c r="H61" s="32">
        <f t="shared" si="8"/>
        <v>93982</v>
      </c>
      <c r="I61" s="32">
        <f t="shared" si="9"/>
        <v>18019</v>
      </c>
      <c r="J61" s="32">
        <f t="shared" si="10"/>
        <v>0</v>
      </c>
      <c r="K61" s="32">
        <f t="shared" si="11"/>
        <v>0</v>
      </c>
      <c r="L61" s="32">
        <f t="shared" si="12"/>
        <v>75963</v>
      </c>
      <c r="M61" s="32">
        <f>0</f>
        <v>0</v>
      </c>
      <c r="N61" s="32">
        <f t="shared" si="13"/>
        <v>30813558</v>
      </c>
      <c r="O61" s="32">
        <f t="shared" si="14"/>
        <v>1076550</v>
      </c>
      <c r="P61" s="34" t="str">
        <f>IF(NOT(AND(T60="",A61&lt;=S60)),"",IF(FALSE,"繰上返済後再計算","")&amp;IF(AND(入力!$B$13="有効",A61&gt;1,MOD(A61-1,60)=0),IF(FALSE,"・","")&amp;"5年見直し","")&amp;IF(AND(A61=入力!$B$11,A61&gt;1),IF(OR(FALSE,AND(入力!$B$13="有効",A61&gt;1,MOD(A61-1,60)=0)),"・","")&amp;"金利変更","")&amp;IF(AND(OR(AND(入力!$B$13="有効",A61&gt;1,MOD(A61-1,60)=0),AND(A61=入力!$B$11,A61&gt;1)),入力!$B$14="有効",IF(E61=0,ROUND(C61/MAX(1,S60-A61+1),0),ROUND(-PMT(E61/12,MAX(1,S60-A61+1),C61),0))&gt;ROUND(G60*1.25,0),NOT(FALSE)),"・上限適用",""))</f>
        <v/>
      </c>
      <c r="Q61" s="35" t="str">
        <f>IF(AND(T60="",A61&lt;=S60),入力!$B$13,"")</f>
        <v>有効</v>
      </c>
      <c r="R61" s="32" t="str">
        <f>IF(AND(AND(T60="",A61&lt;=S60),OR(AND(入力!$B$13="有効",A61&gt;1,MOD(A61-1,60)=0),AND(A61=入力!$B$11,A61&gt;1)),入力!$B$14="有効"),ROUND(G60*1.25,0),"")</f>
        <v/>
      </c>
      <c r="S61" s="36">
        <f t="shared" si="15"/>
        <v>420</v>
      </c>
      <c r="T61" s="35" t="str">
        <f t="shared" si="16"/>
        <v/>
      </c>
      <c r="U61" s="3">
        <f t="shared" si="0"/>
        <v>0</v>
      </c>
      <c r="V61" s="3">
        <f t="shared" si="1"/>
        <v>0</v>
      </c>
      <c r="W61" s="3">
        <f t="shared" si="2"/>
        <v>0</v>
      </c>
      <c r="X61" s="3">
        <f t="shared" si="3"/>
        <v>0</v>
      </c>
      <c r="Y61" s="3">
        <f>0</f>
        <v>0</v>
      </c>
      <c r="Z61" s="3">
        <f t="shared" si="4"/>
        <v>0</v>
      </c>
      <c r="AA61">
        <f>ROUND(IF(FALSE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,0)</f>
        <v>93982</v>
      </c>
    </row>
    <row r="62" spans="1:27">
      <c r="A62" s="30">
        <f>57</f>
        <v>57</v>
      </c>
      <c r="B62" s="31">
        <f>EDATE(入力!$B$6,A62-1)</f>
        <v>47939</v>
      </c>
      <c r="C62" s="32">
        <f t="shared" si="5"/>
        <v>30813558</v>
      </c>
      <c r="D62" s="32">
        <f t="shared" si="6"/>
        <v>0</v>
      </c>
      <c r="E62" s="33">
        <f>IF(AND(T61="",A62&lt;=S61),IF(A62&lt;入力!$B$11,入力!$B$10,入力!$B$12),0)</f>
        <v>7.0000000000000001E-3</v>
      </c>
      <c r="F62" s="32">
        <f t="shared" si="7"/>
        <v>17975</v>
      </c>
      <c r="G62" s="32">
        <f>ROUND(IF(NOT(AND(T61="",A62&lt;=S61)),0,IF(FALSE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),0)</f>
        <v>93982</v>
      </c>
      <c r="H62" s="32">
        <f t="shared" si="8"/>
        <v>93982</v>
      </c>
      <c r="I62" s="32">
        <f t="shared" si="9"/>
        <v>17975</v>
      </c>
      <c r="J62" s="32">
        <f t="shared" si="10"/>
        <v>0</v>
      </c>
      <c r="K62" s="32">
        <f t="shared" si="11"/>
        <v>0</v>
      </c>
      <c r="L62" s="32">
        <f t="shared" si="12"/>
        <v>76007</v>
      </c>
      <c r="M62" s="32">
        <f>0</f>
        <v>0</v>
      </c>
      <c r="N62" s="32">
        <f t="shared" si="13"/>
        <v>30737551</v>
      </c>
      <c r="O62" s="32">
        <f t="shared" si="14"/>
        <v>1094525</v>
      </c>
      <c r="P62" s="34" t="str">
        <f>IF(NOT(AND(T61="",A62&lt;=S61)),"",IF(FALSE,"繰上返済後再計算","")&amp;IF(AND(入力!$B$13="有効",A62&gt;1,MOD(A62-1,60)=0),IF(FALSE,"・","")&amp;"5年見直し","")&amp;IF(AND(A62=入力!$B$11,A62&gt;1),IF(OR(FALSE,AND(入力!$B$13="有効",A62&gt;1,MOD(A62-1,60)=0)),"・","")&amp;"金利変更","")&amp;IF(AND(OR(AND(入力!$B$13="有効",A62&gt;1,MOD(A62-1,60)=0),AND(A62=入力!$B$11,A62&gt;1)),入力!$B$14="有効",IF(E62=0,ROUND(C62/MAX(1,S61-A62+1),0),ROUND(-PMT(E62/12,MAX(1,S61-A62+1),C62),0))&gt;ROUND(G61*1.25,0),NOT(FALSE)),"・上限適用",""))</f>
        <v/>
      </c>
      <c r="Q62" s="35" t="str">
        <f>IF(AND(T61="",A62&lt;=S61),入力!$B$13,"")</f>
        <v>有効</v>
      </c>
      <c r="R62" s="32" t="str">
        <f>IF(AND(AND(T61="",A62&lt;=S61),OR(AND(入力!$B$13="有効",A62&gt;1,MOD(A62-1,60)=0),AND(A62=入力!$B$11,A62&gt;1)),入力!$B$14="有効"),ROUND(G61*1.25,0),"")</f>
        <v/>
      </c>
      <c r="S62" s="36">
        <f t="shared" si="15"/>
        <v>420</v>
      </c>
      <c r="T62" s="35" t="str">
        <f t="shared" si="16"/>
        <v/>
      </c>
      <c r="U62" s="3">
        <f t="shared" si="0"/>
        <v>0</v>
      </c>
      <c r="V62" s="3">
        <f t="shared" si="1"/>
        <v>0</v>
      </c>
      <c r="W62" s="3">
        <f t="shared" si="2"/>
        <v>0</v>
      </c>
      <c r="X62" s="3">
        <f t="shared" si="3"/>
        <v>0</v>
      </c>
      <c r="Y62" s="3">
        <f>0</f>
        <v>0</v>
      </c>
      <c r="Z62" s="3">
        <f t="shared" si="4"/>
        <v>0</v>
      </c>
      <c r="AA62">
        <f>ROUND(IF(FALSE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,0)</f>
        <v>93982</v>
      </c>
    </row>
    <row r="63" spans="1:27">
      <c r="A63" s="30">
        <f>58</f>
        <v>58</v>
      </c>
      <c r="B63" s="31">
        <f>EDATE(入力!$B$6,A63-1)</f>
        <v>47969</v>
      </c>
      <c r="C63" s="32">
        <f t="shared" si="5"/>
        <v>30737551</v>
      </c>
      <c r="D63" s="32">
        <f t="shared" si="6"/>
        <v>0</v>
      </c>
      <c r="E63" s="33">
        <f>IF(AND(T62="",A63&lt;=S62),IF(A63&lt;入力!$B$11,入力!$B$10,入力!$B$12),0)</f>
        <v>7.0000000000000001E-3</v>
      </c>
      <c r="F63" s="32">
        <f t="shared" si="7"/>
        <v>17930</v>
      </c>
      <c r="G63" s="32">
        <f>ROUND(IF(NOT(AND(T62="",A63&lt;=S62)),0,IF(FALSE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),0)</f>
        <v>93982</v>
      </c>
      <c r="H63" s="32">
        <f t="shared" si="8"/>
        <v>93982</v>
      </c>
      <c r="I63" s="32">
        <f t="shared" si="9"/>
        <v>17930</v>
      </c>
      <c r="J63" s="32">
        <f t="shared" si="10"/>
        <v>0</v>
      </c>
      <c r="K63" s="32">
        <f t="shared" si="11"/>
        <v>0</v>
      </c>
      <c r="L63" s="32">
        <f t="shared" si="12"/>
        <v>76052</v>
      </c>
      <c r="M63" s="32">
        <f>0</f>
        <v>0</v>
      </c>
      <c r="N63" s="32">
        <f t="shared" si="13"/>
        <v>30661499</v>
      </c>
      <c r="O63" s="32">
        <f t="shared" si="14"/>
        <v>1112455</v>
      </c>
      <c r="P63" s="34" t="str">
        <f>IF(NOT(AND(T62="",A63&lt;=S62)),"",IF(FALSE,"繰上返済後再計算","")&amp;IF(AND(入力!$B$13="有効",A63&gt;1,MOD(A63-1,60)=0),IF(FALSE,"・","")&amp;"5年見直し","")&amp;IF(AND(A63=入力!$B$11,A63&gt;1),IF(OR(FALSE,AND(入力!$B$13="有効",A63&gt;1,MOD(A63-1,60)=0)),"・","")&amp;"金利変更","")&amp;IF(AND(OR(AND(入力!$B$13="有効",A63&gt;1,MOD(A63-1,60)=0),AND(A63=入力!$B$11,A63&gt;1)),入力!$B$14="有効",IF(E63=0,ROUND(C63/MAX(1,S62-A63+1),0),ROUND(-PMT(E63/12,MAX(1,S62-A63+1),C63),0))&gt;ROUND(G62*1.25,0),NOT(FALSE)),"・上限適用",""))</f>
        <v/>
      </c>
      <c r="Q63" s="35" t="str">
        <f>IF(AND(T62="",A63&lt;=S62),入力!$B$13,"")</f>
        <v>有効</v>
      </c>
      <c r="R63" s="32" t="str">
        <f>IF(AND(AND(T62="",A63&lt;=S62),OR(AND(入力!$B$13="有効",A63&gt;1,MOD(A63-1,60)=0),AND(A63=入力!$B$11,A63&gt;1)),入力!$B$14="有効"),ROUND(G62*1.25,0),"")</f>
        <v/>
      </c>
      <c r="S63" s="36">
        <f t="shared" si="15"/>
        <v>420</v>
      </c>
      <c r="T63" s="35" t="str">
        <f t="shared" si="16"/>
        <v/>
      </c>
      <c r="U63" s="3">
        <f t="shared" si="0"/>
        <v>0</v>
      </c>
      <c r="V63" s="3">
        <f t="shared" si="1"/>
        <v>0</v>
      </c>
      <c r="W63" s="3">
        <f t="shared" si="2"/>
        <v>0</v>
      </c>
      <c r="X63" s="3">
        <f t="shared" si="3"/>
        <v>0</v>
      </c>
      <c r="Y63" s="3">
        <f>0</f>
        <v>0</v>
      </c>
      <c r="Z63" s="3">
        <f t="shared" si="4"/>
        <v>0</v>
      </c>
      <c r="AA63">
        <f>ROUND(IF(FALSE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,0)</f>
        <v>93982</v>
      </c>
    </row>
    <row r="64" spans="1:27">
      <c r="A64" s="30">
        <f>59</f>
        <v>59</v>
      </c>
      <c r="B64" s="31">
        <f>EDATE(入力!$B$6,A64-1)</f>
        <v>48000</v>
      </c>
      <c r="C64" s="32">
        <f t="shared" si="5"/>
        <v>30661499</v>
      </c>
      <c r="D64" s="32">
        <f t="shared" si="6"/>
        <v>0</v>
      </c>
      <c r="E64" s="33">
        <f>IF(AND(T63="",A64&lt;=S63),IF(A64&lt;入力!$B$11,入力!$B$10,入力!$B$12),0)</f>
        <v>7.0000000000000001E-3</v>
      </c>
      <c r="F64" s="32">
        <f t="shared" si="7"/>
        <v>17886</v>
      </c>
      <c r="G64" s="32">
        <f>ROUND(IF(NOT(AND(T63="",A64&lt;=S63)),0,IF(FALSE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),0)</f>
        <v>93982</v>
      </c>
      <c r="H64" s="32">
        <f t="shared" si="8"/>
        <v>93982</v>
      </c>
      <c r="I64" s="32">
        <f t="shared" si="9"/>
        <v>17886</v>
      </c>
      <c r="J64" s="32">
        <f t="shared" si="10"/>
        <v>0</v>
      </c>
      <c r="K64" s="32">
        <f t="shared" si="11"/>
        <v>0</v>
      </c>
      <c r="L64" s="32">
        <f t="shared" si="12"/>
        <v>76096</v>
      </c>
      <c r="M64" s="32">
        <f>0</f>
        <v>0</v>
      </c>
      <c r="N64" s="32">
        <f t="shared" si="13"/>
        <v>30585403</v>
      </c>
      <c r="O64" s="32">
        <f t="shared" si="14"/>
        <v>1130341</v>
      </c>
      <c r="P64" s="34" t="str">
        <f>IF(NOT(AND(T63="",A64&lt;=S63)),"",IF(FALSE,"繰上返済後再計算","")&amp;IF(AND(入力!$B$13="有効",A64&gt;1,MOD(A64-1,60)=0),IF(FALSE,"・","")&amp;"5年見直し","")&amp;IF(AND(A64=入力!$B$11,A64&gt;1),IF(OR(FALSE,AND(入力!$B$13="有効",A64&gt;1,MOD(A64-1,60)=0)),"・","")&amp;"金利変更","")&amp;IF(AND(OR(AND(入力!$B$13="有効",A64&gt;1,MOD(A64-1,60)=0),AND(A64=入力!$B$11,A64&gt;1)),入力!$B$14="有効",IF(E64=0,ROUND(C64/MAX(1,S63-A64+1),0),ROUND(-PMT(E64/12,MAX(1,S63-A64+1),C64),0))&gt;ROUND(G63*1.25,0),NOT(FALSE)),"・上限適用",""))</f>
        <v/>
      </c>
      <c r="Q64" s="35" t="str">
        <f>IF(AND(T63="",A64&lt;=S63),入力!$B$13,"")</f>
        <v>有効</v>
      </c>
      <c r="R64" s="32" t="str">
        <f>IF(AND(AND(T63="",A64&lt;=S63),OR(AND(入力!$B$13="有効",A64&gt;1,MOD(A64-1,60)=0),AND(A64=入力!$B$11,A64&gt;1)),入力!$B$14="有効"),ROUND(G63*1.25,0),"")</f>
        <v/>
      </c>
      <c r="S64" s="36">
        <f t="shared" si="15"/>
        <v>420</v>
      </c>
      <c r="T64" s="35" t="str">
        <f t="shared" si="16"/>
        <v/>
      </c>
      <c r="U64" s="3">
        <f t="shared" si="0"/>
        <v>0</v>
      </c>
      <c r="V64" s="3">
        <f t="shared" si="1"/>
        <v>0</v>
      </c>
      <c r="W64" s="3">
        <f t="shared" si="2"/>
        <v>0</v>
      </c>
      <c r="X64" s="3">
        <f t="shared" si="3"/>
        <v>0</v>
      </c>
      <c r="Y64" s="3">
        <f>0</f>
        <v>0</v>
      </c>
      <c r="Z64" s="3">
        <f t="shared" si="4"/>
        <v>0</v>
      </c>
      <c r="AA64">
        <f>ROUND(IF(FALSE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,0)</f>
        <v>93982</v>
      </c>
    </row>
    <row r="65" spans="1:27">
      <c r="A65" s="30">
        <f>60</f>
        <v>60</v>
      </c>
      <c r="B65" s="31">
        <f>EDATE(入力!$B$6,A65-1)</f>
        <v>48030</v>
      </c>
      <c r="C65" s="32">
        <f t="shared" si="5"/>
        <v>30585403</v>
      </c>
      <c r="D65" s="32">
        <f t="shared" si="6"/>
        <v>0</v>
      </c>
      <c r="E65" s="33">
        <f>IF(AND(T64="",A65&lt;=S64),IF(A65&lt;入力!$B$11,入力!$B$10,入力!$B$12),0)</f>
        <v>7.0000000000000001E-3</v>
      </c>
      <c r="F65" s="32">
        <f t="shared" si="7"/>
        <v>17841</v>
      </c>
      <c r="G65" s="32">
        <f>ROUND(IF(NOT(AND(T64="",A65&lt;=S64)),0,IF(FALSE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),0)</f>
        <v>93982</v>
      </c>
      <c r="H65" s="32">
        <f t="shared" si="8"/>
        <v>93982</v>
      </c>
      <c r="I65" s="32">
        <f t="shared" si="9"/>
        <v>17841</v>
      </c>
      <c r="J65" s="32">
        <f t="shared" si="10"/>
        <v>0</v>
      </c>
      <c r="K65" s="32">
        <f t="shared" si="11"/>
        <v>0</v>
      </c>
      <c r="L65" s="32">
        <f t="shared" si="12"/>
        <v>76141</v>
      </c>
      <c r="M65" s="32">
        <f>0</f>
        <v>0</v>
      </c>
      <c r="N65" s="32">
        <f t="shared" si="13"/>
        <v>30509262</v>
      </c>
      <c r="O65" s="32">
        <f t="shared" si="14"/>
        <v>1148182</v>
      </c>
      <c r="P65" s="34" t="str">
        <f>IF(NOT(AND(T64="",A65&lt;=S64)),"",IF(FALSE,"繰上返済後再計算","")&amp;IF(AND(入力!$B$13="有効",A65&gt;1,MOD(A65-1,60)=0),IF(FALSE,"・","")&amp;"5年見直し","")&amp;IF(AND(A65=入力!$B$11,A65&gt;1),IF(OR(FALSE,AND(入力!$B$13="有効",A65&gt;1,MOD(A65-1,60)=0)),"・","")&amp;"金利変更","")&amp;IF(AND(OR(AND(入力!$B$13="有効",A65&gt;1,MOD(A65-1,60)=0),AND(A65=入力!$B$11,A65&gt;1)),入力!$B$14="有効",IF(E65=0,ROUND(C65/MAX(1,S64-A65+1),0),ROUND(-PMT(E65/12,MAX(1,S64-A65+1),C65),0))&gt;ROUND(G64*1.25,0),NOT(FALSE)),"・上限適用",""))</f>
        <v/>
      </c>
      <c r="Q65" s="35" t="str">
        <f>IF(AND(T64="",A65&lt;=S64),入力!$B$13,"")</f>
        <v>有効</v>
      </c>
      <c r="R65" s="32" t="str">
        <f>IF(AND(AND(T64="",A65&lt;=S64),OR(AND(入力!$B$13="有効",A65&gt;1,MOD(A65-1,60)=0),AND(A65=入力!$B$11,A65&gt;1)),入力!$B$14="有効"),ROUND(G64*1.25,0),"")</f>
        <v/>
      </c>
      <c r="S65" s="36">
        <f t="shared" si="15"/>
        <v>420</v>
      </c>
      <c r="T65" s="35" t="str">
        <f t="shared" si="16"/>
        <v/>
      </c>
      <c r="U65" s="3">
        <f t="shared" si="0"/>
        <v>0</v>
      </c>
      <c r="V65" s="3">
        <f t="shared" si="1"/>
        <v>0</v>
      </c>
      <c r="W65" s="3">
        <f t="shared" si="2"/>
        <v>0</v>
      </c>
      <c r="X65" s="3">
        <f t="shared" si="3"/>
        <v>0</v>
      </c>
      <c r="Y65" s="3">
        <f>0</f>
        <v>0</v>
      </c>
      <c r="Z65" s="3">
        <f t="shared" si="4"/>
        <v>0</v>
      </c>
      <c r="AA65">
        <f>ROUND(IF(FALSE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,0)</f>
        <v>93982</v>
      </c>
    </row>
    <row r="66" spans="1:27">
      <c r="A66" s="30">
        <f>61</f>
        <v>61</v>
      </c>
      <c r="B66" s="31">
        <f>EDATE(入力!$B$6,A66-1)</f>
        <v>48061</v>
      </c>
      <c r="C66" s="32">
        <f t="shared" si="5"/>
        <v>30509262</v>
      </c>
      <c r="D66" s="32">
        <f t="shared" si="6"/>
        <v>0</v>
      </c>
      <c r="E66" s="33">
        <f>IF(AND(T65="",A66&lt;=S65),IF(A66&lt;入力!$B$11,入力!$B$10,入力!$B$12),0)</f>
        <v>2.5000000000000001E-2</v>
      </c>
      <c r="F66" s="32">
        <f t="shared" si="7"/>
        <v>63561</v>
      </c>
      <c r="G66" s="32">
        <f>ROUND(IF(NOT(AND(T65="",A66&lt;=S65)),0,IF(FALSE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),0)</f>
        <v>117478</v>
      </c>
      <c r="H66" s="32">
        <f t="shared" si="8"/>
        <v>117478</v>
      </c>
      <c r="I66" s="32">
        <f t="shared" si="9"/>
        <v>63561</v>
      </c>
      <c r="J66" s="32">
        <f t="shared" si="10"/>
        <v>0</v>
      </c>
      <c r="K66" s="32">
        <f t="shared" si="11"/>
        <v>0</v>
      </c>
      <c r="L66" s="32">
        <f t="shared" si="12"/>
        <v>53917</v>
      </c>
      <c r="M66" s="32">
        <f>0</f>
        <v>0</v>
      </c>
      <c r="N66" s="32">
        <f t="shared" si="13"/>
        <v>30455345</v>
      </c>
      <c r="O66" s="32">
        <f t="shared" si="14"/>
        <v>1211743</v>
      </c>
      <c r="P66" s="34" t="str">
        <f>IF(NOT(AND(T65="",A66&lt;=S65)),"",IF(FALSE,"繰上返済後再計算","")&amp;IF(AND(入力!$B$13="有効",A66&gt;1,MOD(A66-1,60)=0),IF(FALSE,"・","")&amp;"5年見直し","")&amp;IF(AND(A66=入力!$B$11,A66&gt;1),IF(OR(FALSE,AND(入力!$B$13="有効",A66&gt;1,MOD(A66-1,60)=0)),"・","")&amp;"金利変更","")&amp;IF(AND(OR(AND(入力!$B$13="有効",A66&gt;1,MOD(A66-1,60)=0),AND(A66=入力!$B$11,A66&gt;1)),入力!$B$14="有効",IF(E66=0,ROUND(C66/MAX(1,S65-A66+1),0),ROUND(-PMT(E66/12,MAX(1,S65-A66+1),C66),0))&gt;ROUND(G65*1.25,0),NOT(FALSE)),"・上限適用",""))</f>
        <v>5年見直し・金利変更・上限適用</v>
      </c>
      <c r="Q66" s="35" t="str">
        <f>IF(AND(T65="",A66&lt;=S65),入力!$B$13,"")</f>
        <v>有効</v>
      </c>
      <c r="R66" s="32">
        <f>IF(AND(AND(T65="",A66&lt;=S65),OR(AND(入力!$B$13="有効",A66&gt;1,MOD(A66-1,60)=0),AND(A66=入力!$B$11,A66&gt;1)),入力!$B$14="有効"),ROUND(G65*1.25,0),"")</f>
        <v>117478</v>
      </c>
      <c r="S66" s="36">
        <f t="shared" si="15"/>
        <v>420</v>
      </c>
      <c r="T66" s="35" t="str">
        <f t="shared" si="16"/>
        <v/>
      </c>
      <c r="U66" s="3">
        <f t="shared" si="0"/>
        <v>0</v>
      </c>
      <c r="V66" s="3">
        <f t="shared" si="1"/>
        <v>0</v>
      </c>
      <c r="W66" s="3">
        <f t="shared" si="2"/>
        <v>0</v>
      </c>
      <c r="X66" s="3">
        <f t="shared" si="3"/>
        <v>0</v>
      </c>
      <c r="Y66" s="3">
        <f>0</f>
        <v>0</v>
      </c>
      <c r="Z66" s="3">
        <f t="shared" si="4"/>
        <v>0</v>
      </c>
      <c r="AA66">
        <f>ROUND(IF(FALSE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,0)</f>
        <v>117478</v>
      </c>
    </row>
    <row r="67" spans="1:27">
      <c r="A67" s="30">
        <f>62</f>
        <v>62</v>
      </c>
      <c r="B67" s="31">
        <f>EDATE(入力!$B$6,A67-1)</f>
        <v>48092</v>
      </c>
      <c r="C67" s="32">
        <f t="shared" si="5"/>
        <v>30455345</v>
      </c>
      <c r="D67" s="32">
        <f t="shared" si="6"/>
        <v>0</v>
      </c>
      <c r="E67" s="33">
        <f>IF(AND(T66="",A67&lt;=S66),IF(A67&lt;入力!$B$11,入力!$B$10,入力!$B$12),0)</f>
        <v>2.5000000000000001E-2</v>
      </c>
      <c r="F67" s="32">
        <f t="shared" si="7"/>
        <v>63449</v>
      </c>
      <c r="G67" s="32">
        <f>ROUND(IF(NOT(AND(T66="",A67&lt;=S66)),0,IF(FALSE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),0)</f>
        <v>117478</v>
      </c>
      <c r="H67" s="32">
        <f t="shared" si="8"/>
        <v>117478</v>
      </c>
      <c r="I67" s="32">
        <f t="shared" si="9"/>
        <v>63449</v>
      </c>
      <c r="J67" s="32">
        <f t="shared" si="10"/>
        <v>0</v>
      </c>
      <c r="K67" s="32">
        <f t="shared" si="11"/>
        <v>0</v>
      </c>
      <c r="L67" s="32">
        <f t="shared" si="12"/>
        <v>54029</v>
      </c>
      <c r="M67" s="32">
        <f>0</f>
        <v>0</v>
      </c>
      <c r="N67" s="32">
        <f t="shared" si="13"/>
        <v>30401316</v>
      </c>
      <c r="O67" s="32">
        <f t="shared" si="14"/>
        <v>1275192</v>
      </c>
      <c r="P67" s="34" t="str">
        <f>IF(NOT(AND(T66="",A67&lt;=S66)),"",IF(FALSE,"繰上返済後再計算","")&amp;IF(AND(入力!$B$13="有効",A67&gt;1,MOD(A67-1,60)=0),IF(FALSE,"・","")&amp;"5年見直し","")&amp;IF(AND(A67=入力!$B$11,A67&gt;1),IF(OR(FALSE,AND(入力!$B$13="有効",A67&gt;1,MOD(A67-1,60)=0)),"・","")&amp;"金利変更","")&amp;IF(AND(OR(AND(入力!$B$13="有効",A67&gt;1,MOD(A67-1,60)=0),AND(A67=入力!$B$11,A67&gt;1)),入力!$B$14="有効",IF(E67=0,ROUND(C67/MAX(1,S66-A67+1),0),ROUND(-PMT(E67/12,MAX(1,S66-A67+1),C67),0))&gt;ROUND(G66*1.25,0),NOT(FALSE)),"・上限適用",""))</f>
        <v/>
      </c>
      <c r="Q67" s="35" t="str">
        <f>IF(AND(T66="",A67&lt;=S66),入力!$B$13,"")</f>
        <v>有効</v>
      </c>
      <c r="R67" s="32" t="str">
        <f>IF(AND(AND(T66="",A67&lt;=S66),OR(AND(入力!$B$13="有効",A67&gt;1,MOD(A67-1,60)=0),AND(A67=入力!$B$11,A67&gt;1)),入力!$B$14="有効"),ROUND(G66*1.25,0),"")</f>
        <v/>
      </c>
      <c r="S67" s="36">
        <f t="shared" si="15"/>
        <v>420</v>
      </c>
      <c r="T67" s="35" t="str">
        <f t="shared" si="16"/>
        <v/>
      </c>
      <c r="U67" s="3">
        <f t="shared" si="0"/>
        <v>0</v>
      </c>
      <c r="V67" s="3">
        <f t="shared" si="1"/>
        <v>0</v>
      </c>
      <c r="W67" s="3">
        <f t="shared" si="2"/>
        <v>0</v>
      </c>
      <c r="X67" s="3">
        <f t="shared" si="3"/>
        <v>0</v>
      </c>
      <c r="Y67" s="3">
        <f>0</f>
        <v>0</v>
      </c>
      <c r="Z67" s="3">
        <f t="shared" si="4"/>
        <v>0</v>
      </c>
      <c r="AA67">
        <f>ROUND(IF(FALSE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,0)</f>
        <v>117478</v>
      </c>
    </row>
    <row r="68" spans="1:27">
      <c r="A68" s="30">
        <f>63</f>
        <v>63</v>
      </c>
      <c r="B68" s="31">
        <f>EDATE(入力!$B$6,A68-1)</f>
        <v>48122</v>
      </c>
      <c r="C68" s="32">
        <f t="shared" si="5"/>
        <v>30401316</v>
      </c>
      <c r="D68" s="32">
        <f t="shared" si="6"/>
        <v>0</v>
      </c>
      <c r="E68" s="33">
        <f>IF(AND(T67="",A68&lt;=S67),IF(A68&lt;入力!$B$11,入力!$B$10,入力!$B$12),0)</f>
        <v>2.5000000000000001E-2</v>
      </c>
      <c r="F68" s="32">
        <f t="shared" si="7"/>
        <v>63336</v>
      </c>
      <c r="G68" s="32">
        <f>ROUND(IF(NOT(AND(T67="",A68&lt;=S67)),0,IF(FALSE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),0)</f>
        <v>117478</v>
      </c>
      <c r="H68" s="32">
        <f t="shared" si="8"/>
        <v>117478</v>
      </c>
      <c r="I68" s="32">
        <f t="shared" si="9"/>
        <v>63336</v>
      </c>
      <c r="J68" s="32">
        <f t="shared" si="10"/>
        <v>0</v>
      </c>
      <c r="K68" s="32">
        <f t="shared" si="11"/>
        <v>0</v>
      </c>
      <c r="L68" s="32">
        <f t="shared" si="12"/>
        <v>54142</v>
      </c>
      <c r="M68" s="32">
        <f>0</f>
        <v>0</v>
      </c>
      <c r="N68" s="32">
        <f t="shared" si="13"/>
        <v>30347174</v>
      </c>
      <c r="O68" s="32">
        <f t="shared" si="14"/>
        <v>1338528</v>
      </c>
      <c r="P68" s="34" t="str">
        <f>IF(NOT(AND(T67="",A68&lt;=S67)),"",IF(FALSE,"繰上返済後再計算","")&amp;IF(AND(入力!$B$13="有効",A68&gt;1,MOD(A68-1,60)=0),IF(FALSE,"・","")&amp;"5年見直し","")&amp;IF(AND(A68=入力!$B$11,A68&gt;1),IF(OR(FALSE,AND(入力!$B$13="有効",A68&gt;1,MOD(A68-1,60)=0)),"・","")&amp;"金利変更","")&amp;IF(AND(OR(AND(入力!$B$13="有効",A68&gt;1,MOD(A68-1,60)=0),AND(A68=入力!$B$11,A68&gt;1)),入力!$B$14="有効",IF(E68=0,ROUND(C68/MAX(1,S67-A68+1),0),ROUND(-PMT(E68/12,MAX(1,S67-A68+1),C68),0))&gt;ROUND(G67*1.25,0),NOT(FALSE)),"・上限適用",""))</f>
        <v/>
      </c>
      <c r="Q68" s="35" t="str">
        <f>IF(AND(T67="",A68&lt;=S67),入力!$B$13,"")</f>
        <v>有効</v>
      </c>
      <c r="R68" s="32" t="str">
        <f>IF(AND(AND(T67="",A68&lt;=S67),OR(AND(入力!$B$13="有効",A68&gt;1,MOD(A68-1,60)=0),AND(A68=入力!$B$11,A68&gt;1)),入力!$B$14="有効"),ROUND(G67*1.25,0),"")</f>
        <v/>
      </c>
      <c r="S68" s="36">
        <f t="shared" si="15"/>
        <v>420</v>
      </c>
      <c r="T68" s="35" t="str">
        <f t="shared" si="16"/>
        <v/>
      </c>
      <c r="U68" s="3">
        <f t="shared" si="0"/>
        <v>0</v>
      </c>
      <c r="V68" s="3">
        <f t="shared" si="1"/>
        <v>0</v>
      </c>
      <c r="W68" s="3">
        <f t="shared" si="2"/>
        <v>0</v>
      </c>
      <c r="X68" s="3">
        <f t="shared" si="3"/>
        <v>0</v>
      </c>
      <c r="Y68" s="3">
        <f>0</f>
        <v>0</v>
      </c>
      <c r="Z68" s="3">
        <f t="shared" si="4"/>
        <v>0</v>
      </c>
      <c r="AA68">
        <f>ROUND(IF(FALSE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,0)</f>
        <v>117478</v>
      </c>
    </row>
    <row r="69" spans="1:27">
      <c r="A69" s="30">
        <f>64</f>
        <v>64</v>
      </c>
      <c r="B69" s="31">
        <f>EDATE(入力!$B$6,A69-1)</f>
        <v>48153</v>
      </c>
      <c r="C69" s="32">
        <f t="shared" si="5"/>
        <v>30347174</v>
      </c>
      <c r="D69" s="32">
        <f t="shared" si="6"/>
        <v>0</v>
      </c>
      <c r="E69" s="33">
        <f>IF(AND(T68="",A69&lt;=S68),IF(A69&lt;入力!$B$11,入力!$B$10,入力!$B$12),0)</f>
        <v>2.5000000000000001E-2</v>
      </c>
      <c r="F69" s="32">
        <f t="shared" si="7"/>
        <v>63223</v>
      </c>
      <c r="G69" s="32">
        <f>ROUND(IF(NOT(AND(T68="",A69&lt;=S68)),0,IF(FALSE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),0)</f>
        <v>117478</v>
      </c>
      <c r="H69" s="32">
        <f t="shared" si="8"/>
        <v>117478</v>
      </c>
      <c r="I69" s="32">
        <f t="shared" si="9"/>
        <v>63223</v>
      </c>
      <c r="J69" s="32">
        <f t="shared" si="10"/>
        <v>0</v>
      </c>
      <c r="K69" s="32">
        <f t="shared" si="11"/>
        <v>0</v>
      </c>
      <c r="L69" s="32">
        <f t="shared" si="12"/>
        <v>54255</v>
      </c>
      <c r="M69" s="32">
        <f>0</f>
        <v>0</v>
      </c>
      <c r="N69" s="32">
        <f t="shared" si="13"/>
        <v>30292919</v>
      </c>
      <c r="O69" s="32">
        <f t="shared" si="14"/>
        <v>1401751</v>
      </c>
      <c r="P69" s="34" t="str">
        <f>IF(NOT(AND(T68="",A69&lt;=S68)),"",IF(FALSE,"繰上返済後再計算","")&amp;IF(AND(入力!$B$13="有効",A69&gt;1,MOD(A69-1,60)=0),IF(FALSE,"・","")&amp;"5年見直し","")&amp;IF(AND(A69=入力!$B$11,A69&gt;1),IF(OR(FALSE,AND(入力!$B$13="有効",A69&gt;1,MOD(A69-1,60)=0)),"・","")&amp;"金利変更","")&amp;IF(AND(OR(AND(入力!$B$13="有効",A69&gt;1,MOD(A69-1,60)=0),AND(A69=入力!$B$11,A69&gt;1)),入力!$B$14="有効",IF(E69=0,ROUND(C69/MAX(1,S68-A69+1),0),ROUND(-PMT(E69/12,MAX(1,S68-A69+1),C69),0))&gt;ROUND(G68*1.25,0),NOT(FALSE)),"・上限適用",""))</f>
        <v/>
      </c>
      <c r="Q69" s="35" t="str">
        <f>IF(AND(T68="",A69&lt;=S68),入力!$B$13,"")</f>
        <v>有効</v>
      </c>
      <c r="R69" s="32" t="str">
        <f>IF(AND(AND(T68="",A69&lt;=S68),OR(AND(入力!$B$13="有効",A69&gt;1,MOD(A69-1,60)=0),AND(A69=入力!$B$11,A69&gt;1)),入力!$B$14="有効"),ROUND(G68*1.25,0),"")</f>
        <v/>
      </c>
      <c r="S69" s="36">
        <f t="shared" si="15"/>
        <v>420</v>
      </c>
      <c r="T69" s="35" t="str">
        <f t="shared" si="16"/>
        <v/>
      </c>
      <c r="U69" s="3">
        <f t="shared" si="0"/>
        <v>0</v>
      </c>
      <c r="V69" s="3">
        <f t="shared" si="1"/>
        <v>0</v>
      </c>
      <c r="W69" s="3">
        <f t="shared" si="2"/>
        <v>0</v>
      </c>
      <c r="X69" s="3">
        <f t="shared" si="3"/>
        <v>0</v>
      </c>
      <c r="Y69" s="3">
        <f>0</f>
        <v>0</v>
      </c>
      <c r="Z69" s="3">
        <f t="shared" si="4"/>
        <v>0</v>
      </c>
      <c r="AA69">
        <f>ROUND(IF(FALSE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,0)</f>
        <v>117478</v>
      </c>
    </row>
    <row r="70" spans="1:27">
      <c r="A70" s="30">
        <f>65</f>
        <v>65</v>
      </c>
      <c r="B70" s="31">
        <f>EDATE(入力!$B$6,A70-1)</f>
        <v>48183</v>
      </c>
      <c r="C70" s="32">
        <f t="shared" si="5"/>
        <v>30292919</v>
      </c>
      <c r="D70" s="32">
        <f t="shared" si="6"/>
        <v>0</v>
      </c>
      <c r="E70" s="33">
        <f>IF(AND(T69="",A70&lt;=S69),IF(A70&lt;入力!$B$11,入力!$B$10,入力!$B$12),0)</f>
        <v>2.5000000000000001E-2</v>
      </c>
      <c r="F70" s="32">
        <f t="shared" si="7"/>
        <v>63110</v>
      </c>
      <c r="G70" s="32">
        <f>ROUND(IF(NOT(AND(T69="",A70&lt;=S69)),0,IF(FALSE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),0)</f>
        <v>117478</v>
      </c>
      <c r="H70" s="32">
        <f t="shared" si="8"/>
        <v>117478</v>
      </c>
      <c r="I70" s="32">
        <f t="shared" si="9"/>
        <v>63110</v>
      </c>
      <c r="J70" s="32">
        <f t="shared" si="10"/>
        <v>0</v>
      </c>
      <c r="K70" s="32">
        <f t="shared" si="11"/>
        <v>0</v>
      </c>
      <c r="L70" s="32">
        <f t="shared" si="12"/>
        <v>54368</v>
      </c>
      <c r="M70" s="32">
        <f>0</f>
        <v>0</v>
      </c>
      <c r="N70" s="32">
        <f t="shared" si="13"/>
        <v>30238551</v>
      </c>
      <c r="O70" s="32">
        <f t="shared" si="14"/>
        <v>1464861</v>
      </c>
      <c r="P70" s="34" t="str">
        <f>IF(NOT(AND(T69="",A70&lt;=S69)),"",IF(FALSE,"繰上返済後再計算","")&amp;IF(AND(入力!$B$13="有効",A70&gt;1,MOD(A70-1,60)=0),IF(FALSE,"・","")&amp;"5年見直し","")&amp;IF(AND(A70=入力!$B$11,A70&gt;1),IF(OR(FALSE,AND(入力!$B$13="有効",A70&gt;1,MOD(A70-1,60)=0)),"・","")&amp;"金利変更","")&amp;IF(AND(OR(AND(入力!$B$13="有効",A70&gt;1,MOD(A70-1,60)=0),AND(A70=入力!$B$11,A70&gt;1)),入力!$B$14="有効",IF(E70=0,ROUND(C70/MAX(1,S69-A70+1),0),ROUND(-PMT(E70/12,MAX(1,S69-A70+1),C70),0))&gt;ROUND(G69*1.25,0),NOT(FALSE)),"・上限適用",""))</f>
        <v/>
      </c>
      <c r="Q70" s="35" t="str">
        <f>IF(AND(T69="",A70&lt;=S69),入力!$B$13,"")</f>
        <v>有効</v>
      </c>
      <c r="R70" s="32" t="str">
        <f>IF(AND(AND(T69="",A70&lt;=S69),OR(AND(入力!$B$13="有効",A70&gt;1,MOD(A70-1,60)=0),AND(A70=入力!$B$11,A70&gt;1)),入力!$B$14="有効"),ROUND(G69*1.25,0),"")</f>
        <v/>
      </c>
      <c r="S70" s="36">
        <f t="shared" si="15"/>
        <v>420</v>
      </c>
      <c r="T70" s="35" t="str">
        <f t="shared" si="16"/>
        <v/>
      </c>
      <c r="U70" s="3">
        <f t="shared" ref="U70:U133" si="17">ABS(I70-MIN(H70,D70+F70))</f>
        <v>0</v>
      </c>
      <c r="V70" s="3">
        <f t="shared" ref="V70:V133" si="18">ABS(L70-(H70-I70))</f>
        <v>0</v>
      </c>
      <c r="W70" s="3">
        <f t="shared" ref="W70:W133" si="19">ABS(K70-(D70+J70))</f>
        <v>0</v>
      </c>
      <c r="X70" s="3">
        <f t="shared" ref="X70:X133" si="20">ABS(F70-ROUND(F70,0))+ABS(G70-ROUND(G70,0))+ABS(H70-ROUND(H70,0))+ABS(I70-ROUND(I70,0))+ABS(J70-ROUND(J70,0))+ABS(K70-ROUND(K70,0))+ABS(L70-ROUND(L70,0))+ABS(M70-ROUND(M70,0))+ABS(N70-ROUND(N70,0))+ABS(O70-ROUND(O70,0))</f>
        <v>0</v>
      </c>
      <c r="Y70" s="3">
        <f>0</f>
        <v>0</v>
      </c>
      <c r="Z70" s="3">
        <f t="shared" ref="Z70:Z133" si="21">SUM(--ISERROR(A70),--ISERROR(B70),--ISERROR(C70),--ISERROR(D70),--ISERROR(E70),--ISERROR(F70),--ISERROR(G70),--ISERROR(H70),--ISERROR(I70),--ISERROR(J70),--ISERROR(K70),--ISERROR(L70),--ISERROR(M70),--ISERROR(N70),--ISERROR(O70),--ISERROR(P70),--ISERROR(Q70),--ISERROR(R70),--ISERROR(S70),--ISERROR(T70))</f>
        <v>0</v>
      </c>
      <c r="AA70">
        <f>ROUND(IF(FALSE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,0)</f>
        <v>117478</v>
      </c>
    </row>
    <row r="71" spans="1:27">
      <c r="A71" s="30">
        <f>66</f>
        <v>66</v>
      </c>
      <c r="B71" s="31">
        <f>EDATE(入力!$B$6,A71-1)</f>
        <v>48214</v>
      </c>
      <c r="C71" s="32">
        <f t="shared" ref="C71:C134" si="22">IF(AND(T70="",A71&lt;=S70),N70,0)</f>
        <v>30238551</v>
      </c>
      <c r="D71" s="32">
        <f t="shared" ref="D71:D134" si="23">IF(AND(T70="",A71&lt;=S70),K70,0)</f>
        <v>0</v>
      </c>
      <c r="E71" s="33">
        <f>IF(AND(T70="",A71&lt;=S70),IF(A71&lt;入力!$B$11,入力!$B$10,入力!$B$12),0)</f>
        <v>2.5000000000000001E-2</v>
      </c>
      <c r="F71" s="32">
        <f t="shared" ref="F71:F134" si="24">IF(AND(T70="",A71&lt;=S70),ROUND(C71*E71/12,0),0)</f>
        <v>62997</v>
      </c>
      <c r="G71" s="32">
        <f>ROUND(IF(NOT(AND(T70="",A71&lt;=S70)),0,IF(FALSE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),0)</f>
        <v>117478</v>
      </c>
      <c r="H71" s="32">
        <f t="shared" ref="H71:H134" si="25">IF(AND(T70="",A71&lt;=S70),ROUND(MIN(G71,C71+D71+F71),0),0)</f>
        <v>117478</v>
      </c>
      <c r="I71" s="32">
        <f t="shared" ref="I71:I134" si="26">IF(AND(T70="",A71&lt;=S70),ROUND(MIN(H71,D71+F71),0),0)</f>
        <v>62997</v>
      </c>
      <c r="J71" s="32">
        <f t="shared" ref="J71:J134" si="27">IF(AND(T70="",A71&lt;=S70),ROUND(F71-I71,0),0)</f>
        <v>0</v>
      </c>
      <c r="K71" s="32">
        <f t="shared" ref="K71:K134" si="28">IF(AND(T70="",A71&lt;=S70),ROUND(D71+J71,0),0)</f>
        <v>0</v>
      </c>
      <c r="L71" s="32">
        <f t="shared" ref="L71:L134" si="29">IF(AND(T70="",A71&lt;=S70),ROUND(H71-I71,0),0)</f>
        <v>54481</v>
      </c>
      <c r="M71" s="32">
        <f>0</f>
        <v>0</v>
      </c>
      <c r="N71" s="32">
        <f t="shared" ref="N71:N134" si="30">IF(AND(T70="",A71&lt;=S70),ROUND(MAX(0,C71-L71-M71),0),0)</f>
        <v>30184070</v>
      </c>
      <c r="O71" s="32">
        <f t="shared" ref="O71:O134" si="31">IF(AND(T70="",A71&lt;=S70),ROUND(O70+F71,0),O70)</f>
        <v>1527858</v>
      </c>
      <c r="P71" s="34" t="str">
        <f>IF(NOT(AND(T70="",A71&lt;=S70)),"",IF(FALSE,"繰上返済後再計算","")&amp;IF(AND(入力!$B$13="有効",A71&gt;1,MOD(A71-1,60)=0),IF(FALSE,"・","")&amp;"5年見直し","")&amp;IF(AND(A71=入力!$B$11,A71&gt;1),IF(OR(FALSE,AND(入力!$B$13="有効",A71&gt;1,MOD(A71-1,60)=0)),"・","")&amp;"金利変更","")&amp;IF(AND(OR(AND(入力!$B$13="有効",A71&gt;1,MOD(A71-1,60)=0),AND(A71=入力!$B$11,A71&gt;1)),入力!$B$14="有効",IF(E71=0,ROUND(C71/MAX(1,S70-A71+1),0),ROUND(-PMT(E71/12,MAX(1,S70-A71+1),C71),0))&gt;ROUND(G70*1.25,0),NOT(FALSE)),"・上限適用",""))</f>
        <v/>
      </c>
      <c r="Q71" s="35" t="str">
        <f>IF(AND(T70="",A71&lt;=S70),入力!$B$13,"")</f>
        <v>有効</v>
      </c>
      <c r="R71" s="32" t="str">
        <f>IF(AND(AND(T70="",A71&lt;=S70),OR(AND(入力!$B$13="有効",A71&gt;1,MOD(A71-1,60)=0),AND(A71=入力!$B$11,A71&gt;1)),入力!$B$14="有効"),ROUND(G70*1.25,0),"")</f>
        <v/>
      </c>
      <c r="S71" s="36">
        <f t="shared" ref="S71:S134" si="32">S70</f>
        <v>420</v>
      </c>
      <c r="T71" s="35" t="str">
        <f t="shared" ref="T71:T134" si="33">IF(NOT(AND(T70="",A71&lt;=S70)),"",IF(AND(N71=0,K71=0),"完済",IF(A71=S71,"最終回清算","")))</f>
        <v/>
      </c>
      <c r="U71" s="3">
        <f t="shared" si="17"/>
        <v>0</v>
      </c>
      <c r="V71" s="3">
        <f t="shared" si="18"/>
        <v>0</v>
      </c>
      <c r="W71" s="3">
        <f t="shared" si="19"/>
        <v>0</v>
      </c>
      <c r="X71" s="3">
        <f t="shared" si="20"/>
        <v>0</v>
      </c>
      <c r="Y71" s="3">
        <f>0</f>
        <v>0</v>
      </c>
      <c r="Z71" s="3">
        <f t="shared" si="21"/>
        <v>0</v>
      </c>
      <c r="AA71">
        <f>ROUND(IF(FALSE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,0)</f>
        <v>117478</v>
      </c>
    </row>
    <row r="72" spans="1:27">
      <c r="A72" s="30">
        <f>67</f>
        <v>67</v>
      </c>
      <c r="B72" s="31">
        <f>EDATE(入力!$B$6,A72-1)</f>
        <v>48245</v>
      </c>
      <c r="C72" s="32">
        <f t="shared" si="22"/>
        <v>30184070</v>
      </c>
      <c r="D72" s="32">
        <f t="shared" si="23"/>
        <v>0</v>
      </c>
      <c r="E72" s="33">
        <f>IF(AND(T71="",A72&lt;=S71),IF(A72&lt;入力!$B$11,入力!$B$10,入力!$B$12),0)</f>
        <v>2.5000000000000001E-2</v>
      </c>
      <c r="F72" s="32">
        <f t="shared" si="24"/>
        <v>62883</v>
      </c>
      <c r="G72" s="32">
        <f>ROUND(IF(NOT(AND(T71="",A72&lt;=S71)),0,IF(FALSE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),0)</f>
        <v>117478</v>
      </c>
      <c r="H72" s="32">
        <f t="shared" si="25"/>
        <v>117478</v>
      </c>
      <c r="I72" s="32">
        <f t="shared" si="26"/>
        <v>62883</v>
      </c>
      <c r="J72" s="32">
        <f t="shared" si="27"/>
        <v>0</v>
      </c>
      <c r="K72" s="32">
        <f t="shared" si="28"/>
        <v>0</v>
      </c>
      <c r="L72" s="32">
        <f t="shared" si="29"/>
        <v>54595</v>
      </c>
      <c r="M72" s="32">
        <f>0</f>
        <v>0</v>
      </c>
      <c r="N72" s="32">
        <f t="shared" si="30"/>
        <v>30129475</v>
      </c>
      <c r="O72" s="32">
        <f t="shared" si="31"/>
        <v>1590741</v>
      </c>
      <c r="P72" s="34" t="str">
        <f>IF(NOT(AND(T71="",A72&lt;=S71)),"",IF(FALSE,"繰上返済後再計算","")&amp;IF(AND(入力!$B$13="有効",A72&gt;1,MOD(A72-1,60)=0),IF(FALSE,"・","")&amp;"5年見直し","")&amp;IF(AND(A72=入力!$B$11,A72&gt;1),IF(OR(FALSE,AND(入力!$B$13="有効",A72&gt;1,MOD(A72-1,60)=0)),"・","")&amp;"金利変更","")&amp;IF(AND(OR(AND(入力!$B$13="有効",A72&gt;1,MOD(A72-1,60)=0),AND(A72=入力!$B$11,A72&gt;1)),入力!$B$14="有効",IF(E72=0,ROUND(C72/MAX(1,S71-A72+1),0),ROUND(-PMT(E72/12,MAX(1,S71-A72+1),C72),0))&gt;ROUND(G71*1.25,0),NOT(FALSE)),"・上限適用",""))</f>
        <v/>
      </c>
      <c r="Q72" s="35" t="str">
        <f>IF(AND(T71="",A72&lt;=S71),入力!$B$13,"")</f>
        <v>有効</v>
      </c>
      <c r="R72" s="32" t="str">
        <f>IF(AND(AND(T71="",A72&lt;=S71),OR(AND(入力!$B$13="有効",A72&gt;1,MOD(A72-1,60)=0),AND(A72=入力!$B$11,A72&gt;1)),入力!$B$14="有効"),ROUND(G71*1.25,0),"")</f>
        <v/>
      </c>
      <c r="S72" s="36">
        <f t="shared" si="32"/>
        <v>420</v>
      </c>
      <c r="T72" s="35" t="str">
        <f t="shared" si="33"/>
        <v/>
      </c>
      <c r="U72" s="3">
        <f t="shared" si="17"/>
        <v>0</v>
      </c>
      <c r="V72" s="3">
        <f t="shared" si="18"/>
        <v>0</v>
      </c>
      <c r="W72" s="3">
        <f t="shared" si="19"/>
        <v>0</v>
      </c>
      <c r="X72" s="3">
        <f t="shared" si="20"/>
        <v>0</v>
      </c>
      <c r="Y72" s="3">
        <f>0</f>
        <v>0</v>
      </c>
      <c r="Z72" s="3">
        <f t="shared" si="21"/>
        <v>0</v>
      </c>
      <c r="AA72">
        <f>ROUND(IF(FALSE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,0)</f>
        <v>117478</v>
      </c>
    </row>
    <row r="73" spans="1:27">
      <c r="A73" s="30">
        <f>68</f>
        <v>68</v>
      </c>
      <c r="B73" s="31">
        <f>EDATE(入力!$B$6,A73-1)</f>
        <v>48274</v>
      </c>
      <c r="C73" s="32">
        <f t="shared" si="22"/>
        <v>30129475</v>
      </c>
      <c r="D73" s="32">
        <f t="shared" si="23"/>
        <v>0</v>
      </c>
      <c r="E73" s="33">
        <f>IF(AND(T72="",A73&lt;=S72),IF(A73&lt;入力!$B$11,入力!$B$10,入力!$B$12),0)</f>
        <v>2.5000000000000001E-2</v>
      </c>
      <c r="F73" s="32">
        <f t="shared" si="24"/>
        <v>62770</v>
      </c>
      <c r="G73" s="32">
        <f>ROUND(IF(NOT(AND(T72="",A73&lt;=S72)),0,IF(FALSE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),0)</f>
        <v>117478</v>
      </c>
      <c r="H73" s="32">
        <f t="shared" si="25"/>
        <v>117478</v>
      </c>
      <c r="I73" s="32">
        <f t="shared" si="26"/>
        <v>62770</v>
      </c>
      <c r="J73" s="32">
        <f t="shared" si="27"/>
        <v>0</v>
      </c>
      <c r="K73" s="32">
        <f t="shared" si="28"/>
        <v>0</v>
      </c>
      <c r="L73" s="32">
        <f t="shared" si="29"/>
        <v>54708</v>
      </c>
      <c r="M73" s="32">
        <f>0</f>
        <v>0</v>
      </c>
      <c r="N73" s="32">
        <f t="shared" si="30"/>
        <v>30074767</v>
      </c>
      <c r="O73" s="32">
        <f t="shared" si="31"/>
        <v>1653511</v>
      </c>
      <c r="P73" s="34" t="str">
        <f>IF(NOT(AND(T72="",A73&lt;=S72)),"",IF(FALSE,"繰上返済後再計算","")&amp;IF(AND(入力!$B$13="有効",A73&gt;1,MOD(A73-1,60)=0),IF(FALSE,"・","")&amp;"5年見直し","")&amp;IF(AND(A73=入力!$B$11,A73&gt;1),IF(OR(FALSE,AND(入力!$B$13="有効",A73&gt;1,MOD(A73-1,60)=0)),"・","")&amp;"金利変更","")&amp;IF(AND(OR(AND(入力!$B$13="有効",A73&gt;1,MOD(A73-1,60)=0),AND(A73=入力!$B$11,A73&gt;1)),入力!$B$14="有効",IF(E73=0,ROUND(C73/MAX(1,S72-A73+1),0),ROUND(-PMT(E73/12,MAX(1,S72-A73+1),C73),0))&gt;ROUND(G72*1.25,0),NOT(FALSE)),"・上限適用",""))</f>
        <v/>
      </c>
      <c r="Q73" s="35" t="str">
        <f>IF(AND(T72="",A73&lt;=S72),入力!$B$13,"")</f>
        <v>有効</v>
      </c>
      <c r="R73" s="32" t="str">
        <f>IF(AND(AND(T72="",A73&lt;=S72),OR(AND(入力!$B$13="有効",A73&gt;1,MOD(A73-1,60)=0),AND(A73=入力!$B$11,A73&gt;1)),入力!$B$14="有効"),ROUND(G72*1.25,0),"")</f>
        <v/>
      </c>
      <c r="S73" s="36">
        <f t="shared" si="32"/>
        <v>420</v>
      </c>
      <c r="T73" s="35" t="str">
        <f t="shared" si="33"/>
        <v/>
      </c>
      <c r="U73" s="3">
        <f t="shared" si="17"/>
        <v>0</v>
      </c>
      <c r="V73" s="3">
        <f t="shared" si="18"/>
        <v>0</v>
      </c>
      <c r="W73" s="3">
        <f t="shared" si="19"/>
        <v>0</v>
      </c>
      <c r="X73" s="3">
        <f t="shared" si="20"/>
        <v>0</v>
      </c>
      <c r="Y73" s="3">
        <f>0</f>
        <v>0</v>
      </c>
      <c r="Z73" s="3">
        <f t="shared" si="21"/>
        <v>0</v>
      </c>
      <c r="AA73">
        <f>ROUND(IF(FALSE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,0)</f>
        <v>117478</v>
      </c>
    </row>
    <row r="74" spans="1:27">
      <c r="A74" s="30">
        <f>69</f>
        <v>69</v>
      </c>
      <c r="B74" s="31">
        <f>EDATE(入力!$B$6,A74-1)</f>
        <v>48305</v>
      </c>
      <c r="C74" s="32">
        <f t="shared" si="22"/>
        <v>30074767</v>
      </c>
      <c r="D74" s="32">
        <f t="shared" si="23"/>
        <v>0</v>
      </c>
      <c r="E74" s="33">
        <f>IF(AND(T73="",A74&lt;=S73),IF(A74&lt;入力!$B$11,入力!$B$10,入力!$B$12),0)</f>
        <v>2.5000000000000001E-2</v>
      </c>
      <c r="F74" s="32">
        <f t="shared" si="24"/>
        <v>62656</v>
      </c>
      <c r="G74" s="32">
        <f>ROUND(IF(NOT(AND(T73="",A74&lt;=S73)),0,IF(FALSE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),0)</f>
        <v>117478</v>
      </c>
      <c r="H74" s="32">
        <f t="shared" si="25"/>
        <v>117478</v>
      </c>
      <c r="I74" s="32">
        <f t="shared" si="26"/>
        <v>62656</v>
      </c>
      <c r="J74" s="32">
        <f t="shared" si="27"/>
        <v>0</v>
      </c>
      <c r="K74" s="32">
        <f t="shared" si="28"/>
        <v>0</v>
      </c>
      <c r="L74" s="32">
        <f t="shared" si="29"/>
        <v>54822</v>
      </c>
      <c r="M74" s="32">
        <f>0</f>
        <v>0</v>
      </c>
      <c r="N74" s="32">
        <f t="shared" si="30"/>
        <v>30019945</v>
      </c>
      <c r="O74" s="32">
        <f t="shared" si="31"/>
        <v>1716167</v>
      </c>
      <c r="P74" s="34" t="str">
        <f>IF(NOT(AND(T73="",A74&lt;=S73)),"",IF(FALSE,"繰上返済後再計算","")&amp;IF(AND(入力!$B$13="有効",A74&gt;1,MOD(A74-1,60)=0),IF(FALSE,"・","")&amp;"5年見直し","")&amp;IF(AND(A74=入力!$B$11,A74&gt;1),IF(OR(FALSE,AND(入力!$B$13="有効",A74&gt;1,MOD(A74-1,60)=0)),"・","")&amp;"金利変更","")&amp;IF(AND(OR(AND(入力!$B$13="有効",A74&gt;1,MOD(A74-1,60)=0),AND(A74=入力!$B$11,A74&gt;1)),入力!$B$14="有効",IF(E74=0,ROUND(C74/MAX(1,S73-A74+1),0),ROUND(-PMT(E74/12,MAX(1,S73-A74+1),C74),0))&gt;ROUND(G73*1.25,0),NOT(FALSE)),"・上限適用",""))</f>
        <v/>
      </c>
      <c r="Q74" s="35" t="str">
        <f>IF(AND(T73="",A74&lt;=S73),入力!$B$13,"")</f>
        <v>有効</v>
      </c>
      <c r="R74" s="32" t="str">
        <f>IF(AND(AND(T73="",A74&lt;=S73),OR(AND(入力!$B$13="有効",A74&gt;1,MOD(A74-1,60)=0),AND(A74=入力!$B$11,A74&gt;1)),入力!$B$14="有効"),ROUND(G73*1.25,0),"")</f>
        <v/>
      </c>
      <c r="S74" s="36">
        <f t="shared" si="32"/>
        <v>420</v>
      </c>
      <c r="T74" s="35" t="str">
        <f t="shared" si="33"/>
        <v/>
      </c>
      <c r="U74" s="3">
        <f t="shared" si="17"/>
        <v>0</v>
      </c>
      <c r="V74" s="3">
        <f t="shared" si="18"/>
        <v>0</v>
      </c>
      <c r="W74" s="3">
        <f t="shared" si="19"/>
        <v>0</v>
      </c>
      <c r="X74" s="3">
        <f t="shared" si="20"/>
        <v>0</v>
      </c>
      <c r="Y74" s="3">
        <f>0</f>
        <v>0</v>
      </c>
      <c r="Z74" s="3">
        <f t="shared" si="21"/>
        <v>0</v>
      </c>
      <c r="AA74">
        <f>ROUND(IF(FALSE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,0)</f>
        <v>117478</v>
      </c>
    </row>
    <row r="75" spans="1:27">
      <c r="A75" s="30">
        <f>70</f>
        <v>70</v>
      </c>
      <c r="B75" s="31">
        <f>EDATE(入力!$B$6,A75-1)</f>
        <v>48335</v>
      </c>
      <c r="C75" s="32">
        <f t="shared" si="22"/>
        <v>30019945</v>
      </c>
      <c r="D75" s="32">
        <f t="shared" si="23"/>
        <v>0</v>
      </c>
      <c r="E75" s="33">
        <f>IF(AND(T74="",A75&lt;=S74),IF(A75&lt;入力!$B$11,入力!$B$10,入力!$B$12),0)</f>
        <v>2.5000000000000001E-2</v>
      </c>
      <c r="F75" s="32">
        <f t="shared" si="24"/>
        <v>62542</v>
      </c>
      <c r="G75" s="32">
        <f>ROUND(IF(NOT(AND(T74="",A75&lt;=S74)),0,IF(FALSE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),0)</f>
        <v>117478</v>
      </c>
      <c r="H75" s="32">
        <f t="shared" si="25"/>
        <v>117478</v>
      </c>
      <c r="I75" s="32">
        <f t="shared" si="26"/>
        <v>62542</v>
      </c>
      <c r="J75" s="32">
        <f t="shared" si="27"/>
        <v>0</v>
      </c>
      <c r="K75" s="32">
        <f t="shared" si="28"/>
        <v>0</v>
      </c>
      <c r="L75" s="32">
        <f t="shared" si="29"/>
        <v>54936</v>
      </c>
      <c r="M75" s="32">
        <f>0</f>
        <v>0</v>
      </c>
      <c r="N75" s="32">
        <f t="shared" si="30"/>
        <v>29965009</v>
      </c>
      <c r="O75" s="32">
        <f t="shared" si="31"/>
        <v>1778709</v>
      </c>
      <c r="P75" s="34" t="str">
        <f>IF(NOT(AND(T74="",A75&lt;=S74)),"",IF(FALSE,"繰上返済後再計算","")&amp;IF(AND(入力!$B$13="有効",A75&gt;1,MOD(A75-1,60)=0),IF(FALSE,"・","")&amp;"5年見直し","")&amp;IF(AND(A75=入力!$B$11,A75&gt;1),IF(OR(FALSE,AND(入力!$B$13="有効",A75&gt;1,MOD(A75-1,60)=0)),"・","")&amp;"金利変更","")&amp;IF(AND(OR(AND(入力!$B$13="有効",A75&gt;1,MOD(A75-1,60)=0),AND(A75=入力!$B$11,A75&gt;1)),入力!$B$14="有効",IF(E75=0,ROUND(C75/MAX(1,S74-A75+1),0),ROUND(-PMT(E75/12,MAX(1,S74-A75+1),C75),0))&gt;ROUND(G74*1.25,0),NOT(FALSE)),"・上限適用",""))</f>
        <v/>
      </c>
      <c r="Q75" s="35" t="str">
        <f>IF(AND(T74="",A75&lt;=S74),入力!$B$13,"")</f>
        <v>有効</v>
      </c>
      <c r="R75" s="32" t="str">
        <f>IF(AND(AND(T74="",A75&lt;=S74),OR(AND(入力!$B$13="有効",A75&gt;1,MOD(A75-1,60)=0),AND(A75=入力!$B$11,A75&gt;1)),入力!$B$14="有効"),ROUND(G74*1.25,0),"")</f>
        <v/>
      </c>
      <c r="S75" s="36">
        <f t="shared" si="32"/>
        <v>420</v>
      </c>
      <c r="T75" s="35" t="str">
        <f t="shared" si="33"/>
        <v/>
      </c>
      <c r="U75" s="3">
        <f t="shared" si="17"/>
        <v>0</v>
      </c>
      <c r="V75" s="3">
        <f t="shared" si="18"/>
        <v>0</v>
      </c>
      <c r="W75" s="3">
        <f t="shared" si="19"/>
        <v>0</v>
      </c>
      <c r="X75" s="3">
        <f t="shared" si="20"/>
        <v>0</v>
      </c>
      <c r="Y75" s="3">
        <f>0</f>
        <v>0</v>
      </c>
      <c r="Z75" s="3">
        <f t="shared" si="21"/>
        <v>0</v>
      </c>
      <c r="AA75">
        <f>ROUND(IF(FALSE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,0)</f>
        <v>117478</v>
      </c>
    </row>
    <row r="76" spans="1:27">
      <c r="A76" s="30">
        <f>71</f>
        <v>71</v>
      </c>
      <c r="B76" s="31">
        <f>EDATE(入力!$B$6,A76-1)</f>
        <v>48366</v>
      </c>
      <c r="C76" s="32">
        <f t="shared" si="22"/>
        <v>29965009</v>
      </c>
      <c r="D76" s="32">
        <f t="shared" si="23"/>
        <v>0</v>
      </c>
      <c r="E76" s="33">
        <f>IF(AND(T75="",A76&lt;=S75),IF(A76&lt;入力!$B$11,入力!$B$10,入力!$B$12),0)</f>
        <v>2.5000000000000001E-2</v>
      </c>
      <c r="F76" s="32">
        <f t="shared" si="24"/>
        <v>62427</v>
      </c>
      <c r="G76" s="32">
        <f>ROUND(IF(NOT(AND(T75="",A76&lt;=S75)),0,IF(FALSE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),0)</f>
        <v>117478</v>
      </c>
      <c r="H76" s="32">
        <f t="shared" si="25"/>
        <v>117478</v>
      </c>
      <c r="I76" s="32">
        <f t="shared" si="26"/>
        <v>62427</v>
      </c>
      <c r="J76" s="32">
        <f t="shared" si="27"/>
        <v>0</v>
      </c>
      <c r="K76" s="32">
        <f t="shared" si="28"/>
        <v>0</v>
      </c>
      <c r="L76" s="32">
        <f t="shared" si="29"/>
        <v>55051</v>
      </c>
      <c r="M76" s="32">
        <f>0</f>
        <v>0</v>
      </c>
      <c r="N76" s="32">
        <f t="shared" si="30"/>
        <v>29909958</v>
      </c>
      <c r="O76" s="32">
        <f t="shared" si="31"/>
        <v>1841136</v>
      </c>
      <c r="P76" s="34" t="str">
        <f>IF(NOT(AND(T75="",A76&lt;=S75)),"",IF(FALSE,"繰上返済後再計算","")&amp;IF(AND(入力!$B$13="有効",A76&gt;1,MOD(A76-1,60)=0),IF(FALSE,"・","")&amp;"5年見直し","")&amp;IF(AND(A76=入力!$B$11,A76&gt;1),IF(OR(FALSE,AND(入力!$B$13="有効",A76&gt;1,MOD(A76-1,60)=0)),"・","")&amp;"金利変更","")&amp;IF(AND(OR(AND(入力!$B$13="有効",A76&gt;1,MOD(A76-1,60)=0),AND(A76=入力!$B$11,A76&gt;1)),入力!$B$14="有効",IF(E76=0,ROUND(C76/MAX(1,S75-A76+1),0),ROUND(-PMT(E76/12,MAX(1,S75-A76+1),C76),0))&gt;ROUND(G75*1.25,0),NOT(FALSE)),"・上限適用",""))</f>
        <v/>
      </c>
      <c r="Q76" s="35" t="str">
        <f>IF(AND(T75="",A76&lt;=S75),入力!$B$13,"")</f>
        <v>有効</v>
      </c>
      <c r="R76" s="32" t="str">
        <f>IF(AND(AND(T75="",A76&lt;=S75),OR(AND(入力!$B$13="有効",A76&gt;1,MOD(A76-1,60)=0),AND(A76=入力!$B$11,A76&gt;1)),入力!$B$14="有効"),ROUND(G75*1.25,0),"")</f>
        <v/>
      </c>
      <c r="S76" s="36">
        <f t="shared" si="32"/>
        <v>420</v>
      </c>
      <c r="T76" s="35" t="str">
        <f t="shared" si="33"/>
        <v/>
      </c>
      <c r="U76" s="3">
        <f t="shared" si="17"/>
        <v>0</v>
      </c>
      <c r="V76" s="3">
        <f t="shared" si="18"/>
        <v>0</v>
      </c>
      <c r="W76" s="3">
        <f t="shared" si="19"/>
        <v>0</v>
      </c>
      <c r="X76" s="3">
        <f t="shared" si="20"/>
        <v>0</v>
      </c>
      <c r="Y76" s="3">
        <f>0</f>
        <v>0</v>
      </c>
      <c r="Z76" s="3">
        <f t="shared" si="21"/>
        <v>0</v>
      </c>
      <c r="AA76">
        <f>ROUND(IF(FALSE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,0)</f>
        <v>117478</v>
      </c>
    </row>
    <row r="77" spans="1:27">
      <c r="A77" s="30">
        <f>72</f>
        <v>72</v>
      </c>
      <c r="B77" s="31">
        <f>EDATE(入力!$B$6,A77-1)</f>
        <v>48396</v>
      </c>
      <c r="C77" s="32">
        <f t="shared" si="22"/>
        <v>29909958</v>
      </c>
      <c r="D77" s="32">
        <f t="shared" si="23"/>
        <v>0</v>
      </c>
      <c r="E77" s="33">
        <f>IF(AND(T76="",A77&lt;=S76),IF(A77&lt;入力!$B$11,入力!$B$10,入力!$B$12),0)</f>
        <v>2.5000000000000001E-2</v>
      </c>
      <c r="F77" s="32">
        <f t="shared" si="24"/>
        <v>62312</v>
      </c>
      <c r="G77" s="32">
        <f>ROUND(IF(NOT(AND(T76="",A77&lt;=S76)),0,IF(FALSE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),0)</f>
        <v>117478</v>
      </c>
      <c r="H77" s="32">
        <f t="shared" si="25"/>
        <v>117478</v>
      </c>
      <c r="I77" s="32">
        <f t="shared" si="26"/>
        <v>62312</v>
      </c>
      <c r="J77" s="32">
        <f t="shared" si="27"/>
        <v>0</v>
      </c>
      <c r="K77" s="32">
        <f t="shared" si="28"/>
        <v>0</v>
      </c>
      <c r="L77" s="32">
        <f t="shared" si="29"/>
        <v>55166</v>
      </c>
      <c r="M77" s="32">
        <f>0</f>
        <v>0</v>
      </c>
      <c r="N77" s="32">
        <f t="shared" si="30"/>
        <v>29854792</v>
      </c>
      <c r="O77" s="32">
        <f t="shared" si="31"/>
        <v>1903448</v>
      </c>
      <c r="P77" s="34" t="str">
        <f>IF(NOT(AND(T76="",A77&lt;=S76)),"",IF(FALSE,"繰上返済後再計算","")&amp;IF(AND(入力!$B$13="有効",A77&gt;1,MOD(A77-1,60)=0),IF(FALSE,"・","")&amp;"5年見直し","")&amp;IF(AND(A77=入力!$B$11,A77&gt;1),IF(OR(FALSE,AND(入力!$B$13="有効",A77&gt;1,MOD(A77-1,60)=0)),"・","")&amp;"金利変更","")&amp;IF(AND(OR(AND(入力!$B$13="有効",A77&gt;1,MOD(A77-1,60)=0),AND(A77=入力!$B$11,A77&gt;1)),入力!$B$14="有効",IF(E77=0,ROUND(C77/MAX(1,S76-A77+1),0),ROUND(-PMT(E77/12,MAX(1,S76-A77+1),C77),0))&gt;ROUND(G76*1.25,0),NOT(FALSE)),"・上限適用",""))</f>
        <v/>
      </c>
      <c r="Q77" s="35" t="str">
        <f>IF(AND(T76="",A77&lt;=S76),入力!$B$13,"")</f>
        <v>有効</v>
      </c>
      <c r="R77" s="32" t="str">
        <f>IF(AND(AND(T76="",A77&lt;=S76),OR(AND(入力!$B$13="有効",A77&gt;1,MOD(A77-1,60)=0),AND(A77=入力!$B$11,A77&gt;1)),入力!$B$14="有効"),ROUND(G76*1.25,0),"")</f>
        <v/>
      </c>
      <c r="S77" s="36">
        <f t="shared" si="32"/>
        <v>420</v>
      </c>
      <c r="T77" s="35" t="str">
        <f t="shared" si="33"/>
        <v/>
      </c>
      <c r="U77" s="3">
        <f t="shared" si="17"/>
        <v>0</v>
      </c>
      <c r="V77" s="3">
        <f t="shared" si="18"/>
        <v>0</v>
      </c>
      <c r="W77" s="3">
        <f t="shared" si="19"/>
        <v>0</v>
      </c>
      <c r="X77" s="3">
        <f t="shared" si="20"/>
        <v>0</v>
      </c>
      <c r="Y77" s="3">
        <f>0</f>
        <v>0</v>
      </c>
      <c r="Z77" s="3">
        <f t="shared" si="21"/>
        <v>0</v>
      </c>
      <c r="AA77">
        <f>ROUND(IF(FALSE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,0)</f>
        <v>117478</v>
      </c>
    </row>
    <row r="78" spans="1:27">
      <c r="A78" s="30">
        <f>73</f>
        <v>73</v>
      </c>
      <c r="B78" s="31">
        <f>EDATE(入力!$B$6,A78-1)</f>
        <v>48427</v>
      </c>
      <c r="C78" s="32">
        <f t="shared" si="22"/>
        <v>29854792</v>
      </c>
      <c r="D78" s="32">
        <f t="shared" si="23"/>
        <v>0</v>
      </c>
      <c r="E78" s="33">
        <f>IF(AND(T77="",A78&lt;=S77),IF(A78&lt;入力!$B$11,入力!$B$10,入力!$B$12),0)</f>
        <v>2.5000000000000001E-2</v>
      </c>
      <c r="F78" s="32">
        <f t="shared" si="24"/>
        <v>62197</v>
      </c>
      <c r="G78" s="32">
        <f>ROUND(IF(NOT(AND(T77="",A78&lt;=S77)),0,IF(FALSE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),0)</f>
        <v>117478</v>
      </c>
      <c r="H78" s="32">
        <f t="shared" si="25"/>
        <v>117478</v>
      </c>
      <c r="I78" s="32">
        <f t="shared" si="26"/>
        <v>62197</v>
      </c>
      <c r="J78" s="32">
        <f t="shared" si="27"/>
        <v>0</v>
      </c>
      <c r="K78" s="32">
        <f t="shared" si="28"/>
        <v>0</v>
      </c>
      <c r="L78" s="32">
        <f t="shared" si="29"/>
        <v>55281</v>
      </c>
      <c r="M78" s="32">
        <f>0</f>
        <v>0</v>
      </c>
      <c r="N78" s="32">
        <f t="shared" si="30"/>
        <v>29799511</v>
      </c>
      <c r="O78" s="32">
        <f t="shared" si="31"/>
        <v>1965645</v>
      </c>
      <c r="P78" s="34" t="str">
        <f>IF(NOT(AND(T77="",A78&lt;=S77)),"",IF(FALSE,"繰上返済後再計算","")&amp;IF(AND(入力!$B$13="有効",A78&gt;1,MOD(A78-1,60)=0),IF(FALSE,"・","")&amp;"5年見直し","")&amp;IF(AND(A78=入力!$B$11,A78&gt;1),IF(OR(FALSE,AND(入力!$B$13="有効",A78&gt;1,MOD(A78-1,60)=0)),"・","")&amp;"金利変更","")&amp;IF(AND(OR(AND(入力!$B$13="有効",A78&gt;1,MOD(A78-1,60)=0),AND(A78=入力!$B$11,A78&gt;1)),入力!$B$14="有効",IF(E78=0,ROUND(C78/MAX(1,S77-A78+1),0),ROUND(-PMT(E78/12,MAX(1,S77-A78+1),C78),0))&gt;ROUND(G77*1.25,0),NOT(FALSE)),"・上限適用",""))</f>
        <v/>
      </c>
      <c r="Q78" s="35" t="str">
        <f>IF(AND(T77="",A78&lt;=S77),入力!$B$13,"")</f>
        <v>有効</v>
      </c>
      <c r="R78" s="32" t="str">
        <f>IF(AND(AND(T77="",A78&lt;=S77),OR(AND(入力!$B$13="有効",A78&gt;1,MOD(A78-1,60)=0),AND(A78=入力!$B$11,A78&gt;1)),入力!$B$14="有効"),ROUND(G77*1.25,0),"")</f>
        <v/>
      </c>
      <c r="S78" s="36">
        <f t="shared" si="32"/>
        <v>420</v>
      </c>
      <c r="T78" s="35" t="str">
        <f t="shared" si="33"/>
        <v/>
      </c>
      <c r="U78" s="3">
        <f t="shared" si="17"/>
        <v>0</v>
      </c>
      <c r="V78" s="3">
        <f t="shared" si="18"/>
        <v>0</v>
      </c>
      <c r="W78" s="3">
        <f t="shared" si="19"/>
        <v>0</v>
      </c>
      <c r="X78" s="3">
        <f t="shared" si="20"/>
        <v>0</v>
      </c>
      <c r="Y78" s="3">
        <f>0</f>
        <v>0</v>
      </c>
      <c r="Z78" s="3">
        <f t="shared" si="21"/>
        <v>0</v>
      </c>
      <c r="AA78">
        <f>ROUND(IF(FALSE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,0)</f>
        <v>117478</v>
      </c>
    </row>
    <row r="79" spans="1:27">
      <c r="A79" s="30">
        <f>74</f>
        <v>74</v>
      </c>
      <c r="B79" s="31">
        <f>EDATE(入力!$B$6,A79-1)</f>
        <v>48458</v>
      </c>
      <c r="C79" s="32">
        <f t="shared" si="22"/>
        <v>29799511</v>
      </c>
      <c r="D79" s="32">
        <f t="shared" si="23"/>
        <v>0</v>
      </c>
      <c r="E79" s="33">
        <f>IF(AND(T78="",A79&lt;=S78),IF(A79&lt;入力!$B$11,入力!$B$10,入力!$B$12),0)</f>
        <v>2.5000000000000001E-2</v>
      </c>
      <c r="F79" s="32">
        <f t="shared" si="24"/>
        <v>62082</v>
      </c>
      <c r="G79" s="32">
        <f>ROUND(IF(NOT(AND(T78="",A79&lt;=S78)),0,IF(FALSE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),0)</f>
        <v>117478</v>
      </c>
      <c r="H79" s="32">
        <f t="shared" si="25"/>
        <v>117478</v>
      </c>
      <c r="I79" s="32">
        <f t="shared" si="26"/>
        <v>62082</v>
      </c>
      <c r="J79" s="32">
        <f t="shared" si="27"/>
        <v>0</v>
      </c>
      <c r="K79" s="32">
        <f t="shared" si="28"/>
        <v>0</v>
      </c>
      <c r="L79" s="32">
        <f t="shared" si="29"/>
        <v>55396</v>
      </c>
      <c r="M79" s="32">
        <f>0</f>
        <v>0</v>
      </c>
      <c r="N79" s="32">
        <f t="shared" si="30"/>
        <v>29744115</v>
      </c>
      <c r="O79" s="32">
        <f t="shared" si="31"/>
        <v>2027727</v>
      </c>
      <c r="P79" s="34" t="str">
        <f>IF(NOT(AND(T78="",A79&lt;=S78)),"",IF(FALSE,"繰上返済後再計算","")&amp;IF(AND(入力!$B$13="有効",A79&gt;1,MOD(A79-1,60)=0),IF(FALSE,"・","")&amp;"5年見直し","")&amp;IF(AND(A79=入力!$B$11,A79&gt;1),IF(OR(FALSE,AND(入力!$B$13="有効",A79&gt;1,MOD(A79-1,60)=0)),"・","")&amp;"金利変更","")&amp;IF(AND(OR(AND(入力!$B$13="有効",A79&gt;1,MOD(A79-1,60)=0),AND(A79=入力!$B$11,A79&gt;1)),入力!$B$14="有効",IF(E79=0,ROUND(C79/MAX(1,S78-A79+1),0),ROUND(-PMT(E79/12,MAX(1,S78-A79+1),C79),0))&gt;ROUND(G78*1.25,0),NOT(FALSE)),"・上限適用",""))</f>
        <v/>
      </c>
      <c r="Q79" s="35" t="str">
        <f>IF(AND(T78="",A79&lt;=S78),入力!$B$13,"")</f>
        <v>有効</v>
      </c>
      <c r="R79" s="32" t="str">
        <f>IF(AND(AND(T78="",A79&lt;=S78),OR(AND(入力!$B$13="有効",A79&gt;1,MOD(A79-1,60)=0),AND(A79=入力!$B$11,A79&gt;1)),入力!$B$14="有効"),ROUND(G78*1.25,0),"")</f>
        <v/>
      </c>
      <c r="S79" s="36">
        <f t="shared" si="32"/>
        <v>420</v>
      </c>
      <c r="T79" s="35" t="str">
        <f t="shared" si="33"/>
        <v/>
      </c>
      <c r="U79" s="3">
        <f t="shared" si="17"/>
        <v>0</v>
      </c>
      <c r="V79" s="3">
        <f t="shared" si="18"/>
        <v>0</v>
      </c>
      <c r="W79" s="3">
        <f t="shared" si="19"/>
        <v>0</v>
      </c>
      <c r="X79" s="3">
        <f t="shared" si="20"/>
        <v>0</v>
      </c>
      <c r="Y79" s="3">
        <f>0</f>
        <v>0</v>
      </c>
      <c r="Z79" s="3">
        <f t="shared" si="21"/>
        <v>0</v>
      </c>
      <c r="AA79">
        <f>ROUND(IF(FALSE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,0)</f>
        <v>117478</v>
      </c>
    </row>
    <row r="80" spans="1:27">
      <c r="A80" s="30">
        <f>75</f>
        <v>75</v>
      </c>
      <c r="B80" s="31">
        <f>EDATE(入力!$B$6,A80-1)</f>
        <v>48488</v>
      </c>
      <c r="C80" s="32">
        <f t="shared" si="22"/>
        <v>29744115</v>
      </c>
      <c r="D80" s="32">
        <f t="shared" si="23"/>
        <v>0</v>
      </c>
      <c r="E80" s="33">
        <f>IF(AND(T79="",A80&lt;=S79),IF(A80&lt;入力!$B$11,入力!$B$10,入力!$B$12),0)</f>
        <v>2.5000000000000001E-2</v>
      </c>
      <c r="F80" s="32">
        <f t="shared" si="24"/>
        <v>61967</v>
      </c>
      <c r="G80" s="32">
        <f>ROUND(IF(NOT(AND(T79="",A80&lt;=S79)),0,IF(FALSE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),0)</f>
        <v>117478</v>
      </c>
      <c r="H80" s="32">
        <f t="shared" si="25"/>
        <v>117478</v>
      </c>
      <c r="I80" s="32">
        <f t="shared" si="26"/>
        <v>61967</v>
      </c>
      <c r="J80" s="32">
        <f t="shared" si="27"/>
        <v>0</v>
      </c>
      <c r="K80" s="32">
        <f t="shared" si="28"/>
        <v>0</v>
      </c>
      <c r="L80" s="32">
        <f t="shared" si="29"/>
        <v>55511</v>
      </c>
      <c r="M80" s="32">
        <f>0</f>
        <v>0</v>
      </c>
      <c r="N80" s="32">
        <f t="shared" si="30"/>
        <v>29688604</v>
      </c>
      <c r="O80" s="32">
        <f t="shared" si="31"/>
        <v>2089694</v>
      </c>
      <c r="P80" s="34" t="str">
        <f>IF(NOT(AND(T79="",A80&lt;=S79)),"",IF(FALSE,"繰上返済後再計算","")&amp;IF(AND(入力!$B$13="有効",A80&gt;1,MOD(A80-1,60)=0),IF(FALSE,"・","")&amp;"5年見直し","")&amp;IF(AND(A80=入力!$B$11,A80&gt;1),IF(OR(FALSE,AND(入力!$B$13="有効",A80&gt;1,MOD(A80-1,60)=0)),"・","")&amp;"金利変更","")&amp;IF(AND(OR(AND(入力!$B$13="有効",A80&gt;1,MOD(A80-1,60)=0),AND(A80=入力!$B$11,A80&gt;1)),入力!$B$14="有効",IF(E80=0,ROUND(C80/MAX(1,S79-A80+1),0),ROUND(-PMT(E80/12,MAX(1,S79-A80+1),C80),0))&gt;ROUND(G79*1.25,0),NOT(FALSE)),"・上限適用",""))</f>
        <v/>
      </c>
      <c r="Q80" s="35" t="str">
        <f>IF(AND(T79="",A80&lt;=S79),入力!$B$13,"")</f>
        <v>有効</v>
      </c>
      <c r="R80" s="32" t="str">
        <f>IF(AND(AND(T79="",A80&lt;=S79),OR(AND(入力!$B$13="有効",A80&gt;1,MOD(A80-1,60)=0),AND(A80=入力!$B$11,A80&gt;1)),入力!$B$14="有効"),ROUND(G79*1.25,0),"")</f>
        <v/>
      </c>
      <c r="S80" s="36">
        <f t="shared" si="32"/>
        <v>420</v>
      </c>
      <c r="T80" s="35" t="str">
        <f t="shared" si="33"/>
        <v/>
      </c>
      <c r="U80" s="3">
        <f t="shared" si="17"/>
        <v>0</v>
      </c>
      <c r="V80" s="3">
        <f t="shared" si="18"/>
        <v>0</v>
      </c>
      <c r="W80" s="3">
        <f t="shared" si="19"/>
        <v>0</v>
      </c>
      <c r="X80" s="3">
        <f t="shared" si="20"/>
        <v>0</v>
      </c>
      <c r="Y80" s="3">
        <f>0</f>
        <v>0</v>
      </c>
      <c r="Z80" s="3">
        <f t="shared" si="21"/>
        <v>0</v>
      </c>
      <c r="AA80">
        <f>ROUND(IF(FALSE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,0)</f>
        <v>117478</v>
      </c>
    </row>
    <row r="81" spans="1:27">
      <c r="A81" s="30">
        <f>76</f>
        <v>76</v>
      </c>
      <c r="B81" s="31">
        <f>EDATE(入力!$B$6,A81-1)</f>
        <v>48519</v>
      </c>
      <c r="C81" s="32">
        <f t="shared" si="22"/>
        <v>29688604</v>
      </c>
      <c r="D81" s="32">
        <f t="shared" si="23"/>
        <v>0</v>
      </c>
      <c r="E81" s="33">
        <f>IF(AND(T80="",A81&lt;=S80),IF(A81&lt;入力!$B$11,入力!$B$10,入力!$B$12),0)</f>
        <v>2.5000000000000001E-2</v>
      </c>
      <c r="F81" s="32">
        <f t="shared" si="24"/>
        <v>61851</v>
      </c>
      <c r="G81" s="32">
        <f>ROUND(IF(NOT(AND(T80="",A81&lt;=S80)),0,IF(FALSE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),0)</f>
        <v>117478</v>
      </c>
      <c r="H81" s="32">
        <f t="shared" si="25"/>
        <v>117478</v>
      </c>
      <c r="I81" s="32">
        <f t="shared" si="26"/>
        <v>61851</v>
      </c>
      <c r="J81" s="32">
        <f t="shared" si="27"/>
        <v>0</v>
      </c>
      <c r="K81" s="32">
        <f t="shared" si="28"/>
        <v>0</v>
      </c>
      <c r="L81" s="32">
        <f t="shared" si="29"/>
        <v>55627</v>
      </c>
      <c r="M81" s="32">
        <f>0</f>
        <v>0</v>
      </c>
      <c r="N81" s="32">
        <f t="shared" si="30"/>
        <v>29632977</v>
      </c>
      <c r="O81" s="32">
        <f t="shared" si="31"/>
        <v>2151545</v>
      </c>
      <c r="P81" s="34" t="str">
        <f>IF(NOT(AND(T80="",A81&lt;=S80)),"",IF(FALSE,"繰上返済後再計算","")&amp;IF(AND(入力!$B$13="有効",A81&gt;1,MOD(A81-1,60)=0),IF(FALSE,"・","")&amp;"5年見直し","")&amp;IF(AND(A81=入力!$B$11,A81&gt;1),IF(OR(FALSE,AND(入力!$B$13="有効",A81&gt;1,MOD(A81-1,60)=0)),"・","")&amp;"金利変更","")&amp;IF(AND(OR(AND(入力!$B$13="有効",A81&gt;1,MOD(A81-1,60)=0),AND(A81=入力!$B$11,A81&gt;1)),入力!$B$14="有効",IF(E81=0,ROUND(C81/MAX(1,S80-A81+1),0),ROUND(-PMT(E81/12,MAX(1,S80-A81+1),C81),0))&gt;ROUND(G80*1.25,0),NOT(FALSE)),"・上限適用",""))</f>
        <v/>
      </c>
      <c r="Q81" s="35" t="str">
        <f>IF(AND(T80="",A81&lt;=S80),入力!$B$13,"")</f>
        <v>有効</v>
      </c>
      <c r="R81" s="32" t="str">
        <f>IF(AND(AND(T80="",A81&lt;=S80),OR(AND(入力!$B$13="有効",A81&gt;1,MOD(A81-1,60)=0),AND(A81=入力!$B$11,A81&gt;1)),入力!$B$14="有効"),ROUND(G80*1.25,0),"")</f>
        <v/>
      </c>
      <c r="S81" s="36">
        <f t="shared" si="32"/>
        <v>420</v>
      </c>
      <c r="T81" s="35" t="str">
        <f t="shared" si="33"/>
        <v/>
      </c>
      <c r="U81" s="3">
        <f t="shared" si="17"/>
        <v>0</v>
      </c>
      <c r="V81" s="3">
        <f t="shared" si="18"/>
        <v>0</v>
      </c>
      <c r="W81" s="3">
        <f t="shared" si="19"/>
        <v>0</v>
      </c>
      <c r="X81" s="3">
        <f t="shared" si="20"/>
        <v>0</v>
      </c>
      <c r="Y81" s="3">
        <f>0</f>
        <v>0</v>
      </c>
      <c r="Z81" s="3">
        <f t="shared" si="21"/>
        <v>0</v>
      </c>
      <c r="AA81">
        <f>ROUND(IF(FALSE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,0)</f>
        <v>117478</v>
      </c>
    </row>
    <row r="82" spans="1:27">
      <c r="A82" s="30">
        <f>77</f>
        <v>77</v>
      </c>
      <c r="B82" s="31">
        <f>EDATE(入力!$B$6,A82-1)</f>
        <v>48549</v>
      </c>
      <c r="C82" s="32">
        <f t="shared" si="22"/>
        <v>29632977</v>
      </c>
      <c r="D82" s="32">
        <f t="shared" si="23"/>
        <v>0</v>
      </c>
      <c r="E82" s="33">
        <f>IF(AND(T81="",A82&lt;=S81),IF(A82&lt;入力!$B$11,入力!$B$10,入力!$B$12),0)</f>
        <v>2.5000000000000001E-2</v>
      </c>
      <c r="F82" s="32">
        <f t="shared" si="24"/>
        <v>61735</v>
      </c>
      <c r="G82" s="32">
        <f>ROUND(IF(NOT(AND(T81="",A82&lt;=S81)),0,IF(FALSE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),0)</f>
        <v>117478</v>
      </c>
      <c r="H82" s="32">
        <f t="shared" si="25"/>
        <v>117478</v>
      </c>
      <c r="I82" s="32">
        <f t="shared" si="26"/>
        <v>61735</v>
      </c>
      <c r="J82" s="32">
        <f t="shared" si="27"/>
        <v>0</v>
      </c>
      <c r="K82" s="32">
        <f t="shared" si="28"/>
        <v>0</v>
      </c>
      <c r="L82" s="32">
        <f t="shared" si="29"/>
        <v>55743</v>
      </c>
      <c r="M82" s="32">
        <f>0</f>
        <v>0</v>
      </c>
      <c r="N82" s="32">
        <f t="shared" si="30"/>
        <v>29577234</v>
      </c>
      <c r="O82" s="32">
        <f t="shared" si="31"/>
        <v>2213280</v>
      </c>
      <c r="P82" s="34" t="str">
        <f>IF(NOT(AND(T81="",A82&lt;=S81)),"",IF(FALSE,"繰上返済後再計算","")&amp;IF(AND(入力!$B$13="有効",A82&gt;1,MOD(A82-1,60)=0),IF(FALSE,"・","")&amp;"5年見直し","")&amp;IF(AND(A82=入力!$B$11,A82&gt;1),IF(OR(FALSE,AND(入力!$B$13="有効",A82&gt;1,MOD(A82-1,60)=0)),"・","")&amp;"金利変更","")&amp;IF(AND(OR(AND(入力!$B$13="有効",A82&gt;1,MOD(A82-1,60)=0),AND(A82=入力!$B$11,A82&gt;1)),入力!$B$14="有効",IF(E82=0,ROUND(C82/MAX(1,S81-A82+1),0),ROUND(-PMT(E82/12,MAX(1,S81-A82+1),C82),0))&gt;ROUND(G81*1.25,0),NOT(FALSE)),"・上限適用",""))</f>
        <v/>
      </c>
      <c r="Q82" s="35" t="str">
        <f>IF(AND(T81="",A82&lt;=S81),入力!$B$13,"")</f>
        <v>有効</v>
      </c>
      <c r="R82" s="32" t="str">
        <f>IF(AND(AND(T81="",A82&lt;=S81),OR(AND(入力!$B$13="有効",A82&gt;1,MOD(A82-1,60)=0),AND(A82=入力!$B$11,A82&gt;1)),入力!$B$14="有効"),ROUND(G81*1.25,0),"")</f>
        <v/>
      </c>
      <c r="S82" s="36">
        <f t="shared" si="32"/>
        <v>420</v>
      </c>
      <c r="T82" s="35" t="str">
        <f t="shared" si="33"/>
        <v/>
      </c>
      <c r="U82" s="3">
        <f t="shared" si="17"/>
        <v>0</v>
      </c>
      <c r="V82" s="3">
        <f t="shared" si="18"/>
        <v>0</v>
      </c>
      <c r="W82" s="3">
        <f t="shared" si="19"/>
        <v>0</v>
      </c>
      <c r="X82" s="3">
        <f t="shared" si="20"/>
        <v>0</v>
      </c>
      <c r="Y82" s="3">
        <f>0</f>
        <v>0</v>
      </c>
      <c r="Z82" s="3">
        <f t="shared" si="21"/>
        <v>0</v>
      </c>
      <c r="AA82">
        <f>ROUND(IF(FALSE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,0)</f>
        <v>117478</v>
      </c>
    </row>
    <row r="83" spans="1:27">
      <c r="A83" s="30">
        <f>78</f>
        <v>78</v>
      </c>
      <c r="B83" s="31">
        <f>EDATE(入力!$B$6,A83-1)</f>
        <v>48580</v>
      </c>
      <c r="C83" s="32">
        <f t="shared" si="22"/>
        <v>29577234</v>
      </c>
      <c r="D83" s="32">
        <f t="shared" si="23"/>
        <v>0</v>
      </c>
      <c r="E83" s="33">
        <f>IF(AND(T82="",A83&lt;=S82),IF(A83&lt;入力!$B$11,入力!$B$10,入力!$B$12),0)</f>
        <v>2.5000000000000001E-2</v>
      </c>
      <c r="F83" s="32">
        <f t="shared" si="24"/>
        <v>61619</v>
      </c>
      <c r="G83" s="32">
        <f>ROUND(IF(NOT(AND(T82="",A83&lt;=S82)),0,IF(FALSE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),0)</f>
        <v>117478</v>
      </c>
      <c r="H83" s="32">
        <f t="shared" si="25"/>
        <v>117478</v>
      </c>
      <c r="I83" s="32">
        <f t="shared" si="26"/>
        <v>61619</v>
      </c>
      <c r="J83" s="32">
        <f t="shared" si="27"/>
        <v>0</v>
      </c>
      <c r="K83" s="32">
        <f t="shared" si="28"/>
        <v>0</v>
      </c>
      <c r="L83" s="32">
        <f t="shared" si="29"/>
        <v>55859</v>
      </c>
      <c r="M83" s="32">
        <f>0</f>
        <v>0</v>
      </c>
      <c r="N83" s="32">
        <f t="shared" si="30"/>
        <v>29521375</v>
      </c>
      <c r="O83" s="32">
        <f t="shared" si="31"/>
        <v>2274899</v>
      </c>
      <c r="P83" s="34" t="str">
        <f>IF(NOT(AND(T82="",A83&lt;=S82)),"",IF(FALSE,"繰上返済後再計算","")&amp;IF(AND(入力!$B$13="有効",A83&gt;1,MOD(A83-1,60)=0),IF(FALSE,"・","")&amp;"5年見直し","")&amp;IF(AND(A83=入力!$B$11,A83&gt;1),IF(OR(FALSE,AND(入力!$B$13="有効",A83&gt;1,MOD(A83-1,60)=0)),"・","")&amp;"金利変更","")&amp;IF(AND(OR(AND(入力!$B$13="有効",A83&gt;1,MOD(A83-1,60)=0),AND(A83=入力!$B$11,A83&gt;1)),入力!$B$14="有効",IF(E83=0,ROUND(C83/MAX(1,S82-A83+1),0),ROUND(-PMT(E83/12,MAX(1,S82-A83+1),C83),0))&gt;ROUND(G82*1.25,0),NOT(FALSE)),"・上限適用",""))</f>
        <v/>
      </c>
      <c r="Q83" s="35" t="str">
        <f>IF(AND(T82="",A83&lt;=S82),入力!$B$13,"")</f>
        <v>有効</v>
      </c>
      <c r="R83" s="32" t="str">
        <f>IF(AND(AND(T82="",A83&lt;=S82),OR(AND(入力!$B$13="有効",A83&gt;1,MOD(A83-1,60)=0),AND(A83=入力!$B$11,A83&gt;1)),入力!$B$14="有効"),ROUND(G82*1.25,0),"")</f>
        <v/>
      </c>
      <c r="S83" s="36">
        <f t="shared" si="32"/>
        <v>420</v>
      </c>
      <c r="T83" s="35" t="str">
        <f t="shared" si="33"/>
        <v/>
      </c>
      <c r="U83" s="3">
        <f t="shared" si="17"/>
        <v>0</v>
      </c>
      <c r="V83" s="3">
        <f t="shared" si="18"/>
        <v>0</v>
      </c>
      <c r="W83" s="3">
        <f t="shared" si="19"/>
        <v>0</v>
      </c>
      <c r="X83" s="3">
        <f t="shared" si="20"/>
        <v>0</v>
      </c>
      <c r="Y83" s="3">
        <f>0</f>
        <v>0</v>
      </c>
      <c r="Z83" s="3">
        <f t="shared" si="21"/>
        <v>0</v>
      </c>
      <c r="AA83">
        <f>ROUND(IF(FALSE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,0)</f>
        <v>117478</v>
      </c>
    </row>
    <row r="84" spans="1:27">
      <c r="A84" s="30">
        <f>79</f>
        <v>79</v>
      </c>
      <c r="B84" s="31">
        <f>EDATE(入力!$B$6,A84-1)</f>
        <v>48611</v>
      </c>
      <c r="C84" s="32">
        <f t="shared" si="22"/>
        <v>29521375</v>
      </c>
      <c r="D84" s="32">
        <f t="shared" si="23"/>
        <v>0</v>
      </c>
      <c r="E84" s="33">
        <f>IF(AND(T83="",A84&lt;=S83),IF(A84&lt;入力!$B$11,入力!$B$10,入力!$B$12),0)</f>
        <v>2.5000000000000001E-2</v>
      </c>
      <c r="F84" s="32">
        <f t="shared" si="24"/>
        <v>61503</v>
      </c>
      <c r="G84" s="32">
        <f>ROUND(IF(NOT(AND(T83="",A84&lt;=S83)),0,IF(FALSE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),0)</f>
        <v>117478</v>
      </c>
      <c r="H84" s="32">
        <f t="shared" si="25"/>
        <v>117478</v>
      </c>
      <c r="I84" s="32">
        <f t="shared" si="26"/>
        <v>61503</v>
      </c>
      <c r="J84" s="32">
        <f t="shared" si="27"/>
        <v>0</v>
      </c>
      <c r="K84" s="32">
        <f t="shared" si="28"/>
        <v>0</v>
      </c>
      <c r="L84" s="32">
        <f t="shared" si="29"/>
        <v>55975</v>
      </c>
      <c r="M84" s="32">
        <f>0</f>
        <v>0</v>
      </c>
      <c r="N84" s="32">
        <f t="shared" si="30"/>
        <v>29465400</v>
      </c>
      <c r="O84" s="32">
        <f t="shared" si="31"/>
        <v>2336402</v>
      </c>
      <c r="P84" s="34" t="str">
        <f>IF(NOT(AND(T83="",A84&lt;=S83)),"",IF(FALSE,"繰上返済後再計算","")&amp;IF(AND(入力!$B$13="有効",A84&gt;1,MOD(A84-1,60)=0),IF(FALSE,"・","")&amp;"5年見直し","")&amp;IF(AND(A84=入力!$B$11,A84&gt;1),IF(OR(FALSE,AND(入力!$B$13="有効",A84&gt;1,MOD(A84-1,60)=0)),"・","")&amp;"金利変更","")&amp;IF(AND(OR(AND(入力!$B$13="有効",A84&gt;1,MOD(A84-1,60)=0),AND(A84=入力!$B$11,A84&gt;1)),入力!$B$14="有効",IF(E84=0,ROUND(C84/MAX(1,S83-A84+1),0),ROUND(-PMT(E84/12,MAX(1,S83-A84+1),C84),0))&gt;ROUND(G83*1.25,0),NOT(FALSE)),"・上限適用",""))</f>
        <v/>
      </c>
      <c r="Q84" s="35" t="str">
        <f>IF(AND(T83="",A84&lt;=S83),入力!$B$13,"")</f>
        <v>有効</v>
      </c>
      <c r="R84" s="32" t="str">
        <f>IF(AND(AND(T83="",A84&lt;=S83),OR(AND(入力!$B$13="有効",A84&gt;1,MOD(A84-1,60)=0),AND(A84=入力!$B$11,A84&gt;1)),入力!$B$14="有効"),ROUND(G83*1.25,0),"")</f>
        <v/>
      </c>
      <c r="S84" s="36">
        <f t="shared" si="32"/>
        <v>420</v>
      </c>
      <c r="T84" s="35" t="str">
        <f t="shared" si="33"/>
        <v/>
      </c>
      <c r="U84" s="3">
        <f t="shared" si="17"/>
        <v>0</v>
      </c>
      <c r="V84" s="3">
        <f t="shared" si="18"/>
        <v>0</v>
      </c>
      <c r="W84" s="3">
        <f t="shared" si="19"/>
        <v>0</v>
      </c>
      <c r="X84" s="3">
        <f t="shared" si="20"/>
        <v>0</v>
      </c>
      <c r="Y84" s="3">
        <f>0</f>
        <v>0</v>
      </c>
      <c r="Z84" s="3">
        <f t="shared" si="21"/>
        <v>0</v>
      </c>
      <c r="AA84">
        <f>ROUND(IF(FALSE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,0)</f>
        <v>117478</v>
      </c>
    </row>
    <row r="85" spans="1:27">
      <c r="A85" s="30">
        <f>80</f>
        <v>80</v>
      </c>
      <c r="B85" s="31">
        <f>EDATE(入力!$B$6,A85-1)</f>
        <v>48639</v>
      </c>
      <c r="C85" s="32">
        <f t="shared" si="22"/>
        <v>29465400</v>
      </c>
      <c r="D85" s="32">
        <f t="shared" si="23"/>
        <v>0</v>
      </c>
      <c r="E85" s="33">
        <f>IF(AND(T84="",A85&lt;=S84),IF(A85&lt;入力!$B$11,入力!$B$10,入力!$B$12),0)</f>
        <v>2.5000000000000001E-2</v>
      </c>
      <c r="F85" s="32">
        <f t="shared" si="24"/>
        <v>61386</v>
      </c>
      <c r="G85" s="32">
        <f>ROUND(IF(NOT(AND(T84="",A85&lt;=S84)),0,IF(FALSE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),0)</f>
        <v>117478</v>
      </c>
      <c r="H85" s="32">
        <f t="shared" si="25"/>
        <v>117478</v>
      </c>
      <c r="I85" s="32">
        <f t="shared" si="26"/>
        <v>61386</v>
      </c>
      <c r="J85" s="32">
        <f t="shared" si="27"/>
        <v>0</v>
      </c>
      <c r="K85" s="32">
        <f t="shared" si="28"/>
        <v>0</v>
      </c>
      <c r="L85" s="32">
        <f t="shared" si="29"/>
        <v>56092</v>
      </c>
      <c r="M85" s="32">
        <f>0</f>
        <v>0</v>
      </c>
      <c r="N85" s="32">
        <f t="shared" si="30"/>
        <v>29409308</v>
      </c>
      <c r="O85" s="32">
        <f t="shared" si="31"/>
        <v>2397788</v>
      </c>
      <c r="P85" s="34" t="str">
        <f>IF(NOT(AND(T84="",A85&lt;=S84)),"",IF(FALSE,"繰上返済後再計算","")&amp;IF(AND(入力!$B$13="有効",A85&gt;1,MOD(A85-1,60)=0),IF(FALSE,"・","")&amp;"5年見直し","")&amp;IF(AND(A85=入力!$B$11,A85&gt;1),IF(OR(FALSE,AND(入力!$B$13="有効",A85&gt;1,MOD(A85-1,60)=0)),"・","")&amp;"金利変更","")&amp;IF(AND(OR(AND(入力!$B$13="有効",A85&gt;1,MOD(A85-1,60)=0),AND(A85=入力!$B$11,A85&gt;1)),入力!$B$14="有効",IF(E85=0,ROUND(C85/MAX(1,S84-A85+1),0),ROUND(-PMT(E85/12,MAX(1,S84-A85+1),C85),0))&gt;ROUND(G84*1.25,0),NOT(FALSE)),"・上限適用",""))</f>
        <v/>
      </c>
      <c r="Q85" s="35" t="str">
        <f>IF(AND(T84="",A85&lt;=S84),入力!$B$13,"")</f>
        <v>有効</v>
      </c>
      <c r="R85" s="32" t="str">
        <f>IF(AND(AND(T84="",A85&lt;=S84),OR(AND(入力!$B$13="有効",A85&gt;1,MOD(A85-1,60)=0),AND(A85=入力!$B$11,A85&gt;1)),入力!$B$14="有効"),ROUND(G84*1.25,0),"")</f>
        <v/>
      </c>
      <c r="S85" s="36">
        <f t="shared" si="32"/>
        <v>420</v>
      </c>
      <c r="T85" s="35" t="str">
        <f t="shared" si="33"/>
        <v/>
      </c>
      <c r="U85" s="3">
        <f t="shared" si="17"/>
        <v>0</v>
      </c>
      <c r="V85" s="3">
        <f t="shared" si="18"/>
        <v>0</v>
      </c>
      <c r="W85" s="3">
        <f t="shared" si="19"/>
        <v>0</v>
      </c>
      <c r="X85" s="3">
        <f t="shared" si="20"/>
        <v>0</v>
      </c>
      <c r="Y85" s="3">
        <f>0</f>
        <v>0</v>
      </c>
      <c r="Z85" s="3">
        <f t="shared" si="21"/>
        <v>0</v>
      </c>
      <c r="AA85">
        <f>ROUND(IF(FALSE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,0)</f>
        <v>117478</v>
      </c>
    </row>
    <row r="86" spans="1:27">
      <c r="A86" s="30">
        <f>81</f>
        <v>81</v>
      </c>
      <c r="B86" s="31">
        <f>EDATE(入力!$B$6,A86-1)</f>
        <v>48670</v>
      </c>
      <c r="C86" s="32">
        <f t="shared" si="22"/>
        <v>29409308</v>
      </c>
      <c r="D86" s="32">
        <f t="shared" si="23"/>
        <v>0</v>
      </c>
      <c r="E86" s="33">
        <f>IF(AND(T85="",A86&lt;=S85),IF(A86&lt;入力!$B$11,入力!$B$10,入力!$B$12),0)</f>
        <v>2.5000000000000001E-2</v>
      </c>
      <c r="F86" s="32">
        <f t="shared" si="24"/>
        <v>61269</v>
      </c>
      <c r="G86" s="32">
        <f>ROUND(IF(NOT(AND(T85="",A86&lt;=S85)),0,IF(FALSE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),0)</f>
        <v>117478</v>
      </c>
      <c r="H86" s="32">
        <f t="shared" si="25"/>
        <v>117478</v>
      </c>
      <c r="I86" s="32">
        <f t="shared" si="26"/>
        <v>61269</v>
      </c>
      <c r="J86" s="32">
        <f t="shared" si="27"/>
        <v>0</v>
      </c>
      <c r="K86" s="32">
        <f t="shared" si="28"/>
        <v>0</v>
      </c>
      <c r="L86" s="32">
        <f t="shared" si="29"/>
        <v>56209</v>
      </c>
      <c r="M86" s="32">
        <f>0</f>
        <v>0</v>
      </c>
      <c r="N86" s="32">
        <f t="shared" si="30"/>
        <v>29353099</v>
      </c>
      <c r="O86" s="32">
        <f t="shared" si="31"/>
        <v>2459057</v>
      </c>
      <c r="P86" s="34" t="str">
        <f>IF(NOT(AND(T85="",A86&lt;=S85)),"",IF(FALSE,"繰上返済後再計算","")&amp;IF(AND(入力!$B$13="有効",A86&gt;1,MOD(A86-1,60)=0),IF(FALSE,"・","")&amp;"5年見直し","")&amp;IF(AND(A86=入力!$B$11,A86&gt;1),IF(OR(FALSE,AND(入力!$B$13="有効",A86&gt;1,MOD(A86-1,60)=0)),"・","")&amp;"金利変更","")&amp;IF(AND(OR(AND(入力!$B$13="有効",A86&gt;1,MOD(A86-1,60)=0),AND(A86=入力!$B$11,A86&gt;1)),入力!$B$14="有効",IF(E86=0,ROUND(C86/MAX(1,S85-A86+1),0),ROUND(-PMT(E86/12,MAX(1,S85-A86+1),C86),0))&gt;ROUND(G85*1.25,0),NOT(FALSE)),"・上限適用",""))</f>
        <v/>
      </c>
      <c r="Q86" s="35" t="str">
        <f>IF(AND(T85="",A86&lt;=S85),入力!$B$13,"")</f>
        <v>有効</v>
      </c>
      <c r="R86" s="32" t="str">
        <f>IF(AND(AND(T85="",A86&lt;=S85),OR(AND(入力!$B$13="有効",A86&gt;1,MOD(A86-1,60)=0),AND(A86=入力!$B$11,A86&gt;1)),入力!$B$14="有効"),ROUND(G85*1.25,0),"")</f>
        <v/>
      </c>
      <c r="S86" s="36">
        <f t="shared" si="32"/>
        <v>420</v>
      </c>
      <c r="T86" s="35" t="str">
        <f t="shared" si="33"/>
        <v/>
      </c>
      <c r="U86" s="3">
        <f t="shared" si="17"/>
        <v>0</v>
      </c>
      <c r="V86" s="3">
        <f t="shared" si="18"/>
        <v>0</v>
      </c>
      <c r="W86" s="3">
        <f t="shared" si="19"/>
        <v>0</v>
      </c>
      <c r="X86" s="3">
        <f t="shared" si="20"/>
        <v>0</v>
      </c>
      <c r="Y86" s="3">
        <f>0</f>
        <v>0</v>
      </c>
      <c r="Z86" s="3">
        <f t="shared" si="21"/>
        <v>0</v>
      </c>
      <c r="AA86">
        <f>ROUND(IF(FALSE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,0)</f>
        <v>117478</v>
      </c>
    </row>
    <row r="87" spans="1:27">
      <c r="A87" s="30">
        <f>82</f>
        <v>82</v>
      </c>
      <c r="B87" s="31">
        <f>EDATE(入力!$B$6,A87-1)</f>
        <v>48700</v>
      </c>
      <c r="C87" s="32">
        <f t="shared" si="22"/>
        <v>29353099</v>
      </c>
      <c r="D87" s="32">
        <f t="shared" si="23"/>
        <v>0</v>
      </c>
      <c r="E87" s="33">
        <f>IF(AND(T86="",A87&lt;=S86),IF(A87&lt;入力!$B$11,入力!$B$10,入力!$B$12),0)</f>
        <v>2.5000000000000001E-2</v>
      </c>
      <c r="F87" s="32">
        <f t="shared" si="24"/>
        <v>61152</v>
      </c>
      <c r="G87" s="32">
        <f>ROUND(IF(NOT(AND(T86="",A87&lt;=S86)),0,IF(FALSE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),0)</f>
        <v>117478</v>
      </c>
      <c r="H87" s="32">
        <f t="shared" si="25"/>
        <v>117478</v>
      </c>
      <c r="I87" s="32">
        <f t="shared" si="26"/>
        <v>61152</v>
      </c>
      <c r="J87" s="32">
        <f t="shared" si="27"/>
        <v>0</v>
      </c>
      <c r="K87" s="32">
        <f t="shared" si="28"/>
        <v>0</v>
      </c>
      <c r="L87" s="32">
        <f t="shared" si="29"/>
        <v>56326</v>
      </c>
      <c r="M87" s="32">
        <f>0</f>
        <v>0</v>
      </c>
      <c r="N87" s="32">
        <f t="shared" si="30"/>
        <v>29296773</v>
      </c>
      <c r="O87" s="32">
        <f t="shared" si="31"/>
        <v>2520209</v>
      </c>
      <c r="P87" s="34" t="str">
        <f>IF(NOT(AND(T86="",A87&lt;=S86)),"",IF(FALSE,"繰上返済後再計算","")&amp;IF(AND(入力!$B$13="有効",A87&gt;1,MOD(A87-1,60)=0),IF(FALSE,"・","")&amp;"5年見直し","")&amp;IF(AND(A87=入力!$B$11,A87&gt;1),IF(OR(FALSE,AND(入力!$B$13="有効",A87&gt;1,MOD(A87-1,60)=0)),"・","")&amp;"金利変更","")&amp;IF(AND(OR(AND(入力!$B$13="有効",A87&gt;1,MOD(A87-1,60)=0),AND(A87=入力!$B$11,A87&gt;1)),入力!$B$14="有効",IF(E87=0,ROUND(C87/MAX(1,S86-A87+1),0),ROUND(-PMT(E87/12,MAX(1,S86-A87+1),C87),0))&gt;ROUND(G86*1.25,0),NOT(FALSE)),"・上限適用",""))</f>
        <v/>
      </c>
      <c r="Q87" s="35" t="str">
        <f>IF(AND(T86="",A87&lt;=S86),入力!$B$13,"")</f>
        <v>有効</v>
      </c>
      <c r="R87" s="32" t="str">
        <f>IF(AND(AND(T86="",A87&lt;=S86),OR(AND(入力!$B$13="有効",A87&gt;1,MOD(A87-1,60)=0),AND(A87=入力!$B$11,A87&gt;1)),入力!$B$14="有効"),ROUND(G86*1.25,0),"")</f>
        <v/>
      </c>
      <c r="S87" s="36">
        <f t="shared" si="32"/>
        <v>420</v>
      </c>
      <c r="T87" s="35" t="str">
        <f t="shared" si="33"/>
        <v/>
      </c>
      <c r="U87" s="3">
        <f t="shared" si="17"/>
        <v>0</v>
      </c>
      <c r="V87" s="3">
        <f t="shared" si="18"/>
        <v>0</v>
      </c>
      <c r="W87" s="3">
        <f t="shared" si="19"/>
        <v>0</v>
      </c>
      <c r="X87" s="3">
        <f t="shared" si="20"/>
        <v>0</v>
      </c>
      <c r="Y87" s="3">
        <f>0</f>
        <v>0</v>
      </c>
      <c r="Z87" s="3">
        <f t="shared" si="21"/>
        <v>0</v>
      </c>
      <c r="AA87">
        <f>ROUND(IF(FALSE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,0)</f>
        <v>117478</v>
      </c>
    </row>
    <row r="88" spans="1:27">
      <c r="A88" s="30">
        <f>83</f>
        <v>83</v>
      </c>
      <c r="B88" s="31">
        <f>EDATE(入力!$B$6,A88-1)</f>
        <v>48731</v>
      </c>
      <c r="C88" s="32">
        <f t="shared" si="22"/>
        <v>29296773</v>
      </c>
      <c r="D88" s="32">
        <f t="shared" si="23"/>
        <v>0</v>
      </c>
      <c r="E88" s="33">
        <f>IF(AND(T87="",A88&lt;=S87),IF(A88&lt;入力!$B$11,入力!$B$10,入力!$B$12),0)</f>
        <v>2.5000000000000001E-2</v>
      </c>
      <c r="F88" s="32">
        <f t="shared" si="24"/>
        <v>61035</v>
      </c>
      <c r="G88" s="32">
        <f>ROUND(IF(NOT(AND(T87="",A88&lt;=S87)),0,IF(FALSE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),0)</f>
        <v>117478</v>
      </c>
      <c r="H88" s="32">
        <f t="shared" si="25"/>
        <v>117478</v>
      </c>
      <c r="I88" s="32">
        <f t="shared" si="26"/>
        <v>61035</v>
      </c>
      <c r="J88" s="32">
        <f t="shared" si="27"/>
        <v>0</v>
      </c>
      <c r="K88" s="32">
        <f t="shared" si="28"/>
        <v>0</v>
      </c>
      <c r="L88" s="32">
        <f t="shared" si="29"/>
        <v>56443</v>
      </c>
      <c r="M88" s="32">
        <f>0</f>
        <v>0</v>
      </c>
      <c r="N88" s="32">
        <f t="shared" si="30"/>
        <v>29240330</v>
      </c>
      <c r="O88" s="32">
        <f t="shared" si="31"/>
        <v>2581244</v>
      </c>
      <c r="P88" s="34" t="str">
        <f>IF(NOT(AND(T87="",A88&lt;=S87)),"",IF(FALSE,"繰上返済後再計算","")&amp;IF(AND(入力!$B$13="有効",A88&gt;1,MOD(A88-1,60)=0),IF(FALSE,"・","")&amp;"5年見直し","")&amp;IF(AND(A88=入力!$B$11,A88&gt;1),IF(OR(FALSE,AND(入力!$B$13="有効",A88&gt;1,MOD(A88-1,60)=0)),"・","")&amp;"金利変更","")&amp;IF(AND(OR(AND(入力!$B$13="有効",A88&gt;1,MOD(A88-1,60)=0),AND(A88=入力!$B$11,A88&gt;1)),入力!$B$14="有効",IF(E88=0,ROUND(C88/MAX(1,S87-A88+1),0),ROUND(-PMT(E88/12,MAX(1,S87-A88+1),C88),0))&gt;ROUND(G87*1.25,0),NOT(FALSE)),"・上限適用",""))</f>
        <v/>
      </c>
      <c r="Q88" s="35" t="str">
        <f>IF(AND(T87="",A88&lt;=S87),入力!$B$13,"")</f>
        <v>有効</v>
      </c>
      <c r="R88" s="32" t="str">
        <f>IF(AND(AND(T87="",A88&lt;=S87),OR(AND(入力!$B$13="有効",A88&gt;1,MOD(A88-1,60)=0),AND(A88=入力!$B$11,A88&gt;1)),入力!$B$14="有効"),ROUND(G87*1.25,0),"")</f>
        <v/>
      </c>
      <c r="S88" s="36">
        <f t="shared" si="32"/>
        <v>420</v>
      </c>
      <c r="T88" s="35" t="str">
        <f t="shared" si="33"/>
        <v/>
      </c>
      <c r="U88" s="3">
        <f t="shared" si="17"/>
        <v>0</v>
      </c>
      <c r="V88" s="3">
        <f t="shared" si="18"/>
        <v>0</v>
      </c>
      <c r="W88" s="3">
        <f t="shared" si="19"/>
        <v>0</v>
      </c>
      <c r="X88" s="3">
        <f t="shared" si="20"/>
        <v>0</v>
      </c>
      <c r="Y88" s="3">
        <f>0</f>
        <v>0</v>
      </c>
      <c r="Z88" s="3">
        <f t="shared" si="21"/>
        <v>0</v>
      </c>
      <c r="AA88">
        <f>ROUND(IF(FALSE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,0)</f>
        <v>117478</v>
      </c>
    </row>
    <row r="89" spans="1:27">
      <c r="A89" s="30">
        <f>84</f>
        <v>84</v>
      </c>
      <c r="B89" s="31">
        <f>EDATE(入力!$B$6,A89-1)</f>
        <v>48761</v>
      </c>
      <c r="C89" s="32">
        <f t="shared" si="22"/>
        <v>29240330</v>
      </c>
      <c r="D89" s="32">
        <f t="shared" si="23"/>
        <v>0</v>
      </c>
      <c r="E89" s="33">
        <f>IF(AND(T88="",A89&lt;=S88),IF(A89&lt;入力!$B$11,入力!$B$10,入力!$B$12),0)</f>
        <v>2.5000000000000001E-2</v>
      </c>
      <c r="F89" s="32">
        <f t="shared" si="24"/>
        <v>60917</v>
      </c>
      <c r="G89" s="32">
        <f>ROUND(IF(NOT(AND(T88="",A89&lt;=S88)),0,IF(FALSE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),0)</f>
        <v>117478</v>
      </c>
      <c r="H89" s="32">
        <f t="shared" si="25"/>
        <v>117478</v>
      </c>
      <c r="I89" s="32">
        <f t="shared" si="26"/>
        <v>60917</v>
      </c>
      <c r="J89" s="32">
        <f t="shared" si="27"/>
        <v>0</v>
      </c>
      <c r="K89" s="32">
        <f t="shared" si="28"/>
        <v>0</v>
      </c>
      <c r="L89" s="32">
        <f t="shared" si="29"/>
        <v>56561</v>
      </c>
      <c r="M89" s="32">
        <f>0</f>
        <v>0</v>
      </c>
      <c r="N89" s="32">
        <f t="shared" si="30"/>
        <v>29183769</v>
      </c>
      <c r="O89" s="32">
        <f t="shared" si="31"/>
        <v>2642161</v>
      </c>
      <c r="P89" s="34" t="str">
        <f>IF(NOT(AND(T88="",A89&lt;=S88)),"",IF(FALSE,"繰上返済後再計算","")&amp;IF(AND(入力!$B$13="有効",A89&gt;1,MOD(A89-1,60)=0),IF(FALSE,"・","")&amp;"5年見直し","")&amp;IF(AND(A89=入力!$B$11,A89&gt;1),IF(OR(FALSE,AND(入力!$B$13="有効",A89&gt;1,MOD(A89-1,60)=0)),"・","")&amp;"金利変更","")&amp;IF(AND(OR(AND(入力!$B$13="有効",A89&gt;1,MOD(A89-1,60)=0),AND(A89=入力!$B$11,A89&gt;1)),入力!$B$14="有効",IF(E89=0,ROUND(C89/MAX(1,S88-A89+1),0),ROUND(-PMT(E89/12,MAX(1,S88-A89+1),C89),0))&gt;ROUND(G88*1.25,0),NOT(FALSE)),"・上限適用",""))</f>
        <v/>
      </c>
      <c r="Q89" s="35" t="str">
        <f>IF(AND(T88="",A89&lt;=S88),入力!$B$13,"")</f>
        <v>有効</v>
      </c>
      <c r="R89" s="32" t="str">
        <f>IF(AND(AND(T88="",A89&lt;=S88),OR(AND(入力!$B$13="有効",A89&gt;1,MOD(A89-1,60)=0),AND(A89=入力!$B$11,A89&gt;1)),入力!$B$14="有効"),ROUND(G88*1.25,0),"")</f>
        <v/>
      </c>
      <c r="S89" s="36">
        <f t="shared" si="32"/>
        <v>420</v>
      </c>
      <c r="T89" s="35" t="str">
        <f t="shared" si="33"/>
        <v/>
      </c>
      <c r="U89" s="3">
        <f t="shared" si="17"/>
        <v>0</v>
      </c>
      <c r="V89" s="3">
        <f t="shared" si="18"/>
        <v>0</v>
      </c>
      <c r="W89" s="3">
        <f t="shared" si="19"/>
        <v>0</v>
      </c>
      <c r="X89" s="3">
        <f t="shared" si="20"/>
        <v>0</v>
      </c>
      <c r="Y89" s="3">
        <f>0</f>
        <v>0</v>
      </c>
      <c r="Z89" s="3">
        <f t="shared" si="21"/>
        <v>0</v>
      </c>
      <c r="AA89">
        <f>ROUND(IF(FALSE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,0)</f>
        <v>117478</v>
      </c>
    </row>
    <row r="90" spans="1:27">
      <c r="A90" s="30">
        <f>85</f>
        <v>85</v>
      </c>
      <c r="B90" s="31">
        <f>EDATE(入力!$B$6,A90-1)</f>
        <v>48792</v>
      </c>
      <c r="C90" s="32">
        <f t="shared" si="22"/>
        <v>29183769</v>
      </c>
      <c r="D90" s="32">
        <f t="shared" si="23"/>
        <v>0</v>
      </c>
      <c r="E90" s="33">
        <f>IF(AND(T89="",A90&lt;=S89),IF(A90&lt;入力!$B$11,入力!$B$10,入力!$B$12),0)</f>
        <v>2.5000000000000001E-2</v>
      </c>
      <c r="F90" s="32">
        <f t="shared" si="24"/>
        <v>60800</v>
      </c>
      <c r="G90" s="32">
        <f>ROUND(IF(NOT(AND(T89="",A90&lt;=S89)),0,IF(FALSE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),0)</f>
        <v>117478</v>
      </c>
      <c r="H90" s="32">
        <f t="shared" si="25"/>
        <v>117478</v>
      </c>
      <c r="I90" s="32">
        <f t="shared" si="26"/>
        <v>60800</v>
      </c>
      <c r="J90" s="32">
        <f t="shared" si="27"/>
        <v>0</v>
      </c>
      <c r="K90" s="32">
        <f t="shared" si="28"/>
        <v>0</v>
      </c>
      <c r="L90" s="32">
        <f t="shared" si="29"/>
        <v>56678</v>
      </c>
      <c r="M90" s="32">
        <f>0</f>
        <v>0</v>
      </c>
      <c r="N90" s="32">
        <f t="shared" si="30"/>
        <v>29127091</v>
      </c>
      <c r="O90" s="32">
        <f t="shared" si="31"/>
        <v>2702961</v>
      </c>
      <c r="P90" s="34" t="str">
        <f>IF(NOT(AND(T89="",A90&lt;=S89)),"",IF(FALSE,"繰上返済後再計算","")&amp;IF(AND(入力!$B$13="有効",A90&gt;1,MOD(A90-1,60)=0),IF(FALSE,"・","")&amp;"5年見直し","")&amp;IF(AND(A90=入力!$B$11,A90&gt;1),IF(OR(FALSE,AND(入力!$B$13="有効",A90&gt;1,MOD(A90-1,60)=0)),"・","")&amp;"金利変更","")&amp;IF(AND(OR(AND(入力!$B$13="有効",A90&gt;1,MOD(A90-1,60)=0),AND(A90=入力!$B$11,A90&gt;1)),入力!$B$14="有効",IF(E90=0,ROUND(C90/MAX(1,S89-A90+1),0),ROUND(-PMT(E90/12,MAX(1,S89-A90+1),C90),0))&gt;ROUND(G89*1.25,0),NOT(FALSE)),"・上限適用",""))</f>
        <v/>
      </c>
      <c r="Q90" s="35" t="str">
        <f>IF(AND(T89="",A90&lt;=S89),入力!$B$13,"")</f>
        <v>有効</v>
      </c>
      <c r="R90" s="32" t="str">
        <f>IF(AND(AND(T89="",A90&lt;=S89),OR(AND(入力!$B$13="有効",A90&gt;1,MOD(A90-1,60)=0),AND(A90=入力!$B$11,A90&gt;1)),入力!$B$14="有効"),ROUND(G89*1.25,0),"")</f>
        <v/>
      </c>
      <c r="S90" s="36">
        <f t="shared" si="32"/>
        <v>420</v>
      </c>
      <c r="T90" s="35" t="str">
        <f t="shared" si="33"/>
        <v/>
      </c>
      <c r="U90" s="3">
        <f t="shared" si="17"/>
        <v>0</v>
      </c>
      <c r="V90" s="3">
        <f t="shared" si="18"/>
        <v>0</v>
      </c>
      <c r="W90" s="3">
        <f t="shared" si="19"/>
        <v>0</v>
      </c>
      <c r="X90" s="3">
        <f t="shared" si="20"/>
        <v>0</v>
      </c>
      <c r="Y90" s="3">
        <f>0</f>
        <v>0</v>
      </c>
      <c r="Z90" s="3">
        <f t="shared" si="21"/>
        <v>0</v>
      </c>
      <c r="AA90">
        <f>ROUND(IF(FALSE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,0)</f>
        <v>117478</v>
      </c>
    </row>
    <row r="91" spans="1:27">
      <c r="A91" s="30">
        <f>86</f>
        <v>86</v>
      </c>
      <c r="B91" s="31">
        <f>EDATE(入力!$B$6,A91-1)</f>
        <v>48823</v>
      </c>
      <c r="C91" s="32">
        <f t="shared" si="22"/>
        <v>29127091</v>
      </c>
      <c r="D91" s="32">
        <f t="shared" si="23"/>
        <v>0</v>
      </c>
      <c r="E91" s="33">
        <f>IF(AND(T90="",A91&lt;=S90),IF(A91&lt;入力!$B$11,入力!$B$10,入力!$B$12),0)</f>
        <v>2.5000000000000001E-2</v>
      </c>
      <c r="F91" s="32">
        <f t="shared" si="24"/>
        <v>60681</v>
      </c>
      <c r="G91" s="32">
        <f>ROUND(IF(NOT(AND(T90="",A91&lt;=S90)),0,IF(FALSE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),0)</f>
        <v>117478</v>
      </c>
      <c r="H91" s="32">
        <f t="shared" si="25"/>
        <v>117478</v>
      </c>
      <c r="I91" s="32">
        <f t="shared" si="26"/>
        <v>60681</v>
      </c>
      <c r="J91" s="32">
        <f t="shared" si="27"/>
        <v>0</v>
      </c>
      <c r="K91" s="32">
        <f t="shared" si="28"/>
        <v>0</v>
      </c>
      <c r="L91" s="32">
        <f t="shared" si="29"/>
        <v>56797</v>
      </c>
      <c r="M91" s="32">
        <f>0</f>
        <v>0</v>
      </c>
      <c r="N91" s="32">
        <f t="shared" si="30"/>
        <v>29070294</v>
      </c>
      <c r="O91" s="32">
        <f t="shared" si="31"/>
        <v>2763642</v>
      </c>
      <c r="P91" s="34" t="str">
        <f>IF(NOT(AND(T90="",A91&lt;=S90)),"",IF(FALSE,"繰上返済後再計算","")&amp;IF(AND(入力!$B$13="有効",A91&gt;1,MOD(A91-1,60)=0),IF(FALSE,"・","")&amp;"5年見直し","")&amp;IF(AND(A91=入力!$B$11,A91&gt;1),IF(OR(FALSE,AND(入力!$B$13="有効",A91&gt;1,MOD(A91-1,60)=0)),"・","")&amp;"金利変更","")&amp;IF(AND(OR(AND(入力!$B$13="有効",A91&gt;1,MOD(A91-1,60)=0),AND(A91=入力!$B$11,A91&gt;1)),入力!$B$14="有効",IF(E91=0,ROUND(C91/MAX(1,S90-A91+1),0),ROUND(-PMT(E91/12,MAX(1,S90-A91+1),C91),0))&gt;ROUND(G90*1.25,0),NOT(FALSE)),"・上限適用",""))</f>
        <v/>
      </c>
      <c r="Q91" s="35" t="str">
        <f>IF(AND(T90="",A91&lt;=S90),入力!$B$13,"")</f>
        <v>有効</v>
      </c>
      <c r="R91" s="32" t="str">
        <f>IF(AND(AND(T90="",A91&lt;=S90),OR(AND(入力!$B$13="有効",A91&gt;1,MOD(A91-1,60)=0),AND(A91=入力!$B$11,A91&gt;1)),入力!$B$14="有効"),ROUND(G90*1.25,0),"")</f>
        <v/>
      </c>
      <c r="S91" s="36">
        <f t="shared" si="32"/>
        <v>420</v>
      </c>
      <c r="T91" s="35" t="str">
        <f t="shared" si="33"/>
        <v/>
      </c>
      <c r="U91" s="3">
        <f t="shared" si="17"/>
        <v>0</v>
      </c>
      <c r="V91" s="3">
        <f t="shared" si="18"/>
        <v>0</v>
      </c>
      <c r="W91" s="3">
        <f t="shared" si="19"/>
        <v>0</v>
      </c>
      <c r="X91" s="3">
        <f t="shared" si="20"/>
        <v>0</v>
      </c>
      <c r="Y91" s="3">
        <f>0</f>
        <v>0</v>
      </c>
      <c r="Z91" s="3">
        <f t="shared" si="21"/>
        <v>0</v>
      </c>
      <c r="AA91">
        <f>ROUND(IF(FALSE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,0)</f>
        <v>117478</v>
      </c>
    </row>
    <row r="92" spans="1:27">
      <c r="A92" s="30">
        <f>87</f>
        <v>87</v>
      </c>
      <c r="B92" s="31">
        <f>EDATE(入力!$B$6,A92-1)</f>
        <v>48853</v>
      </c>
      <c r="C92" s="32">
        <f t="shared" si="22"/>
        <v>29070294</v>
      </c>
      <c r="D92" s="32">
        <f t="shared" si="23"/>
        <v>0</v>
      </c>
      <c r="E92" s="33">
        <f>IF(AND(T91="",A92&lt;=S91),IF(A92&lt;入力!$B$11,入力!$B$10,入力!$B$12),0)</f>
        <v>2.5000000000000001E-2</v>
      </c>
      <c r="F92" s="32">
        <f t="shared" si="24"/>
        <v>60563</v>
      </c>
      <c r="G92" s="32">
        <f>ROUND(IF(NOT(AND(T91="",A92&lt;=S91)),0,IF(FALSE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),0)</f>
        <v>117478</v>
      </c>
      <c r="H92" s="32">
        <f t="shared" si="25"/>
        <v>117478</v>
      </c>
      <c r="I92" s="32">
        <f t="shared" si="26"/>
        <v>60563</v>
      </c>
      <c r="J92" s="32">
        <f t="shared" si="27"/>
        <v>0</v>
      </c>
      <c r="K92" s="32">
        <f t="shared" si="28"/>
        <v>0</v>
      </c>
      <c r="L92" s="32">
        <f t="shared" si="29"/>
        <v>56915</v>
      </c>
      <c r="M92" s="32">
        <f>0</f>
        <v>0</v>
      </c>
      <c r="N92" s="32">
        <f t="shared" si="30"/>
        <v>29013379</v>
      </c>
      <c r="O92" s="32">
        <f t="shared" si="31"/>
        <v>2824205</v>
      </c>
      <c r="P92" s="34" t="str">
        <f>IF(NOT(AND(T91="",A92&lt;=S91)),"",IF(FALSE,"繰上返済後再計算","")&amp;IF(AND(入力!$B$13="有効",A92&gt;1,MOD(A92-1,60)=0),IF(FALSE,"・","")&amp;"5年見直し","")&amp;IF(AND(A92=入力!$B$11,A92&gt;1),IF(OR(FALSE,AND(入力!$B$13="有効",A92&gt;1,MOD(A92-1,60)=0)),"・","")&amp;"金利変更","")&amp;IF(AND(OR(AND(入力!$B$13="有効",A92&gt;1,MOD(A92-1,60)=0),AND(A92=入力!$B$11,A92&gt;1)),入力!$B$14="有効",IF(E92=0,ROUND(C92/MAX(1,S91-A92+1),0),ROUND(-PMT(E92/12,MAX(1,S91-A92+1),C92),0))&gt;ROUND(G91*1.25,0),NOT(FALSE)),"・上限適用",""))</f>
        <v/>
      </c>
      <c r="Q92" s="35" t="str">
        <f>IF(AND(T91="",A92&lt;=S91),入力!$B$13,"")</f>
        <v>有効</v>
      </c>
      <c r="R92" s="32" t="str">
        <f>IF(AND(AND(T91="",A92&lt;=S91),OR(AND(入力!$B$13="有効",A92&gt;1,MOD(A92-1,60)=0),AND(A92=入力!$B$11,A92&gt;1)),入力!$B$14="有効"),ROUND(G91*1.25,0),"")</f>
        <v/>
      </c>
      <c r="S92" s="36">
        <f t="shared" si="32"/>
        <v>420</v>
      </c>
      <c r="T92" s="35" t="str">
        <f t="shared" si="33"/>
        <v/>
      </c>
      <c r="U92" s="3">
        <f t="shared" si="17"/>
        <v>0</v>
      </c>
      <c r="V92" s="3">
        <f t="shared" si="18"/>
        <v>0</v>
      </c>
      <c r="W92" s="3">
        <f t="shared" si="19"/>
        <v>0</v>
      </c>
      <c r="X92" s="3">
        <f t="shared" si="20"/>
        <v>0</v>
      </c>
      <c r="Y92" s="3">
        <f>0</f>
        <v>0</v>
      </c>
      <c r="Z92" s="3">
        <f t="shared" si="21"/>
        <v>0</v>
      </c>
      <c r="AA92">
        <f>ROUND(IF(FALSE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,0)</f>
        <v>117478</v>
      </c>
    </row>
    <row r="93" spans="1:27">
      <c r="A93" s="30">
        <f>88</f>
        <v>88</v>
      </c>
      <c r="B93" s="31">
        <f>EDATE(入力!$B$6,A93-1)</f>
        <v>48884</v>
      </c>
      <c r="C93" s="32">
        <f t="shared" si="22"/>
        <v>29013379</v>
      </c>
      <c r="D93" s="32">
        <f t="shared" si="23"/>
        <v>0</v>
      </c>
      <c r="E93" s="33">
        <f>IF(AND(T92="",A93&lt;=S92),IF(A93&lt;入力!$B$11,入力!$B$10,入力!$B$12),0)</f>
        <v>2.5000000000000001E-2</v>
      </c>
      <c r="F93" s="32">
        <f t="shared" si="24"/>
        <v>60445</v>
      </c>
      <c r="G93" s="32">
        <f>ROUND(IF(NOT(AND(T92="",A93&lt;=S92)),0,IF(FALSE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),0)</f>
        <v>117478</v>
      </c>
      <c r="H93" s="32">
        <f t="shared" si="25"/>
        <v>117478</v>
      </c>
      <c r="I93" s="32">
        <f t="shared" si="26"/>
        <v>60445</v>
      </c>
      <c r="J93" s="32">
        <f t="shared" si="27"/>
        <v>0</v>
      </c>
      <c r="K93" s="32">
        <f t="shared" si="28"/>
        <v>0</v>
      </c>
      <c r="L93" s="32">
        <f t="shared" si="29"/>
        <v>57033</v>
      </c>
      <c r="M93" s="32">
        <f>0</f>
        <v>0</v>
      </c>
      <c r="N93" s="32">
        <f t="shared" si="30"/>
        <v>28956346</v>
      </c>
      <c r="O93" s="32">
        <f t="shared" si="31"/>
        <v>2884650</v>
      </c>
      <c r="P93" s="34" t="str">
        <f>IF(NOT(AND(T92="",A93&lt;=S92)),"",IF(FALSE,"繰上返済後再計算","")&amp;IF(AND(入力!$B$13="有効",A93&gt;1,MOD(A93-1,60)=0),IF(FALSE,"・","")&amp;"5年見直し","")&amp;IF(AND(A93=入力!$B$11,A93&gt;1),IF(OR(FALSE,AND(入力!$B$13="有効",A93&gt;1,MOD(A93-1,60)=0)),"・","")&amp;"金利変更","")&amp;IF(AND(OR(AND(入力!$B$13="有効",A93&gt;1,MOD(A93-1,60)=0),AND(A93=入力!$B$11,A93&gt;1)),入力!$B$14="有効",IF(E93=0,ROUND(C93/MAX(1,S92-A93+1),0),ROUND(-PMT(E93/12,MAX(1,S92-A93+1),C93),0))&gt;ROUND(G92*1.25,0),NOT(FALSE)),"・上限適用",""))</f>
        <v/>
      </c>
      <c r="Q93" s="35" t="str">
        <f>IF(AND(T92="",A93&lt;=S92),入力!$B$13,"")</f>
        <v>有効</v>
      </c>
      <c r="R93" s="32" t="str">
        <f>IF(AND(AND(T92="",A93&lt;=S92),OR(AND(入力!$B$13="有効",A93&gt;1,MOD(A93-1,60)=0),AND(A93=入力!$B$11,A93&gt;1)),入力!$B$14="有効"),ROUND(G92*1.25,0),"")</f>
        <v/>
      </c>
      <c r="S93" s="36">
        <f t="shared" si="32"/>
        <v>420</v>
      </c>
      <c r="T93" s="35" t="str">
        <f t="shared" si="33"/>
        <v/>
      </c>
      <c r="U93" s="3">
        <f t="shared" si="17"/>
        <v>0</v>
      </c>
      <c r="V93" s="3">
        <f t="shared" si="18"/>
        <v>0</v>
      </c>
      <c r="W93" s="3">
        <f t="shared" si="19"/>
        <v>0</v>
      </c>
      <c r="X93" s="3">
        <f t="shared" si="20"/>
        <v>0</v>
      </c>
      <c r="Y93" s="3">
        <f>0</f>
        <v>0</v>
      </c>
      <c r="Z93" s="3">
        <f t="shared" si="21"/>
        <v>0</v>
      </c>
      <c r="AA93">
        <f>ROUND(IF(FALSE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,0)</f>
        <v>117478</v>
      </c>
    </row>
    <row r="94" spans="1:27">
      <c r="A94" s="30">
        <f>89</f>
        <v>89</v>
      </c>
      <c r="B94" s="31">
        <f>EDATE(入力!$B$6,A94-1)</f>
        <v>48914</v>
      </c>
      <c r="C94" s="32">
        <f t="shared" si="22"/>
        <v>28956346</v>
      </c>
      <c r="D94" s="32">
        <f t="shared" si="23"/>
        <v>0</v>
      </c>
      <c r="E94" s="33">
        <f>IF(AND(T93="",A94&lt;=S93),IF(A94&lt;入力!$B$11,入力!$B$10,入力!$B$12),0)</f>
        <v>2.5000000000000001E-2</v>
      </c>
      <c r="F94" s="32">
        <f t="shared" si="24"/>
        <v>60326</v>
      </c>
      <c r="G94" s="32">
        <f>ROUND(IF(NOT(AND(T93="",A94&lt;=S93)),0,IF(FALSE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),0)</f>
        <v>117478</v>
      </c>
      <c r="H94" s="32">
        <f t="shared" si="25"/>
        <v>117478</v>
      </c>
      <c r="I94" s="32">
        <f t="shared" si="26"/>
        <v>60326</v>
      </c>
      <c r="J94" s="32">
        <f t="shared" si="27"/>
        <v>0</v>
      </c>
      <c r="K94" s="32">
        <f t="shared" si="28"/>
        <v>0</v>
      </c>
      <c r="L94" s="32">
        <f t="shared" si="29"/>
        <v>57152</v>
      </c>
      <c r="M94" s="32">
        <f>0</f>
        <v>0</v>
      </c>
      <c r="N94" s="32">
        <f t="shared" si="30"/>
        <v>28899194</v>
      </c>
      <c r="O94" s="32">
        <f t="shared" si="31"/>
        <v>2944976</v>
      </c>
      <c r="P94" s="34" t="str">
        <f>IF(NOT(AND(T93="",A94&lt;=S93)),"",IF(FALSE,"繰上返済後再計算","")&amp;IF(AND(入力!$B$13="有効",A94&gt;1,MOD(A94-1,60)=0),IF(FALSE,"・","")&amp;"5年見直し","")&amp;IF(AND(A94=入力!$B$11,A94&gt;1),IF(OR(FALSE,AND(入力!$B$13="有効",A94&gt;1,MOD(A94-1,60)=0)),"・","")&amp;"金利変更","")&amp;IF(AND(OR(AND(入力!$B$13="有効",A94&gt;1,MOD(A94-1,60)=0),AND(A94=入力!$B$11,A94&gt;1)),入力!$B$14="有効",IF(E94=0,ROUND(C94/MAX(1,S93-A94+1),0),ROUND(-PMT(E94/12,MAX(1,S93-A94+1),C94),0))&gt;ROUND(G93*1.25,0),NOT(FALSE)),"・上限適用",""))</f>
        <v/>
      </c>
      <c r="Q94" s="35" t="str">
        <f>IF(AND(T93="",A94&lt;=S93),入力!$B$13,"")</f>
        <v>有効</v>
      </c>
      <c r="R94" s="32" t="str">
        <f>IF(AND(AND(T93="",A94&lt;=S93),OR(AND(入力!$B$13="有効",A94&gt;1,MOD(A94-1,60)=0),AND(A94=入力!$B$11,A94&gt;1)),入力!$B$14="有効"),ROUND(G93*1.25,0),"")</f>
        <v/>
      </c>
      <c r="S94" s="36">
        <f t="shared" si="32"/>
        <v>420</v>
      </c>
      <c r="T94" s="35" t="str">
        <f t="shared" si="33"/>
        <v/>
      </c>
      <c r="U94" s="3">
        <f t="shared" si="17"/>
        <v>0</v>
      </c>
      <c r="V94" s="3">
        <f t="shared" si="18"/>
        <v>0</v>
      </c>
      <c r="W94" s="3">
        <f t="shared" si="19"/>
        <v>0</v>
      </c>
      <c r="X94" s="3">
        <f t="shared" si="20"/>
        <v>0</v>
      </c>
      <c r="Y94" s="3">
        <f>0</f>
        <v>0</v>
      </c>
      <c r="Z94" s="3">
        <f t="shared" si="21"/>
        <v>0</v>
      </c>
      <c r="AA94">
        <f>ROUND(IF(FALSE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,0)</f>
        <v>117478</v>
      </c>
    </row>
    <row r="95" spans="1:27">
      <c r="A95" s="30">
        <f>90</f>
        <v>90</v>
      </c>
      <c r="B95" s="31">
        <f>EDATE(入力!$B$6,A95-1)</f>
        <v>48945</v>
      </c>
      <c r="C95" s="32">
        <f t="shared" si="22"/>
        <v>28899194</v>
      </c>
      <c r="D95" s="32">
        <f t="shared" si="23"/>
        <v>0</v>
      </c>
      <c r="E95" s="33">
        <f>IF(AND(T94="",A95&lt;=S94),IF(A95&lt;入力!$B$11,入力!$B$10,入力!$B$12),0)</f>
        <v>2.5000000000000001E-2</v>
      </c>
      <c r="F95" s="32">
        <f t="shared" si="24"/>
        <v>60207</v>
      </c>
      <c r="G95" s="32">
        <f>ROUND(IF(NOT(AND(T94="",A95&lt;=S94)),0,IF(FALSE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),0)</f>
        <v>117478</v>
      </c>
      <c r="H95" s="32">
        <f t="shared" si="25"/>
        <v>117478</v>
      </c>
      <c r="I95" s="32">
        <f t="shared" si="26"/>
        <v>60207</v>
      </c>
      <c r="J95" s="32">
        <f t="shared" si="27"/>
        <v>0</v>
      </c>
      <c r="K95" s="32">
        <f t="shared" si="28"/>
        <v>0</v>
      </c>
      <c r="L95" s="32">
        <f t="shared" si="29"/>
        <v>57271</v>
      </c>
      <c r="M95" s="32">
        <f>0</f>
        <v>0</v>
      </c>
      <c r="N95" s="32">
        <f t="shared" si="30"/>
        <v>28841923</v>
      </c>
      <c r="O95" s="32">
        <f t="shared" si="31"/>
        <v>3005183</v>
      </c>
      <c r="P95" s="34" t="str">
        <f>IF(NOT(AND(T94="",A95&lt;=S94)),"",IF(FALSE,"繰上返済後再計算","")&amp;IF(AND(入力!$B$13="有効",A95&gt;1,MOD(A95-1,60)=0),IF(FALSE,"・","")&amp;"5年見直し","")&amp;IF(AND(A95=入力!$B$11,A95&gt;1),IF(OR(FALSE,AND(入力!$B$13="有効",A95&gt;1,MOD(A95-1,60)=0)),"・","")&amp;"金利変更","")&amp;IF(AND(OR(AND(入力!$B$13="有効",A95&gt;1,MOD(A95-1,60)=0),AND(A95=入力!$B$11,A95&gt;1)),入力!$B$14="有効",IF(E95=0,ROUND(C95/MAX(1,S94-A95+1),0),ROUND(-PMT(E95/12,MAX(1,S94-A95+1),C95),0))&gt;ROUND(G94*1.25,0),NOT(FALSE)),"・上限適用",""))</f>
        <v/>
      </c>
      <c r="Q95" s="35" t="str">
        <f>IF(AND(T94="",A95&lt;=S94),入力!$B$13,"")</f>
        <v>有効</v>
      </c>
      <c r="R95" s="32" t="str">
        <f>IF(AND(AND(T94="",A95&lt;=S94),OR(AND(入力!$B$13="有効",A95&gt;1,MOD(A95-1,60)=0),AND(A95=入力!$B$11,A95&gt;1)),入力!$B$14="有効"),ROUND(G94*1.25,0),"")</f>
        <v/>
      </c>
      <c r="S95" s="36">
        <f t="shared" si="32"/>
        <v>420</v>
      </c>
      <c r="T95" s="35" t="str">
        <f t="shared" si="33"/>
        <v/>
      </c>
      <c r="U95" s="3">
        <f t="shared" si="17"/>
        <v>0</v>
      </c>
      <c r="V95" s="3">
        <f t="shared" si="18"/>
        <v>0</v>
      </c>
      <c r="W95" s="3">
        <f t="shared" si="19"/>
        <v>0</v>
      </c>
      <c r="X95" s="3">
        <f t="shared" si="20"/>
        <v>0</v>
      </c>
      <c r="Y95" s="3">
        <f>0</f>
        <v>0</v>
      </c>
      <c r="Z95" s="3">
        <f t="shared" si="21"/>
        <v>0</v>
      </c>
      <c r="AA95">
        <f>ROUND(IF(FALSE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,0)</f>
        <v>117478</v>
      </c>
    </row>
    <row r="96" spans="1:27">
      <c r="A96" s="30">
        <f>91</f>
        <v>91</v>
      </c>
      <c r="B96" s="31">
        <f>EDATE(入力!$B$6,A96-1)</f>
        <v>48976</v>
      </c>
      <c r="C96" s="32">
        <f t="shared" si="22"/>
        <v>28841923</v>
      </c>
      <c r="D96" s="32">
        <f t="shared" si="23"/>
        <v>0</v>
      </c>
      <c r="E96" s="33">
        <f>IF(AND(T95="",A96&lt;=S95),IF(A96&lt;入力!$B$11,入力!$B$10,入力!$B$12),0)</f>
        <v>2.5000000000000001E-2</v>
      </c>
      <c r="F96" s="32">
        <f t="shared" si="24"/>
        <v>60087</v>
      </c>
      <c r="G96" s="32">
        <f>ROUND(IF(NOT(AND(T95="",A96&lt;=S95)),0,IF(FALSE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),0)</f>
        <v>117478</v>
      </c>
      <c r="H96" s="32">
        <f t="shared" si="25"/>
        <v>117478</v>
      </c>
      <c r="I96" s="32">
        <f t="shared" si="26"/>
        <v>60087</v>
      </c>
      <c r="J96" s="32">
        <f t="shared" si="27"/>
        <v>0</v>
      </c>
      <c r="K96" s="32">
        <f t="shared" si="28"/>
        <v>0</v>
      </c>
      <c r="L96" s="32">
        <f t="shared" si="29"/>
        <v>57391</v>
      </c>
      <c r="M96" s="32">
        <f>0</f>
        <v>0</v>
      </c>
      <c r="N96" s="32">
        <f t="shared" si="30"/>
        <v>28784532</v>
      </c>
      <c r="O96" s="32">
        <f t="shared" si="31"/>
        <v>3065270</v>
      </c>
      <c r="P96" s="34" t="str">
        <f>IF(NOT(AND(T95="",A96&lt;=S95)),"",IF(FALSE,"繰上返済後再計算","")&amp;IF(AND(入力!$B$13="有効",A96&gt;1,MOD(A96-1,60)=0),IF(FALSE,"・","")&amp;"5年見直し","")&amp;IF(AND(A96=入力!$B$11,A96&gt;1),IF(OR(FALSE,AND(入力!$B$13="有効",A96&gt;1,MOD(A96-1,60)=0)),"・","")&amp;"金利変更","")&amp;IF(AND(OR(AND(入力!$B$13="有効",A96&gt;1,MOD(A96-1,60)=0),AND(A96=入力!$B$11,A96&gt;1)),入力!$B$14="有効",IF(E96=0,ROUND(C96/MAX(1,S95-A96+1),0),ROUND(-PMT(E96/12,MAX(1,S95-A96+1),C96),0))&gt;ROUND(G95*1.25,0),NOT(FALSE)),"・上限適用",""))</f>
        <v/>
      </c>
      <c r="Q96" s="35" t="str">
        <f>IF(AND(T95="",A96&lt;=S95),入力!$B$13,"")</f>
        <v>有効</v>
      </c>
      <c r="R96" s="32" t="str">
        <f>IF(AND(AND(T95="",A96&lt;=S95),OR(AND(入力!$B$13="有効",A96&gt;1,MOD(A96-1,60)=0),AND(A96=入力!$B$11,A96&gt;1)),入力!$B$14="有効"),ROUND(G95*1.25,0),"")</f>
        <v/>
      </c>
      <c r="S96" s="36">
        <f t="shared" si="32"/>
        <v>420</v>
      </c>
      <c r="T96" s="35" t="str">
        <f t="shared" si="33"/>
        <v/>
      </c>
      <c r="U96" s="3">
        <f t="shared" si="17"/>
        <v>0</v>
      </c>
      <c r="V96" s="3">
        <f t="shared" si="18"/>
        <v>0</v>
      </c>
      <c r="W96" s="3">
        <f t="shared" si="19"/>
        <v>0</v>
      </c>
      <c r="X96" s="3">
        <f t="shared" si="20"/>
        <v>0</v>
      </c>
      <c r="Y96" s="3">
        <f>0</f>
        <v>0</v>
      </c>
      <c r="Z96" s="3">
        <f t="shared" si="21"/>
        <v>0</v>
      </c>
      <c r="AA96">
        <f>ROUND(IF(FALSE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,0)</f>
        <v>117478</v>
      </c>
    </row>
    <row r="97" spans="1:27">
      <c r="A97" s="30">
        <f>92</f>
        <v>92</v>
      </c>
      <c r="B97" s="31">
        <f>EDATE(入力!$B$6,A97-1)</f>
        <v>49004</v>
      </c>
      <c r="C97" s="32">
        <f t="shared" si="22"/>
        <v>28784532</v>
      </c>
      <c r="D97" s="32">
        <f t="shared" si="23"/>
        <v>0</v>
      </c>
      <c r="E97" s="33">
        <f>IF(AND(T96="",A97&lt;=S96),IF(A97&lt;入力!$B$11,入力!$B$10,入力!$B$12),0)</f>
        <v>2.5000000000000001E-2</v>
      </c>
      <c r="F97" s="32">
        <f t="shared" si="24"/>
        <v>59968</v>
      </c>
      <c r="G97" s="32">
        <f>ROUND(IF(NOT(AND(T96="",A97&lt;=S96)),0,IF(FALSE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),0)</f>
        <v>117478</v>
      </c>
      <c r="H97" s="32">
        <f t="shared" si="25"/>
        <v>117478</v>
      </c>
      <c r="I97" s="32">
        <f t="shared" si="26"/>
        <v>59968</v>
      </c>
      <c r="J97" s="32">
        <f t="shared" si="27"/>
        <v>0</v>
      </c>
      <c r="K97" s="32">
        <f t="shared" si="28"/>
        <v>0</v>
      </c>
      <c r="L97" s="32">
        <f t="shared" si="29"/>
        <v>57510</v>
      </c>
      <c r="M97" s="32">
        <f>0</f>
        <v>0</v>
      </c>
      <c r="N97" s="32">
        <f t="shared" si="30"/>
        <v>28727022</v>
      </c>
      <c r="O97" s="32">
        <f t="shared" si="31"/>
        <v>3125238</v>
      </c>
      <c r="P97" s="34" t="str">
        <f>IF(NOT(AND(T96="",A97&lt;=S96)),"",IF(FALSE,"繰上返済後再計算","")&amp;IF(AND(入力!$B$13="有効",A97&gt;1,MOD(A97-1,60)=0),IF(FALSE,"・","")&amp;"5年見直し","")&amp;IF(AND(A97=入力!$B$11,A97&gt;1),IF(OR(FALSE,AND(入力!$B$13="有効",A97&gt;1,MOD(A97-1,60)=0)),"・","")&amp;"金利変更","")&amp;IF(AND(OR(AND(入力!$B$13="有効",A97&gt;1,MOD(A97-1,60)=0),AND(A97=入力!$B$11,A97&gt;1)),入力!$B$14="有効",IF(E97=0,ROUND(C97/MAX(1,S96-A97+1),0),ROUND(-PMT(E97/12,MAX(1,S96-A97+1),C97),0))&gt;ROUND(G96*1.25,0),NOT(FALSE)),"・上限適用",""))</f>
        <v/>
      </c>
      <c r="Q97" s="35" t="str">
        <f>IF(AND(T96="",A97&lt;=S96),入力!$B$13,"")</f>
        <v>有効</v>
      </c>
      <c r="R97" s="32" t="str">
        <f>IF(AND(AND(T96="",A97&lt;=S96),OR(AND(入力!$B$13="有効",A97&gt;1,MOD(A97-1,60)=0),AND(A97=入力!$B$11,A97&gt;1)),入力!$B$14="有効"),ROUND(G96*1.25,0),"")</f>
        <v/>
      </c>
      <c r="S97" s="36">
        <f t="shared" si="32"/>
        <v>420</v>
      </c>
      <c r="T97" s="35" t="str">
        <f t="shared" si="33"/>
        <v/>
      </c>
      <c r="U97" s="3">
        <f t="shared" si="17"/>
        <v>0</v>
      </c>
      <c r="V97" s="3">
        <f t="shared" si="18"/>
        <v>0</v>
      </c>
      <c r="W97" s="3">
        <f t="shared" si="19"/>
        <v>0</v>
      </c>
      <c r="X97" s="3">
        <f t="shared" si="20"/>
        <v>0</v>
      </c>
      <c r="Y97" s="3">
        <f>0</f>
        <v>0</v>
      </c>
      <c r="Z97" s="3">
        <f t="shared" si="21"/>
        <v>0</v>
      </c>
      <c r="AA97">
        <f>ROUND(IF(FALSE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,0)</f>
        <v>117478</v>
      </c>
    </row>
    <row r="98" spans="1:27">
      <c r="A98" s="30">
        <f>93</f>
        <v>93</v>
      </c>
      <c r="B98" s="31">
        <f>EDATE(入力!$B$6,A98-1)</f>
        <v>49035</v>
      </c>
      <c r="C98" s="32">
        <f t="shared" si="22"/>
        <v>28727022</v>
      </c>
      <c r="D98" s="32">
        <f t="shared" si="23"/>
        <v>0</v>
      </c>
      <c r="E98" s="33">
        <f>IF(AND(T97="",A98&lt;=S97),IF(A98&lt;入力!$B$11,入力!$B$10,入力!$B$12),0)</f>
        <v>2.5000000000000001E-2</v>
      </c>
      <c r="F98" s="32">
        <f t="shared" si="24"/>
        <v>59848</v>
      </c>
      <c r="G98" s="32">
        <f>ROUND(IF(NOT(AND(T97="",A98&lt;=S97)),0,IF(FALSE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),0)</f>
        <v>117478</v>
      </c>
      <c r="H98" s="32">
        <f t="shared" si="25"/>
        <v>117478</v>
      </c>
      <c r="I98" s="32">
        <f t="shared" si="26"/>
        <v>59848</v>
      </c>
      <c r="J98" s="32">
        <f t="shared" si="27"/>
        <v>0</v>
      </c>
      <c r="K98" s="32">
        <f t="shared" si="28"/>
        <v>0</v>
      </c>
      <c r="L98" s="32">
        <f t="shared" si="29"/>
        <v>57630</v>
      </c>
      <c r="M98" s="32">
        <f>0</f>
        <v>0</v>
      </c>
      <c r="N98" s="32">
        <f t="shared" si="30"/>
        <v>28669392</v>
      </c>
      <c r="O98" s="32">
        <f t="shared" si="31"/>
        <v>3185086</v>
      </c>
      <c r="P98" s="34" t="str">
        <f>IF(NOT(AND(T97="",A98&lt;=S97)),"",IF(FALSE,"繰上返済後再計算","")&amp;IF(AND(入力!$B$13="有効",A98&gt;1,MOD(A98-1,60)=0),IF(FALSE,"・","")&amp;"5年見直し","")&amp;IF(AND(A98=入力!$B$11,A98&gt;1),IF(OR(FALSE,AND(入力!$B$13="有効",A98&gt;1,MOD(A98-1,60)=0)),"・","")&amp;"金利変更","")&amp;IF(AND(OR(AND(入力!$B$13="有効",A98&gt;1,MOD(A98-1,60)=0),AND(A98=入力!$B$11,A98&gt;1)),入力!$B$14="有効",IF(E98=0,ROUND(C98/MAX(1,S97-A98+1),0),ROUND(-PMT(E98/12,MAX(1,S97-A98+1),C98),0))&gt;ROUND(G97*1.25,0),NOT(FALSE)),"・上限適用",""))</f>
        <v/>
      </c>
      <c r="Q98" s="35" t="str">
        <f>IF(AND(T97="",A98&lt;=S97),入力!$B$13,"")</f>
        <v>有効</v>
      </c>
      <c r="R98" s="32" t="str">
        <f>IF(AND(AND(T97="",A98&lt;=S97),OR(AND(入力!$B$13="有効",A98&gt;1,MOD(A98-1,60)=0),AND(A98=入力!$B$11,A98&gt;1)),入力!$B$14="有効"),ROUND(G97*1.25,0),"")</f>
        <v/>
      </c>
      <c r="S98" s="36">
        <f t="shared" si="32"/>
        <v>420</v>
      </c>
      <c r="T98" s="35" t="str">
        <f t="shared" si="33"/>
        <v/>
      </c>
      <c r="U98" s="3">
        <f t="shared" si="17"/>
        <v>0</v>
      </c>
      <c r="V98" s="3">
        <f t="shared" si="18"/>
        <v>0</v>
      </c>
      <c r="W98" s="3">
        <f t="shared" si="19"/>
        <v>0</v>
      </c>
      <c r="X98" s="3">
        <f t="shared" si="20"/>
        <v>0</v>
      </c>
      <c r="Y98" s="3">
        <f>0</f>
        <v>0</v>
      </c>
      <c r="Z98" s="3">
        <f t="shared" si="21"/>
        <v>0</v>
      </c>
      <c r="AA98">
        <f>ROUND(IF(FALSE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,0)</f>
        <v>117478</v>
      </c>
    </row>
    <row r="99" spans="1:27">
      <c r="A99" s="30">
        <f>94</f>
        <v>94</v>
      </c>
      <c r="B99" s="31">
        <f>EDATE(入力!$B$6,A99-1)</f>
        <v>49065</v>
      </c>
      <c r="C99" s="32">
        <f t="shared" si="22"/>
        <v>28669392</v>
      </c>
      <c r="D99" s="32">
        <f t="shared" si="23"/>
        <v>0</v>
      </c>
      <c r="E99" s="33">
        <f>IF(AND(T98="",A99&lt;=S98),IF(A99&lt;入力!$B$11,入力!$B$10,入力!$B$12),0)</f>
        <v>2.5000000000000001E-2</v>
      </c>
      <c r="F99" s="32">
        <f t="shared" si="24"/>
        <v>59728</v>
      </c>
      <c r="G99" s="32">
        <f>ROUND(IF(NOT(AND(T98="",A99&lt;=S98)),0,IF(FALSE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),0)</f>
        <v>117478</v>
      </c>
      <c r="H99" s="32">
        <f t="shared" si="25"/>
        <v>117478</v>
      </c>
      <c r="I99" s="32">
        <f t="shared" si="26"/>
        <v>59728</v>
      </c>
      <c r="J99" s="32">
        <f t="shared" si="27"/>
        <v>0</v>
      </c>
      <c r="K99" s="32">
        <f t="shared" si="28"/>
        <v>0</v>
      </c>
      <c r="L99" s="32">
        <f t="shared" si="29"/>
        <v>57750</v>
      </c>
      <c r="M99" s="32">
        <f>0</f>
        <v>0</v>
      </c>
      <c r="N99" s="32">
        <f t="shared" si="30"/>
        <v>28611642</v>
      </c>
      <c r="O99" s="32">
        <f t="shared" si="31"/>
        <v>3244814</v>
      </c>
      <c r="P99" s="34" t="str">
        <f>IF(NOT(AND(T98="",A99&lt;=S98)),"",IF(FALSE,"繰上返済後再計算","")&amp;IF(AND(入力!$B$13="有効",A99&gt;1,MOD(A99-1,60)=0),IF(FALSE,"・","")&amp;"5年見直し","")&amp;IF(AND(A99=入力!$B$11,A99&gt;1),IF(OR(FALSE,AND(入力!$B$13="有効",A99&gt;1,MOD(A99-1,60)=0)),"・","")&amp;"金利変更","")&amp;IF(AND(OR(AND(入力!$B$13="有効",A99&gt;1,MOD(A99-1,60)=0),AND(A99=入力!$B$11,A99&gt;1)),入力!$B$14="有効",IF(E99=0,ROUND(C99/MAX(1,S98-A99+1),0),ROUND(-PMT(E99/12,MAX(1,S98-A99+1),C99),0))&gt;ROUND(G98*1.25,0),NOT(FALSE)),"・上限適用",""))</f>
        <v/>
      </c>
      <c r="Q99" s="35" t="str">
        <f>IF(AND(T98="",A99&lt;=S98),入力!$B$13,"")</f>
        <v>有効</v>
      </c>
      <c r="R99" s="32" t="str">
        <f>IF(AND(AND(T98="",A99&lt;=S98),OR(AND(入力!$B$13="有効",A99&gt;1,MOD(A99-1,60)=0),AND(A99=入力!$B$11,A99&gt;1)),入力!$B$14="有効"),ROUND(G98*1.25,0),"")</f>
        <v/>
      </c>
      <c r="S99" s="36">
        <f t="shared" si="32"/>
        <v>420</v>
      </c>
      <c r="T99" s="35" t="str">
        <f t="shared" si="33"/>
        <v/>
      </c>
      <c r="U99" s="3">
        <f t="shared" si="17"/>
        <v>0</v>
      </c>
      <c r="V99" s="3">
        <f t="shared" si="18"/>
        <v>0</v>
      </c>
      <c r="W99" s="3">
        <f t="shared" si="19"/>
        <v>0</v>
      </c>
      <c r="X99" s="3">
        <f t="shared" si="20"/>
        <v>0</v>
      </c>
      <c r="Y99" s="3">
        <f>0</f>
        <v>0</v>
      </c>
      <c r="Z99" s="3">
        <f t="shared" si="21"/>
        <v>0</v>
      </c>
      <c r="AA99">
        <f>ROUND(IF(FALSE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,0)</f>
        <v>117478</v>
      </c>
    </row>
    <row r="100" spans="1:27">
      <c r="A100" s="30">
        <f>95</f>
        <v>95</v>
      </c>
      <c r="B100" s="31">
        <f>EDATE(入力!$B$6,A100-1)</f>
        <v>49096</v>
      </c>
      <c r="C100" s="32">
        <f t="shared" si="22"/>
        <v>28611642</v>
      </c>
      <c r="D100" s="32">
        <f t="shared" si="23"/>
        <v>0</v>
      </c>
      <c r="E100" s="33">
        <f>IF(AND(T99="",A100&lt;=S99),IF(A100&lt;入力!$B$11,入力!$B$10,入力!$B$12),0)</f>
        <v>2.5000000000000001E-2</v>
      </c>
      <c r="F100" s="32">
        <f t="shared" si="24"/>
        <v>59608</v>
      </c>
      <c r="G100" s="32">
        <f>ROUND(IF(NOT(AND(T99="",A100&lt;=S99)),0,IF(FALSE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),0)</f>
        <v>117478</v>
      </c>
      <c r="H100" s="32">
        <f t="shared" si="25"/>
        <v>117478</v>
      </c>
      <c r="I100" s="32">
        <f t="shared" si="26"/>
        <v>59608</v>
      </c>
      <c r="J100" s="32">
        <f t="shared" si="27"/>
        <v>0</v>
      </c>
      <c r="K100" s="32">
        <f t="shared" si="28"/>
        <v>0</v>
      </c>
      <c r="L100" s="32">
        <f t="shared" si="29"/>
        <v>57870</v>
      </c>
      <c r="M100" s="32">
        <f>0</f>
        <v>0</v>
      </c>
      <c r="N100" s="32">
        <f t="shared" si="30"/>
        <v>28553772</v>
      </c>
      <c r="O100" s="32">
        <f t="shared" si="31"/>
        <v>3304422</v>
      </c>
      <c r="P100" s="34" t="str">
        <f>IF(NOT(AND(T99="",A100&lt;=S99)),"",IF(FALSE,"繰上返済後再計算","")&amp;IF(AND(入力!$B$13="有効",A100&gt;1,MOD(A100-1,60)=0),IF(FALSE,"・","")&amp;"5年見直し","")&amp;IF(AND(A100=入力!$B$11,A100&gt;1),IF(OR(FALSE,AND(入力!$B$13="有効",A100&gt;1,MOD(A100-1,60)=0)),"・","")&amp;"金利変更","")&amp;IF(AND(OR(AND(入力!$B$13="有効",A100&gt;1,MOD(A100-1,60)=0),AND(A100=入力!$B$11,A100&gt;1)),入力!$B$14="有効",IF(E100=0,ROUND(C100/MAX(1,S99-A100+1),0),ROUND(-PMT(E100/12,MAX(1,S99-A100+1),C100),0))&gt;ROUND(G99*1.25,0),NOT(FALSE)),"・上限適用",""))</f>
        <v/>
      </c>
      <c r="Q100" s="35" t="str">
        <f>IF(AND(T99="",A100&lt;=S99),入力!$B$13,"")</f>
        <v>有効</v>
      </c>
      <c r="R100" s="32" t="str">
        <f>IF(AND(AND(T99="",A100&lt;=S99),OR(AND(入力!$B$13="有効",A100&gt;1,MOD(A100-1,60)=0),AND(A100=入力!$B$11,A100&gt;1)),入力!$B$14="有効"),ROUND(G99*1.25,0),"")</f>
        <v/>
      </c>
      <c r="S100" s="36">
        <f t="shared" si="32"/>
        <v>420</v>
      </c>
      <c r="T100" s="35" t="str">
        <f t="shared" si="33"/>
        <v/>
      </c>
      <c r="U100" s="3">
        <f t="shared" si="17"/>
        <v>0</v>
      </c>
      <c r="V100" s="3">
        <f t="shared" si="18"/>
        <v>0</v>
      </c>
      <c r="W100" s="3">
        <f t="shared" si="19"/>
        <v>0</v>
      </c>
      <c r="X100" s="3">
        <f t="shared" si="20"/>
        <v>0</v>
      </c>
      <c r="Y100" s="3">
        <f>0</f>
        <v>0</v>
      </c>
      <c r="Z100" s="3">
        <f t="shared" si="21"/>
        <v>0</v>
      </c>
      <c r="AA100">
        <f>ROUND(IF(FALSE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,0)</f>
        <v>117478</v>
      </c>
    </row>
    <row r="101" spans="1:27">
      <c r="A101" s="30">
        <f>96</f>
        <v>96</v>
      </c>
      <c r="B101" s="31">
        <f>EDATE(入力!$B$6,A101-1)</f>
        <v>49126</v>
      </c>
      <c r="C101" s="32">
        <f t="shared" si="22"/>
        <v>28553772</v>
      </c>
      <c r="D101" s="32">
        <f t="shared" si="23"/>
        <v>0</v>
      </c>
      <c r="E101" s="33">
        <f>IF(AND(T100="",A101&lt;=S100),IF(A101&lt;入力!$B$11,入力!$B$10,入力!$B$12),0)</f>
        <v>2.5000000000000001E-2</v>
      </c>
      <c r="F101" s="32">
        <f t="shared" si="24"/>
        <v>59487</v>
      </c>
      <c r="G101" s="32">
        <f>ROUND(IF(NOT(AND(T100="",A101&lt;=S100)),0,IF(FALSE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),0)</f>
        <v>117478</v>
      </c>
      <c r="H101" s="32">
        <f t="shared" si="25"/>
        <v>117478</v>
      </c>
      <c r="I101" s="32">
        <f t="shared" si="26"/>
        <v>59487</v>
      </c>
      <c r="J101" s="32">
        <f t="shared" si="27"/>
        <v>0</v>
      </c>
      <c r="K101" s="32">
        <f t="shared" si="28"/>
        <v>0</v>
      </c>
      <c r="L101" s="32">
        <f t="shared" si="29"/>
        <v>57991</v>
      </c>
      <c r="M101" s="32">
        <f>0</f>
        <v>0</v>
      </c>
      <c r="N101" s="32">
        <f t="shared" si="30"/>
        <v>28495781</v>
      </c>
      <c r="O101" s="32">
        <f t="shared" si="31"/>
        <v>3363909</v>
      </c>
      <c r="P101" s="34" t="str">
        <f>IF(NOT(AND(T100="",A101&lt;=S100)),"",IF(FALSE,"繰上返済後再計算","")&amp;IF(AND(入力!$B$13="有効",A101&gt;1,MOD(A101-1,60)=0),IF(FALSE,"・","")&amp;"5年見直し","")&amp;IF(AND(A101=入力!$B$11,A101&gt;1),IF(OR(FALSE,AND(入力!$B$13="有効",A101&gt;1,MOD(A101-1,60)=0)),"・","")&amp;"金利変更","")&amp;IF(AND(OR(AND(入力!$B$13="有効",A101&gt;1,MOD(A101-1,60)=0),AND(A101=入力!$B$11,A101&gt;1)),入力!$B$14="有効",IF(E101=0,ROUND(C101/MAX(1,S100-A101+1),0),ROUND(-PMT(E101/12,MAX(1,S100-A101+1),C101),0))&gt;ROUND(G100*1.25,0),NOT(FALSE)),"・上限適用",""))</f>
        <v/>
      </c>
      <c r="Q101" s="35" t="str">
        <f>IF(AND(T100="",A101&lt;=S100),入力!$B$13,"")</f>
        <v>有効</v>
      </c>
      <c r="R101" s="32" t="str">
        <f>IF(AND(AND(T100="",A101&lt;=S100),OR(AND(入力!$B$13="有効",A101&gt;1,MOD(A101-1,60)=0),AND(A101=入力!$B$11,A101&gt;1)),入力!$B$14="有効"),ROUND(G100*1.25,0),"")</f>
        <v/>
      </c>
      <c r="S101" s="36">
        <f t="shared" si="32"/>
        <v>420</v>
      </c>
      <c r="T101" s="35" t="str">
        <f t="shared" si="33"/>
        <v/>
      </c>
      <c r="U101" s="3">
        <f t="shared" si="17"/>
        <v>0</v>
      </c>
      <c r="V101" s="3">
        <f t="shared" si="18"/>
        <v>0</v>
      </c>
      <c r="W101" s="3">
        <f t="shared" si="19"/>
        <v>0</v>
      </c>
      <c r="X101" s="3">
        <f t="shared" si="20"/>
        <v>0</v>
      </c>
      <c r="Y101" s="3">
        <f>0</f>
        <v>0</v>
      </c>
      <c r="Z101" s="3">
        <f t="shared" si="21"/>
        <v>0</v>
      </c>
      <c r="AA101">
        <f>ROUND(IF(FALSE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,0)</f>
        <v>117478</v>
      </c>
    </row>
    <row r="102" spans="1:27">
      <c r="A102" s="30">
        <f>97</f>
        <v>97</v>
      </c>
      <c r="B102" s="31">
        <f>EDATE(入力!$B$6,A102-1)</f>
        <v>49157</v>
      </c>
      <c r="C102" s="32">
        <f t="shared" si="22"/>
        <v>28495781</v>
      </c>
      <c r="D102" s="32">
        <f t="shared" si="23"/>
        <v>0</v>
      </c>
      <c r="E102" s="33">
        <f>IF(AND(T101="",A102&lt;=S101),IF(A102&lt;入力!$B$11,入力!$B$10,入力!$B$12),0)</f>
        <v>2.5000000000000001E-2</v>
      </c>
      <c r="F102" s="32">
        <f t="shared" si="24"/>
        <v>59366</v>
      </c>
      <c r="G102" s="32">
        <f>ROUND(IF(NOT(AND(T101="",A102&lt;=S101)),0,IF(FALSE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),0)</f>
        <v>117478</v>
      </c>
      <c r="H102" s="32">
        <f t="shared" si="25"/>
        <v>117478</v>
      </c>
      <c r="I102" s="32">
        <f t="shared" si="26"/>
        <v>59366</v>
      </c>
      <c r="J102" s="32">
        <f t="shared" si="27"/>
        <v>0</v>
      </c>
      <c r="K102" s="32">
        <f t="shared" si="28"/>
        <v>0</v>
      </c>
      <c r="L102" s="32">
        <f t="shared" si="29"/>
        <v>58112</v>
      </c>
      <c r="M102" s="32">
        <f>0</f>
        <v>0</v>
      </c>
      <c r="N102" s="32">
        <f t="shared" si="30"/>
        <v>28437669</v>
      </c>
      <c r="O102" s="32">
        <f t="shared" si="31"/>
        <v>3423275</v>
      </c>
      <c r="P102" s="34" t="str">
        <f>IF(NOT(AND(T101="",A102&lt;=S101)),"",IF(FALSE,"繰上返済後再計算","")&amp;IF(AND(入力!$B$13="有効",A102&gt;1,MOD(A102-1,60)=0),IF(FALSE,"・","")&amp;"5年見直し","")&amp;IF(AND(A102=入力!$B$11,A102&gt;1),IF(OR(FALSE,AND(入力!$B$13="有効",A102&gt;1,MOD(A102-1,60)=0)),"・","")&amp;"金利変更","")&amp;IF(AND(OR(AND(入力!$B$13="有効",A102&gt;1,MOD(A102-1,60)=0),AND(A102=入力!$B$11,A102&gt;1)),入力!$B$14="有効",IF(E102=0,ROUND(C102/MAX(1,S101-A102+1),0),ROUND(-PMT(E102/12,MAX(1,S101-A102+1),C102),0))&gt;ROUND(G101*1.25,0),NOT(FALSE)),"・上限適用",""))</f>
        <v/>
      </c>
      <c r="Q102" s="35" t="str">
        <f>IF(AND(T101="",A102&lt;=S101),入力!$B$13,"")</f>
        <v>有効</v>
      </c>
      <c r="R102" s="32" t="str">
        <f>IF(AND(AND(T101="",A102&lt;=S101),OR(AND(入力!$B$13="有効",A102&gt;1,MOD(A102-1,60)=0),AND(A102=入力!$B$11,A102&gt;1)),入力!$B$14="有効"),ROUND(G101*1.25,0),"")</f>
        <v/>
      </c>
      <c r="S102" s="36">
        <f t="shared" si="32"/>
        <v>420</v>
      </c>
      <c r="T102" s="35" t="str">
        <f t="shared" si="33"/>
        <v/>
      </c>
      <c r="U102" s="3">
        <f t="shared" si="17"/>
        <v>0</v>
      </c>
      <c r="V102" s="3">
        <f t="shared" si="18"/>
        <v>0</v>
      </c>
      <c r="W102" s="3">
        <f t="shared" si="19"/>
        <v>0</v>
      </c>
      <c r="X102" s="3">
        <f t="shared" si="20"/>
        <v>0</v>
      </c>
      <c r="Y102" s="3">
        <f>0</f>
        <v>0</v>
      </c>
      <c r="Z102" s="3">
        <f t="shared" si="21"/>
        <v>0</v>
      </c>
      <c r="AA102">
        <f>ROUND(IF(FALSE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,0)</f>
        <v>117478</v>
      </c>
    </row>
    <row r="103" spans="1:27">
      <c r="A103" s="30">
        <f>98</f>
        <v>98</v>
      </c>
      <c r="B103" s="31">
        <f>EDATE(入力!$B$6,A103-1)</f>
        <v>49188</v>
      </c>
      <c r="C103" s="32">
        <f t="shared" si="22"/>
        <v>28437669</v>
      </c>
      <c r="D103" s="32">
        <f t="shared" si="23"/>
        <v>0</v>
      </c>
      <c r="E103" s="33">
        <f>IF(AND(T102="",A103&lt;=S102),IF(A103&lt;入力!$B$11,入力!$B$10,入力!$B$12),0)</f>
        <v>2.5000000000000001E-2</v>
      </c>
      <c r="F103" s="32">
        <f t="shared" si="24"/>
        <v>59245</v>
      </c>
      <c r="G103" s="32">
        <f>ROUND(IF(NOT(AND(T102="",A103&lt;=S102)),0,IF(FALSE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),0)</f>
        <v>117478</v>
      </c>
      <c r="H103" s="32">
        <f t="shared" si="25"/>
        <v>117478</v>
      </c>
      <c r="I103" s="32">
        <f t="shared" si="26"/>
        <v>59245</v>
      </c>
      <c r="J103" s="32">
        <f t="shared" si="27"/>
        <v>0</v>
      </c>
      <c r="K103" s="32">
        <f t="shared" si="28"/>
        <v>0</v>
      </c>
      <c r="L103" s="32">
        <f t="shared" si="29"/>
        <v>58233</v>
      </c>
      <c r="M103" s="32">
        <f>0</f>
        <v>0</v>
      </c>
      <c r="N103" s="32">
        <f t="shared" si="30"/>
        <v>28379436</v>
      </c>
      <c r="O103" s="32">
        <f t="shared" si="31"/>
        <v>3482520</v>
      </c>
      <c r="P103" s="34" t="str">
        <f>IF(NOT(AND(T102="",A103&lt;=S102)),"",IF(FALSE,"繰上返済後再計算","")&amp;IF(AND(入力!$B$13="有効",A103&gt;1,MOD(A103-1,60)=0),IF(FALSE,"・","")&amp;"5年見直し","")&amp;IF(AND(A103=入力!$B$11,A103&gt;1),IF(OR(FALSE,AND(入力!$B$13="有効",A103&gt;1,MOD(A103-1,60)=0)),"・","")&amp;"金利変更","")&amp;IF(AND(OR(AND(入力!$B$13="有効",A103&gt;1,MOD(A103-1,60)=0),AND(A103=入力!$B$11,A103&gt;1)),入力!$B$14="有効",IF(E103=0,ROUND(C103/MAX(1,S102-A103+1),0),ROUND(-PMT(E103/12,MAX(1,S102-A103+1),C103),0))&gt;ROUND(G102*1.25,0),NOT(FALSE)),"・上限適用",""))</f>
        <v/>
      </c>
      <c r="Q103" s="35" t="str">
        <f>IF(AND(T102="",A103&lt;=S102),入力!$B$13,"")</f>
        <v>有効</v>
      </c>
      <c r="R103" s="32" t="str">
        <f>IF(AND(AND(T102="",A103&lt;=S102),OR(AND(入力!$B$13="有効",A103&gt;1,MOD(A103-1,60)=0),AND(A103=入力!$B$11,A103&gt;1)),入力!$B$14="有効"),ROUND(G102*1.25,0),"")</f>
        <v/>
      </c>
      <c r="S103" s="36">
        <f t="shared" si="32"/>
        <v>420</v>
      </c>
      <c r="T103" s="35" t="str">
        <f t="shared" si="33"/>
        <v/>
      </c>
      <c r="U103" s="3">
        <f t="shared" si="17"/>
        <v>0</v>
      </c>
      <c r="V103" s="3">
        <f t="shared" si="18"/>
        <v>0</v>
      </c>
      <c r="W103" s="3">
        <f t="shared" si="19"/>
        <v>0</v>
      </c>
      <c r="X103" s="3">
        <f t="shared" si="20"/>
        <v>0</v>
      </c>
      <c r="Y103" s="3">
        <f>0</f>
        <v>0</v>
      </c>
      <c r="Z103" s="3">
        <f t="shared" si="21"/>
        <v>0</v>
      </c>
      <c r="AA103">
        <f>ROUND(IF(FALSE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,0)</f>
        <v>117478</v>
      </c>
    </row>
    <row r="104" spans="1:27">
      <c r="A104" s="30">
        <f>99</f>
        <v>99</v>
      </c>
      <c r="B104" s="31">
        <f>EDATE(入力!$B$6,A104-1)</f>
        <v>49218</v>
      </c>
      <c r="C104" s="32">
        <f t="shared" si="22"/>
        <v>28379436</v>
      </c>
      <c r="D104" s="32">
        <f t="shared" si="23"/>
        <v>0</v>
      </c>
      <c r="E104" s="33">
        <f>IF(AND(T103="",A104&lt;=S103),IF(A104&lt;入力!$B$11,入力!$B$10,入力!$B$12),0)</f>
        <v>2.5000000000000001E-2</v>
      </c>
      <c r="F104" s="32">
        <f t="shared" si="24"/>
        <v>59124</v>
      </c>
      <c r="G104" s="32">
        <f>ROUND(IF(NOT(AND(T103="",A104&lt;=S103)),0,IF(FALSE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),0)</f>
        <v>117478</v>
      </c>
      <c r="H104" s="32">
        <f t="shared" si="25"/>
        <v>117478</v>
      </c>
      <c r="I104" s="32">
        <f t="shared" si="26"/>
        <v>59124</v>
      </c>
      <c r="J104" s="32">
        <f t="shared" si="27"/>
        <v>0</v>
      </c>
      <c r="K104" s="32">
        <f t="shared" si="28"/>
        <v>0</v>
      </c>
      <c r="L104" s="32">
        <f t="shared" si="29"/>
        <v>58354</v>
      </c>
      <c r="M104" s="32">
        <f>0</f>
        <v>0</v>
      </c>
      <c r="N104" s="32">
        <f t="shared" si="30"/>
        <v>28321082</v>
      </c>
      <c r="O104" s="32">
        <f t="shared" si="31"/>
        <v>3541644</v>
      </c>
      <c r="P104" s="34" t="str">
        <f>IF(NOT(AND(T103="",A104&lt;=S103)),"",IF(FALSE,"繰上返済後再計算","")&amp;IF(AND(入力!$B$13="有効",A104&gt;1,MOD(A104-1,60)=0),IF(FALSE,"・","")&amp;"5年見直し","")&amp;IF(AND(A104=入力!$B$11,A104&gt;1),IF(OR(FALSE,AND(入力!$B$13="有効",A104&gt;1,MOD(A104-1,60)=0)),"・","")&amp;"金利変更","")&amp;IF(AND(OR(AND(入力!$B$13="有効",A104&gt;1,MOD(A104-1,60)=0),AND(A104=入力!$B$11,A104&gt;1)),入力!$B$14="有効",IF(E104=0,ROUND(C104/MAX(1,S103-A104+1),0),ROUND(-PMT(E104/12,MAX(1,S103-A104+1),C104),0))&gt;ROUND(G103*1.25,0),NOT(FALSE)),"・上限適用",""))</f>
        <v/>
      </c>
      <c r="Q104" s="35" t="str">
        <f>IF(AND(T103="",A104&lt;=S103),入力!$B$13,"")</f>
        <v>有効</v>
      </c>
      <c r="R104" s="32" t="str">
        <f>IF(AND(AND(T103="",A104&lt;=S103),OR(AND(入力!$B$13="有効",A104&gt;1,MOD(A104-1,60)=0),AND(A104=入力!$B$11,A104&gt;1)),入力!$B$14="有効"),ROUND(G103*1.25,0),"")</f>
        <v/>
      </c>
      <c r="S104" s="36">
        <f t="shared" si="32"/>
        <v>420</v>
      </c>
      <c r="T104" s="35" t="str">
        <f t="shared" si="33"/>
        <v/>
      </c>
      <c r="U104" s="3">
        <f t="shared" si="17"/>
        <v>0</v>
      </c>
      <c r="V104" s="3">
        <f t="shared" si="18"/>
        <v>0</v>
      </c>
      <c r="W104" s="3">
        <f t="shared" si="19"/>
        <v>0</v>
      </c>
      <c r="X104" s="3">
        <f t="shared" si="20"/>
        <v>0</v>
      </c>
      <c r="Y104" s="3">
        <f>0</f>
        <v>0</v>
      </c>
      <c r="Z104" s="3">
        <f t="shared" si="21"/>
        <v>0</v>
      </c>
      <c r="AA104">
        <f>ROUND(IF(FALSE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,0)</f>
        <v>117478</v>
      </c>
    </row>
    <row r="105" spans="1:27">
      <c r="A105" s="30">
        <f>100</f>
        <v>100</v>
      </c>
      <c r="B105" s="31">
        <f>EDATE(入力!$B$6,A105-1)</f>
        <v>49249</v>
      </c>
      <c r="C105" s="32">
        <f t="shared" si="22"/>
        <v>28321082</v>
      </c>
      <c r="D105" s="32">
        <f t="shared" si="23"/>
        <v>0</v>
      </c>
      <c r="E105" s="33">
        <f>IF(AND(T104="",A105&lt;=S104),IF(A105&lt;入力!$B$11,入力!$B$10,入力!$B$12),0)</f>
        <v>2.5000000000000001E-2</v>
      </c>
      <c r="F105" s="32">
        <f t="shared" si="24"/>
        <v>59002</v>
      </c>
      <c r="G105" s="32">
        <f>ROUND(IF(NOT(AND(T104="",A105&lt;=S104)),0,IF(FALSE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),0)</f>
        <v>117478</v>
      </c>
      <c r="H105" s="32">
        <f t="shared" si="25"/>
        <v>117478</v>
      </c>
      <c r="I105" s="32">
        <f t="shared" si="26"/>
        <v>59002</v>
      </c>
      <c r="J105" s="32">
        <f t="shared" si="27"/>
        <v>0</v>
      </c>
      <c r="K105" s="32">
        <f t="shared" si="28"/>
        <v>0</v>
      </c>
      <c r="L105" s="32">
        <f t="shared" si="29"/>
        <v>58476</v>
      </c>
      <c r="M105" s="32">
        <f>0</f>
        <v>0</v>
      </c>
      <c r="N105" s="32">
        <f t="shared" si="30"/>
        <v>28262606</v>
      </c>
      <c r="O105" s="32">
        <f t="shared" si="31"/>
        <v>3600646</v>
      </c>
      <c r="P105" s="34" t="str">
        <f>IF(NOT(AND(T104="",A105&lt;=S104)),"",IF(FALSE,"繰上返済後再計算","")&amp;IF(AND(入力!$B$13="有効",A105&gt;1,MOD(A105-1,60)=0),IF(FALSE,"・","")&amp;"5年見直し","")&amp;IF(AND(A105=入力!$B$11,A105&gt;1),IF(OR(FALSE,AND(入力!$B$13="有効",A105&gt;1,MOD(A105-1,60)=0)),"・","")&amp;"金利変更","")&amp;IF(AND(OR(AND(入力!$B$13="有効",A105&gt;1,MOD(A105-1,60)=0),AND(A105=入力!$B$11,A105&gt;1)),入力!$B$14="有効",IF(E105=0,ROUND(C105/MAX(1,S104-A105+1),0),ROUND(-PMT(E105/12,MAX(1,S104-A105+1),C105),0))&gt;ROUND(G104*1.25,0),NOT(FALSE)),"・上限適用",""))</f>
        <v/>
      </c>
      <c r="Q105" s="35" t="str">
        <f>IF(AND(T104="",A105&lt;=S104),入力!$B$13,"")</f>
        <v>有効</v>
      </c>
      <c r="R105" s="32" t="str">
        <f>IF(AND(AND(T104="",A105&lt;=S104),OR(AND(入力!$B$13="有効",A105&gt;1,MOD(A105-1,60)=0),AND(A105=入力!$B$11,A105&gt;1)),入力!$B$14="有効"),ROUND(G104*1.25,0),"")</f>
        <v/>
      </c>
      <c r="S105" s="36">
        <f t="shared" si="32"/>
        <v>420</v>
      </c>
      <c r="T105" s="35" t="str">
        <f t="shared" si="33"/>
        <v/>
      </c>
      <c r="U105" s="3">
        <f t="shared" si="17"/>
        <v>0</v>
      </c>
      <c r="V105" s="3">
        <f t="shared" si="18"/>
        <v>0</v>
      </c>
      <c r="W105" s="3">
        <f t="shared" si="19"/>
        <v>0</v>
      </c>
      <c r="X105" s="3">
        <f t="shared" si="20"/>
        <v>0</v>
      </c>
      <c r="Y105" s="3">
        <f>0</f>
        <v>0</v>
      </c>
      <c r="Z105" s="3">
        <f t="shared" si="21"/>
        <v>0</v>
      </c>
      <c r="AA105">
        <f>ROUND(IF(FALSE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,0)</f>
        <v>117478</v>
      </c>
    </row>
    <row r="106" spans="1:27">
      <c r="A106" s="30">
        <f>101</f>
        <v>101</v>
      </c>
      <c r="B106" s="31">
        <f>EDATE(入力!$B$6,A106-1)</f>
        <v>49279</v>
      </c>
      <c r="C106" s="32">
        <f t="shared" si="22"/>
        <v>28262606</v>
      </c>
      <c r="D106" s="32">
        <f t="shared" si="23"/>
        <v>0</v>
      </c>
      <c r="E106" s="33">
        <f>IF(AND(T105="",A106&lt;=S105),IF(A106&lt;入力!$B$11,入力!$B$10,入力!$B$12),0)</f>
        <v>2.5000000000000001E-2</v>
      </c>
      <c r="F106" s="32">
        <f t="shared" si="24"/>
        <v>58880</v>
      </c>
      <c r="G106" s="32">
        <f>ROUND(IF(NOT(AND(T105="",A106&lt;=S105)),0,IF(FALSE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),0)</f>
        <v>117478</v>
      </c>
      <c r="H106" s="32">
        <f t="shared" si="25"/>
        <v>117478</v>
      </c>
      <c r="I106" s="32">
        <f t="shared" si="26"/>
        <v>58880</v>
      </c>
      <c r="J106" s="32">
        <f t="shared" si="27"/>
        <v>0</v>
      </c>
      <c r="K106" s="32">
        <f t="shared" si="28"/>
        <v>0</v>
      </c>
      <c r="L106" s="32">
        <f t="shared" si="29"/>
        <v>58598</v>
      </c>
      <c r="M106" s="32">
        <f>0</f>
        <v>0</v>
      </c>
      <c r="N106" s="32">
        <f t="shared" si="30"/>
        <v>28204008</v>
      </c>
      <c r="O106" s="32">
        <f t="shared" si="31"/>
        <v>3659526</v>
      </c>
      <c r="P106" s="34" t="str">
        <f>IF(NOT(AND(T105="",A106&lt;=S105)),"",IF(FALSE,"繰上返済後再計算","")&amp;IF(AND(入力!$B$13="有効",A106&gt;1,MOD(A106-1,60)=0),IF(FALSE,"・","")&amp;"5年見直し","")&amp;IF(AND(A106=入力!$B$11,A106&gt;1),IF(OR(FALSE,AND(入力!$B$13="有効",A106&gt;1,MOD(A106-1,60)=0)),"・","")&amp;"金利変更","")&amp;IF(AND(OR(AND(入力!$B$13="有効",A106&gt;1,MOD(A106-1,60)=0),AND(A106=入力!$B$11,A106&gt;1)),入力!$B$14="有効",IF(E106=0,ROUND(C106/MAX(1,S105-A106+1),0),ROUND(-PMT(E106/12,MAX(1,S105-A106+1),C106),0))&gt;ROUND(G105*1.25,0),NOT(FALSE)),"・上限適用",""))</f>
        <v/>
      </c>
      <c r="Q106" s="35" t="str">
        <f>IF(AND(T105="",A106&lt;=S105),入力!$B$13,"")</f>
        <v>有効</v>
      </c>
      <c r="R106" s="32" t="str">
        <f>IF(AND(AND(T105="",A106&lt;=S105),OR(AND(入力!$B$13="有効",A106&gt;1,MOD(A106-1,60)=0),AND(A106=入力!$B$11,A106&gt;1)),入力!$B$14="有効"),ROUND(G105*1.25,0),"")</f>
        <v/>
      </c>
      <c r="S106" s="36">
        <f t="shared" si="32"/>
        <v>420</v>
      </c>
      <c r="T106" s="35" t="str">
        <f t="shared" si="33"/>
        <v/>
      </c>
      <c r="U106" s="3">
        <f t="shared" si="17"/>
        <v>0</v>
      </c>
      <c r="V106" s="3">
        <f t="shared" si="18"/>
        <v>0</v>
      </c>
      <c r="W106" s="3">
        <f t="shared" si="19"/>
        <v>0</v>
      </c>
      <c r="X106" s="3">
        <f t="shared" si="20"/>
        <v>0</v>
      </c>
      <c r="Y106" s="3">
        <f>0</f>
        <v>0</v>
      </c>
      <c r="Z106" s="3">
        <f t="shared" si="21"/>
        <v>0</v>
      </c>
      <c r="AA106">
        <f>ROUND(IF(FALSE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,0)</f>
        <v>117478</v>
      </c>
    </row>
    <row r="107" spans="1:27">
      <c r="A107" s="30">
        <f>102</f>
        <v>102</v>
      </c>
      <c r="B107" s="31">
        <f>EDATE(入力!$B$6,A107-1)</f>
        <v>49310</v>
      </c>
      <c r="C107" s="32">
        <f t="shared" si="22"/>
        <v>28204008</v>
      </c>
      <c r="D107" s="32">
        <f t="shared" si="23"/>
        <v>0</v>
      </c>
      <c r="E107" s="33">
        <f>IF(AND(T106="",A107&lt;=S106),IF(A107&lt;入力!$B$11,入力!$B$10,入力!$B$12),0)</f>
        <v>2.5000000000000001E-2</v>
      </c>
      <c r="F107" s="32">
        <f t="shared" si="24"/>
        <v>58758</v>
      </c>
      <c r="G107" s="32">
        <f>ROUND(IF(NOT(AND(T106="",A107&lt;=S106)),0,IF(FALSE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),0)</f>
        <v>117478</v>
      </c>
      <c r="H107" s="32">
        <f t="shared" si="25"/>
        <v>117478</v>
      </c>
      <c r="I107" s="32">
        <f t="shared" si="26"/>
        <v>58758</v>
      </c>
      <c r="J107" s="32">
        <f t="shared" si="27"/>
        <v>0</v>
      </c>
      <c r="K107" s="32">
        <f t="shared" si="28"/>
        <v>0</v>
      </c>
      <c r="L107" s="32">
        <f t="shared" si="29"/>
        <v>58720</v>
      </c>
      <c r="M107" s="32">
        <f>0</f>
        <v>0</v>
      </c>
      <c r="N107" s="32">
        <f t="shared" si="30"/>
        <v>28145288</v>
      </c>
      <c r="O107" s="32">
        <f t="shared" si="31"/>
        <v>3718284</v>
      </c>
      <c r="P107" s="34" t="str">
        <f>IF(NOT(AND(T106="",A107&lt;=S106)),"",IF(FALSE,"繰上返済後再計算","")&amp;IF(AND(入力!$B$13="有効",A107&gt;1,MOD(A107-1,60)=0),IF(FALSE,"・","")&amp;"5年見直し","")&amp;IF(AND(A107=入力!$B$11,A107&gt;1),IF(OR(FALSE,AND(入力!$B$13="有効",A107&gt;1,MOD(A107-1,60)=0)),"・","")&amp;"金利変更","")&amp;IF(AND(OR(AND(入力!$B$13="有効",A107&gt;1,MOD(A107-1,60)=0),AND(A107=入力!$B$11,A107&gt;1)),入力!$B$14="有効",IF(E107=0,ROUND(C107/MAX(1,S106-A107+1),0),ROUND(-PMT(E107/12,MAX(1,S106-A107+1),C107),0))&gt;ROUND(G106*1.25,0),NOT(FALSE)),"・上限適用",""))</f>
        <v/>
      </c>
      <c r="Q107" s="35" t="str">
        <f>IF(AND(T106="",A107&lt;=S106),入力!$B$13,"")</f>
        <v>有効</v>
      </c>
      <c r="R107" s="32" t="str">
        <f>IF(AND(AND(T106="",A107&lt;=S106),OR(AND(入力!$B$13="有効",A107&gt;1,MOD(A107-1,60)=0),AND(A107=入力!$B$11,A107&gt;1)),入力!$B$14="有効"),ROUND(G106*1.25,0),"")</f>
        <v/>
      </c>
      <c r="S107" s="36">
        <f t="shared" si="32"/>
        <v>420</v>
      </c>
      <c r="T107" s="35" t="str">
        <f t="shared" si="33"/>
        <v/>
      </c>
      <c r="U107" s="3">
        <f t="shared" si="17"/>
        <v>0</v>
      </c>
      <c r="V107" s="3">
        <f t="shared" si="18"/>
        <v>0</v>
      </c>
      <c r="W107" s="3">
        <f t="shared" si="19"/>
        <v>0</v>
      </c>
      <c r="X107" s="3">
        <f t="shared" si="20"/>
        <v>0</v>
      </c>
      <c r="Y107" s="3">
        <f>0</f>
        <v>0</v>
      </c>
      <c r="Z107" s="3">
        <f t="shared" si="21"/>
        <v>0</v>
      </c>
      <c r="AA107">
        <f>ROUND(IF(FALSE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,0)</f>
        <v>117478</v>
      </c>
    </row>
    <row r="108" spans="1:27">
      <c r="A108" s="30">
        <f>103</f>
        <v>103</v>
      </c>
      <c r="B108" s="31">
        <f>EDATE(入力!$B$6,A108-1)</f>
        <v>49341</v>
      </c>
      <c r="C108" s="32">
        <f t="shared" si="22"/>
        <v>28145288</v>
      </c>
      <c r="D108" s="32">
        <f t="shared" si="23"/>
        <v>0</v>
      </c>
      <c r="E108" s="33">
        <f>IF(AND(T107="",A108&lt;=S107),IF(A108&lt;入力!$B$11,入力!$B$10,入力!$B$12),0)</f>
        <v>2.5000000000000001E-2</v>
      </c>
      <c r="F108" s="32">
        <f t="shared" si="24"/>
        <v>58636</v>
      </c>
      <c r="G108" s="32">
        <f>ROUND(IF(NOT(AND(T107="",A108&lt;=S107)),0,IF(FALSE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),0)</f>
        <v>117478</v>
      </c>
      <c r="H108" s="32">
        <f t="shared" si="25"/>
        <v>117478</v>
      </c>
      <c r="I108" s="32">
        <f t="shared" si="26"/>
        <v>58636</v>
      </c>
      <c r="J108" s="32">
        <f t="shared" si="27"/>
        <v>0</v>
      </c>
      <c r="K108" s="32">
        <f t="shared" si="28"/>
        <v>0</v>
      </c>
      <c r="L108" s="32">
        <f t="shared" si="29"/>
        <v>58842</v>
      </c>
      <c r="M108" s="32">
        <f>0</f>
        <v>0</v>
      </c>
      <c r="N108" s="32">
        <f t="shared" si="30"/>
        <v>28086446</v>
      </c>
      <c r="O108" s="32">
        <f t="shared" si="31"/>
        <v>3776920</v>
      </c>
      <c r="P108" s="34" t="str">
        <f>IF(NOT(AND(T107="",A108&lt;=S107)),"",IF(FALSE,"繰上返済後再計算","")&amp;IF(AND(入力!$B$13="有効",A108&gt;1,MOD(A108-1,60)=0),IF(FALSE,"・","")&amp;"5年見直し","")&amp;IF(AND(A108=入力!$B$11,A108&gt;1),IF(OR(FALSE,AND(入力!$B$13="有効",A108&gt;1,MOD(A108-1,60)=0)),"・","")&amp;"金利変更","")&amp;IF(AND(OR(AND(入力!$B$13="有効",A108&gt;1,MOD(A108-1,60)=0),AND(A108=入力!$B$11,A108&gt;1)),入力!$B$14="有効",IF(E108=0,ROUND(C108/MAX(1,S107-A108+1),0),ROUND(-PMT(E108/12,MAX(1,S107-A108+1),C108),0))&gt;ROUND(G107*1.25,0),NOT(FALSE)),"・上限適用",""))</f>
        <v/>
      </c>
      <c r="Q108" s="35" t="str">
        <f>IF(AND(T107="",A108&lt;=S107),入力!$B$13,"")</f>
        <v>有効</v>
      </c>
      <c r="R108" s="32" t="str">
        <f>IF(AND(AND(T107="",A108&lt;=S107),OR(AND(入力!$B$13="有効",A108&gt;1,MOD(A108-1,60)=0),AND(A108=入力!$B$11,A108&gt;1)),入力!$B$14="有効"),ROUND(G107*1.25,0),"")</f>
        <v/>
      </c>
      <c r="S108" s="36">
        <f t="shared" si="32"/>
        <v>420</v>
      </c>
      <c r="T108" s="35" t="str">
        <f t="shared" si="33"/>
        <v/>
      </c>
      <c r="U108" s="3">
        <f t="shared" si="17"/>
        <v>0</v>
      </c>
      <c r="V108" s="3">
        <f t="shared" si="18"/>
        <v>0</v>
      </c>
      <c r="W108" s="3">
        <f t="shared" si="19"/>
        <v>0</v>
      </c>
      <c r="X108" s="3">
        <f t="shared" si="20"/>
        <v>0</v>
      </c>
      <c r="Y108" s="3">
        <f>0</f>
        <v>0</v>
      </c>
      <c r="Z108" s="3">
        <f t="shared" si="21"/>
        <v>0</v>
      </c>
      <c r="AA108">
        <f>ROUND(IF(FALSE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,0)</f>
        <v>117478</v>
      </c>
    </row>
    <row r="109" spans="1:27">
      <c r="A109" s="30">
        <f>104</f>
        <v>104</v>
      </c>
      <c r="B109" s="31">
        <f>EDATE(入力!$B$6,A109-1)</f>
        <v>49369</v>
      </c>
      <c r="C109" s="32">
        <f t="shared" si="22"/>
        <v>28086446</v>
      </c>
      <c r="D109" s="32">
        <f t="shared" si="23"/>
        <v>0</v>
      </c>
      <c r="E109" s="33">
        <f>IF(AND(T108="",A109&lt;=S108),IF(A109&lt;入力!$B$11,入力!$B$10,入力!$B$12),0)</f>
        <v>2.5000000000000001E-2</v>
      </c>
      <c r="F109" s="32">
        <f t="shared" si="24"/>
        <v>58513</v>
      </c>
      <c r="G109" s="32">
        <f>ROUND(IF(NOT(AND(T108="",A109&lt;=S108)),0,IF(FALSE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),0)</f>
        <v>117478</v>
      </c>
      <c r="H109" s="32">
        <f t="shared" si="25"/>
        <v>117478</v>
      </c>
      <c r="I109" s="32">
        <f t="shared" si="26"/>
        <v>58513</v>
      </c>
      <c r="J109" s="32">
        <f t="shared" si="27"/>
        <v>0</v>
      </c>
      <c r="K109" s="32">
        <f t="shared" si="28"/>
        <v>0</v>
      </c>
      <c r="L109" s="32">
        <f t="shared" si="29"/>
        <v>58965</v>
      </c>
      <c r="M109" s="32">
        <f>0</f>
        <v>0</v>
      </c>
      <c r="N109" s="32">
        <f t="shared" si="30"/>
        <v>28027481</v>
      </c>
      <c r="O109" s="32">
        <f t="shared" si="31"/>
        <v>3835433</v>
      </c>
      <c r="P109" s="34" t="str">
        <f>IF(NOT(AND(T108="",A109&lt;=S108)),"",IF(FALSE,"繰上返済後再計算","")&amp;IF(AND(入力!$B$13="有効",A109&gt;1,MOD(A109-1,60)=0),IF(FALSE,"・","")&amp;"5年見直し","")&amp;IF(AND(A109=入力!$B$11,A109&gt;1),IF(OR(FALSE,AND(入力!$B$13="有効",A109&gt;1,MOD(A109-1,60)=0)),"・","")&amp;"金利変更","")&amp;IF(AND(OR(AND(入力!$B$13="有効",A109&gt;1,MOD(A109-1,60)=0),AND(A109=入力!$B$11,A109&gt;1)),入力!$B$14="有効",IF(E109=0,ROUND(C109/MAX(1,S108-A109+1),0),ROUND(-PMT(E109/12,MAX(1,S108-A109+1),C109),0))&gt;ROUND(G108*1.25,0),NOT(FALSE)),"・上限適用",""))</f>
        <v/>
      </c>
      <c r="Q109" s="35" t="str">
        <f>IF(AND(T108="",A109&lt;=S108),入力!$B$13,"")</f>
        <v>有効</v>
      </c>
      <c r="R109" s="32" t="str">
        <f>IF(AND(AND(T108="",A109&lt;=S108),OR(AND(入力!$B$13="有効",A109&gt;1,MOD(A109-1,60)=0),AND(A109=入力!$B$11,A109&gt;1)),入力!$B$14="有効"),ROUND(G108*1.25,0),"")</f>
        <v/>
      </c>
      <c r="S109" s="36">
        <f t="shared" si="32"/>
        <v>420</v>
      </c>
      <c r="T109" s="35" t="str">
        <f t="shared" si="33"/>
        <v/>
      </c>
      <c r="U109" s="3">
        <f t="shared" si="17"/>
        <v>0</v>
      </c>
      <c r="V109" s="3">
        <f t="shared" si="18"/>
        <v>0</v>
      </c>
      <c r="W109" s="3">
        <f t="shared" si="19"/>
        <v>0</v>
      </c>
      <c r="X109" s="3">
        <f t="shared" si="20"/>
        <v>0</v>
      </c>
      <c r="Y109" s="3">
        <f>0</f>
        <v>0</v>
      </c>
      <c r="Z109" s="3">
        <f t="shared" si="21"/>
        <v>0</v>
      </c>
      <c r="AA109">
        <f>ROUND(IF(FALSE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,0)</f>
        <v>117478</v>
      </c>
    </row>
    <row r="110" spans="1:27">
      <c r="A110" s="30">
        <f>105</f>
        <v>105</v>
      </c>
      <c r="B110" s="31">
        <f>EDATE(入力!$B$6,A110-1)</f>
        <v>49400</v>
      </c>
      <c r="C110" s="32">
        <f t="shared" si="22"/>
        <v>28027481</v>
      </c>
      <c r="D110" s="32">
        <f t="shared" si="23"/>
        <v>0</v>
      </c>
      <c r="E110" s="33">
        <f>IF(AND(T109="",A110&lt;=S109),IF(A110&lt;入力!$B$11,入力!$B$10,入力!$B$12),0)</f>
        <v>2.5000000000000001E-2</v>
      </c>
      <c r="F110" s="32">
        <f t="shared" si="24"/>
        <v>58391</v>
      </c>
      <c r="G110" s="32">
        <f>ROUND(IF(NOT(AND(T109="",A110&lt;=S109)),0,IF(FALSE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),0)</f>
        <v>117478</v>
      </c>
      <c r="H110" s="32">
        <f t="shared" si="25"/>
        <v>117478</v>
      </c>
      <c r="I110" s="32">
        <f t="shared" si="26"/>
        <v>58391</v>
      </c>
      <c r="J110" s="32">
        <f t="shared" si="27"/>
        <v>0</v>
      </c>
      <c r="K110" s="32">
        <f t="shared" si="28"/>
        <v>0</v>
      </c>
      <c r="L110" s="32">
        <f t="shared" si="29"/>
        <v>59087</v>
      </c>
      <c r="M110" s="32">
        <f>0</f>
        <v>0</v>
      </c>
      <c r="N110" s="32">
        <f t="shared" si="30"/>
        <v>27968394</v>
      </c>
      <c r="O110" s="32">
        <f t="shared" si="31"/>
        <v>3893824</v>
      </c>
      <c r="P110" s="34" t="str">
        <f>IF(NOT(AND(T109="",A110&lt;=S109)),"",IF(FALSE,"繰上返済後再計算","")&amp;IF(AND(入力!$B$13="有効",A110&gt;1,MOD(A110-1,60)=0),IF(FALSE,"・","")&amp;"5年見直し","")&amp;IF(AND(A110=入力!$B$11,A110&gt;1),IF(OR(FALSE,AND(入力!$B$13="有効",A110&gt;1,MOD(A110-1,60)=0)),"・","")&amp;"金利変更","")&amp;IF(AND(OR(AND(入力!$B$13="有効",A110&gt;1,MOD(A110-1,60)=0),AND(A110=入力!$B$11,A110&gt;1)),入力!$B$14="有効",IF(E110=0,ROUND(C110/MAX(1,S109-A110+1),0),ROUND(-PMT(E110/12,MAX(1,S109-A110+1),C110),0))&gt;ROUND(G109*1.25,0),NOT(FALSE)),"・上限適用",""))</f>
        <v/>
      </c>
      <c r="Q110" s="35" t="str">
        <f>IF(AND(T109="",A110&lt;=S109),入力!$B$13,"")</f>
        <v>有効</v>
      </c>
      <c r="R110" s="32" t="str">
        <f>IF(AND(AND(T109="",A110&lt;=S109),OR(AND(入力!$B$13="有効",A110&gt;1,MOD(A110-1,60)=0),AND(A110=入力!$B$11,A110&gt;1)),入力!$B$14="有効"),ROUND(G109*1.25,0),"")</f>
        <v/>
      </c>
      <c r="S110" s="36">
        <f t="shared" si="32"/>
        <v>420</v>
      </c>
      <c r="T110" s="35" t="str">
        <f t="shared" si="33"/>
        <v/>
      </c>
      <c r="U110" s="3">
        <f t="shared" si="17"/>
        <v>0</v>
      </c>
      <c r="V110" s="3">
        <f t="shared" si="18"/>
        <v>0</v>
      </c>
      <c r="W110" s="3">
        <f t="shared" si="19"/>
        <v>0</v>
      </c>
      <c r="X110" s="3">
        <f t="shared" si="20"/>
        <v>0</v>
      </c>
      <c r="Y110" s="3">
        <f>0</f>
        <v>0</v>
      </c>
      <c r="Z110" s="3">
        <f t="shared" si="21"/>
        <v>0</v>
      </c>
      <c r="AA110">
        <f>ROUND(IF(FALSE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,0)</f>
        <v>117478</v>
      </c>
    </row>
    <row r="111" spans="1:27">
      <c r="A111" s="30">
        <f>106</f>
        <v>106</v>
      </c>
      <c r="B111" s="31">
        <f>EDATE(入力!$B$6,A111-1)</f>
        <v>49430</v>
      </c>
      <c r="C111" s="32">
        <f t="shared" si="22"/>
        <v>27968394</v>
      </c>
      <c r="D111" s="32">
        <f t="shared" si="23"/>
        <v>0</v>
      </c>
      <c r="E111" s="33">
        <f>IF(AND(T110="",A111&lt;=S110),IF(A111&lt;入力!$B$11,入力!$B$10,入力!$B$12),0)</f>
        <v>2.5000000000000001E-2</v>
      </c>
      <c r="F111" s="32">
        <f t="shared" si="24"/>
        <v>58267</v>
      </c>
      <c r="G111" s="32">
        <f>ROUND(IF(NOT(AND(T110="",A111&lt;=S110)),0,IF(FALSE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),0)</f>
        <v>117478</v>
      </c>
      <c r="H111" s="32">
        <f t="shared" si="25"/>
        <v>117478</v>
      </c>
      <c r="I111" s="32">
        <f t="shared" si="26"/>
        <v>58267</v>
      </c>
      <c r="J111" s="32">
        <f t="shared" si="27"/>
        <v>0</v>
      </c>
      <c r="K111" s="32">
        <f t="shared" si="28"/>
        <v>0</v>
      </c>
      <c r="L111" s="32">
        <f t="shared" si="29"/>
        <v>59211</v>
      </c>
      <c r="M111" s="32">
        <f>0</f>
        <v>0</v>
      </c>
      <c r="N111" s="32">
        <f t="shared" si="30"/>
        <v>27909183</v>
      </c>
      <c r="O111" s="32">
        <f t="shared" si="31"/>
        <v>3952091</v>
      </c>
      <c r="P111" s="34" t="str">
        <f>IF(NOT(AND(T110="",A111&lt;=S110)),"",IF(FALSE,"繰上返済後再計算","")&amp;IF(AND(入力!$B$13="有効",A111&gt;1,MOD(A111-1,60)=0),IF(FALSE,"・","")&amp;"5年見直し","")&amp;IF(AND(A111=入力!$B$11,A111&gt;1),IF(OR(FALSE,AND(入力!$B$13="有効",A111&gt;1,MOD(A111-1,60)=0)),"・","")&amp;"金利変更","")&amp;IF(AND(OR(AND(入力!$B$13="有効",A111&gt;1,MOD(A111-1,60)=0),AND(A111=入力!$B$11,A111&gt;1)),入力!$B$14="有効",IF(E111=0,ROUND(C111/MAX(1,S110-A111+1),0),ROUND(-PMT(E111/12,MAX(1,S110-A111+1),C111),0))&gt;ROUND(G110*1.25,0),NOT(FALSE)),"・上限適用",""))</f>
        <v/>
      </c>
      <c r="Q111" s="35" t="str">
        <f>IF(AND(T110="",A111&lt;=S110),入力!$B$13,"")</f>
        <v>有効</v>
      </c>
      <c r="R111" s="32" t="str">
        <f>IF(AND(AND(T110="",A111&lt;=S110),OR(AND(入力!$B$13="有効",A111&gt;1,MOD(A111-1,60)=0),AND(A111=入力!$B$11,A111&gt;1)),入力!$B$14="有効"),ROUND(G110*1.25,0),"")</f>
        <v/>
      </c>
      <c r="S111" s="36">
        <f t="shared" si="32"/>
        <v>420</v>
      </c>
      <c r="T111" s="35" t="str">
        <f t="shared" si="33"/>
        <v/>
      </c>
      <c r="U111" s="3">
        <f t="shared" si="17"/>
        <v>0</v>
      </c>
      <c r="V111" s="3">
        <f t="shared" si="18"/>
        <v>0</v>
      </c>
      <c r="W111" s="3">
        <f t="shared" si="19"/>
        <v>0</v>
      </c>
      <c r="X111" s="3">
        <f t="shared" si="20"/>
        <v>0</v>
      </c>
      <c r="Y111" s="3">
        <f>0</f>
        <v>0</v>
      </c>
      <c r="Z111" s="3">
        <f t="shared" si="21"/>
        <v>0</v>
      </c>
      <c r="AA111">
        <f>ROUND(IF(FALSE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,0)</f>
        <v>117478</v>
      </c>
    </row>
    <row r="112" spans="1:27">
      <c r="A112" s="30">
        <f>107</f>
        <v>107</v>
      </c>
      <c r="B112" s="31">
        <f>EDATE(入力!$B$6,A112-1)</f>
        <v>49461</v>
      </c>
      <c r="C112" s="32">
        <f t="shared" si="22"/>
        <v>27909183</v>
      </c>
      <c r="D112" s="32">
        <f t="shared" si="23"/>
        <v>0</v>
      </c>
      <c r="E112" s="33">
        <f>IF(AND(T111="",A112&lt;=S111),IF(A112&lt;入力!$B$11,入力!$B$10,入力!$B$12),0)</f>
        <v>2.5000000000000001E-2</v>
      </c>
      <c r="F112" s="32">
        <f t="shared" si="24"/>
        <v>58144</v>
      </c>
      <c r="G112" s="32">
        <f>ROUND(IF(NOT(AND(T111="",A112&lt;=S111)),0,IF(FALSE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),0)</f>
        <v>117478</v>
      </c>
      <c r="H112" s="32">
        <f t="shared" si="25"/>
        <v>117478</v>
      </c>
      <c r="I112" s="32">
        <f t="shared" si="26"/>
        <v>58144</v>
      </c>
      <c r="J112" s="32">
        <f t="shared" si="27"/>
        <v>0</v>
      </c>
      <c r="K112" s="32">
        <f t="shared" si="28"/>
        <v>0</v>
      </c>
      <c r="L112" s="32">
        <f t="shared" si="29"/>
        <v>59334</v>
      </c>
      <c r="M112" s="32">
        <f>0</f>
        <v>0</v>
      </c>
      <c r="N112" s="32">
        <f t="shared" si="30"/>
        <v>27849849</v>
      </c>
      <c r="O112" s="32">
        <f t="shared" si="31"/>
        <v>4010235</v>
      </c>
      <c r="P112" s="34" t="str">
        <f>IF(NOT(AND(T111="",A112&lt;=S111)),"",IF(FALSE,"繰上返済後再計算","")&amp;IF(AND(入力!$B$13="有効",A112&gt;1,MOD(A112-1,60)=0),IF(FALSE,"・","")&amp;"5年見直し","")&amp;IF(AND(A112=入力!$B$11,A112&gt;1),IF(OR(FALSE,AND(入力!$B$13="有効",A112&gt;1,MOD(A112-1,60)=0)),"・","")&amp;"金利変更","")&amp;IF(AND(OR(AND(入力!$B$13="有効",A112&gt;1,MOD(A112-1,60)=0),AND(A112=入力!$B$11,A112&gt;1)),入力!$B$14="有効",IF(E112=0,ROUND(C112/MAX(1,S111-A112+1),0),ROUND(-PMT(E112/12,MAX(1,S111-A112+1),C112),0))&gt;ROUND(G111*1.25,0),NOT(FALSE)),"・上限適用",""))</f>
        <v/>
      </c>
      <c r="Q112" s="35" t="str">
        <f>IF(AND(T111="",A112&lt;=S111),入力!$B$13,"")</f>
        <v>有効</v>
      </c>
      <c r="R112" s="32" t="str">
        <f>IF(AND(AND(T111="",A112&lt;=S111),OR(AND(入力!$B$13="有効",A112&gt;1,MOD(A112-1,60)=0),AND(A112=入力!$B$11,A112&gt;1)),入力!$B$14="有効"),ROUND(G111*1.25,0),"")</f>
        <v/>
      </c>
      <c r="S112" s="36">
        <f t="shared" si="32"/>
        <v>420</v>
      </c>
      <c r="T112" s="35" t="str">
        <f t="shared" si="33"/>
        <v/>
      </c>
      <c r="U112" s="3">
        <f t="shared" si="17"/>
        <v>0</v>
      </c>
      <c r="V112" s="3">
        <f t="shared" si="18"/>
        <v>0</v>
      </c>
      <c r="W112" s="3">
        <f t="shared" si="19"/>
        <v>0</v>
      </c>
      <c r="X112" s="3">
        <f t="shared" si="20"/>
        <v>0</v>
      </c>
      <c r="Y112" s="3">
        <f>0</f>
        <v>0</v>
      </c>
      <c r="Z112" s="3">
        <f t="shared" si="21"/>
        <v>0</v>
      </c>
      <c r="AA112">
        <f>ROUND(IF(FALSE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,0)</f>
        <v>117478</v>
      </c>
    </row>
    <row r="113" spans="1:27">
      <c r="A113" s="30">
        <f>108</f>
        <v>108</v>
      </c>
      <c r="B113" s="31">
        <f>EDATE(入力!$B$6,A113-1)</f>
        <v>49491</v>
      </c>
      <c r="C113" s="32">
        <f t="shared" si="22"/>
        <v>27849849</v>
      </c>
      <c r="D113" s="32">
        <f t="shared" si="23"/>
        <v>0</v>
      </c>
      <c r="E113" s="33">
        <f>IF(AND(T112="",A113&lt;=S112),IF(A113&lt;入力!$B$11,入力!$B$10,入力!$B$12),0)</f>
        <v>2.5000000000000001E-2</v>
      </c>
      <c r="F113" s="32">
        <f t="shared" si="24"/>
        <v>58021</v>
      </c>
      <c r="G113" s="32">
        <f>ROUND(IF(NOT(AND(T112="",A113&lt;=S112)),0,IF(FALSE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),0)</f>
        <v>117478</v>
      </c>
      <c r="H113" s="32">
        <f t="shared" si="25"/>
        <v>117478</v>
      </c>
      <c r="I113" s="32">
        <f t="shared" si="26"/>
        <v>58021</v>
      </c>
      <c r="J113" s="32">
        <f t="shared" si="27"/>
        <v>0</v>
      </c>
      <c r="K113" s="32">
        <f t="shared" si="28"/>
        <v>0</v>
      </c>
      <c r="L113" s="32">
        <f t="shared" si="29"/>
        <v>59457</v>
      </c>
      <c r="M113" s="32">
        <f>0</f>
        <v>0</v>
      </c>
      <c r="N113" s="32">
        <f t="shared" si="30"/>
        <v>27790392</v>
      </c>
      <c r="O113" s="32">
        <f t="shared" si="31"/>
        <v>4068256</v>
      </c>
      <c r="P113" s="34" t="str">
        <f>IF(NOT(AND(T112="",A113&lt;=S112)),"",IF(FALSE,"繰上返済後再計算","")&amp;IF(AND(入力!$B$13="有効",A113&gt;1,MOD(A113-1,60)=0),IF(FALSE,"・","")&amp;"5年見直し","")&amp;IF(AND(A113=入力!$B$11,A113&gt;1),IF(OR(FALSE,AND(入力!$B$13="有効",A113&gt;1,MOD(A113-1,60)=0)),"・","")&amp;"金利変更","")&amp;IF(AND(OR(AND(入力!$B$13="有効",A113&gt;1,MOD(A113-1,60)=0),AND(A113=入力!$B$11,A113&gt;1)),入力!$B$14="有効",IF(E113=0,ROUND(C113/MAX(1,S112-A113+1),0),ROUND(-PMT(E113/12,MAX(1,S112-A113+1),C113),0))&gt;ROUND(G112*1.25,0),NOT(FALSE)),"・上限適用",""))</f>
        <v/>
      </c>
      <c r="Q113" s="35" t="str">
        <f>IF(AND(T112="",A113&lt;=S112),入力!$B$13,"")</f>
        <v>有効</v>
      </c>
      <c r="R113" s="32" t="str">
        <f>IF(AND(AND(T112="",A113&lt;=S112),OR(AND(入力!$B$13="有効",A113&gt;1,MOD(A113-1,60)=0),AND(A113=入力!$B$11,A113&gt;1)),入力!$B$14="有効"),ROUND(G112*1.25,0),"")</f>
        <v/>
      </c>
      <c r="S113" s="36">
        <f t="shared" si="32"/>
        <v>420</v>
      </c>
      <c r="T113" s="35" t="str">
        <f t="shared" si="33"/>
        <v/>
      </c>
      <c r="U113" s="3">
        <f t="shared" si="17"/>
        <v>0</v>
      </c>
      <c r="V113" s="3">
        <f t="shared" si="18"/>
        <v>0</v>
      </c>
      <c r="W113" s="3">
        <f t="shared" si="19"/>
        <v>0</v>
      </c>
      <c r="X113" s="3">
        <f t="shared" si="20"/>
        <v>0</v>
      </c>
      <c r="Y113" s="3">
        <f>0</f>
        <v>0</v>
      </c>
      <c r="Z113" s="3">
        <f t="shared" si="21"/>
        <v>0</v>
      </c>
      <c r="AA113">
        <f>ROUND(IF(FALSE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,0)</f>
        <v>117478</v>
      </c>
    </row>
    <row r="114" spans="1:27">
      <c r="A114" s="30">
        <f>109</f>
        <v>109</v>
      </c>
      <c r="B114" s="31">
        <f>EDATE(入力!$B$6,A114-1)</f>
        <v>49522</v>
      </c>
      <c r="C114" s="32">
        <f t="shared" si="22"/>
        <v>27790392</v>
      </c>
      <c r="D114" s="32">
        <f t="shared" si="23"/>
        <v>0</v>
      </c>
      <c r="E114" s="33">
        <f>IF(AND(T113="",A114&lt;=S113),IF(A114&lt;入力!$B$11,入力!$B$10,入力!$B$12),0)</f>
        <v>2.5000000000000001E-2</v>
      </c>
      <c r="F114" s="32">
        <f t="shared" si="24"/>
        <v>57897</v>
      </c>
      <c r="G114" s="32">
        <f>ROUND(IF(NOT(AND(T113="",A114&lt;=S113)),0,IF(FALSE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),0)</f>
        <v>117478</v>
      </c>
      <c r="H114" s="32">
        <f t="shared" si="25"/>
        <v>117478</v>
      </c>
      <c r="I114" s="32">
        <f t="shared" si="26"/>
        <v>57897</v>
      </c>
      <c r="J114" s="32">
        <f t="shared" si="27"/>
        <v>0</v>
      </c>
      <c r="K114" s="32">
        <f t="shared" si="28"/>
        <v>0</v>
      </c>
      <c r="L114" s="32">
        <f t="shared" si="29"/>
        <v>59581</v>
      </c>
      <c r="M114" s="32">
        <f>0</f>
        <v>0</v>
      </c>
      <c r="N114" s="32">
        <f t="shared" si="30"/>
        <v>27730811</v>
      </c>
      <c r="O114" s="32">
        <f t="shared" si="31"/>
        <v>4126153</v>
      </c>
      <c r="P114" s="34" t="str">
        <f>IF(NOT(AND(T113="",A114&lt;=S113)),"",IF(FALSE,"繰上返済後再計算","")&amp;IF(AND(入力!$B$13="有効",A114&gt;1,MOD(A114-1,60)=0),IF(FALSE,"・","")&amp;"5年見直し","")&amp;IF(AND(A114=入力!$B$11,A114&gt;1),IF(OR(FALSE,AND(入力!$B$13="有効",A114&gt;1,MOD(A114-1,60)=0)),"・","")&amp;"金利変更","")&amp;IF(AND(OR(AND(入力!$B$13="有効",A114&gt;1,MOD(A114-1,60)=0),AND(A114=入力!$B$11,A114&gt;1)),入力!$B$14="有効",IF(E114=0,ROUND(C114/MAX(1,S113-A114+1),0),ROUND(-PMT(E114/12,MAX(1,S113-A114+1),C114),0))&gt;ROUND(G113*1.25,0),NOT(FALSE)),"・上限適用",""))</f>
        <v/>
      </c>
      <c r="Q114" s="35" t="str">
        <f>IF(AND(T113="",A114&lt;=S113),入力!$B$13,"")</f>
        <v>有効</v>
      </c>
      <c r="R114" s="32" t="str">
        <f>IF(AND(AND(T113="",A114&lt;=S113),OR(AND(入力!$B$13="有効",A114&gt;1,MOD(A114-1,60)=0),AND(A114=入力!$B$11,A114&gt;1)),入力!$B$14="有効"),ROUND(G113*1.25,0),"")</f>
        <v/>
      </c>
      <c r="S114" s="36">
        <f t="shared" si="32"/>
        <v>420</v>
      </c>
      <c r="T114" s="35" t="str">
        <f t="shared" si="33"/>
        <v/>
      </c>
      <c r="U114" s="3">
        <f t="shared" si="17"/>
        <v>0</v>
      </c>
      <c r="V114" s="3">
        <f t="shared" si="18"/>
        <v>0</v>
      </c>
      <c r="W114" s="3">
        <f t="shared" si="19"/>
        <v>0</v>
      </c>
      <c r="X114" s="3">
        <f t="shared" si="20"/>
        <v>0</v>
      </c>
      <c r="Y114" s="3">
        <f>0</f>
        <v>0</v>
      </c>
      <c r="Z114" s="3">
        <f t="shared" si="21"/>
        <v>0</v>
      </c>
      <c r="AA114">
        <f>ROUND(IF(FALSE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,0)</f>
        <v>117478</v>
      </c>
    </row>
    <row r="115" spans="1:27">
      <c r="A115" s="30">
        <f>110</f>
        <v>110</v>
      </c>
      <c r="B115" s="31">
        <f>EDATE(入力!$B$6,A115-1)</f>
        <v>49553</v>
      </c>
      <c r="C115" s="32">
        <f t="shared" si="22"/>
        <v>27730811</v>
      </c>
      <c r="D115" s="32">
        <f t="shared" si="23"/>
        <v>0</v>
      </c>
      <c r="E115" s="33">
        <f>IF(AND(T114="",A115&lt;=S114),IF(A115&lt;入力!$B$11,入力!$B$10,入力!$B$12),0)</f>
        <v>2.5000000000000001E-2</v>
      </c>
      <c r="F115" s="32">
        <f t="shared" si="24"/>
        <v>57773</v>
      </c>
      <c r="G115" s="32">
        <f>ROUND(IF(NOT(AND(T114="",A115&lt;=S114)),0,IF(FALSE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),0)</f>
        <v>117478</v>
      </c>
      <c r="H115" s="32">
        <f t="shared" si="25"/>
        <v>117478</v>
      </c>
      <c r="I115" s="32">
        <f t="shared" si="26"/>
        <v>57773</v>
      </c>
      <c r="J115" s="32">
        <f t="shared" si="27"/>
        <v>0</v>
      </c>
      <c r="K115" s="32">
        <f t="shared" si="28"/>
        <v>0</v>
      </c>
      <c r="L115" s="32">
        <f t="shared" si="29"/>
        <v>59705</v>
      </c>
      <c r="M115" s="32">
        <f>0</f>
        <v>0</v>
      </c>
      <c r="N115" s="32">
        <f t="shared" si="30"/>
        <v>27671106</v>
      </c>
      <c r="O115" s="32">
        <f t="shared" si="31"/>
        <v>4183926</v>
      </c>
      <c r="P115" s="34" t="str">
        <f>IF(NOT(AND(T114="",A115&lt;=S114)),"",IF(FALSE,"繰上返済後再計算","")&amp;IF(AND(入力!$B$13="有効",A115&gt;1,MOD(A115-1,60)=0),IF(FALSE,"・","")&amp;"5年見直し","")&amp;IF(AND(A115=入力!$B$11,A115&gt;1),IF(OR(FALSE,AND(入力!$B$13="有効",A115&gt;1,MOD(A115-1,60)=0)),"・","")&amp;"金利変更","")&amp;IF(AND(OR(AND(入力!$B$13="有効",A115&gt;1,MOD(A115-1,60)=0),AND(A115=入力!$B$11,A115&gt;1)),入力!$B$14="有効",IF(E115=0,ROUND(C115/MAX(1,S114-A115+1),0),ROUND(-PMT(E115/12,MAX(1,S114-A115+1),C115),0))&gt;ROUND(G114*1.25,0),NOT(FALSE)),"・上限適用",""))</f>
        <v/>
      </c>
      <c r="Q115" s="35" t="str">
        <f>IF(AND(T114="",A115&lt;=S114),入力!$B$13,"")</f>
        <v>有効</v>
      </c>
      <c r="R115" s="32" t="str">
        <f>IF(AND(AND(T114="",A115&lt;=S114),OR(AND(入力!$B$13="有効",A115&gt;1,MOD(A115-1,60)=0),AND(A115=入力!$B$11,A115&gt;1)),入力!$B$14="有効"),ROUND(G114*1.25,0),"")</f>
        <v/>
      </c>
      <c r="S115" s="36">
        <f t="shared" si="32"/>
        <v>420</v>
      </c>
      <c r="T115" s="35" t="str">
        <f t="shared" si="33"/>
        <v/>
      </c>
      <c r="U115" s="3">
        <f t="shared" si="17"/>
        <v>0</v>
      </c>
      <c r="V115" s="3">
        <f t="shared" si="18"/>
        <v>0</v>
      </c>
      <c r="W115" s="3">
        <f t="shared" si="19"/>
        <v>0</v>
      </c>
      <c r="X115" s="3">
        <f t="shared" si="20"/>
        <v>0</v>
      </c>
      <c r="Y115" s="3">
        <f>0</f>
        <v>0</v>
      </c>
      <c r="Z115" s="3">
        <f t="shared" si="21"/>
        <v>0</v>
      </c>
      <c r="AA115">
        <f>ROUND(IF(FALSE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,0)</f>
        <v>117478</v>
      </c>
    </row>
    <row r="116" spans="1:27">
      <c r="A116" s="30">
        <f>111</f>
        <v>111</v>
      </c>
      <c r="B116" s="31">
        <f>EDATE(入力!$B$6,A116-1)</f>
        <v>49583</v>
      </c>
      <c r="C116" s="32">
        <f t="shared" si="22"/>
        <v>27671106</v>
      </c>
      <c r="D116" s="32">
        <f t="shared" si="23"/>
        <v>0</v>
      </c>
      <c r="E116" s="33">
        <f>IF(AND(T115="",A116&lt;=S115),IF(A116&lt;入力!$B$11,入力!$B$10,入力!$B$12),0)</f>
        <v>2.5000000000000001E-2</v>
      </c>
      <c r="F116" s="32">
        <f t="shared" si="24"/>
        <v>57648</v>
      </c>
      <c r="G116" s="32">
        <f>ROUND(IF(NOT(AND(T115="",A116&lt;=S115)),0,IF(FALSE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),0)</f>
        <v>117478</v>
      </c>
      <c r="H116" s="32">
        <f t="shared" si="25"/>
        <v>117478</v>
      </c>
      <c r="I116" s="32">
        <f t="shared" si="26"/>
        <v>57648</v>
      </c>
      <c r="J116" s="32">
        <f t="shared" si="27"/>
        <v>0</v>
      </c>
      <c r="K116" s="32">
        <f t="shared" si="28"/>
        <v>0</v>
      </c>
      <c r="L116" s="32">
        <f t="shared" si="29"/>
        <v>59830</v>
      </c>
      <c r="M116" s="32">
        <f>0</f>
        <v>0</v>
      </c>
      <c r="N116" s="32">
        <f t="shared" si="30"/>
        <v>27611276</v>
      </c>
      <c r="O116" s="32">
        <f t="shared" si="31"/>
        <v>4241574</v>
      </c>
      <c r="P116" s="34" t="str">
        <f>IF(NOT(AND(T115="",A116&lt;=S115)),"",IF(FALSE,"繰上返済後再計算","")&amp;IF(AND(入力!$B$13="有効",A116&gt;1,MOD(A116-1,60)=0),IF(FALSE,"・","")&amp;"5年見直し","")&amp;IF(AND(A116=入力!$B$11,A116&gt;1),IF(OR(FALSE,AND(入力!$B$13="有効",A116&gt;1,MOD(A116-1,60)=0)),"・","")&amp;"金利変更","")&amp;IF(AND(OR(AND(入力!$B$13="有効",A116&gt;1,MOD(A116-1,60)=0),AND(A116=入力!$B$11,A116&gt;1)),入力!$B$14="有効",IF(E116=0,ROUND(C116/MAX(1,S115-A116+1),0),ROUND(-PMT(E116/12,MAX(1,S115-A116+1),C116),0))&gt;ROUND(G115*1.25,0),NOT(FALSE)),"・上限適用",""))</f>
        <v/>
      </c>
      <c r="Q116" s="35" t="str">
        <f>IF(AND(T115="",A116&lt;=S115),入力!$B$13,"")</f>
        <v>有効</v>
      </c>
      <c r="R116" s="32" t="str">
        <f>IF(AND(AND(T115="",A116&lt;=S115),OR(AND(入力!$B$13="有効",A116&gt;1,MOD(A116-1,60)=0),AND(A116=入力!$B$11,A116&gt;1)),入力!$B$14="有効"),ROUND(G115*1.25,0),"")</f>
        <v/>
      </c>
      <c r="S116" s="36">
        <f t="shared" si="32"/>
        <v>420</v>
      </c>
      <c r="T116" s="35" t="str">
        <f t="shared" si="33"/>
        <v/>
      </c>
      <c r="U116" s="3">
        <f t="shared" si="17"/>
        <v>0</v>
      </c>
      <c r="V116" s="3">
        <f t="shared" si="18"/>
        <v>0</v>
      </c>
      <c r="W116" s="3">
        <f t="shared" si="19"/>
        <v>0</v>
      </c>
      <c r="X116" s="3">
        <f t="shared" si="20"/>
        <v>0</v>
      </c>
      <c r="Y116" s="3">
        <f>0</f>
        <v>0</v>
      </c>
      <c r="Z116" s="3">
        <f t="shared" si="21"/>
        <v>0</v>
      </c>
      <c r="AA116">
        <f>ROUND(IF(FALSE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,0)</f>
        <v>117478</v>
      </c>
    </row>
    <row r="117" spans="1:27">
      <c r="A117" s="30">
        <f>112</f>
        <v>112</v>
      </c>
      <c r="B117" s="31">
        <f>EDATE(入力!$B$6,A117-1)</f>
        <v>49614</v>
      </c>
      <c r="C117" s="32">
        <f t="shared" si="22"/>
        <v>27611276</v>
      </c>
      <c r="D117" s="32">
        <f t="shared" si="23"/>
        <v>0</v>
      </c>
      <c r="E117" s="33">
        <f>IF(AND(T116="",A117&lt;=S116),IF(A117&lt;入力!$B$11,入力!$B$10,入力!$B$12),0)</f>
        <v>2.5000000000000001E-2</v>
      </c>
      <c r="F117" s="32">
        <f t="shared" si="24"/>
        <v>57523</v>
      </c>
      <c r="G117" s="32">
        <f>ROUND(IF(NOT(AND(T116="",A117&lt;=S116)),0,IF(FALSE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),0)</f>
        <v>117478</v>
      </c>
      <c r="H117" s="32">
        <f t="shared" si="25"/>
        <v>117478</v>
      </c>
      <c r="I117" s="32">
        <f t="shared" si="26"/>
        <v>57523</v>
      </c>
      <c r="J117" s="32">
        <f t="shared" si="27"/>
        <v>0</v>
      </c>
      <c r="K117" s="32">
        <f t="shared" si="28"/>
        <v>0</v>
      </c>
      <c r="L117" s="32">
        <f t="shared" si="29"/>
        <v>59955</v>
      </c>
      <c r="M117" s="32">
        <f>0</f>
        <v>0</v>
      </c>
      <c r="N117" s="32">
        <f t="shared" si="30"/>
        <v>27551321</v>
      </c>
      <c r="O117" s="32">
        <f t="shared" si="31"/>
        <v>4299097</v>
      </c>
      <c r="P117" s="34" t="str">
        <f>IF(NOT(AND(T116="",A117&lt;=S116)),"",IF(FALSE,"繰上返済後再計算","")&amp;IF(AND(入力!$B$13="有効",A117&gt;1,MOD(A117-1,60)=0),IF(FALSE,"・","")&amp;"5年見直し","")&amp;IF(AND(A117=入力!$B$11,A117&gt;1),IF(OR(FALSE,AND(入力!$B$13="有効",A117&gt;1,MOD(A117-1,60)=0)),"・","")&amp;"金利変更","")&amp;IF(AND(OR(AND(入力!$B$13="有効",A117&gt;1,MOD(A117-1,60)=0),AND(A117=入力!$B$11,A117&gt;1)),入力!$B$14="有効",IF(E117=0,ROUND(C117/MAX(1,S116-A117+1),0),ROUND(-PMT(E117/12,MAX(1,S116-A117+1),C117),0))&gt;ROUND(G116*1.25,0),NOT(FALSE)),"・上限適用",""))</f>
        <v/>
      </c>
      <c r="Q117" s="35" t="str">
        <f>IF(AND(T116="",A117&lt;=S116),入力!$B$13,"")</f>
        <v>有効</v>
      </c>
      <c r="R117" s="32" t="str">
        <f>IF(AND(AND(T116="",A117&lt;=S116),OR(AND(入力!$B$13="有効",A117&gt;1,MOD(A117-1,60)=0),AND(A117=入力!$B$11,A117&gt;1)),入力!$B$14="有効"),ROUND(G116*1.25,0),"")</f>
        <v/>
      </c>
      <c r="S117" s="36">
        <f t="shared" si="32"/>
        <v>420</v>
      </c>
      <c r="T117" s="35" t="str">
        <f t="shared" si="33"/>
        <v/>
      </c>
      <c r="U117" s="3">
        <f t="shared" si="17"/>
        <v>0</v>
      </c>
      <c r="V117" s="3">
        <f t="shared" si="18"/>
        <v>0</v>
      </c>
      <c r="W117" s="3">
        <f t="shared" si="19"/>
        <v>0</v>
      </c>
      <c r="X117" s="3">
        <f t="shared" si="20"/>
        <v>0</v>
      </c>
      <c r="Y117" s="3">
        <f>0</f>
        <v>0</v>
      </c>
      <c r="Z117" s="3">
        <f t="shared" si="21"/>
        <v>0</v>
      </c>
      <c r="AA117">
        <f>ROUND(IF(FALSE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,0)</f>
        <v>117478</v>
      </c>
    </row>
    <row r="118" spans="1:27">
      <c r="A118" s="30">
        <f>113</f>
        <v>113</v>
      </c>
      <c r="B118" s="31">
        <f>EDATE(入力!$B$6,A118-1)</f>
        <v>49644</v>
      </c>
      <c r="C118" s="32">
        <f t="shared" si="22"/>
        <v>27551321</v>
      </c>
      <c r="D118" s="32">
        <f t="shared" si="23"/>
        <v>0</v>
      </c>
      <c r="E118" s="33">
        <f>IF(AND(T117="",A118&lt;=S117),IF(A118&lt;入力!$B$11,入力!$B$10,入力!$B$12),0)</f>
        <v>2.5000000000000001E-2</v>
      </c>
      <c r="F118" s="32">
        <f t="shared" si="24"/>
        <v>57399</v>
      </c>
      <c r="G118" s="32">
        <f>ROUND(IF(NOT(AND(T117="",A118&lt;=S117)),0,IF(FALSE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),0)</f>
        <v>117478</v>
      </c>
      <c r="H118" s="32">
        <f t="shared" si="25"/>
        <v>117478</v>
      </c>
      <c r="I118" s="32">
        <f t="shared" si="26"/>
        <v>57399</v>
      </c>
      <c r="J118" s="32">
        <f t="shared" si="27"/>
        <v>0</v>
      </c>
      <c r="K118" s="32">
        <f t="shared" si="28"/>
        <v>0</v>
      </c>
      <c r="L118" s="32">
        <f t="shared" si="29"/>
        <v>60079</v>
      </c>
      <c r="M118" s="32">
        <f>0</f>
        <v>0</v>
      </c>
      <c r="N118" s="32">
        <f t="shared" si="30"/>
        <v>27491242</v>
      </c>
      <c r="O118" s="32">
        <f t="shared" si="31"/>
        <v>4356496</v>
      </c>
      <c r="P118" s="34" t="str">
        <f>IF(NOT(AND(T117="",A118&lt;=S117)),"",IF(FALSE,"繰上返済後再計算","")&amp;IF(AND(入力!$B$13="有効",A118&gt;1,MOD(A118-1,60)=0),IF(FALSE,"・","")&amp;"5年見直し","")&amp;IF(AND(A118=入力!$B$11,A118&gt;1),IF(OR(FALSE,AND(入力!$B$13="有効",A118&gt;1,MOD(A118-1,60)=0)),"・","")&amp;"金利変更","")&amp;IF(AND(OR(AND(入力!$B$13="有効",A118&gt;1,MOD(A118-1,60)=0),AND(A118=入力!$B$11,A118&gt;1)),入力!$B$14="有効",IF(E118=0,ROUND(C118/MAX(1,S117-A118+1),0),ROUND(-PMT(E118/12,MAX(1,S117-A118+1),C118),0))&gt;ROUND(G117*1.25,0),NOT(FALSE)),"・上限適用",""))</f>
        <v/>
      </c>
      <c r="Q118" s="35" t="str">
        <f>IF(AND(T117="",A118&lt;=S117),入力!$B$13,"")</f>
        <v>有効</v>
      </c>
      <c r="R118" s="32" t="str">
        <f>IF(AND(AND(T117="",A118&lt;=S117),OR(AND(入力!$B$13="有効",A118&gt;1,MOD(A118-1,60)=0),AND(A118=入力!$B$11,A118&gt;1)),入力!$B$14="有効"),ROUND(G117*1.25,0),"")</f>
        <v/>
      </c>
      <c r="S118" s="36">
        <f t="shared" si="32"/>
        <v>420</v>
      </c>
      <c r="T118" s="35" t="str">
        <f t="shared" si="33"/>
        <v/>
      </c>
      <c r="U118" s="3">
        <f t="shared" si="17"/>
        <v>0</v>
      </c>
      <c r="V118" s="3">
        <f t="shared" si="18"/>
        <v>0</v>
      </c>
      <c r="W118" s="3">
        <f t="shared" si="19"/>
        <v>0</v>
      </c>
      <c r="X118" s="3">
        <f t="shared" si="20"/>
        <v>0</v>
      </c>
      <c r="Y118" s="3">
        <f>0</f>
        <v>0</v>
      </c>
      <c r="Z118" s="3">
        <f t="shared" si="21"/>
        <v>0</v>
      </c>
      <c r="AA118">
        <f>ROUND(IF(FALSE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,0)</f>
        <v>117478</v>
      </c>
    </row>
    <row r="119" spans="1:27">
      <c r="A119" s="30">
        <f>114</f>
        <v>114</v>
      </c>
      <c r="B119" s="31">
        <f>EDATE(入力!$B$6,A119-1)</f>
        <v>49675</v>
      </c>
      <c r="C119" s="32">
        <f t="shared" si="22"/>
        <v>27491242</v>
      </c>
      <c r="D119" s="32">
        <f t="shared" si="23"/>
        <v>0</v>
      </c>
      <c r="E119" s="33">
        <f>IF(AND(T118="",A119&lt;=S118),IF(A119&lt;入力!$B$11,入力!$B$10,入力!$B$12),0)</f>
        <v>2.5000000000000001E-2</v>
      </c>
      <c r="F119" s="32">
        <f t="shared" si="24"/>
        <v>57273</v>
      </c>
      <c r="G119" s="32">
        <f>ROUND(IF(NOT(AND(T118="",A119&lt;=S118)),0,IF(FALSE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),0)</f>
        <v>117478</v>
      </c>
      <c r="H119" s="32">
        <f t="shared" si="25"/>
        <v>117478</v>
      </c>
      <c r="I119" s="32">
        <f t="shared" si="26"/>
        <v>57273</v>
      </c>
      <c r="J119" s="32">
        <f t="shared" si="27"/>
        <v>0</v>
      </c>
      <c r="K119" s="32">
        <f t="shared" si="28"/>
        <v>0</v>
      </c>
      <c r="L119" s="32">
        <f t="shared" si="29"/>
        <v>60205</v>
      </c>
      <c r="M119" s="32">
        <f>0</f>
        <v>0</v>
      </c>
      <c r="N119" s="32">
        <f t="shared" si="30"/>
        <v>27431037</v>
      </c>
      <c r="O119" s="32">
        <f t="shared" si="31"/>
        <v>4413769</v>
      </c>
      <c r="P119" s="34" t="str">
        <f>IF(NOT(AND(T118="",A119&lt;=S118)),"",IF(FALSE,"繰上返済後再計算","")&amp;IF(AND(入力!$B$13="有効",A119&gt;1,MOD(A119-1,60)=0),IF(FALSE,"・","")&amp;"5年見直し","")&amp;IF(AND(A119=入力!$B$11,A119&gt;1),IF(OR(FALSE,AND(入力!$B$13="有効",A119&gt;1,MOD(A119-1,60)=0)),"・","")&amp;"金利変更","")&amp;IF(AND(OR(AND(入力!$B$13="有効",A119&gt;1,MOD(A119-1,60)=0),AND(A119=入力!$B$11,A119&gt;1)),入力!$B$14="有効",IF(E119=0,ROUND(C119/MAX(1,S118-A119+1),0),ROUND(-PMT(E119/12,MAX(1,S118-A119+1),C119),0))&gt;ROUND(G118*1.25,0),NOT(FALSE)),"・上限適用",""))</f>
        <v/>
      </c>
      <c r="Q119" s="35" t="str">
        <f>IF(AND(T118="",A119&lt;=S118),入力!$B$13,"")</f>
        <v>有効</v>
      </c>
      <c r="R119" s="32" t="str">
        <f>IF(AND(AND(T118="",A119&lt;=S118),OR(AND(入力!$B$13="有効",A119&gt;1,MOD(A119-1,60)=0),AND(A119=入力!$B$11,A119&gt;1)),入力!$B$14="有効"),ROUND(G118*1.25,0),"")</f>
        <v/>
      </c>
      <c r="S119" s="36">
        <f t="shared" si="32"/>
        <v>420</v>
      </c>
      <c r="T119" s="35" t="str">
        <f t="shared" si="33"/>
        <v/>
      </c>
      <c r="U119" s="3">
        <f t="shared" si="17"/>
        <v>0</v>
      </c>
      <c r="V119" s="3">
        <f t="shared" si="18"/>
        <v>0</v>
      </c>
      <c r="W119" s="3">
        <f t="shared" si="19"/>
        <v>0</v>
      </c>
      <c r="X119" s="3">
        <f t="shared" si="20"/>
        <v>0</v>
      </c>
      <c r="Y119" s="3">
        <f>0</f>
        <v>0</v>
      </c>
      <c r="Z119" s="3">
        <f t="shared" si="21"/>
        <v>0</v>
      </c>
      <c r="AA119">
        <f>ROUND(IF(FALSE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,0)</f>
        <v>117478</v>
      </c>
    </row>
    <row r="120" spans="1:27">
      <c r="A120" s="30">
        <f>115</f>
        <v>115</v>
      </c>
      <c r="B120" s="31">
        <f>EDATE(入力!$B$6,A120-1)</f>
        <v>49706</v>
      </c>
      <c r="C120" s="32">
        <f t="shared" si="22"/>
        <v>27431037</v>
      </c>
      <c r="D120" s="32">
        <f t="shared" si="23"/>
        <v>0</v>
      </c>
      <c r="E120" s="33">
        <f>IF(AND(T119="",A120&lt;=S119),IF(A120&lt;入力!$B$11,入力!$B$10,入力!$B$12),0)</f>
        <v>2.5000000000000001E-2</v>
      </c>
      <c r="F120" s="32">
        <f t="shared" si="24"/>
        <v>57148</v>
      </c>
      <c r="G120" s="32">
        <f>ROUND(IF(NOT(AND(T119="",A120&lt;=S119)),0,IF(FALSE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),0)</f>
        <v>117478</v>
      </c>
      <c r="H120" s="32">
        <f t="shared" si="25"/>
        <v>117478</v>
      </c>
      <c r="I120" s="32">
        <f t="shared" si="26"/>
        <v>57148</v>
      </c>
      <c r="J120" s="32">
        <f t="shared" si="27"/>
        <v>0</v>
      </c>
      <c r="K120" s="32">
        <f t="shared" si="28"/>
        <v>0</v>
      </c>
      <c r="L120" s="32">
        <f t="shared" si="29"/>
        <v>60330</v>
      </c>
      <c r="M120" s="32">
        <f>0</f>
        <v>0</v>
      </c>
      <c r="N120" s="32">
        <f t="shared" si="30"/>
        <v>27370707</v>
      </c>
      <c r="O120" s="32">
        <f t="shared" si="31"/>
        <v>4470917</v>
      </c>
      <c r="P120" s="34" t="str">
        <f>IF(NOT(AND(T119="",A120&lt;=S119)),"",IF(FALSE,"繰上返済後再計算","")&amp;IF(AND(入力!$B$13="有効",A120&gt;1,MOD(A120-1,60)=0),IF(FALSE,"・","")&amp;"5年見直し","")&amp;IF(AND(A120=入力!$B$11,A120&gt;1),IF(OR(FALSE,AND(入力!$B$13="有効",A120&gt;1,MOD(A120-1,60)=0)),"・","")&amp;"金利変更","")&amp;IF(AND(OR(AND(入力!$B$13="有効",A120&gt;1,MOD(A120-1,60)=0),AND(A120=入力!$B$11,A120&gt;1)),入力!$B$14="有効",IF(E120=0,ROUND(C120/MAX(1,S119-A120+1),0),ROUND(-PMT(E120/12,MAX(1,S119-A120+1),C120),0))&gt;ROUND(G119*1.25,0),NOT(FALSE)),"・上限適用",""))</f>
        <v/>
      </c>
      <c r="Q120" s="35" t="str">
        <f>IF(AND(T119="",A120&lt;=S119),入力!$B$13,"")</f>
        <v>有効</v>
      </c>
      <c r="R120" s="32" t="str">
        <f>IF(AND(AND(T119="",A120&lt;=S119),OR(AND(入力!$B$13="有効",A120&gt;1,MOD(A120-1,60)=0),AND(A120=入力!$B$11,A120&gt;1)),入力!$B$14="有効"),ROUND(G119*1.25,0),"")</f>
        <v/>
      </c>
      <c r="S120" s="36">
        <f t="shared" si="32"/>
        <v>420</v>
      </c>
      <c r="T120" s="35" t="str">
        <f t="shared" si="33"/>
        <v/>
      </c>
      <c r="U120" s="3">
        <f t="shared" si="17"/>
        <v>0</v>
      </c>
      <c r="V120" s="3">
        <f t="shared" si="18"/>
        <v>0</v>
      </c>
      <c r="W120" s="3">
        <f t="shared" si="19"/>
        <v>0</v>
      </c>
      <c r="X120" s="3">
        <f t="shared" si="20"/>
        <v>0</v>
      </c>
      <c r="Y120" s="3">
        <f>0</f>
        <v>0</v>
      </c>
      <c r="Z120" s="3">
        <f t="shared" si="21"/>
        <v>0</v>
      </c>
      <c r="AA120">
        <f>ROUND(IF(FALSE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,0)</f>
        <v>117478</v>
      </c>
    </row>
    <row r="121" spans="1:27">
      <c r="A121" s="30">
        <f>116</f>
        <v>116</v>
      </c>
      <c r="B121" s="31">
        <f>EDATE(入力!$B$6,A121-1)</f>
        <v>49735</v>
      </c>
      <c r="C121" s="32">
        <f t="shared" si="22"/>
        <v>27370707</v>
      </c>
      <c r="D121" s="32">
        <f t="shared" si="23"/>
        <v>0</v>
      </c>
      <c r="E121" s="33">
        <f>IF(AND(T120="",A121&lt;=S120),IF(A121&lt;入力!$B$11,入力!$B$10,入力!$B$12),0)</f>
        <v>2.5000000000000001E-2</v>
      </c>
      <c r="F121" s="32">
        <f t="shared" si="24"/>
        <v>57022</v>
      </c>
      <c r="G121" s="32">
        <f>ROUND(IF(NOT(AND(T120="",A121&lt;=S120)),0,IF(FALSE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),0)</f>
        <v>117478</v>
      </c>
      <c r="H121" s="32">
        <f t="shared" si="25"/>
        <v>117478</v>
      </c>
      <c r="I121" s="32">
        <f t="shared" si="26"/>
        <v>57022</v>
      </c>
      <c r="J121" s="32">
        <f t="shared" si="27"/>
        <v>0</v>
      </c>
      <c r="K121" s="32">
        <f t="shared" si="28"/>
        <v>0</v>
      </c>
      <c r="L121" s="32">
        <f t="shared" si="29"/>
        <v>60456</v>
      </c>
      <c r="M121" s="32">
        <f>0</f>
        <v>0</v>
      </c>
      <c r="N121" s="32">
        <f t="shared" si="30"/>
        <v>27310251</v>
      </c>
      <c r="O121" s="32">
        <f t="shared" si="31"/>
        <v>4527939</v>
      </c>
      <c r="P121" s="34" t="str">
        <f>IF(NOT(AND(T120="",A121&lt;=S120)),"",IF(FALSE,"繰上返済後再計算","")&amp;IF(AND(入力!$B$13="有効",A121&gt;1,MOD(A121-1,60)=0),IF(FALSE,"・","")&amp;"5年見直し","")&amp;IF(AND(A121=入力!$B$11,A121&gt;1),IF(OR(FALSE,AND(入力!$B$13="有効",A121&gt;1,MOD(A121-1,60)=0)),"・","")&amp;"金利変更","")&amp;IF(AND(OR(AND(入力!$B$13="有効",A121&gt;1,MOD(A121-1,60)=0),AND(A121=入力!$B$11,A121&gt;1)),入力!$B$14="有効",IF(E121=0,ROUND(C121/MAX(1,S120-A121+1),0),ROUND(-PMT(E121/12,MAX(1,S120-A121+1),C121),0))&gt;ROUND(G120*1.25,0),NOT(FALSE)),"・上限適用",""))</f>
        <v/>
      </c>
      <c r="Q121" s="35" t="str">
        <f>IF(AND(T120="",A121&lt;=S120),入力!$B$13,"")</f>
        <v>有効</v>
      </c>
      <c r="R121" s="32" t="str">
        <f>IF(AND(AND(T120="",A121&lt;=S120),OR(AND(入力!$B$13="有効",A121&gt;1,MOD(A121-1,60)=0),AND(A121=入力!$B$11,A121&gt;1)),入力!$B$14="有効"),ROUND(G120*1.25,0),"")</f>
        <v/>
      </c>
      <c r="S121" s="36">
        <f t="shared" si="32"/>
        <v>420</v>
      </c>
      <c r="T121" s="35" t="str">
        <f t="shared" si="33"/>
        <v/>
      </c>
      <c r="U121" s="3">
        <f t="shared" si="17"/>
        <v>0</v>
      </c>
      <c r="V121" s="3">
        <f t="shared" si="18"/>
        <v>0</v>
      </c>
      <c r="W121" s="3">
        <f t="shared" si="19"/>
        <v>0</v>
      </c>
      <c r="X121" s="3">
        <f t="shared" si="20"/>
        <v>0</v>
      </c>
      <c r="Y121" s="3">
        <f>0</f>
        <v>0</v>
      </c>
      <c r="Z121" s="3">
        <f t="shared" si="21"/>
        <v>0</v>
      </c>
      <c r="AA121">
        <f>ROUND(IF(FALSE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,0)</f>
        <v>117478</v>
      </c>
    </row>
    <row r="122" spans="1:27">
      <c r="A122" s="30">
        <f>117</f>
        <v>117</v>
      </c>
      <c r="B122" s="31">
        <f>EDATE(入力!$B$6,A122-1)</f>
        <v>49766</v>
      </c>
      <c r="C122" s="32">
        <f t="shared" si="22"/>
        <v>27310251</v>
      </c>
      <c r="D122" s="32">
        <f t="shared" si="23"/>
        <v>0</v>
      </c>
      <c r="E122" s="33">
        <f>IF(AND(T121="",A122&lt;=S121),IF(A122&lt;入力!$B$11,入力!$B$10,入力!$B$12),0)</f>
        <v>2.5000000000000001E-2</v>
      </c>
      <c r="F122" s="32">
        <f t="shared" si="24"/>
        <v>56896</v>
      </c>
      <c r="G122" s="32">
        <f>ROUND(IF(NOT(AND(T121="",A122&lt;=S121)),0,IF(FALSE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),0)</f>
        <v>117478</v>
      </c>
      <c r="H122" s="32">
        <f t="shared" si="25"/>
        <v>117478</v>
      </c>
      <c r="I122" s="32">
        <f t="shared" si="26"/>
        <v>56896</v>
      </c>
      <c r="J122" s="32">
        <f t="shared" si="27"/>
        <v>0</v>
      </c>
      <c r="K122" s="32">
        <f t="shared" si="28"/>
        <v>0</v>
      </c>
      <c r="L122" s="32">
        <f t="shared" si="29"/>
        <v>60582</v>
      </c>
      <c r="M122" s="32">
        <f>0</f>
        <v>0</v>
      </c>
      <c r="N122" s="32">
        <f t="shared" si="30"/>
        <v>27249669</v>
      </c>
      <c r="O122" s="32">
        <f t="shared" si="31"/>
        <v>4584835</v>
      </c>
      <c r="P122" s="34" t="str">
        <f>IF(NOT(AND(T121="",A122&lt;=S121)),"",IF(FALSE,"繰上返済後再計算","")&amp;IF(AND(入力!$B$13="有効",A122&gt;1,MOD(A122-1,60)=0),IF(FALSE,"・","")&amp;"5年見直し","")&amp;IF(AND(A122=入力!$B$11,A122&gt;1),IF(OR(FALSE,AND(入力!$B$13="有効",A122&gt;1,MOD(A122-1,60)=0)),"・","")&amp;"金利変更","")&amp;IF(AND(OR(AND(入力!$B$13="有効",A122&gt;1,MOD(A122-1,60)=0),AND(A122=入力!$B$11,A122&gt;1)),入力!$B$14="有効",IF(E122=0,ROUND(C122/MAX(1,S121-A122+1),0),ROUND(-PMT(E122/12,MAX(1,S121-A122+1),C122),0))&gt;ROUND(G121*1.25,0),NOT(FALSE)),"・上限適用",""))</f>
        <v/>
      </c>
      <c r="Q122" s="35" t="str">
        <f>IF(AND(T121="",A122&lt;=S121),入力!$B$13,"")</f>
        <v>有効</v>
      </c>
      <c r="R122" s="32" t="str">
        <f>IF(AND(AND(T121="",A122&lt;=S121),OR(AND(入力!$B$13="有効",A122&gt;1,MOD(A122-1,60)=0),AND(A122=入力!$B$11,A122&gt;1)),入力!$B$14="有効"),ROUND(G121*1.25,0),"")</f>
        <v/>
      </c>
      <c r="S122" s="36">
        <f t="shared" si="32"/>
        <v>420</v>
      </c>
      <c r="T122" s="35" t="str">
        <f t="shared" si="33"/>
        <v/>
      </c>
      <c r="U122" s="3">
        <f t="shared" si="17"/>
        <v>0</v>
      </c>
      <c r="V122" s="3">
        <f t="shared" si="18"/>
        <v>0</v>
      </c>
      <c r="W122" s="3">
        <f t="shared" si="19"/>
        <v>0</v>
      </c>
      <c r="X122" s="3">
        <f t="shared" si="20"/>
        <v>0</v>
      </c>
      <c r="Y122" s="3">
        <f>0</f>
        <v>0</v>
      </c>
      <c r="Z122" s="3">
        <f t="shared" si="21"/>
        <v>0</v>
      </c>
      <c r="AA122">
        <f>ROUND(IF(FALSE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,0)</f>
        <v>117478</v>
      </c>
    </row>
    <row r="123" spans="1:27">
      <c r="A123" s="30">
        <f>118</f>
        <v>118</v>
      </c>
      <c r="B123" s="31">
        <f>EDATE(入力!$B$6,A123-1)</f>
        <v>49796</v>
      </c>
      <c r="C123" s="32">
        <f t="shared" si="22"/>
        <v>27249669</v>
      </c>
      <c r="D123" s="32">
        <f t="shared" si="23"/>
        <v>0</v>
      </c>
      <c r="E123" s="33">
        <f>IF(AND(T122="",A123&lt;=S122),IF(A123&lt;入力!$B$11,入力!$B$10,入力!$B$12),0)</f>
        <v>2.5000000000000001E-2</v>
      </c>
      <c r="F123" s="32">
        <f t="shared" si="24"/>
        <v>56770</v>
      </c>
      <c r="G123" s="32">
        <f>ROUND(IF(NOT(AND(T122="",A123&lt;=S122)),0,IF(FALSE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),0)</f>
        <v>117478</v>
      </c>
      <c r="H123" s="32">
        <f t="shared" si="25"/>
        <v>117478</v>
      </c>
      <c r="I123" s="32">
        <f t="shared" si="26"/>
        <v>56770</v>
      </c>
      <c r="J123" s="32">
        <f t="shared" si="27"/>
        <v>0</v>
      </c>
      <c r="K123" s="32">
        <f t="shared" si="28"/>
        <v>0</v>
      </c>
      <c r="L123" s="32">
        <f t="shared" si="29"/>
        <v>60708</v>
      </c>
      <c r="M123" s="32">
        <f>0</f>
        <v>0</v>
      </c>
      <c r="N123" s="32">
        <f t="shared" si="30"/>
        <v>27188961</v>
      </c>
      <c r="O123" s="32">
        <f t="shared" si="31"/>
        <v>4641605</v>
      </c>
      <c r="P123" s="34" t="str">
        <f>IF(NOT(AND(T122="",A123&lt;=S122)),"",IF(FALSE,"繰上返済後再計算","")&amp;IF(AND(入力!$B$13="有効",A123&gt;1,MOD(A123-1,60)=0),IF(FALSE,"・","")&amp;"5年見直し","")&amp;IF(AND(A123=入力!$B$11,A123&gt;1),IF(OR(FALSE,AND(入力!$B$13="有効",A123&gt;1,MOD(A123-1,60)=0)),"・","")&amp;"金利変更","")&amp;IF(AND(OR(AND(入力!$B$13="有効",A123&gt;1,MOD(A123-1,60)=0),AND(A123=入力!$B$11,A123&gt;1)),入力!$B$14="有効",IF(E123=0,ROUND(C123/MAX(1,S122-A123+1),0),ROUND(-PMT(E123/12,MAX(1,S122-A123+1),C123),0))&gt;ROUND(G122*1.25,0),NOT(FALSE)),"・上限適用",""))</f>
        <v/>
      </c>
      <c r="Q123" s="35" t="str">
        <f>IF(AND(T122="",A123&lt;=S122),入力!$B$13,"")</f>
        <v>有効</v>
      </c>
      <c r="R123" s="32" t="str">
        <f>IF(AND(AND(T122="",A123&lt;=S122),OR(AND(入力!$B$13="有効",A123&gt;1,MOD(A123-1,60)=0),AND(A123=入力!$B$11,A123&gt;1)),入力!$B$14="有効"),ROUND(G122*1.25,0),"")</f>
        <v/>
      </c>
      <c r="S123" s="36">
        <f t="shared" si="32"/>
        <v>420</v>
      </c>
      <c r="T123" s="35" t="str">
        <f t="shared" si="33"/>
        <v/>
      </c>
      <c r="U123" s="3">
        <f t="shared" si="17"/>
        <v>0</v>
      </c>
      <c r="V123" s="3">
        <f t="shared" si="18"/>
        <v>0</v>
      </c>
      <c r="W123" s="3">
        <f t="shared" si="19"/>
        <v>0</v>
      </c>
      <c r="X123" s="3">
        <f t="shared" si="20"/>
        <v>0</v>
      </c>
      <c r="Y123" s="3">
        <f>0</f>
        <v>0</v>
      </c>
      <c r="Z123" s="3">
        <f t="shared" si="21"/>
        <v>0</v>
      </c>
      <c r="AA123">
        <f>ROUND(IF(FALSE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,0)</f>
        <v>117478</v>
      </c>
    </row>
    <row r="124" spans="1:27">
      <c r="A124" s="30">
        <f>119</f>
        <v>119</v>
      </c>
      <c r="B124" s="31">
        <f>EDATE(入力!$B$6,A124-1)</f>
        <v>49827</v>
      </c>
      <c r="C124" s="32">
        <f t="shared" si="22"/>
        <v>27188961</v>
      </c>
      <c r="D124" s="32">
        <f t="shared" si="23"/>
        <v>0</v>
      </c>
      <c r="E124" s="33">
        <f>IF(AND(T123="",A124&lt;=S123),IF(A124&lt;入力!$B$11,入力!$B$10,入力!$B$12),0)</f>
        <v>2.5000000000000001E-2</v>
      </c>
      <c r="F124" s="32">
        <f t="shared" si="24"/>
        <v>56644</v>
      </c>
      <c r="G124" s="32">
        <f>ROUND(IF(NOT(AND(T123="",A124&lt;=S123)),0,IF(FALSE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),0)</f>
        <v>117478</v>
      </c>
      <c r="H124" s="32">
        <f t="shared" si="25"/>
        <v>117478</v>
      </c>
      <c r="I124" s="32">
        <f t="shared" si="26"/>
        <v>56644</v>
      </c>
      <c r="J124" s="32">
        <f t="shared" si="27"/>
        <v>0</v>
      </c>
      <c r="K124" s="32">
        <f t="shared" si="28"/>
        <v>0</v>
      </c>
      <c r="L124" s="32">
        <f t="shared" si="29"/>
        <v>60834</v>
      </c>
      <c r="M124" s="32">
        <f>0</f>
        <v>0</v>
      </c>
      <c r="N124" s="32">
        <f t="shared" si="30"/>
        <v>27128127</v>
      </c>
      <c r="O124" s="32">
        <f t="shared" si="31"/>
        <v>4698249</v>
      </c>
      <c r="P124" s="34" t="str">
        <f>IF(NOT(AND(T123="",A124&lt;=S123)),"",IF(FALSE,"繰上返済後再計算","")&amp;IF(AND(入力!$B$13="有効",A124&gt;1,MOD(A124-1,60)=0),IF(FALSE,"・","")&amp;"5年見直し","")&amp;IF(AND(A124=入力!$B$11,A124&gt;1),IF(OR(FALSE,AND(入力!$B$13="有効",A124&gt;1,MOD(A124-1,60)=0)),"・","")&amp;"金利変更","")&amp;IF(AND(OR(AND(入力!$B$13="有効",A124&gt;1,MOD(A124-1,60)=0),AND(A124=入力!$B$11,A124&gt;1)),入力!$B$14="有効",IF(E124=0,ROUND(C124/MAX(1,S123-A124+1),0),ROUND(-PMT(E124/12,MAX(1,S123-A124+1),C124),0))&gt;ROUND(G123*1.25,0),NOT(FALSE)),"・上限適用",""))</f>
        <v/>
      </c>
      <c r="Q124" s="35" t="str">
        <f>IF(AND(T123="",A124&lt;=S123),入力!$B$13,"")</f>
        <v>有効</v>
      </c>
      <c r="R124" s="32" t="str">
        <f>IF(AND(AND(T123="",A124&lt;=S123),OR(AND(入力!$B$13="有効",A124&gt;1,MOD(A124-1,60)=0),AND(A124=入力!$B$11,A124&gt;1)),入力!$B$14="有効"),ROUND(G123*1.25,0),"")</f>
        <v/>
      </c>
      <c r="S124" s="36">
        <f t="shared" si="32"/>
        <v>420</v>
      </c>
      <c r="T124" s="35" t="str">
        <f t="shared" si="33"/>
        <v/>
      </c>
      <c r="U124" s="3">
        <f t="shared" si="17"/>
        <v>0</v>
      </c>
      <c r="V124" s="3">
        <f t="shared" si="18"/>
        <v>0</v>
      </c>
      <c r="W124" s="3">
        <f t="shared" si="19"/>
        <v>0</v>
      </c>
      <c r="X124" s="3">
        <f t="shared" si="20"/>
        <v>0</v>
      </c>
      <c r="Y124" s="3">
        <f>0</f>
        <v>0</v>
      </c>
      <c r="Z124" s="3">
        <f t="shared" si="21"/>
        <v>0</v>
      </c>
      <c r="AA124">
        <f>ROUND(IF(FALSE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,0)</f>
        <v>117478</v>
      </c>
    </row>
    <row r="125" spans="1:27">
      <c r="A125" s="30">
        <f>120</f>
        <v>120</v>
      </c>
      <c r="B125" s="31">
        <f>EDATE(入力!$B$6,A125-1)</f>
        <v>49857</v>
      </c>
      <c r="C125" s="32">
        <f t="shared" si="22"/>
        <v>27128127</v>
      </c>
      <c r="D125" s="32">
        <f t="shared" si="23"/>
        <v>0</v>
      </c>
      <c r="E125" s="33">
        <f>IF(AND(T124="",A125&lt;=S124),IF(A125&lt;入力!$B$11,入力!$B$10,入力!$B$12),0)</f>
        <v>2.5000000000000001E-2</v>
      </c>
      <c r="F125" s="32">
        <f t="shared" si="24"/>
        <v>56517</v>
      </c>
      <c r="G125" s="32">
        <f>ROUND(IF(NOT(AND(T124="",A125&lt;=S124)),0,IF(FALSE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),0)</f>
        <v>117478</v>
      </c>
      <c r="H125" s="32">
        <f t="shared" si="25"/>
        <v>117478</v>
      </c>
      <c r="I125" s="32">
        <f t="shared" si="26"/>
        <v>56517</v>
      </c>
      <c r="J125" s="32">
        <f t="shared" si="27"/>
        <v>0</v>
      </c>
      <c r="K125" s="32">
        <f t="shared" si="28"/>
        <v>0</v>
      </c>
      <c r="L125" s="32">
        <f t="shared" si="29"/>
        <v>60961</v>
      </c>
      <c r="M125" s="32">
        <f>0</f>
        <v>0</v>
      </c>
      <c r="N125" s="32">
        <f t="shared" si="30"/>
        <v>27067166</v>
      </c>
      <c r="O125" s="32">
        <f t="shared" si="31"/>
        <v>4754766</v>
      </c>
      <c r="P125" s="34" t="str">
        <f>IF(NOT(AND(T124="",A125&lt;=S124)),"",IF(FALSE,"繰上返済後再計算","")&amp;IF(AND(入力!$B$13="有効",A125&gt;1,MOD(A125-1,60)=0),IF(FALSE,"・","")&amp;"5年見直し","")&amp;IF(AND(A125=入力!$B$11,A125&gt;1),IF(OR(FALSE,AND(入力!$B$13="有効",A125&gt;1,MOD(A125-1,60)=0)),"・","")&amp;"金利変更","")&amp;IF(AND(OR(AND(入力!$B$13="有効",A125&gt;1,MOD(A125-1,60)=0),AND(A125=入力!$B$11,A125&gt;1)),入力!$B$14="有効",IF(E125=0,ROUND(C125/MAX(1,S124-A125+1),0),ROUND(-PMT(E125/12,MAX(1,S124-A125+1),C125),0))&gt;ROUND(G124*1.25,0),NOT(FALSE)),"・上限適用",""))</f>
        <v/>
      </c>
      <c r="Q125" s="35" t="str">
        <f>IF(AND(T124="",A125&lt;=S124),入力!$B$13,"")</f>
        <v>有効</v>
      </c>
      <c r="R125" s="32" t="str">
        <f>IF(AND(AND(T124="",A125&lt;=S124),OR(AND(入力!$B$13="有効",A125&gt;1,MOD(A125-1,60)=0),AND(A125=入力!$B$11,A125&gt;1)),入力!$B$14="有効"),ROUND(G124*1.25,0),"")</f>
        <v/>
      </c>
      <c r="S125" s="36">
        <f t="shared" si="32"/>
        <v>420</v>
      </c>
      <c r="T125" s="35" t="str">
        <f t="shared" si="33"/>
        <v/>
      </c>
      <c r="U125" s="3">
        <f t="shared" si="17"/>
        <v>0</v>
      </c>
      <c r="V125" s="3">
        <f t="shared" si="18"/>
        <v>0</v>
      </c>
      <c r="W125" s="3">
        <f t="shared" si="19"/>
        <v>0</v>
      </c>
      <c r="X125" s="3">
        <f t="shared" si="20"/>
        <v>0</v>
      </c>
      <c r="Y125" s="3">
        <f>0</f>
        <v>0</v>
      </c>
      <c r="Z125" s="3">
        <f t="shared" si="21"/>
        <v>0</v>
      </c>
      <c r="AA125">
        <f>ROUND(IF(FALSE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,0)</f>
        <v>117478</v>
      </c>
    </row>
    <row r="126" spans="1:27">
      <c r="A126" s="30">
        <f>121</f>
        <v>121</v>
      </c>
      <c r="B126" s="31">
        <f>EDATE(入力!$B$6,A126-1)</f>
        <v>49888</v>
      </c>
      <c r="C126" s="32">
        <f t="shared" si="22"/>
        <v>27067166</v>
      </c>
      <c r="D126" s="32">
        <f t="shared" si="23"/>
        <v>0</v>
      </c>
      <c r="E126" s="33">
        <f>IF(AND(T125="",A126&lt;=S125),IF(A126&lt;入力!$B$11,入力!$B$10,入力!$B$12),0)</f>
        <v>2.5000000000000001E-2</v>
      </c>
      <c r="F126" s="32">
        <f t="shared" si="24"/>
        <v>56390</v>
      </c>
      <c r="G126" s="32">
        <f>ROUND(IF(NOT(AND(T125="",A126&lt;=S125)),0,IF(FALSE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),0)</f>
        <v>121428</v>
      </c>
      <c r="H126" s="32">
        <f t="shared" si="25"/>
        <v>121428</v>
      </c>
      <c r="I126" s="32">
        <f t="shared" si="26"/>
        <v>56390</v>
      </c>
      <c r="J126" s="32">
        <f t="shared" si="27"/>
        <v>0</v>
      </c>
      <c r="K126" s="32">
        <f t="shared" si="28"/>
        <v>0</v>
      </c>
      <c r="L126" s="32">
        <f t="shared" si="29"/>
        <v>65038</v>
      </c>
      <c r="M126" s="32">
        <f>0</f>
        <v>0</v>
      </c>
      <c r="N126" s="32">
        <f t="shared" si="30"/>
        <v>27002128</v>
      </c>
      <c r="O126" s="32">
        <f t="shared" si="31"/>
        <v>4811156</v>
      </c>
      <c r="P126" s="34" t="str">
        <f>IF(NOT(AND(T125="",A126&lt;=S125)),"",IF(FALSE,"繰上返済後再計算","")&amp;IF(AND(入力!$B$13="有効",A126&gt;1,MOD(A126-1,60)=0),IF(FALSE,"・","")&amp;"5年見直し","")&amp;IF(AND(A126=入力!$B$11,A126&gt;1),IF(OR(FALSE,AND(入力!$B$13="有効",A126&gt;1,MOD(A126-1,60)=0)),"・","")&amp;"金利変更","")&amp;IF(AND(OR(AND(入力!$B$13="有効",A126&gt;1,MOD(A126-1,60)=0),AND(A126=入力!$B$11,A126&gt;1)),入力!$B$14="有効",IF(E126=0,ROUND(C126/MAX(1,S125-A126+1),0),ROUND(-PMT(E126/12,MAX(1,S125-A126+1),C126),0))&gt;ROUND(G125*1.25,0),NOT(FALSE)),"・上限適用",""))</f>
        <v>5年見直し</v>
      </c>
      <c r="Q126" s="35" t="str">
        <f>IF(AND(T125="",A126&lt;=S125),入力!$B$13,"")</f>
        <v>有効</v>
      </c>
      <c r="R126" s="32">
        <f>IF(AND(AND(T125="",A126&lt;=S125),OR(AND(入力!$B$13="有効",A126&gt;1,MOD(A126-1,60)=0),AND(A126=入力!$B$11,A126&gt;1)),入力!$B$14="有効"),ROUND(G125*1.25,0),"")</f>
        <v>146848</v>
      </c>
      <c r="S126" s="36">
        <f t="shared" si="32"/>
        <v>420</v>
      </c>
      <c r="T126" s="35" t="str">
        <f t="shared" si="33"/>
        <v/>
      </c>
      <c r="U126" s="3">
        <f t="shared" si="17"/>
        <v>0</v>
      </c>
      <c r="V126" s="3">
        <f t="shared" si="18"/>
        <v>0</v>
      </c>
      <c r="W126" s="3">
        <f t="shared" si="19"/>
        <v>0</v>
      </c>
      <c r="X126" s="3">
        <f t="shared" si="20"/>
        <v>0</v>
      </c>
      <c r="Y126" s="3">
        <f>0</f>
        <v>0</v>
      </c>
      <c r="Z126" s="3">
        <f t="shared" si="21"/>
        <v>0</v>
      </c>
      <c r="AA126">
        <f>ROUND(IF(FALSE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,0)</f>
        <v>121428</v>
      </c>
    </row>
    <row r="127" spans="1:27">
      <c r="A127" s="30">
        <f>122</f>
        <v>122</v>
      </c>
      <c r="B127" s="31">
        <f>EDATE(入力!$B$6,A127-1)</f>
        <v>49919</v>
      </c>
      <c r="C127" s="32">
        <f t="shared" si="22"/>
        <v>27002128</v>
      </c>
      <c r="D127" s="32">
        <f t="shared" si="23"/>
        <v>0</v>
      </c>
      <c r="E127" s="33">
        <f>IF(AND(T126="",A127&lt;=S126),IF(A127&lt;入力!$B$11,入力!$B$10,入力!$B$12),0)</f>
        <v>2.5000000000000001E-2</v>
      </c>
      <c r="F127" s="32">
        <f t="shared" si="24"/>
        <v>56254</v>
      </c>
      <c r="G127" s="32">
        <f>ROUND(IF(NOT(AND(T126="",A127&lt;=S126)),0,IF(FALSE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),0)</f>
        <v>121428</v>
      </c>
      <c r="H127" s="32">
        <f t="shared" si="25"/>
        <v>121428</v>
      </c>
      <c r="I127" s="32">
        <f t="shared" si="26"/>
        <v>56254</v>
      </c>
      <c r="J127" s="32">
        <f t="shared" si="27"/>
        <v>0</v>
      </c>
      <c r="K127" s="32">
        <f t="shared" si="28"/>
        <v>0</v>
      </c>
      <c r="L127" s="32">
        <f t="shared" si="29"/>
        <v>65174</v>
      </c>
      <c r="M127" s="32">
        <f>0</f>
        <v>0</v>
      </c>
      <c r="N127" s="32">
        <f t="shared" si="30"/>
        <v>26936954</v>
      </c>
      <c r="O127" s="32">
        <f t="shared" si="31"/>
        <v>4867410</v>
      </c>
      <c r="P127" s="34" t="str">
        <f>IF(NOT(AND(T126="",A127&lt;=S126)),"",IF(FALSE,"繰上返済後再計算","")&amp;IF(AND(入力!$B$13="有効",A127&gt;1,MOD(A127-1,60)=0),IF(FALSE,"・","")&amp;"5年見直し","")&amp;IF(AND(A127=入力!$B$11,A127&gt;1),IF(OR(FALSE,AND(入力!$B$13="有効",A127&gt;1,MOD(A127-1,60)=0)),"・","")&amp;"金利変更","")&amp;IF(AND(OR(AND(入力!$B$13="有効",A127&gt;1,MOD(A127-1,60)=0),AND(A127=入力!$B$11,A127&gt;1)),入力!$B$14="有効",IF(E127=0,ROUND(C127/MAX(1,S126-A127+1),0),ROUND(-PMT(E127/12,MAX(1,S126-A127+1),C127),0))&gt;ROUND(G126*1.25,0),NOT(FALSE)),"・上限適用",""))</f>
        <v/>
      </c>
      <c r="Q127" s="35" t="str">
        <f>IF(AND(T126="",A127&lt;=S126),入力!$B$13,"")</f>
        <v>有効</v>
      </c>
      <c r="R127" s="32" t="str">
        <f>IF(AND(AND(T126="",A127&lt;=S126),OR(AND(入力!$B$13="有効",A127&gt;1,MOD(A127-1,60)=0),AND(A127=入力!$B$11,A127&gt;1)),入力!$B$14="有効"),ROUND(G126*1.25,0),"")</f>
        <v/>
      </c>
      <c r="S127" s="36">
        <f t="shared" si="32"/>
        <v>420</v>
      </c>
      <c r="T127" s="35" t="str">
        <f t="shared" si="33"/>
        <v/>
      </c>
      <c r="U127" s="3">
        <f t="shared" si="17"/>
        <v>0</v>
      </c>
      <c r="V127" s="3">
        <f t="shared" si="18"/>
        <v>0</v>
      </c>
      <c r="W127" s="3">
        <f t="shared" si="19"/>
        <v>0</v>
      </c>
      <c r="X127" s="3">
        <f t="shared" si="20"/>
        <v>0</v>
      </c>
      <c r="Y127" s="3">
        <f>0</f>
        <v>0</v>
      </c>
      <c r="Z127" s="3">
        <f t="shared" si="21"/>
        <v>0</v>
      </c>
      <c r="AA127">
        <f>ROUND(IF(FALSE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,0)</f>
        <v>121428</v>
      </c>
    </row>
    <row r="128" spans="1:27">
      <c r="A128" s="30">
        <f>123</f>
        <v>123</v>
      </c>
      <c r="B128" s="31">
        <f>EDATE(入力!$B$6,A128-1)</f>
        <v>49949</v>
      </c>
      <c r="C128" s="32">
        <f t="shared" si="22"/>
        <v>26936954</v>
      </c>
      <c r="D128" s="32">
        <f t="shared" si="23"/>
        <v>0</v>
      </c>
      <c r="E128" s="33">
        <f>IF(AND(T127="",A128&lt;=S127),IF(A128&lt;入力!$B$11,入力!$B$10,入力!$B$12),0)</f>
        <v>2.5000000000000001E-2</v>
      </c>
      <c r="F128" s="32">
        <f t="shared" si="24"/>
        <v>56119</v>
      </c>
      <c r="G128" s="32">
        <f>ROUND(IF(NOT(AND(T127="",A128&lt;=S127)),0,IF(FALSE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),0)</f>
        <v>121428</v>
      </c>
      <c r="H128" s="32">
        <f t="shared" si="25"/>
        <v>121428</v>
      </c>
      <c r="I128" s="32">
        <f t="shared" si="26"/>
        <v>56119</v>
      </c>
      <c r="J128" s="32">
        <f t="shared" si="27"/>
        <v>0</v>
      </c>
      <c r="K128" s="32">
        <f t="shared" si="28"/>
        <v>0</v>
      </c>
      <c r="L128" s="32">
        <f t="shared" si="29"/>
        <v>65309</v>
      </c>
      <c r="M128" s="32">
        <f>0</f>
        <v>0</v>
      </c>
      <c r="N128" s="32">
        <f t="shared" si="30"/>
        <v>26871645</v>
      </c>
      <c r="O128" s="32">
        <f t="shared" si="31"/>
        <v>4923529</v>
      </c>
      <c r="P128" s="34" t="str">
        <f>IF(NOT(AND(T127="",A128&lt;=S127)),"",IF(FALSE,"繰上返済後再計算","")&amp;IF(AND(入力!$B$13="有効",A128&gt;1,MOD(A128-1,60)=0),IF(FALSE,"・","")&amp;"5年見直し","")&amp;IF(AND(A128=入力!$B$11,A128&gt;1),IF(OR(FALSE,AND(入力!$B$13="有効",A128&gt;1,MOD(A128-1,60)=0)),"・","")&amp;"金利変更","")&amp;IF(AND(OR(AND(入力!$B$13="有効",A128&gt;1,MOD(A128-1,60)=0),AND(A128=入力!$B$11,A128&gt;1)),入力!$B$14="有効",IF(E128=0,ROUND(C128/MAX(1,S127-A128+1),0),ROUND(-PMT(E128/12,MAX(1,S127-A128+1),C128),0))&gt;ROUND(G127*1.25,0),NOT(FALSE)),"・上限適用",""))</f>
        <v/>
      </c>
      <c r="Q128" s="35" t="str">
        <f>IF(AND(T127="",A128&lt;=S127),入力!$B$13,"")</f>
        <v>有効</v>
      </c>
      <c r="R128" s="32" t="str">
        <f>IF(AND(AND(T127="",A128&lt;=S127),OR(AND(入力!$B$13="有効",A128&gt;1,MOD(A128-1,60)=0),AND(A128=入力!$B$11,A128&gt;1)),入力!$B$14="有効"),ROUND(G127*1.25,0),"")</f>
        <v/>
      </c>
      <c r="S128" s="36">
        <f t="shared" si="32"/>
        <v>420</v>
      </c>
      <c r="T128" s="35" t="str">
        <f t="shared" si="33"/>
        <v/>
      </c>
      <c r="U128" s="3">
        <f t="shared" si="17"/>
        <v>0</v>
      </c>
      <c r="V128" s="3">
        <f t="shared" si="18"/>
        <v>0</v>
      </c>
      <c r="W128" s="3">
        <f t="shared" si="19"/>
        <v>0</v>
      </c>
      <c r="X128" s="3">
        <f t="shared" si="20"/>
        <v>0</v>
      </c>
      <c r="Y128" s="3">
        <f>0</f>
        <v>0</v>
      </c>
      <c r="Z128" s="3">
        <f t="shared" si="21"/>
        <v>0</v>
      </c>
      <c r="AA128">
        <f>ROUND(IF(FALSE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,0)</f>
        <v>121428</v>
      </c>
    </row>
    <row r="129" spans="1:27">
      <c r="A129" s="30">
        <f>124</f>
        <v>124</v>
      </c>
      <c r="B129" s="31">
        <f>EDATE(入力!$B$6,A129-1)</f>
        <v>49980</v>
      </c>
      <c r="C129" s="32">
        <f t="shared" si="22"/>
        <v>26871645</v>
      </c>
      <c r="D129" s="32">
        <f t="shared" si="23"/>
        <v>0</v>
      </c>
      <c r="E129" s="33">
        <f>IF(AND(T128="",A129&lt;=S128),IF(A129&lt;入力!$B$11,入力!$B$10,入力!$B$12),0)</f>
        <v>2.5000000000000001E-2</v>
      </c>
      <c r="F129" s="32">
        <f t="shared" si="24"/>
        <v>55983</v>
      </c>
      <c r="G129" s="32">
        <f>ROUND(IF(NOT(AND(T128="",A129&lt;=S128)),0,IF(FALSE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),0)</f>
        <v>121428</v>
      </c>
      <c r="H129" s="32">
        <f t="shared" si="25"/>
        <v>121428</v>
      </c>
      <c r="I129" s="32">
        <f t="shared" si="26"/>
        <v>55983</v>
      </c>
      <c r="J129" s="32">
        <f t="shared" si="27"/>
        <v>0</v>
      </c>
      <c r="K129" s="32">
        <f t="shared" si="28"/>
        <v>0</v>
      </c>
      <c r="L129" s="32">
        <f t="shared" si="29"/>
        <v>65445</v>
      </c>
      <c r="M129" s="32">
        <f>0</f>
        <v>0</v>
      </c>
      <c r="N129" s="32">
        <f t="shared" si="30"/>
        <v>26806200</v>
      </c>
      <c r="O129" s="32">
        <f t="shared" si="31"/>
        <v>4979512</v>
      </c>
      <c r="P129" s="34" t="str">
        <f>IF(NOT(AND(T128="",A129&lt;=S128)),"",IF(FALSE,"繰上返済後再計算","")&amp;IF(AND(入力!$B$13="有効",A129&gt;1,MOD(A129-1,60)=0),IF(FALSE,"・","")&amp;"5年見直し","")&amp;IF(AND(A129=入力!$B$11,A129&gt;1),IF(OR(FALSE,AND(入力!$B$13="有効",A129&gt;1,MOD(A129-1,60)=0)),"・","")&amp;"金利変更","")&amp;IF(AND(OR(AND(入力!$B$13="有効",A129&gt;1,MOD(A129-1,60)=0),AND(A129=入力!$B$11,A129&gt;1)),入力!$B$14="有効",IF(E129=0,ROUND(C129/MAX(1,S128-A129+1),0),ROUND(-PMT(E129/12,MAX(1,S128-A129+1),C129),0))&gt;ROUND(G128*1.25,0),NOT(FALSE)),"・上限適用",""))</f>
        <v/>
      </c>
      <c r="Q129" s="35" t="str">
        <f>IF(AND(T128="",A129&lt;=S128),入力!$B$13,"")</f>
        <v>有効</v>
      </c>
      <c r="R129" s="32" t="str">
        <f>IF(AND(AND(T128="",A129&lt;=S128),OR(AND(入力!$B$13="有効",A129&gt;1,MOD(A129-1,60)=0),AND(A129=入力!$B$11,A129&gt;1)),入力!$B$14="有効"),ROUND(G128*1.25,0),"")</f>
        <v/>
      </c>
      <c r="S129" s="36">
        <f t="shared" si="32"/>
        <v>420</v>
      </c>
      <c r="T129" s="35" t="str">
        <f t="shared" si="33"/>
        <v/>
      </c>
      <c r="U129" s="3">
        <f t="shared" si="17"/>
        <v>0</v>
      </c>
      <c r="V129" s="3">
        <f t="shared" si="18"/>
        <v>0</v>
      </c>
      <c r="W129" s="3">
        <f t="shared" si="19"/>
        <v>0</v>
      </c>
      <c r="X129" s="3">
        <f t="shared" si="20"/>
        <v>0</v>
      </c>
      <c r="Y129" s="3">
        <f>0</f>
        <v>0</v>
      </c>
      <c r="Z129" s="3">
        <f t="shared" si="21"/>
        <v>0</v>
      </c>
      <c r="AA129">
        <f>ROUND(IF(FALSE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,0)</f>
        <v>121428</v>
      </c>
    </row>
    <row r="130" spans="1:27">
      <c r="A130" s="30">
        <f>125</f>
        <v>125</v>
      </c>
      <c r="B130" s="31">
        <f>EDATE(入力!$B$6,A130-1)</f>
        <v>50010</v>
      </c>
      <c r="C130" s="32">
        <f t="shared" si="22"/>
        <v>26806200</v>
      </c>
      <c r="D130" s="32">
        <f t="shared" si="23"/>
        <v>0</v>
      </c>
      <c r="E130" s="33">
        <f>IF(AND(T129="",A130&lt;=S129),IF(A130&lt;入力!$B$11,入力!$B$10,入力!$B$12),0)</f>
        <v>2.5000000000000001E-2</v>
      </c>
      <c r="F130" s="32">
        <f t="shared" si="24"/>
        <v>55846</v>
      </c>
      <c r="G130" s="32">
        <f>ROUND(IF(NOT(AND(T129="",A130&lt;=S129)),0,IF(FALSE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),0)</f>
        <v>121428</v>
      </c>
      <c r="H130" s="32">
        <f t="shared" si="25"/>
        <v>121428</v>
      </c>
      <c r="I130" s="32">
        <f t="shared" si="26"/>
        <v>55846</v>
      </c>
      <c r="J130" s="32">
        <f t="shared" si="27"/>
        <v>0</v>
      </c>
      <c r="K130" s="32">
        <f t="shared" si="28"/>
        <v>0</v>
      </c>
      <c r="L130" s="32">
        <f t="shared" si="29"/>
        <v>65582</v>
      </c>
      <c r="M130" s="32">
        <f>0</f>
        <v>0</v>
      </c>
      <c r="N130" s="32">
        <f t="shared" si="30"/>
        <v>26740618</v>
      </c>
      <c r="O130" s="32">
        <f t="shared" si="31"/>
        <v>5035358</v>
      </c>
      <c r="P130" s="34" t="str">
        <f>IF(NOT(AND(T129="",A130&lt;=S129)),"",IF(FALSE,"繰上返済後再計算","")&amp;IF(AND(入力!$B$13="有効",A130&gt;1,MOD(A130-1,60)=0),IF(FALSE,"・","")&amp;"5年見直し","")&amp;IF(AND(A130=入力!$B$11,A130&gt;1),IF(OR(FALSE,AND(入力!$B$13="有効",A130&gt;1,MOD(A130-1,60)=0)),"・","")&amp;"金利変更","")&amp;IF(AND(OR(AND(入力!$B$13="有効",A130&gt;1,MOD(A130-1,60)=0),AND(A130=入力!$B$11,A130&gt;1)),入力!$B$14="有効",IF(E130=0,ROUND(C130/MAX(1,S129-A130+1),0),ROUND(-PMT(E130/12,MAX(1,S129-A130+1),C130),0))&gt;ROUND(G129*1.25,0),NOT(FALSE)),"・上限適用",""))</f>
        <v/>
      </c>
      <c r="Q130" s="35" t="str">
        <f>IF(AND(T129="",A130&lt;=S129),入力!$B$13,"")</f>
        <v>有効</v>
      </c>
      <c r="R130" s="32" t="str">
        <f>IF(AND(AND(T129="",A130&lt;=S129),OR(AND(入力!$B$13="有効",A130&gt;1,MOD(A130-1,60)=0),AND(A130=入力!$B$11,A130&gt;1)),入力!$B$14="有効"),ROUND(G129*1.25,0),"")</f>
        <v/>
      </c>
      <c r="S130" s="36">
        <f t="shared" si="32"/>
        <v>420</v>
      </c>
      <c r="T130" s="35" t="str">
        <f t="shared" si="33"/>
        <v/>
      </c>
      <c r="U130" s="3">
        <f t="shared" si="17"/>
        <v>0</v>
      </c>
      <c r="V130" s="3">
        <f t="shared" si="18"/>
        <v>0</v>
      </c>
      <c r="W130" s="3">
        <f t="shared" si="19"/>
        <v>0</v>
      </c>
      <c r="X130" s="3">
        <f t="shared" si="20"/>
        <v>0</v>
      </c>
      <c r="Y130" s="3">
        <f>0</f>
        <v>0</v>
      </c>
      <c r="Z130" s="3">
        <f t="shared" si="21"/>
        <v>0</v>
      </c>
      <c r="AA130">
        <f>ROUND(IF(FALSE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,0)</f>
        <v>121428</v>
      </c>
    </row>
    <row r="131" spans="1:27">
      <c r="A131" s="30">
        <f>126</f>
        <v>126</v>
      </c>
      <c r="B131" s="31">
        <f>EDATE(入力!$B$6,A131-1)</f>
        <v>50041</v>
      </c>
      <c r="C131" s="32">
        <f t="shared" si="22"/>
        <v>26740618</v>
      </c>
      <c r="D131" s="32">
        <f t="shared" si="23"/>
        <v>0</v>
      </c>
      <c r="E131" s="33">
        <f>IF(AND(T130="",A131&lt;=S130),IF(A131&lt;入力!$B$11,入力!$B$10,入力!$B$12),0)</f>
        <v>2.5000000000000001E-2</v>
      </c>
      <c r="F131" s="32">
        <f t="shared" si="24"/>
        <v>55710</v>
      </c>
      <c r="G131" s="32">
        <f>ROUND(IF(NOT(AND(T130="",A131&lt;=S130)),0,IF(FALSE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),0)</f>
        <v>121428</v>
      </c>
      <c r="H131" s="32">
        <f t="shared" si="25"/>
        <v>121428</v>
      </c>
      <c r="I131" s="32">
        <f t="shared" si="26"/>
        <v>55710</v>
      </c>
      <c r="J131" s="32">
        <f t="shared" si="27"/>
        <v>0</v>
      </c>
      <c r="K131" s="32">
        <f t="shared" si="28"/>
        <v>0</v>
      </c>
      <c r="L131" s="32">
        <f t="shared" si="29"/>
        <v>65718</v>
      </c>
      <c r="M131" s="32">
        <f>0</f>
        <v>0</v>
      </c>
      <c r="N131" s="32">
        <f t="shared" si="30"/>
        <v>26674900</v>
      </c>
      <c r="O131" s="32">
        <f t="shared" si="31"/>
        <v>5091068</v>
      </c>
      <c r="P131" s="34" t="str">
        <f>IF(NOT(AND(T130="",A131&lt;=S130)),"",IF(FALSE,"繰上返済後再計算","")&amp;IF(AND(入力!$B$13="有効",A131&gt;1,MOD(A131-1,60)=0),IF(FALSE,"・","")&amp;"5年見直し","")&amp;IF(AND(A131=入力!$B$11,A131&gt;1),IF(OR(FALSE,AND(入力!$B$13="有効",A131&gt;1,MOD(A131-1,60)=0)),"・","")&amp;"金利変更","")&amp;IF(AND(OR(AND(入力!$B$13="有効",A131&gt;1,MOD(A131-1,60)=0),AND(A131=入力!$B$11,A131&gt;1)),入力!$B$14="有効",IF(E131=0,ROUND(C131/MAX(1,S130-A131+1),0),ROUND(-PMT(E131/12,MAX(1,S130-A131+1),C131),0))&gt;ROUND(G130*1.25,0),NOT(FALSE)),"・上限適用",""))</f>
        <v/>
      </c>
      <c r="Q131" s="35" t="str">
        <f>IF(AND(T130="",A131&lt;=S130),入力!$B$13,"")</f>
        <v>有効</v>
      </c>
      <c r="R131" s="32" t="str">
        <f>IF(AND(AND(T130="",A131&lt;=S130),OR(AND(入力!$B$13="有効",A131&gt;1,MOD(A131-1,60)=0),AND(A131=入力!$B$11,A131&gt;1)),入力!$B$14="有効"),ROUND(G130*1.25,0),"")</f>
        <v/>
      </c>
      <c r="S131" s="36">
        <f t="shared" si="32"/>
        <v>420</v>
      </c>
      <c r="T131" s="35" t="str">
        <f t="shared" si="33"/>
        <v/>
      </c>
      <c r="U131" s="3">
        <f t="shared" si="17"/>
        <v>0</v>
      </c>
      <c r="V131" s="3">
        <f t="shared" si="18"/>
        <v>0</v>
      </c>
      <c r="W131" s="3">
        <f t="shared" si="19"/>
        <v>0</v>
      </c>
      <c r="X131" s="3">
        <f t="shared" si="20"/>
        <v>0</v>
      </c>
      <c r="Y131" s="3">
        <f>0</f>
        <v>0</v>
      </c>
      <c r="Z131" s="3">
        <f t="shared" si="21"/>
        <v>0</v>
      </c>
      <c r="AA131">
        <f>ROUND(IF(FALSE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,0)</f>
        <v>121428</v>
      </c>
    </row>
    <row r="132" spans="1:27">
      <c r="A132" s="30">
        <f>127</f>
        <v>127</v>
      </c>
      <c r="B132" s="31">
        <f>EDATE(入力!$B$6,A132-1)</f>
        <v>50072</v>
      </c>
      <c r="C132" s="32">
        <f t="shared" si="22"/>
        <v>26674900</v>
      </c>
      <c r="D132" s="32">
        <f t="shared" si="23"/>
        <v>0</v>
      </c>
      <c r="E132" s="33">
        <f>IF(AND(T131="",A132&lt;=S131),IF(A132&lt;入力!$B$11,入力!$B$10,入力!$B$12),0)</f>
        <v>2.5000000000000001E-2</v>
      </c>
      <c r="F132" s="32">
        <f t="shared" si="24"/>
        <v>55573</v>
      </c>
      <c r="G132" s="32">
        <f>ROUND(IF(NOT(AND(T131="",A132&lt;=S131)),0,IF(FALSE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),0)</f>
        <v>121428</v>
      </c>
      <c r="H132" s="32">
        <f t="shared" si="25"/>
        <v>121428</v>
      </c>
      <c r="I132" s="32">
        <f t="shared" si="26"/>
        <v>55573</v>
      </c>
      <c r="J132" s="32">
        <f t="shared" si="27"/>
        <v>0</v>
      </c>
      <c r="K132" s="32">
        <f t="shared" si="28"/>
        <v>0</v>
      </c>
      <c r="L132" s="32">
        <f t="shared" si="29"/>
        <v>65855</v>
      </c>
      <c r="M132" s="32">
        <f>0</f>
        <v>0</v>
      </c>
      <c r="N132" s="32">
        <f t="shared" si="30"/>
        <v>26609045</v>
      </c>
      <c r="O132" s="32">
        <f t="shared" si="31"/>
        <v>5146641</v>
      </c>
      <c r="P132" s="34" t="str">
        <f>IF(NOT(AND(T131="",A132&lt;=S131)),"",IF(FALSE,"繰上返済後再計算","")&amp;IF(AND(入力!$B$13="有効",A132&gt;1,MOD(A132-1,60)=0),IF(FALSE,"・","")&amp;"5年見直し","")&amp;IF(AND(A132=入力!$B$11,A132&gt;1),IF(OR(FALSE,AND(入力!$B$13="有効",A132&gt;1,MOD(A132-1,60)=0)),"・","")&amp;"金利変更","")&amp;IF(AND(OR(AND(入力!$B$13="有効",A132&gt;1,MOD(A132-1,60)=0),AND(A132=入力!$B$11,A132&gt;1)),入力!$B$14="有効",IF(E132=0,ROUND(C132/MAX(1,S131-A132+1),0),ROUND(-PMT(E132/12,MAX(1,S131-A132+1),C132),0))&gt;ROUND(G131*1.25,0),NOT(FALSE)),"・上限適用",""))</f>
        <v/>
      </c>
      <c r="Q132" s="35" t="str">
        <f>IF(AND(T131="",A132&lt;=S131),入力!$B$13,"")</f>
        <v>有効</v>
      </c>
      <c r="R132" s="32" t="str">
        <f>IF(AND(AND(T131="",A132&lt;=S131),OR(AND(入力!$B$13="有効",A132&gt;1,MOD(A132-1,60)=0),AND(A132=入力!$B$11,A132&gt;1)),入力!$B$14="有効"),ROUND(G131*1.25,0),"")</f>
        <v/>
      </c>
      <c r="S132" s="36">
        <f t="shared" si="32"/>
        <v>420</v>
      </c>
      <c r="T132" s="35" t="str">
        <f t="shared" si="33"/>
        <v/>
      </c>
      <c r="U132" s="3">
        <f t="shared" si="17"/>
        <v>0</v>
      </c>
      <c r="V132" s="3">
        <f t="shared" si="18"/>
        <v>0</v>
      </c>
      <c r="W132" s="3">
        <f t="shared" si="19"/>
        <v>0</v>
      </c>
      <c r="X132" s="3">
        <f t="shared" si="20"/>
        <v>0</v>
      </c>
      <c r="Y132" s="3">
        <f>0</f>
        <v>0</v>
      </c>
      <c r="Z132" s="3">
        <f t="shared" si="21"/>
        <v>0</v>
      </c>
      <c r="AA132">
        <f>ROUND(IF(FALSE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,0)</f>
        <v>121428</v>
      </c>
    </row>
    <row r="133" spans="1:27">
      <c r="A133" s="30">
        <f>128</f>
        <v>128</v>
      </c>
      <c r="B133" s="31">
        <f>EDATE(入力!$B$6,A133-1)</f>
        <v>50100</v>
      </c>
      <c r="C133" s="32">
        <f t="shared" si="22"/>
        <v>26609045</v>
      </c>
      <c r="D133" s="32">
        <f t="shared" si="23"/>
        <v>0</v>
      </c>
      <c r="E133" s="33">
        <f>IF(AND(T132="",A133&lt;=S132),IF(A133&lt;入力!$B$11,入力!$B$10,入力!$B$12),0)</f>
        <v>2.5000000000000001E-2</v>
      </c>
      <c r="F133" s="32">
        <f t="shared" si="24"/>
        <v>55436</v>
      </c>
      <c r="G133" s="32">
        <f>ROUND(IF(NOT(AND(T132="",A133&lt;=S132)),0,IF(FALSE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),0)</f>
        <v>121428</v>
      </c>
      <c r="H133" s="32">
        <f t="shared" si="25"/>
        <v>121428</v>
      </c>
      <c r="I133" s="32">
        <f t="shared" si="26"/>
        <v>55436</v>
      </c>
      <c r="J133" s="32">
        <f t="shared" si="27"/>
        <v>0</v>
      </c>
      <c r="K133" s="32">
        <f t="shared" si="28"/>
        <v>0</v>
      </c>
      <c r="L133" s="32">
        <f t="shared" si="29"/>
        <v>65992</v>
      </c>
      <c r="M133" s="32">
        <f>0</f>
        <v>0</v>
      </c>
      <c r="N133" s="32">
        <f t="shared" si="30"/>
        <v>26543053</v>
      </c>
      <c r="O133" s="32">
        <f t="shared" si="31"/>
        <v>5202077</v>
      </c>
      <c r="P133" s="34" t="str">
        <f>IF(NOT(AND(T132="",A133&lt;=S132)),"",IF(FALSE,"繰上返済後再計算","")&amp;IF(AND(入力!$B$13="有効",A133&gt;1,MOD(A133-1,60)=0),IF(FALSE,"・","")&amp;"5年見直し","")&amp;IF(AND(A133=入力!$B$11,A133&gt;1),IF(OR(FALSE,AND(入力!$B$13="有効",A133&gt;1,MOD(A133-1,60)=0)),"・","")&amp;"金利変更","")&amp;IF(AND(OR(AND(入力!$B$13="有効",A133&gt;1,MOD(A133-1,60)=0),AND(A133=入力!$B$11,A133&gt;1)),入力!$B$14="有効",IF(E133=0,ROUND(C133/MAX(1,S132-A133+1),0),ROUND(-PMT(E133/12,MAX(1,S132-A133+1),C133),0))&gt;ROUND(G132*1.25,0),NOT(FALSE)),"・上限適用",""))</f>
        <v/>
      </c>
      <c r="Q133" s="35" t="str">
        <f>IF(AND(T132="",A133&lt;=S132),入力!$B$13,"")</f>
        <v>有効</v>
      </c>
      <c r="R133" s="32" t="str">
        <f>IF(AND(AND(T132="",A133&lt;=S132),OR(AND(入力!$B$13="有効",A133&gt;1,MOD(A133-1,60)=0),AND(A133=入力!$B$11,A133&gt;1)),入力!$B$14="有効"),ROUND(G132*1.25,0),"")</f>
        <v/>
      </c>
      <c r="S133" s="36">
        <f t="shared" si="32"/>
        <v>420</v>
      </c>
      <c r="T133" s="35" t="str">
        <f t="shared" si="33"/>
        <v/>
      </c>
      <c r="U133" s="3">
        <f t="shared" si="17"/>
        <v>0</v>
      </c>
      <c r="V133" s="3">
        <f t="shared" si="18"/>
        <v>0</v>
      </c>
      <c r="W133" s="3">
        <f t="shared" si="19"/>
        <v>0</v>
      </c>
      <c r="X133" s="3">
        <f t="shared" si="20"/>
        <v>0</v>
      </c>
      <c r="Y133" s="3">
        <f>0</f>
        <v>0</v>
      </c>
      <c r="Z133" s="3">
        <f t="shared" si="21"/>
        <v>0</v>
      </c>
      <c r="AA133">
        <f>ROUND(IF(FALSE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,0)</f>
        <v>121428</v>
      </c>
    </row>
    <row r="134" spans="1:27">
      <c r="A134" s="30">
        <f>129</f>
        <v>129</v>
      </c>
      <c r="B134" s="31">
        <f>EDATE(入力!$B$6,A134-1)</f>
        <v>50131</v>
      </c>
      <c r="C134" s="32">
        <f t="shared" si="22"/>
        <v>26543053</v>
      </c>
      <c r="D134" s="32">
        <f t="shared" si="23"/>
        <v>0</v>
      </c>
      <c r="E134" s="33">
        <f>IF(AND(T133="",A134&lt;=S133),IF(A134&lt;入力!$B$11,入力!$B$10,入力!$B$12),0)</f>
        <v>2.5000000000000001E-2</v>
      </c>
      <c r="F134" s="32">
        <f t="shared" si="24"/>
        <v>55298</v>
      </c>
      <c r="G134" s="32">
        <f>ROUND(IF(NOT(AND(T133="",A134&lt;=S133)),0,IF(FALSE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),0)</f>
        <v>121428</v>
      </c>
      <c r="H134" s="32">
        <f t="shared" si="25"/>
        <v>121428</v>
      </c>
      <c r="I134" s="32">
        <f t="shared" si="26"/>
        <v>55298</v>
      </c>
      <c r="J134" s="32">
        <f t="shared" si="27"/>
        <v>0</v>
      </c>
      <c r="K134" s="32">
        <f t="shared" si="28"/>
        <v>0</v>
      </c>
      <c r="L134" s="32">
        <f t="shared" si="29"/>
        <v>66130</v>
      </c>
      <c r="M134" s="32">
        <f>0</f>
        <v>0</v>
      </c>
      <c r="N134" s="32">
        <f t="shared" si="30"/>
        <v>26476923</v>
      </c>
      <c r="O134" s="32">
        <f t="shared" si="31"/>
        <v>5257375</v>
      </c>
      <c r="P134" s="34" t="str">
        <f>IF(NOT(AND(T133="",A134&lt;=S133)),"",IF(FALSE,"繰上返済後再計算","")&amp;IF(AND(入力!$B$13="有効",A134&gt;1,MOD(A134-1,60)=0),IF(FALSE,"・","")&amp;"5年見直し","")&amp;IF(AND(A134=入力!$B$11,A134&gt;1),IF(OR(FALSE,AND(入力!$B$13="有効",A134&gt;1,MOD(A134-1,60)=0)),"・","")&amp;"金利変更","")&amp;IF(AND(OR(AND(入力!$B$13="有効",A134&gt;1,MOD(A134-1,60)=0),AND(A134=入力!$B$11,A134&gt;1)),入力!$B$14="有効",IF(E134=0,ROUND(C134/MAX(1,S133-A134+1),0),ROUND(-PMT(E134/12,MAX(1,S133-A134+1),C134),0))&gt;ROUND(G133*1.25,0),NOT(FALSE)),"・上限適用",""))</f>
        <v/>
      </c>
      <c r="Q134" s="35" t="str">
        <f>IF(AND(T133="",A134&lt;=S133),入力!$B$13,"")</f>
        <v>有効</v>
      </c>
      <c r="R134" s="32" t="str">
        <f>IF(AND(AND(T133="",A134&lt;=S133),OR(AND(入力!$B$13="有効",A134&gt;1,MOD(A134-1,60)=0),AND(A134=入力!$B$11,A134&gt;1)),入力!$B$14="有効"),ROUND(G133*1.25,0),"")</f>
        <v/>
      </c>
      <c r="S134" s="36">
        <f t="shared" si="32"/>
        <v>420</v>
      </c>
      <c r="T134" s="35" t="str">
        <f t="shared" si="33"/>
        <v/>
      </c>
      <c r="U134" s="3">
        <f t="shared" ref="U134:U197" si="34">ABS(I134-MIN(H134,D134+F134))</f>
        <v>0</v>
      </c>
      <c r="V134" s="3">
        <f t="shared" ref="V134:V197" si="35">ABS(L134-(H134-I134))</f>
        <v>0</v>
      </c>
      <c r="W134" s="3">
        <f t="shared" ref="W134:W197" si="36">ABS(K134-(D134+J134))</f>
        <v>0</v>
      </c>
      <c r="X134" s="3">
        <f t="shared" ref="X134:X197" si="37">ABS(F134-ROUND(F134,0))+ABS(G134-ROUND(G134,0))+ABS(H134-ROUND(H134,0))+ABS(I134-ROUND(I134,0))+ABS(J134-ROUND(J134,0))+ABS(K134-ROUND(K134,0))+ABS(L134-ROUND(L134,0))+ABS(M134-ROUND(M134,0))+ABS(N134-ROUND(N134,0))+ABS(O134-ROUND(O134,0))</f>
        <v>0</v>
      </c>
      <c r="Y134" s="3">
        <f>0</f>
        <v>0</v>
      </c>
      <c r="Z134" s="3">
        <f t="shared" ref="Z134:Z197" si="38">SUM(--ISERROR(A134),--ISERROR(B134),--ISERROR(C134),--ISERROR(D134),--ISERROR(E134),--ISERROR(F134),--ISERROR(G134),--ISERROR(H134),--ISERROR(I134),--ISERROR(J134),--ISERROR(K134),--ISERROR(L134),--ISERROR(M134),--ISERROR(N134),--ISERROR(O134),--ISERROR(P134),--ISERROR(Q134),--ISERROR(R134),--ISERROR(S134),--ISERROR(T134))</f>
        <v>0</v>
      </c>
      <c r="AA134">
        <f>ROUND(IF(FALSE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,0)</f>
        <v>121428</v>
      </c>
    </row>
    <row r="135" spans="1:27">
      <c r="A135" s="30">
        <f>130</f>
        <v>130</v>
      </c>
      <c r="B135" s="31">
        <f>EDATE(入力!$B$6,A135-1)</f>
        <v>50161</v>
      </c>
      <c r="C135" s="32">
        <f t="shared" ref="C135:C198" si="39">IF(AND(T134="",A135&lt;=S134),N134,0)</f>
        <v>26476923</v>
      </c>
      <c r="D135" s="32">
        <f t="shared" ref="D135:D198" si="40">IF(AND(T134="",A135&lt;=S134),K134,0)</f>
        <v>0</v>
      </c>
      <c r="E135" s="33">
        <f>IF(AND(T134="",A135&lt;=S134),IF(A135&lt;入力!$B$11,入力!$B$10,入力!$B$12),0)</f>
        <v>2.5000000000000001E-2</v>
      </c>
      <c r="F135" s="32">
        <f t="shared" ref="F135:F198" si="41">IF(AND(T134="",A135&lt;=S134),ROUND(C135*E135/12,0),0)</f>
        <v>55160</v>
      </c>
      <c r="G135" s="32">
        <f>ROUND(IF(NOT(AND(T134="",A135&lt;=S134)),0,IF(FALSE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),0)</f>
        <v>121428</v>
      </c>
      <c r="H135" s="32">
        <f t="shared" ref="H135:H198" si="42">IF(AND(T134="",A135&lt;=S134),ROUND(MIN(G135,C135+D135+F135),0),0)</f>
        <v>121428</v>
      </c>
      <c r="I135" s="32">
        <f t="shared" ref="I135:I198" si="43">IF(AND(T134="",A135&lt;=S134),ROUND(MIN(H135,D135+F135),0),0)</f>
        <v>55160</v>
      </c>
      <c r="J135" s="32">
        <f t="shared" ref="J135:J198" si="44">IF(AND(T134="",A135&lt;=S134),ROUND(F135-I135,0),0)</f>
        <v>0</v>
      </c>
      <c r="K135" s="32">
        <f t="shared" ref="K135:K198" si="45">IF(AND(T134="",A135&lt;=S134),ROUND(D135+J135,0),0)</f>
        <v>0</v>
      </c>
      <c r="L135" s="32">
        <f t="shared" ref="L135:L198" si="46">IF(AND(T134="",A135&lt;=S134),ROUND(H135-I135,0),0)</f>
        <v>66268</v>
      </c>
      <c r="M135" s="32">
        <f>0</f>
        <v>0</v>
      </c>
      <c r="N135" s="32">
        <f t="shared" ref="N135:N198" si="47">IF(AND(T134="",A135&lt;=S134),ROUND(MAX(0,C135-L135-M135),0),0)</f>
        <v>26410655</v>
      </c>
      <c r="O135" s="32">
        <f t="shared" ref="O135:O198" si="48">IF(AND(T134="",A135&lt;=S134),ROUND(O134+F135,0),O134)</f>
        <v>5312535</v>
      </c>
      <c r="P135" s="34" t="str">
        <f>IF(NOT(AND(T134="",A135&lt;=S134)),"",IF(FALSE,"繰上返済後再計算","")&amp;IF(AND(入力!$B$13="有効",A135&gt;1,MOD(A135-1,60)=0),IF(FALSE,"・","")&amp;"5年見直し","")&amp;IF(AND(A135=入力!$B$11,A135&gt;1),IF(OR(FALSE,AND(入力!$B$13="有効",A135&gt;1,MOD(A135-1,60)=0)),"・","")&amp;"金利変更","")&amp;IF(AND(OR(AND(入力!$B$13="有効",A135&gt;1,MOD(A135-1,60)=0),AND(A135=入力!$B$11,A135&gt;1)),入力!$B$14="有効",IF(E135=0,ROUND(C135/MAX(1,S134-A135+1),0),ROUND(-PMT(E135/12,MAX(1,S134-A135+1),C135),0))&gt;ROUND(G134*1.25,0),NOT(FALSE)),"・上限適用",""))</f>
        <v/>
      </c>
      <c r="Q135" s="35" t="str">
        <f>IF(AND(T134="",A135&lt;=S134),入力!$B$13,"")</f>
        <v>有効</v>
      </c>
      <c r="R135" s="32" t="str">
        <f>IF(AND(AND(T134="",A135&lt;=S134),OR(AND(入力!$B$13="有効",A135&gt;1,MOD(A135-1,60)=0),AND(A135=入力!$B$11,A135&gt;1)),入力!$B$14="有効"),ROUND(G134*1.25,0),"")</f>
        <v/>
      </c>
      <c r="S135" s="36">
        <f t="shared" ref="S135:S198" si="49">S134</f>
        <v>420</v>
      </c>
      <c r="T135" s="35" t="str">
        <f t="shared" ref="T135:T198" si="50">IF(NOT(AND(T134="",A135&lt;=S134)),"",IF(AND(N135=0,K135=0),"完済",IF(A135=S135,"最終回清算","")))</f>
        <v/>
      </c>
      <c r="U135" s="3">
        <f t="shared" si="34"/>
        <v>0</v>
      </c>
      <c r="V135" s="3">
        <f t="shared" si="35"/>
        <v>0</v>
      </c>
      <c r="W135" s="3">
        <f t="shared" si="36"/>
        <v>0</v>
      </c>
      <c r="X135" s="3">
        <f t="shared" si="37"/>
        <v>0</v>
      </c>
      <c r="Y135" s="3">
        <f>0</f>
        <v>0</v>
      </c>
      <c r="Z135" s="3">
        <f t="shared" si="38"/>
        <v>0</v>
      </c>
      <c r="AA135">
        <f>ROUND(IF(FALSE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,0)</f>
        <v>121428</v>
      </c>
    </row>
    <row r="136" spans="1:27">
      <c r="A136" s="30">
        <f>131</f>
        <v>131</v>
      </c>
      <c r="B136" s="31">
        <f>EDATE(入力!$B$6,A136-1)</f>
        <v>50192</v>
      </c>
      <c r="C136" s="32">
        <f t="shared" si="39"/>
        <v>26410655</v>
      </c>
      <c r="D136" s="32">
        <f t="shared" si="40"/>
        <v>0</v>
      </c>
      <c r="E136" s="33">
        <f>IF(AND(T135="",A136&lt;=S135),IF(A136&lt;入力!$B$11,入力!$B$10,入力!$B$12),0)</f>
        <v>2.5000000000000001E-2</v>
      </c>
      <c r="F136" s="32">
        <f t="shared" si="41"/>
        <v>55022</v>
      </c>
      <c r="G136" s="32">
        <f>ROUND(IF(NOT(AND(T135="",A136&lt;=S135)),0,IF(FALSE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),0)</f>
        <v>121428</v>
      </c>
      <c r="H136" s="32">
        <f t="shared" si="42"/>
        <v>121428</v>
      </c>
      <c r="I136" s="32">
        <f t="shared" si="43"/>
        <v>55022</v>
      </c>
      <c r="J136" s="32">
        <f t="shared" si="44"/>
        <v>0</v>
      </c>
      <c r="K136" s="32">
        <f t="shared" si="45"/>
        <v>0</v>
      </c>
      <c r="L136" s="32">
        <f t="shared" si="46"/>
        <v>66406</v>
      </c>
      <c r="M136" s="32">
        <f>0</f>
        <v>0</v>
      </c>
      <c r="N136" s="32">
        <f t="shared" si="47"/>
        <v>26344249</v>
      </c>
      <c r="O136" s="32">
        <f t="shared" si="48"/>
        <v>5367557</v>
      </c>
      <c r="P136" s="34" t="str">
        <f>IF(NOT(AND(T135="",A136&lt;=S135)),"",IF(FALSE,"繰上返済後再計算","")&amp;IF(AND(入力!$B$13="有効",A136&gt;1,MOD(A136-1,60)=0),IF(FALSE,"・","")&amp;"5年見直し","")&amp;IF(AND(A136=入力!$B$11,A136&gt;1),IF(OR(FALSE,AND(入力!$B$13="有効",A136&gt;1,MOD(A136-1,60)=0)),"・","")&amp;"金利変更","")&amp;IF(AND(OR(AND(入力!$B$13="有効",A136&gt;1,MOD(A136-1,60)=0),AND(A136=入力!$B$11,A136&gt;1)),入力!$B$14="有効",IF(E136=0,ROUND(C136/MAX(1,S135-A136+1),0),ROUND(-PMT(E136/12,MAX(1,S135-A136+1),C136),0))&gt;ROUND(G135*1.25,0),NOT(FALSE)),"・上限適用",""))</f>
        <v/>
      </c>
      <c r="Q136" s="35" t="str">
        <f>IF(AND(T135="",A136&lt;=S135),入力!$B$13,"")</f>
        <v>有効</v>
      </c>
      <c r="R136" s="32" t="str">
        <f>IF(AND(AND(T135="",A136&lt;=S135),OR(AND(入力!$B$13="有効",A136&gt;1,MOD(A136-1,60)=0),AND(A136=入力!$B$11,A136&gt;1)),入力!$B$14="有効"),ROUND(G135*1.25,0),"")</f>
        <v/>
      </c>
      <c r="S136" s="36">
        <f t="shared" si="49"/>
        <v>420</v>
      </c>
      <c r="T136" s="35" t="str">
        <f t="shared" si="50"/>
        <v/>
      </c>
      <c r="U136" s="3">
        <f t="shared" si="34"/>
        <v>0</v>
      </c>
      <c r="V136" s="3">
        <f t="shared" si="35"/>
        <v>0</v>
      </c>
      <c r="W136" s="3">
        <f t="shared" si="36"/>
        <v>0</v>
      </c>
      <c r="X136" s="3">
        <f t="shared" si="37"/>
        <v>0</v>
      </c>
      <c r="Y136" s="3">
        <f>0</f>
        <v>0</v>
      </c>
      <c r="Z136" s="3">
        <f t="shared" si="38"/>
        <v>0</v>
      </c>
      <c r="AA136">
        <f>ROUND(IF(FALSE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,0)</f>
        <v>121428</v>
      </c>
    </row>
    <row r="137" spans="1:27">
      <c r="A137" s="30">
        <f>132</f>
        <v>132</v>
      </c>
      <c r="B137" s="31">
        <f>EDATE(入力!$B$6,A137-1)</f>
        <v>50222</v>
      </c>
      <c r="C137" s="32">
        <f t="shared" si="39"/>
        <v>26344249</v>
      </c>
      <c r="D137" s="32">
        <f t="shared" si="40"/>
        <v>0</v>
      </c>
      <c r="E137" s="33">
        <f>IF(AND(T136="",A137&lt;=S136),IF(A137&lt;入力!$B$11,入力!$B$10,入力!$B$12),0)</f>
        <v>2.5000000000000001E-2</v>
      </c>
      <c r="F137" s="32">
        <f t="shared" si="41"/>
        <v>54884</v>
      </c>
      <c r="G137" s="32">
        <f>ROUND(IF(NOT(AND(T136="",A137&lt;=S136)),0,IF(FALSE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),0)</f>
        <v>121428</v>
      </c>
      <c r="H137" s="32">
        <f t="shared" si="42"/>
        <v>121428</v>
      </c>
      <c r="I137" s="32">
        <f t="shared" si="43"/>
        <v>54884</v>
      </c>
      <c r="J137" s="32">
        <f t="shared" si="44"/>
        <v>0</v>
      </c>
      <c r="K137" s="32">
        <f t="shared" si="45"/>
        <v>0</v>
      </c>
      <c r="L137" s="32">
        <f t="shared" si="46"/>
        <v>66544</v>
      </c>
      <c r="M137" s="32">
        <f>0</f>
        <v>0</v>
      </c>
      <c r="N137" s="32">
        <f t="shared" si="47"/>
        <v>26277705</v>
      </c>
      <c r="O137" s="32">
        <f t="shared" si="48"/>
        <v>5422441</v>
      </c>
      <c r="P137" s="34" t="str">
        <f>IF(NOT(AND(T136="",A137&lt;=S136)),"",IF(FALSE,"繰上返済後再計算","")&amp;IF(AND(入力!$B$13="有効",A137&gt;1,MOD(A137-1,60)=0),IF(FALSE,"・","")&amp;"5年見直し","")&amp;IF(AND(A137=入力!$B$11,A137&gt;1),IF(OR(FALSE,AND(入力!$B$13="有効",A137&gt;1,MOD(A137-1,60)=0)),"・","")&amp;"金利変更","")&amp;IF(AND(OR(AND(入力!$B$13="有効",A137&gt;1,MOD(A137-1,60)=0),AND(A137=入力!$B$11,A137&gt;1)),入力!$B$14="有効",IF(E137=0,ROUND(C137/MAX(1,S136-A137+1),0),ROUND(-PMT(E137/12,MAX(1,S136-A137+1),C137),0))&gt;ROUND(G136*1.25,0),NOT(FALSE)),"・上限適用",""))</f>
        <v/>
      </c>
      <c r="Q137" s="35" t="str">
        <f>IF(AND(T136="",A137&lt;=S136),入力!$B$13,"")</f>
        <v>有効</v>
      </c>
      <c r="R137" s="32" t="str">
        <f>IF(AND(AND(T136="",A137&lt;=S136),OR(AND(入力!$B$13="有効",A137&gt;1,MOD(A137-1,60)=0),AND(A137=入力!$B$11,A137&gt;1)),入力!$B$14="有効"),ROUND(G136*1.25,0),"")</f>
        <v/>
      </c>
      <c r="S137" s="36">
        <f t="shared" si="49"/>
        <v>420</v>
      </c>
      <c r="T137" s="35" t="str">
        <f t="shared" si="50"/>
        <v/>
      </c>
      <c r="U137" s="3">
        <f t="shared" si="34"/>
        <v>0</v>
      </c>
      <c r="V137" s="3">
        <f t="shared" si="35"/>
        <v>0</v>
      </c>
      <c r="W137" s="3">
        <f t="shared" si="36"/>
        <v>0</v>
      </c>
      <c r="X137" s="3">
        <f t="shared" si="37"/>
        <v>0</v>
      </c>
      <c r="Y137" s="3">
        <f>0</f>
        <v>0</v>
      </c>
      <c r="Z137" s="3">
        <f t="shared" si="38"/>
        <v>0</v>
      </c>
      <c r="AA137">
        <f>ROUND(IF(FALSE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,0)</f>
        <v>121428</v>
      </c>
    </row>
    <row r="138" spans="1:27">
      <c r="A138" s="30">
        <f>133</f>
        <v>133</v>
      </c>
      <c r="B138" s="31">
        <f>EDATE(入力!$B$6,A138-1)</f>
        <v>50253</v>
      </c>
      <c r="C138" s="32">
        <f t="shared" si="39"/>
        <v>26277705</v>
      </c>
      <c r="D138" s="32">
        <f t="shared" si="40"/>
        <v>0</v>
      </c>
      <c r="E138" s="33">
        <f>IF(AND(T137="",A138&lt;=S137),IF(A138&lt;入力!$B$11,入力!$B$10,入力!$B$12),0)</f>
        <v>2.5000000000000001E-2</v>
      </c>
      <c r="F138" s="32">
        <f t="shared" si="41"/>
        <v>54745</v>
      </c>
      <c r="G138" s="32">
        <f>ROUND(IF(NOT(AND(T137="",A138&lt;=S137)),0,IF(FALSE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),0)</f>
        <v>121428</v>
      </c>
      <c r="H138" s="32">
        <f t="shared" si="42"/>
        <v>121428</v>
      </c>
      <c r="I138" s="32">
        <f t="shared" si="43"/>
        <v>54745</v>
      </c>
      <c r="J138" s="32">
        <f t="shared" si="44"/>
        <v>0</v>
      </c>
      <c r="K138" s="32">
        <f t="shared" si="45"/>
        <v>0</v>
      </c>
      <c r="L138" s="32">
        <f t="shared" si="46"/>
        <v>66683</v>
      </c>
      <c r="M138" s="32">
        <f>0</f>
        <v>0</v>
      </c>
      <c r="N138" s="32">
        <f t="shared" si="47"/>
        <v>26211022</v>
      </c>
      <c r="O138" s="32">
        <f t="shared" si="48"/>
        <v>5477186</v>
      </c>
      <c r="P138" s="34" t="str">
        <f>IF(NOT(AND(T137="",A138&lt;=S137)),"",IF(FALSE,"繰上返済後再計算","")&amp;IF(AND(入力!$B$13="有効",A138&gt;1,MOD(A138-1,60)=0),IF(FALSE,"・","")&amp;"5年見直し","")&amp;IF(AND(A138=入力!$B$11,A138&gt;1),IF(OR(FALSE,AND(入力!$B$13="有効",A138&gt;1,MOD(A138-1,60)=0)),"・","")&amp;"金利変更","")&amp;IF(AND(OR(AND(入力!$B$13="有効",A138&gt;1,MOD(A138-1,60)=0),AND(A138=入力!$B$11,A138&gt;1)),入力!$B$14="有効",IF(E138=0,ROUND(C138/MAX(1,S137-A138+1),0),ROUND(-PMT(E138/12,MAX(1,S137-A138+1),C138),0))&gt;ROUND(G137*1.25,0),NOT(FALSE)),"・上限適用",""))</f>
        <v/>
      </c>
      <c r="Q138" s="35" t="str">
        <f>IF(AND(T137="",A138&lt;=S137),入力!$B$13,"")</f>
        <v>有効</v>
      </c>
      <c r="R138" s="32" t="str">
        <f>IF(AND(AND(T137="",A138&lt;=S137),OR(AND(入力!$B$13="有効",A138&gt;1,MOD(A138-1,60)=0),AND(A138=入力!$B$11,A138&gt;1)),入力!$B$14="有効"),ROUND(G137*1.25,0),"")</f>
        <v/>
      </c>
      <c r="S138" s="36">
        <f t="shared" si="49"/>
        <v>420</v>
      </c>
      <c r="T138" s="35" t="str">
        <f t="shared" si="50"/>
        <v/>
      </c>
      <c r="U138" s="3">
        <f t="shared" si="34"/>
        <v>0</v>
      </c>
      <c r="V138" s="3">
        <f t="shared" si="35"/>
        <v>0</v>
      </c>
      <c r="W138" s="3">
        <f t="shared" si="36"/>
        <v>0</v>
      </c>
      <c r="X138" s="3">
        <f t="shared" si="37"/>
        <v>0</v>
      </c>
      <c r="Y138" s="3">
        <f>0</f>
        <v>0</v>
      </c>
      <c r="Z138" s="3">
        <f t="shared" si="38"/>
        <v>0</v>
      </c>
      <c r="AA138">
        <f>ROUND(IF(FALSE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,0)</f>
        <v>121428</v>
      </c>
    </row>
    <row r="139" spans="1:27">
      <c r="A139" s="30">
        <f>134</f>
        <v>134</v>
      </c>
      <c r="B139" s="31">
        <f>EDATE(入力!$B$6,A139-1)</f>
        <v>50284</v>
      </c>
      <c r="C139" s="32">
        <f t="shared" si="39"/>
        <v>26211022</v>
      </c>
      <c r="D139" s="32">
        <f t="shared" si="40"/>
        <v>0</v>
      </c>
      <c r="E139" s="33">
        <f>IF(AND(T138="",A139&lt;=S138),IF(A139&lt;入力!$B$11,入力!$B$10,入力!$B$12),0)</f>
        <v>2.5000000000000001E-2</v>
      </c>
      <c r="F139" s="32">
        <f t="shared" si="41"/>
        <v>54606</v>
      </c>
      <c r="G139" s="32">
        <f>ROUND(IF(NOT(AND(T138="",A139&lt;=S138)),0,IF(FALSE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),0)</f>
        <v>121428</v>
      </c>
      <c r="H139" s="32">
        <f t="shared" si="42"/>
        <v>121428</v>
      </c>
      <c r="I139" s="32">
        <f t="shared" si="43"/>
        <v>54606</v>
      </c>
      <c r="J139" s="32">
        <f t="shared" si="44"/>
        <v>0</v>
      </c>
      <c r="K139" s="32">
        <f t="shared" si="45"/>
        <v>0</v>
      </c>
      <c r="L139" s="32">
        <f t="shared" si="46"/>
        <v>66822</v>
      </c>
      <c r="M139" s="32">
        <f>0</f>
        <v>0</v>
      </c>
      <c r="N139" s="32">
        <f t="shared" si="47"/>
        <v>26144200</v>
      </c>
      <c r="O139" s="32">
        <f t="shared" si="48"/>
        <v>5531792</v>
      </c>
      <c r="P139" s="34" t="str">
        <f>IF(NOT(AND(T138="",A139&lt;=S138)),"",IF(FALSE,"繰上返済後再計算","")&amp;IF(AND(入力!$B$13="有効",A139&gt;1,MOD(A139-1,60)=0),IF(FALSE,"・","")&amp;"5年見直し","")&amp;IF(AND(A139=入力!$B$11,A139&gt;1),IF(OR(FALSE,AND(入力!$B$13="有効",A139&gt;1,MOD(A139-1,60)=0)),"・","")&amp;"金利変更","")&amp;IF(AND(OR(AND(入力!$B$13="有効",A139&gt;1,MOD(A139-1,60)=0),AND(A139=入力!$B$11,A139&gt;1)),入力!$B$14="有効",IF(E139=0,ROUND(C139/MAX(1,S138-A139+1),0),ROUND(-PMT(E139/12,MAX(1,S138-A139+1),C139),0))&gt;ROUND(G138*1.25,0),NOT(FALSE)),"・上限適用",""))</f>
        <v/>
      </c>
      <c r="Q139" s="35" t="str">
        <f>IF(AND(T138="",A139&lt;=S138),入力!$B$13,"")</f>
        <v>有効</v>
      </c>
      <c r="R139" s="32" t="str">
        <f>IF(AND(AND(T138="",A139&lt;=S138),OR(AND(入力!$B$13="有効",A139&gt;1,MOD(A139-1,60)=0),AND(A139=入力!$B$11,A139&gt;1)),入力!$B$14="有効"),ROUND(G138*1.25,0),"")</f>
        <v/>
      </c>
      <c r="S139" s="36">
        <f t="shared" si="49"/>
        <v>420</v>
      </c>
      <c r="T139" s="35" t="str">
        <f t="shared" si="50"/>
        <v/>
      </c>
      <c r="U139" s="3">
        <f t="shared" si="34"/>
        <v>0</v>
      </c>
      <c r="V139" s="3">
        <f t="shared" si="35"/>
        <v>0</v>
      </c>
      <c r="W139" s="3">
        <f t="shared" si="36"/>
        <v>0</v>
      </c>
      <c r="X139" s="3">
        <f t="shared" si="37"/>
        <v>0</v>
      </c>
      <c r="Y139" s="3">
        <f>0</f>
        <v>0</v>
      </c>
      <c r="Z139" s="3">
        <f t="shared" si="38"/>
        <v>0</v>
      </c>
      <c r="AA139">
        <f>ROUND(IF(FALSE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,0)</f>
        <v>121428</v>
      </c>
    </row>
    <row r="140" spans="1:27">
      <c r="A140" s="30">
        <f>135</f>
        <v>135</v>
      </c>
      <c r="B140" s="31">
        <f>EDATE(入力!$B$6,A140-1)</f>
        <v>50314</v>
      </c>
      <c r="C140" s="32">
        <f t="shared" si="39"/>
        <v>26144200</v>
      </c>
      <c r="D140" s="32">
        <f t="shared" si="40"/>
        <v>0</v>
      </c>
      <c r="E140" s="33">
        <f>IF(AND(T139="",A140&lt;=S139),IF(A140&lt;入力!$B$11,入力!$B$10,入力!$B$12),0)</f>
        <v>2.5000000000000001E-2</v>
      </c>
      <c r="F140" s="32">
        <f t="shared" si="41"/>
        <v>54467</v>
      </c>
      <c r="G140" s="32">
        <f>ROUND(IF(NOT(AND(T139="",A140&lt;=S139)),0,IF(FALSE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),0)</f>
        <v>121428</v>
      </c>
      <c r="H140" s="32">
        <f t="shared" si="42"/>
        <v>121428</v>
      </c>
      <c r="I140" s="32">
        <f t="shared" si="43"/>
        <v>54467</v>
      </c>
      <c r="J140" s="32">
        <f t="shared" si="44"/>
        <v>0</v>
      </c>
      <c r="K140" s="32">
        <f t="shared" si="45"/>
        <v>0</v>
      </c>
      <c r="L140" s="32">
        <f t="shared" si="46"/>
        <v>66961</v>
      </c>
      <c r="M140" s="32">
        <f>0</f>
        <v>0</v>
      </c>
      <c r="N140" s="32">
        <f t="shared" si="47"/>
        <v>26077239</v>
      </c>
      <c r="O140" s="32">
        <f t="shared" si="48"/>
        <v>5586259</v>
      </c>
      <c r="P140" s="34" t="str">
        <f>IF(NOT(AND(T139="",A140&lt;=S139)),"",IF(FALSE,"繰上返済後再計算","")&amp;IF(AND(入力!$B$13="有効",A140&gt;1,MOD(A140-1,60)=0),IF(FALSE,"・","")&amp;"5年見直し","")&amp;IF(AND(A140=入力!$B$11,A140&gt;1),IF(OR(FALSE,AND(入力!$B$13="有効",A140&gt;1,MOD(A140-1,60)=0)),"・","")&amp;"金利変更","")&amp;IF(AND(OR(AND(入力!$B$13="有効",A140&gt;1,MOD(A140-1,60)=0),AND(A140=入力!$B$11,A140&gt;1)),入力!$B$14="有効",IF(E140=0,ROUND(C140/MAX(1,S139-A140+1),0),ROUND(-PMT(E140/12,MAX(1,S139-A140+1),C140),0))&gt;ROUND(G139*1.25,0),NOT(FALSE)),"・上限適用",""))</f>
        <v/>
      </c>
      <c r="Q140" s="35" t="str">
        <f>IF(AND(T139="",A140&lt;=S139),入力!$B$13,"")</f>
        <v>有効</v>
      </c>
      <c r="R140" s="32" t="str">
        <f>IF(AND(AND(T139="",A140&lt;=S139),OR(AND(入力!$B$13="有効",A140&gt;1,MOD(A140-1,60)=0),AND(A140=入力!$B$11,A140&gt;1)),入力!$B$14="有効"),ROUND(G139*1.25,0),"")</f>
        <v/>
      </c>
      <c r="S140" s="36">
        <f t="shared" si="49"/>
        <v>420</v>
      </c>
      <c r="T140" s="35" t="str">
        <f t="shared" si="50"/>
        <v/>
      </c>
      <c r="U140" s="3">
        <f t="shared" si="34"/>
        <v>0</v>
      </c>
      <c r="V140" s="3">
        <f t="shared" si="35"/>
        <v>0</v>
      </c>
      <c r="W140" s="3">
        <f t="shared" si="36"/>
        <v>0</v>
      </c>
      <c r="X140" s="3">
        <f t="shared" si="37"/>
        <v>0</v>
      </c>
      <c r="Y140" s="3">
        <f>0</f>
        <v>0</v>
      </c>
      <c r="Z140" s="3">
        <f t="shared" si="38"/>
        <v>0</v>
      </c>
      <c r="AA140">
        <f>ROUND(IF(FALSE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,0)</f>
        <v>121428</v>
      </c>
    </row>
    <row r="141" spans="1:27">
      <c r="A141" s="30">
        <f>136</f>
        <v>136</v>
      </c>
      <c r="B141" s="31">
        <f>EDATE(入力!$B$6,A141-1)</f>
        <v>50345</v>
      </c>
      <c r="C141" s="32">
        <f t="shared" si="39"/>
        <v>26077239</v>
      </c>
      <c r="D141" s="32">
        <f t="shared" si="40"/>
        <v>0</v>
      </c>
      <c r="E141" s="33">
        <f>IF(AND(T140="",A141&lt;=S140),IF(A141&lt;入力!$B$11,入力!$B$10,入力!$B$12),0)</f>
        <v>2.5000000000000001E-2</v>
      </c>
      <c r="F141" s="32">
        <f t="shared" si="41"/>
        <v>54328</v>
      </c>
      <c r="G141" s="32">
        <f>ROUND(IF(NOT(AND(T140="",A141&lt;=S140)),0,IF(FALSE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),0)</f>
        <v>121428</v>
      </c>
      <c r="H141" s="32">
        <f t="shared" si="42"/>
        <v>121428</v>
      </c>
      <c r="I141" s="32">
        <f t="shared" si="43"/>
        <v>54328</v>
      </c>
      <c r="J141" s="32">
        <f t="shared" si="44"/>
        <v>0</v>
      </c>
      <c r="K141" s="32">
        <f t="shared" si="45"/>
        <v>0</v>
      </c>
      <c r="L141" s="32">
        <f t="shared" si="46"/>
        <v>67100</v>
      </c>
      <c r="M141" s="32">
        <f>0</f>
        <v>0</v>
      </c>
      <c r="N141" s="32">
        <f t="shared" si="47"/>
        <v>26010139</v>
      </c>
      <c r="O141" s="32">
        <f t="shared" si="48"/>
        <v>5640587</v>
      </c>
      <c r="P141" s="34" t="str">
        <f>IF(NOT(AND(T140="",A141&lt;=S140)),"",IF(FALSE,"繰上返済後再計算","")&amp;IF(AND(入力!$B$13="有効",A141&gt;1,MOD(A141-1,60)=0),IF(FALSE,"・","")&amp;"5年見直し","")&amp;IF(AND(A141=入力!$B$11,A141&gt;1),IF(OR(FALSE,AND(入力!$B$13="有効",A141&gt;1,MOD(A141-1,60)=0)),"・","")&amp;"金利変更","")&amp;IF(AND(OR(AND(入力!$B$13="有効",A141&gt;1,MOD(A141-1,60)=0),AND(A141=入力!$B$11,A141&gt;1)),入力!$B$14="有効",IF(E141=0,ROUND(C141/MAX(1,S140-A141+1),0),ROUND(-PMT(E141/12,MAX(1,S140-A141+1),C141),0))&gt;ROUND(G140*1.25,0),NOT(FALSE)),"・上限適用",""))</f>
        <v/>
      </c>
      <c r="Q141" s="35" t="str">
        <f>IF(AND(T140="",A141&lt;=S140),入力!$B$13,"")</f>
        <v>有効</v>
      </c>
      <c r="R141" s="32" t="str">
        <f>IF(AND(AND(T140="",A141&lt;=S140),OR(AND(入力!$B$13="有効",A141&gt;1,MOD(A141-1,60)=0),AND(A141=入力!$B$11,A141&gt;1)),入力!$B$14="有効"),ROUND(G140*1.25,0),"")</f>
        <v/>
      </c>
      <c r="S141" s="36">
        <f t="shared" si="49"/>
        <v>420</v>
      </c>
      <c r="T141" s="35" t="str">
        <f t="shared" si="50"/>
        <v/>
      </c>
      <c r="U141" s="3">
        <f t="shared" si="34"/>
        <v>0</v>
      </c>
      <c r="V141" s="3">
        <f t="shared" si="35"/>
        <v>0</v>
      </c>
      <c r="W141" s="3">
        <f t="shared" si="36"/>
        <v>0</v>
      </c>
      <c r="X141" s="3">
        <f t="shared" si="37"/>
        <v>0</v>
      </c>
      <c r="Y141" s="3">
        <f>0</f>
        <v>0</v>
      </c>
      <c r="Z141" s="3">
        <f t="shared" si="38"/>
        <v>0</v>
      </c>
      <c r="AA141">
        <f>ROUND(IF(FALSE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,0)</f>
        <v>121428</v>
      </c>
    </row>
    <row r="142" spans="1:27">
      <c r="A142" s="30">
        <f>137</f>
        <v>137</v>
      </c>
      <c r="B142" s="31">
        <f>EDATE(入力!$B$6,A142-1)</f>
        <v>50375</v>
      </c>
      <c r="C142" s="32">
        <f t="shared" si="39"/>
        <v>26010139</v>
      </c>
      <c r="D142" s="32">
        <f t="shared" si="40"/>
        <v>0</v>
      </c>
      <c r="E142" s="33">
        <f>IF(AND(T141="",A142&lt;=S141),IF(A142&lt;入力!$B$11,入力!$B$10,入力!$B$12),0)</f>
        <v>2.5000000000000001E-2</v>
      </c>
      <c r="F142" s="32">
        <f t="shared" si="41"/>
        <v>54188</v>
      </c>
      <c r="G142" s="32">
        <f>ROUND(IF(NOT(AND(T141="",A142&lt;=S141)),0,IF(FALSE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),0)</f>
        <v>121428</v>
      </c>
      <c r="H142" s="32">
        <f t="shared" si="42"/>
        <v>121428</v>
      </c>
      <c r="I142" s="32">
        <f t="shared" si="43"/>
        <v>54188</v>
      </c>
      <c r="J142" s="32">
        <f t="shared" si="44"/>
        <v>0</v>
      </c>
      <c r="K142" s="32">
        <f t="shared" si="45"/>
        <v>0</v>
      </c>
      <c r="L142" s="32">
        <f t="shared" si="46"/>
        <v>67240</v>
      </c>
      <c r="M142" s="32">
        <f>0</f>
        <v>0</v>
      </c>
      <c r="N142" s="32">
        <f t="shared" si="47"/>
        <v>25942899</v>
      </c>
      <c r="O142" s="32">
        <f t="shared" si="48"/>
        <v>5694775</v>
      </c>
      <c r="P142" s="34" t="str">
        <f>IF(NOT(AND(T141="",A142&lt;=S141)),"",IF(FALSE,"繰上返済後再計算","")&amp;IF(AND(入力!$B$13="有効",A142&gt;1,MOD(A142-1,60)=0),IF(FALSE,"・","")&amp;"5年見直し","")&amp;IF(AND(A142=入力!$B$11,A142&gt;1),IF(OR(FALSE,AND(入力!$B$13="有効",A142&gt;1,MOD(A142-1,60)=0)),"・","")&amp;"金利変更","")&amp;IF(AND(OR(AND(入力!$B$13="有効",A142&gt;1,MOD(A142-1,60)=0),AND(A142=入力!$B$11,A142&gt;1)),入力!$B$14="有効",IF(E142=0,ROUND(C142/MAX(1,S141-A142+1),0),ROUND(-PMT(E142/12,MAX(1,S141-A142+1),C142),0))&gt;ROUND(G141*1.25,0),NOT(FALSE)),"・上限適用",""))</f>
        <v/>
      </c>
      <c r="Q142" s="35" t="str">
        <f>IF(AND(T141="",A142&lt;=S141),入力!$B$13,"")</f>
        <v>有効</v>
      </c>
      <c r="R142" s="32" t="str">
        <f>IF(AND(AND(T141="",A142&lt;=S141),OR(AND(入力!$B$13="有効",A142&gt;1,MOD(A142-1,60)=0),AND(A142=入力!$B$11,A142&gt;1)),入力!$B$14="有効"),ROUND(G141*1.25,0),"")</f>
        <v/>
      </c>
      <c r="S142" s="36">
        <f t="shared" si="49"/>
        <v>420</v>
      </c>
      <c r="T142" s="35" t="str">
        <f t="shared" si="50"/>
        <v/>
      </c>
      <c r="U142" s="3">
        <f t="shared" si="34"/>
        <v>0</v>
      </c>
      <c r="V142" s="3">
        <f t="shared" si="35"/>
        <v>0</v>
      </c>
      <c r="W142" s="3">
        <f t="shared" si="36"/>
        <v>0</v>
      </c>
      <c r="X142" s="3">
        <f t="shared" si="37"/>
        <v>0</v>
      </c>
      <c r="Y142" s="3">
        <f>0</f>
        <v>0</v>
      </c>
      <c r="Z142" s="3">
        <f t="shared" si="38"/>
        <v>0</v>
      </c>
      <c r="AA142">
        <f>ROUND(IF(FALSE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,0)</f>
        <v>121428</v>
      </c>
    </row>
    <row r="143" spans="1:27">
      <c r="A143" s="30">
        <f>138</f>
        <v>138</v>
      </c>
      <c r="B143" s="31">
        <f>EDATE(入力!$B$6,A143-1)</f>
        <v>50406</v>
      </c>
      <c r="C143" s="32">
        <f t="shared" si="39"/>
        <v>25942899</v>
      </c>
      <c r="D143" s="32">
        <f t="shared" si="40"/>
        <v>0</v>
      </c>
      <c r="E143" s="33">
        <f>IF(AND(T142="",A143&lt;=S142),IF(A143&lt;入力!$B$11,入力!$B$10,入力!$B$12),0)</f>
        <v>2.5000000000000001E-2</v>
      </c>
      <c r="F143" s="32">
        <f t="shared" si="41"/>
        <v>54048</v>
      </c>
      <c r="G143" s="32">
        <f>ROUND(IF(NOT(AND(T142="",A143&lt;=S142)),0,IF(FALSE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),0)</f>
        <v>121428</v>
      </c>
      <c r="H143" s="32">
        <f t="shared" si="42"/>
        <v>121428</v>
      </c>
      <c r="I143" s="32">
        <f t="shared" si="43"/>
        <v>54048</v>
      </c>
      <c r="J143" s="32">
        <f t="shared" si="44"/>
        <v>0</v>
      </c>
      <c r="K143" s="32">
        <f t="shared" si="45"/>
        <v>0</v>
      </c>
      <c r="L143" s="32">
        <f t="shared" si="46"/>
        <v>67380</v>
      </c>
      <c r="M143" s="32">
        <f>0</f>
        <v>0</v>
      </c>
      <c r="N143" s="32">
        <f t="shared" si="47"/>
        <v>25875519</v>
      </c>
      <c r="O143" s="32">
        <f t="shared" si="48"/>
        <v>5748823</v>
      </c>
      <c r="P143" s="34" t="str">
        <f>IF(NOT(AND(T142="",A143&lt;=S142)),"",IF(FALSE,"繰上返済後再計算","")&amp;IF(AND(入力!$B$13="有効",A143&gt;1,MOD(A143-1,60)=0),IF(FALSE,"・","")&amp;"5年見直し","")&amp;IF(AND(A143=入力!$B$11,A143&gt;1),IF(OR(FALSE,AND(入力!$B$13="有効",A143&gt;1,MOD(A143-1,60)=0)),"・","")&amp;"金利変更","")&amp;IF(AND(OR(AND(入力!$B$13="有効",A143&gt;1,MOD(A143-1,60)=0),AND(A143=入力!$B$11,A143&gt;1)),入力!$B$14="有効",IF(E143=0,ROUND(C143/MAX(1,S142-A143+1),0),ROUND(-PMT(E143/12,MAX(1,S142-A143+1),C143),0))&gt;ROUND(G142*1.25,0),NOT(FALSE)),"・上限適用",""))</f>
        <v/>
      </c>
      <c r="Q143" s="35" t="str">
        <f>IF(AND(T142="",A143&lt;=S142),入力!$B$13,"")</f>
        <v>有効</v>
      </c>
      <c r="R143" s="32" t="str">
        <f>IF(AND(AND(T142="",A143&lt;=S142),OR(AND(入力!$B$13="有効",A143&gt;1,MOD(A143-1,60)=0),AND(A143=入力!$B$11,A143&gt;1)),入力!$B$14="有効"),ROUND(G142*1.25,0),"")</f>
        <v/>
      </c>
      <c r="S143" s="36">
        <f t="shared" si="49"/>
        <v>420</v>
      </c>
      <c r="T143" s="35" t="str">
        <f t="shared" si="50"/>
        <v/>
      </c>
      <c r="U143" s="3">
        <f t="shared" si="34"/>
        <v>0</v>
      </c>
      <c r="V143" s="3">
        <f t="shared" si="35"/>
        <v>0</v>
      </c>
      <c r="W143" s="3">
        <f t="shared" si="36"/>
        <v>0</v>
      </c>
      <c r="X143" s="3">
        <f t="shared" si="37"/>
        <v>0</v>
      </c>
      <c r="Y143" s="3">
        <f>0</f>
        <v>0</v>
      </c>
      <c r="Z143" s="3">
        <f t="shared" si="38"/>
        <v>0</v>
      </c>
      <c r="AA143">
        <f>ROUND(IF(FALSE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,0)</f>
        <v>121428</v>
      </c>
    </row>
    <row r="144" spans="1:27">
      <c r="A144" s="30">
        <f>139</f>
        <v>139</v>
      </c>
      <c r="B144" s="31">
        <f>EDATE(入力!$B$6,A144-1)</f>
        <v>50437</v>
      </c>
      <c r="C144" s="32">
        <f t="shared" si="39"/>
        <v>25875519</v>
      </c>
      <c r="D144" s="32">
        <f t="shared" si="40"/>
        <v>0</v>
      </c>
      <c r="E144" s="33">
        <f>IF(AND(T143="",A144&lt;=S143),IF(A144&lt;入力!$B$11,入力!$B$10,入力!$B$12),0)</f>
        <v>2.5000000000000001E-2</v>
      </c>
      <c r="F144" s="32">
        <f t="shared" si="41"/>
        <v>53907</v>
      </c>
      <c r="G144" s="32">
        <f>ROUND(IF(NOT(AND(T143="",A144&lt;=S143)),0,IF(FALSE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),0)</f>
        <v>121428</v>
      </c>
      <c r="H144" s="32">
        <f t="shared" si="42"/>
        <v>121428</v>
      </c>
      <c r="I144" s="32">
        <f t="shared" si="43"/>
        <v>53907</v>
      </c>
      <c r="J144" s="32">
        <f t="shared" si="44"/>
        <v>0</v>
      </c>
      <c r="K144" s="32">
        <f t="shared" si="45"/>
        <v>0</v>
      </c>
      <c r="L144" s="32">
        <f t="shared" si="46"/>
        <v>67521</v>
      </c>
      <c r="M144" s="32">
        <f>0</f>
        <v>0</v>
      </c>
      <c r="N144" s="32">
        <f t="shared" si="47"/>
        <v>25807998</v>
      </c>
      <c r="O144" s="32">
        <f t="shared" si="48"/>
        <v>5802730</v>
      </c>
      <c r="P144" s="34" t="str">
        <f>IF(NOT(AND(T143="",A144&lt;=S143)),"",IF(FALSE,"繰上返済後再計算","")&amp;IF(AND(入力!$B$13="有効",A144&gt;1,MOD(A144-1,60)=0),IF(FALSE,"・","")&amp;"5年見直し","")&amp;IF(AND(A144=入力!$B$11,A144&gt;1),IF(OR(FALSE,AND(入力!$B$13="有効",A144&gt;1,MOD(A144-1,60)=0)),"・","")&amp;"金利変更","")&amp;IF(AND(OR(AND(入力!$B$13="有効",A144&gt;1,MOD(A144-1,60)=0),AND(A144=入力!$B$11,A144&gt;1)),入力!$B$14="有効",IF(E144=0,ROUND(C144/MAX(1,S143-A144+1),0),ROUND(-PMT(E144/12,MAX(1,S143-A144+1),C144),0))&gt;ROUND(G143*1.25,0),NOT(FALSE)),"・上限適用",""))</f>
        <v/>
      </c>
      <c r="Q144" s="35" t="str">
        <f>IF(AND(T143="",A144&lt;=S143),入力!$B$13,"")</f>
        <v>有効</v>
      </c>
      <c r="R144" s="32" t="str">
        <f>IF(AND(AND(T143="",A144&lt;=S143),OR(AND(入力!$B$13="有効",A144&gt;1,MOD(A144-1,60)=0),AND(A144=入力!$B$11,A144&gt;1)),入力!$B$14="有効"),ROUND(G143*1.25,0),"")</f>
        <v/>
      </c>
      <c r="S144" s="36">
        <f t="shared" si="49"/>
        <v>420</v>
      </c>
      <c r="T144" s="35" t="str">
        <f t="shared" si="50"/>
        <v/>
      </c>
      <c r="U144" s="3">
        <f t="shared" si="34"/>
        <v>0</v>
      </c>
      <c r="V144" s="3">
        <f t="shared" si="35"/>
        <v>0</v>
      </c>
      <c r="W144" s="3">
        <f t="shared" si="36"/>
        <v>0</v>
      </c>
      <c r="X144" s="3">
        <f t="shared" si="37"/>
        <v>0</v>
      </c>
      <c r="Y144" s="3">
        <f>0</f>
        <v>0</v>
      </c>
      <c r="Z144" s="3">
        <f t="shared" si="38"/>
        <v>0</v>
      </c>
      <c r="AA144">
        <f>ROUND(IF(FALSE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,0)</f>
        <v>121428</v>
      </c>
    </row>
    <row r="145" spans="1:27">
      <c r="A145" s="30">
        <f>140</f>
        <v>140</v>
      </c>
      <c r="B145" s="31">
        <f>EDATE(入力!$B$6,A145-1)</f>
        <v>50465</v>
      </c>
      <c r="C145" s="32">
        <f t="shared" si="39"/>
        <v>25807998</v>
      </c>
      <c r="D145" s="32">
        <f t="shared" si="40"/>
        <v>0</v>
      </c>
      <c r="E145" s="33">
        <f>IF(AND(T144="",A145&lt;=S144),IF(A145&lt;入力!$B$11,入力!$B$10,入力!$B$12),0)</f>
        <v>2.5000000000000001E-2</v>
      </c>
      <c r="F145" s="32">
        <f t="shared" si="41"/>
        <v>53767</v>
      </c>
      <c r="G145" s="32">
        <f>ROUND(IF(NOT(AND(T144="",A145&lt;=S144)),0,IF(FALSE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),0)</f>
        <v>121428</v>
      </c>
      <c r="H145" s="32">
        <f t="shared" si="42"/>
        <v>121428</v>
      </c>
      <c r="I145" s="32">
        <f t="shared" si="43"/>
        <v>53767</v>
      </c>
      <c r="J145" s="32">
        <f t="shared" si="44"/>
        <v>0</v>
      </c>
      <c r="K145" s="32">
        <f t="shared" si="45"/>
        <v>0</v>
      </c>
      <c r="L145" s="32">
        <f t="shared" si="46"/>
        <v>67661</v>
      </c>
      <c r="M145" s="32">
        <f>0</f>
        <v>0</v>
      </c>
      <c r="N145" s="32">
        <f t="shared" si="47"/>
        <v>25740337</v>
      </c>
      <c r="O145" s="32">
        <f t="shared" si="48"/>
        <v>5856497</v>
      </c>
      <c r="P145" s="34" t="str">
        <f>IF(NOT(AND(T144="",A145&lt;=S144)),"",IF(FALSE,"繰上返済後再計算","")&amp;IF(AND(入力!$B$13="有効",A145&gt;1,MOD(A145-1,60)=0),IF(FALSE,"・","")&amp;"5年見直し","")&amp;IF(AND(A145=入力!$B$11,A145&gt;1),IF(OR(FALSE,AND(入力!$B$13="有効",A145&gt;1,MOD(A145-1,60)=0)),"・","")&amp;"金利変更","")&amp;IF(AND(OR(AND(入力!$B$13="有効",A145&gt;1,MOD(A145-1,60)=0),AND(A145=入力!$B$11,A145&gt;1)),入力!$B$14="有効",IF(E145=0,ROUND(C145/MAX(1,S144-A145+1),0),ROUND(-PMT(E145/12,MAX(1,S144-A145+1),C145),0))&gt;ROUND(G144*1.25,0),NOT(FALSE)),"・上限適用",""))</f>
        <v/>
      </c>
      <c r="Q145" s="35" t="str">
        <f>IF(AND(T144="",A145&lt;=S144),入力!$B$13,"")</f>
        <v>有効</v>
      </c>
      <c r="R145" s="32" t="str">
        <f>IF(AND(AND(T144="",A145&lt;=S144),OR(AND(入力!$B$13="有効",A145&gt;1,MOD(A145-1,60)=0),AND(A145=入力!$B$11,A145&gt;1)),入力!$B$14="有効"),ROUND(G144*1.25,0),"")</f>
        <v/>
      </c>
      <c r="S145" s="36">
        <f t="shared" si="49"/>
        <v>420</v>
      </c>
      <c r="T145" s="35" t="str">
        <f t="shared" si="50"/>
        <v/>
      </c>
      <c r="U145" s="3">
        <f t="shared" si="34"/>
        <v>0</v>
      </c>
      <c r="V145" s="3">
        <f t="shared" si="35"/>
        <v>0</v>
      </c>
      <c r="W145" s="3">
        <f t="shared" si="36"/>
        <v>0</v>
      </c>
      <c r="X145" s="3">
        <f t="shared" si="37"/>
        <v>0</v>
      </c>
      <c r="Y145" s="3">
        <f>0</f>
        <v>0</v>
      </c>
      <c r="Z145" s="3">
        <f t="shared" si="38"/>
        <v>0</v>
      </c>
      <c r="AA145">
        <f>ROUND(IF(FALSE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,0)</f>
        <v>121428</v>
      </c>
    </row>
    <row r="146" spans="1:27">
      <c r="A146" s="30">
        <f>141</f>
        <v>141</v>
      </c>
      <c r="B146" s="31">
        <f>EDATE(入力!$B$6,A146-1)</f>
        <v>50496</v>
      </c>
      <c r="C146" s="32">
        <f t="shared" si="39"/>
        <v>25740337</v>
      </c>
      <c r="D146" s="32">
        <f t="shared" si="40"/>
        <v>0</v>
      </c>
      <c r="E146" s="33">
        <f>IF(AND(T145="",A146&lt;=S145),IF(A146&lt;入力!$B$11,入力!$B$10,入力!$B$12),0)</f>
        <v>2.5000000000000001E-2</v>
      </c>
      <c r="F146" s="32">
        <f t="shared" si="41"/>
        <v>53626</v>
      </c>
      <c r="G146" s="32">
        <f>ROUND(IF(NOT(AND(T145="",A146&lt;=S145)),0,IF(FALSE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),0)</f>
        <v>121428</v>
      </c>
      <c r="H146" s="32">
        <f t="shared" si="42"/>
        <v>121428</v>
      </c>
      <c r="I146" s="32">
        <f t="shared" si="43"/>
        <v>53626</v>
      </c>
      <c r="J146" s="32">
        <f t="shared" si="44"/>
        <v>0</v>
      </c>
      <c r="K146" s="32">
        <f t="shared" si="45"/>
        <v>0</v>
      </c>
      <c r="L146" s="32">
        <f t="shared" si="46"/>
        <v>67802</v>
      </c>
      <c r="M146" s="32">
        <f>0</f>
        <v>0</v>
      </c>
      <c r="N146" s="32">
        <f t="shared" si="47"/>
        <v>25672535</v>
      </c>
      <c r="O146" s="32">
        <f t="shared" si="48"/>
        <v>5910123</v>
      </c>
      <c r="P146" s="34" t="str">
        <f>IF(NOT(AND(T145="",A146&lt;=S145)),"",IF(FALSE,"繰上返済後再計算","")&amp;IF(AND(入力!$B$13="有効",A146&gt;1,MOD(A146-1,60)=0),IF(FALSE,"・","")&amp;"5年見直し","")&amp;IF(AND(A146=入力!$B$11,A146&gt;1),IF(OR(FALSE,AND(入力!$B$13="有効",A146&gt;1,MOD(A146-1,60)=0)),"・","")&amp;"金利変更","")&amp;IF(AND(OR(AND(入力!$B$13="有効",A146&gt;1,MOD(A146-1,60)=0),AND(A146=入力!$B$11,A146&gt;1)),入力!$B$14="有効",IF(E146=0,ROUND(C146/MAX(1,S145-A146+1),0),ROUND(-PMT(E146/12,MAX(1,S145-A146+1),C146),0))&gt;ROUND(G145*1.25,0),NOT(FALSE)),"・上限適用",""))</f>
        <v/>
      </c>
      <c r="Q146" s="35" t="str">
        <f>IF(AND(T145="",A146&lt;=S145),入力!$B$13,"")</f>
        <v>有効</v>
      </c>
      <c r="R146" s="32" t="str">
        <f>IF(AND(AND(T145="",A146&lt;=S145),OR(AND(入力!$B$13="有効",A146&gt;1,MOD(A146-1,60)=0),AND(A146=入力!$B$11,A146&gt;1)),入力!$B$14="有効"),ROUND(G145*1.25,0),"")</f>
        <v/>
      </c>
      <c r="S146" s="36">
        <f t="shared" si="49"/>
        <v>420</v>
      </c>
      <c r="T146" s="35" t="str">
        <f t="shared" si="50"/>
        <v/>
      </c>
      <c r="U146" s="3">
        <f t="shared" si="34"/>
        <v>0</v>
      </c>
      <c r="V146" s="3">
        <f t="shared" si="35"/>
        <v>0</v>
      </c>
      <c r="W146" s="3">
        <f t="shared" si="36"/>
        <v>0</v>
      </c>
      <c r="X146" s="3">
        <f t="shared" si="37"/>
        <v>0</v>
      </c>
      <c r="Y146" s="3">
        <f>0</f>
        <v>0</v>
      </c>
      <c r="Z146" s="3">
        <f t="shared" si="38"/>
        <v>0</v>
      </c>
      <c r="AA146">
        <f>ROUND(IF(FALSE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,0)</f>
        <v>121428</v>
      </c>
    </row>
    <row r="147" spans="1:27">
      <c r="A147" s="30">
        <f>142</f>
        <v>142</v>
      </c>
      <c r="B147" s="31">
        <f>EDATE(入力!$B$6,A147-1)</f>
        <v>50526</v>
      </c>
      <c r="C147" s="32">
        <f t="shared" si="39"/>
        <v>25672535</v>
      </c>
      <c r="D147" s="32">
        <f t="shared" si="40"/>
        <v>0</v>
      </c>
      <c r="E147" s="33">
        <f>IF(AND(T146="",A147&lt;=S146),IF(A147&lt;入力!$B$11,入力!$B$10,入力!$B$12),0)</f>
        <v>2.5000000000000001E-2</v>
      </c>
      <c r="F147" s="32">
        <f t="shared" si="41"/>
        <v>53484</v>
      </c>
      <c r="G147" s="32">
        <f>ROUND(IF(NOT(AND(T146="",A147&lt;=S146)),0,IF(FALSE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),0)</f>
        <v>121428</v>
      </c>
      <c r="H147" s="32">
        <f t="shared" si="42"/>
        <v>121428</v>
      </c>
      <c r="I147" s="32">
        <f t="shared" si="43"/>
        <v>53484</v>
      </c>
      <c r="J147" s="32">
        <f t="shared" si="44"/>
        <v>0</v>
      </c>
      <c r="K147" s="32">
        <f t="shared" si="45"/>
        <v>0</v>
      </c>
      <c r="L147" s="32">
        <f t="shared" si="46"/>
        <v>67944</v>
      </c>
      <c r="M147" s="32">
        <f>0</f>
        <v>0</v>
      </c>
      <c r="N147" s="32">
        <f t="shared" si="47"/>
        <v>25604591</v>
      </c>
      <c r="O147" s="32">
        <f t="shared" si="48"/>
        <v>5963607</v>
      </c>
      <c r="P147" s="34" t="str">
        <f>IF(NOT(AND(T146="",A147&lt;=S146)),"",IF(FALSE,"繰上返済後再計算","")&amp;IF(AND(入力!$B$13="有効",A147&gt;1,MOD(A147-1,60)=0),IF(FALSE,"・","")&amp;"5年見直し","")&amp;IF(AND(A147=入力!$B$11,A147&gt;1),IF(OR(FALSE,AND(入力!$B$13="有効",A147&gt;1,MOD(A147-1,60)=0)),"・","")&amp;"金利変更","")&amp;IF(AND(OR(AND(入力!$B$13="有効",A147&gt;1,MOD(A147-1,60)=0),AND(A147=入力!$B$11,A147&gt;1)),入力!$B$14="有効",IF(E147=0,ROUND(C147/MAX(1,S146-A147+1),0),ROUND(-PMT(E147/12,MAX(1,S146-A147+1),C147),0))&gt;ROUND(G146*1.25,0),NOT(FALSE)),"・上限適用",""))</f>
        <v/>
      </c>
      <c r="Q147" s="35" t="str">
        <f>IF(AND(T146="",A147&lt;=S146),入力!$B$13,"")</f>
        <v>有効</v>
      </c>
      <c r="R147" s="32" t="str">
        <f>IF(AND(AND(T146="",A147&lt;=S146),OR(AND(入力!$B$13="有効",A147&gt;1,MOD(A147-1,60)=0),AND(A147=入力!$B$11,A147&gt;1)),入力!$B$14="有効"),ROUND(G146*1.25,0),"")</f>
        <v/>
      </c>
      <c r="S147" s="36">
        <f t="shared" si="49"/>
        <v>420</v>
      </c>
      <c r="T147" s="35" t="str">
        <f t="shared" si="50"/>
        <v/>
      </c>
      <c r="U147" s="3">
        <f t="shared" si="34"/>
        <v>0</v>
      </c>
      <c r="V147" s="3">
        <f t="shared" si="35"/>
        <v>0</v>
      </c>
      <c r="W147" s="3">
        <f t="shared" si="36"/>
        <v>0</v>
      </c>
      <c r="X147" s="3">
        <f t="shared" si="37"/>
        <v>0</v>
      </c>
      <c r="Y147" s="3">
        <f>0</f>
        <v>0</v>
      </c>
      <c r="Z147" s="3">
        <f t="shared" si="38"/>
        <v>0</v>
      </c>
      <c r="AA147">
        <f>ROUND(IF(FALSE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,0)</f>
        <v>121428</v>
      </c>
    </row>
    <row r="148" spans="1:27">
      <c r="A148" s="30">
        <f>143</f>
        <v>143</v>
      </c>
      <c r="B148" s="31">
        <f>EDATE(入力!$B$6,A148-1)</f>
        <v>50557</v>
      </c>
      <c r="C148" s="32">
        <f t="shared" si="39"/>
        <v>25604591</v>
      </c>
      <c r="D148" s="32">
        <f t="shared" si="40"/>
        <v>0</v>
      </c>
      <c r="E148" s="33">
        <f>IF(AND(T147="",A148&lt;=S147),IF(A148&lt;入力!$B$11,入力!$B$10,入力!$B$12),0)</f>
        <v>2.5000000000000001E-2</v>
      </c>
      <c r="F148" s="32">
        <f t="shared" si="41"/>
        <v>53343</v>
      </c>
      <c r="G148" s="32">
        <f>ROUND(IF(NOT(AND(T147="",A148&lt;=S147)),0,IF(FALSE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),0)</f>
        <v>121428</v>
      </c>
      <c r="H148" s="32">
        <f t="shared" si="42"/>
        <v>121428</v>
      </c>
      <c r="I148" s="32">
        <f t="shared" si="43"/>
        <v>53343</v>
      </c>
      <c r="J148" s="32">
        <f t="shared" si="44"/>
        <v>0</v>
      </c>
      <c r="K148" s="32">
        <f t="shared" si="45"/>
        <v>0</v>
      </c>
      <c r="L148" s="32">
        <f t="shared" si="46"/>
        <v>68085</v>
      </c>
      <c r="M148" s="32">
        <f>0</f>
        <v>0</v>
      </c>
      <c r="N148" s="32">
        <f t="shared" si="47"/>
        <v>25536506</v>
      </c>
      <c r="O148" s="32">
        <f t="shared" si="48"/>
        <v>6016950</v>
      </c>
      <c r="P148" s="34" t="str">
        <f>IF(NOT(AND(T147="",A148&lt;=S147)),"",IF(FALSE,"繰上返済後再計算","")&amp;IF(AND(入力!$B$13="有効",A148&gt;1,MOD(A148-1,60)=0),IF(FALSE,"・","")&amp;"5年見直し","")&amp;IF(AND(A148=入力!$B$11,A148&gt;1),IF(OR(FALSE,AND(入力!$B$13="有効",A148&gt;1,MOD(A148-1,60)=0)),"・","")&amp;"金利変更","")&amp;IF(AND(OR(AND(入力!$B$13="有効",A148&gt;1,MOD(A148-1,60)=0),AND(A148=入力!$B$11,A148&gt;1)),入力!$B$14="有効",IF(E148=0,ROUND(C148/MAX(1,S147-A148+1),0),ROUND(-PMT(E148/12,MAX(1,S147-A148+1),C148),0))&gt;ROUND(G147*1.25,0),NOT(FALSE)),"・上限適用",""))</f>
        <v/>
      </c>
      <c r="Q148" s="35" t="str">
        <f>IF(AND(T147="",A148&lt;=S147),入力!$B$13,"")</f>
        <v>有効</v>
      </c>
      <c r="R148" s="32" t="str">
        <f>IF(AND(AND(T147="",A148&lt;=S147),OR(AND(入力!$B$13="有効",A148&gt;1,MOD(A148-1,60)=0),AND(A148=入力!$B$11,A148&gt;1)),入力!$B$14="有効"),ROUND(G147*1.25,0),"")</f>
        <v/>
      </c>
      <c r="S148" s="36">
        <f t="shared" si="49"/>
        <v>420</v>
      </c>
      <c r="T148" s="35" t="str">
        <f t="shared" si="50"/>
        <v/>
      </c>
      <c r="U148" s="3">
        <f t="shared" si="34"/>
        <v>0</v>
      </c>
      <c r="V148" s="3">
        <f t="shared" si="35"/>
        <v>0</v>
      </c>
      <c r="W148" s="3">
        <f t="shared" si="36"/>
        <v>0</v>
      </c>
      <c r="X148" s="3">
        <f t="shared" si="37"/>
        <v>0</v>
      </c>
      <c r="Y148" s="3">
        <f>0</f>
        <v>0</v>
      </c>
      <c r="Z148" s="3">
        <f t="shared" si="38"/>
        <v>0</v>
      </c>
      <c r="AA148">
        <f>ROUND(IF(FALSE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,0)</f>
        <v>121428</v>
      </c>
    </row>
    <row r="149" spans="1:27">
      <c r="A149" s="30">
        <f>144</f>
        <v>144</v>
      </c>
      <c r="B149" s="31">
        <f>EDATE(入力!$B$6,A149-1)</f>
        <v>50587</v>
      </c>
      <c r="C149" s="32">
        <f t="shared" si="39"/>
        <v>25536506</v>
      </c>
      <c r="D149" s="32">
        <f t="shared" si="40"/>
        <v>0</v>
      </c>
      <c r="E149" s="33">
        <f>IF(AND(T148="",A149&lt;=S148),IF(A149&lt;入力!$B$11,入力!$B$10,入力!$B$12),0)</f>
        <v>2.5000000000000001E-2</v>
      </c>
      <c r="F149" s="32">
        <f t="shared" si="41"/>
        <v>53201</v>
      </c>
      <c r="G149" s="32">
        <f>ROUND(IF(NOT(AND(T148="",A149&lt;=S148)),0,IF(FALSE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),0)</f>
        <v>121428</v>
      </c>
      <c r="H149" s="32">
        <f t="shared" si="42"/>
        <v>121428</v>
      </c>
      <c r="I149" s="32">
        <f t="shared" si="43"/>
        <v>53201</v>
      </c>
      <c r="J149" s="32">
        <f t="shared" si="44"/>
        <v>0</v>
      </c>
      <c r="K149" s="32">
        <f t="shared" si="45"/>
        <v>0</v>
      </c>
      <c r="L149" s="32">
        <f t="shared" si="46"/>
        <v>68227</v>
      </c>
      <c r="M149" s="32">
        <f>0</f>
        <v>0</v>
      </c>
      <c r="N149" s="32">
        <f t="shared" si="47"/>
        <v>25468279</v>
      </c>
      <c r="O149" s="32">
        <f t="shared" si="48"/>
        <v>6070151</v>
      </c>
      <c r="P149" s="34" t="str">
        <f>IF(NOT(AND(T148="",A149&lt;=S148)),"",IF(FALSE,"繰上返済後再計算","")&amp;IF(AND(入力!$B$13="有効",A149&gt;1,MOD(A149-1,60)=0),IF(FALSE,"・","")&amp;"5年見直し","")&amp;IF(AND(A149=入力!$B$11,A149&gt;1),IF(OR(FALSE,AND(入力!$B$13="有効",A149&gt;1,MOD(A149-1,60)=0)),"・","")&amp;"金利変更","")&amp;IF(AND(OR(AND(入力!$B$13="有効",A149&gt;1,MOD(A149-1,60)=0),AND(A149=入力!$B$11,A149&gt;1)),入力!$B$14="有効",IF(E149=0,ROUND(C149/MAX(1,S148-A149+1),0),ROUND(-PMT(E149/12,MAX(1,S148-A149+1),C149),0))&gt;ROUND(G148*1.25,0),NOT(FALSE)),"・上限適用",""))</f>
        <v/>
      </c>
      <c r="Q149" s="35" t="str">
        <f>IF(AND(T148="",A149&lt;=S148),入力!$B$13,"")</f>
        <v>有効</v>
      </c>
      <c r="R149" s="32" t="str">
        <f>IF(AND(AND(T148="",A149&lt;=S148),OR(AND(入力!$B$13="有効",A149&gt;1,MOD(A149-1,60)=0),AND(A149=入力!$B$11,A149&gt;1)),入力!$B$14="有効"),ROUND(G148*1.25,0),"")</f>
        <v/>
      </c>
      <c r="S149" s="36">
        <f t="shared" si="49"/>
        <v>420</v>
      </c>
      <c r="T149" s="35" t="str">
        <f t="shared" si="50"/>
        <v/>
      </c>
      <c r="U149" s="3">
        <f t="shared" si="34"/>
        <v>0</v>
      </c>
      <c r="V149" s="3">
        <f t="shared" si="35"/>
        <v>0</v>
      </c>
      <c r="W149" s="3">
        <f t="shared" si="36"/>
        <v>0</v>
      </c>
      <c r="X149" s="3">
        <f t="shared" si="37"/>
        <v>0</v>
      </c>
      <c r="Y149" s="3">
        <f>0</f>
        <v>0</v>
      </c>
      <c r="Z149" s="3">
        <f t="shared" si="38"/>
        <v>0</v>
      </c>
      <c r="AA149">
        <f>ROUND(IF(FALSE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,0)</f>
        <v>121428</v>
      </c>
    </row>
    <row r="150" spans="1:27">
      <c r="A150" s="30">
        <f>145</f>
        <v>145</v>
      </c>
      <c r="B150" s="31">
        <f>EDATE(入力!$B$6,A150-1)</f>
        <v>50618</v>
      </c>
      <c r="C150" s="32">
        <f t="shared" si="39"/>
        <v>25468279</v>
      </c>
      <c r="D150" s="32">
        <f t="shared" si="40"/>
        <v>0</v>
      </c>
      <c r="E150" s="33">
        <f>IF(AND(T149="",A150&lt;=S149),IF(A150&lt;入力!$B$11,入力!$B$10,入力!$B$12),0)</f>
        <v>2.5000000000000001E-2</v>
      </c>
      <c r="F150" s="32">
        <f t="shared" si="41"/>
        <v>53059</v>
      </c>
      <c r="G150" s="32">
        <f>ROUND(IF(NOT(AND(T149="",A150&lt;=S149)),0,IF(FALSE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),0)</f>
        <v>121428</v>
      </c>
      <c r="H150" s="32">
        <f t="shared" si="42"/>
        <v>121428</v>
      </c>
      <c r="I150" s="32">
        <f t="shared" si="43"/>
        <v>53059</v>
      </c>
      <c r="J150" s="32">
        <f t="shared" si="44"/>
        <v>0</v>
      </c>
      <c r="K150" s="32">
        <f t="shared" si="45"/>
        <v>0</v>
      </c>
      <c r="L150" s="32">
        <f t="shared" si="46"/>
        <v>68369</v>
      </c>
      <c r="M150" s="32">
        <f>0</f>
        <v>0</v>
      </c>
      <c r="N150" s="32">
        <f t="shared" si="47"/>
        <v>25399910</v>
      </c>
      <c r="O150" s="32">
        <f t="shared" si="48"/>
        <v>6123210</v>
      </c>
      <c r="P150" s="34" t="str">
        <f>IF(NOT(AND(T149="",A150&lt;=S149)),"",IF(FALSE,"繰上返済後再計算","")&amp;IF(AND(入力!$B$13="有効",A150&gt;1,MOD(A150-1,60)=0),IF(FALSE,"・","")&amp;"5年見直し","")&amp;IF(AND(A150=入力!$B$11,A150&gt;1),IF(OR(FALSE,AND(入力!$B$13="有効",A150&gt;1,MOD(A150-1,60)=0)),"・","")&amp;"金利変更","")&amp;IF(AND(OR(AND(入力!$B$13="有効",A150&gt;1,MOD(A150-1,60)=0),AND(A150=入力!$B$11,A150&gt;1)),入力!$B$14="有効",IF(E150=0,ROUND(C150/MAX(1,S149-A150+1),0),ROUND(-PMT(E150/12,MAX(1,S149-A150+1),C150),0))&gt;ROUND(G149*1.25,0),NOT(FALSE)),"・上限適用",""))</f>
        <v/>
      </c>
      <c r="Q150" s="35" t="str">
        <f>IF(AND(T149="",A150&lt;=S149),入力!$B$13,"")</f>
        <v>有効</v>
      </c>
      <c r="R150" s="32" t="str">
        <f>IF(AND(AND(T149="",A150&lt;=S149),OR(AND(入力!$B$13="有効",A150&gt;1,MOD(A150-1,60)=0),AND(A150=入力!$B$11,A150&gt;1)),入力!$B$14="有効"),ROUND(G149*1.25,0),"")</f>
        <v/>
      </c>
      <c r="S150" s="36">
        <f t="shared" si="49"/>
        <v>420</v>
      </c>
      <c r="T150" s="35" t="str">
        <f t="shared" si="50"/>
        <v/>
      </c>
      <c r="U150" s="3">
        <f t="shared" si="34"/>
        <v>0</v>
      </c>
      <c r="V150" s="3">
        <f t="shared" si="35"/>
        <v>0</v>
      </c>
      <c r="W150" s="3">
        <f t="shared" si="36"/>
        <v>0</v>
      </c>
      <c r="X150" s="3">
        <f t="shared" si="37"/>
        <v>0</v>
      </c>
      <c r="Y150" s="3">
        <f>0</f>
        <v>0</v>
      </c>
      <c r="Z150" s="3">
        <f t="shared" si="38"/>
        <v>0</v>
      </c>
      <c r="AA150">
        <f>ROUND(IF(FALSE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,0)</f>
        <v>121428</v>
      </c>
    </row>
    <row r="151" spans="1:27">
      <c r="A151" s="30">
        <f>146</f>
        <v>146</v>
      </c>
      <c r="B151" s="31">
        <f>EDATE(入力!$B$6,A151-1)</f>
        <v>50649</v>
      </c>
      <c r="C151" s="32">
        <f t="shared" si="39"/>
        <v>25399910</v>
      </c>
      <c r="D151" s="32">
        <f t="shared" si="40"/>
        <v>0</v>
      </c>
      <c r="E151" s="33">
        <f>IF(AND(T150="",A151&lt;=S150),IF(A151&lt;入力!$B$11,入力!$B$10,入力!$B$12),0)</f>
        <v>2.5000000000000001E-2</v>
      </c>
      <c r="F151" s="32">
        <f t="shared" si="41"/>
        <v>52916</v>
      </c>
      <c r="G151" s="32">
        <f>ROUND(IF(NOT(AND(T150="",A151&lt;=S150)),0,IF(FALSE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),0)</f>
        <v>121428</v>
      </c>
      <c r="H151" s="32">
        <f t="shared" si="42"/>
        <v>121428</v>
      </c>
      <c r="I151" s="32">
        <f t="shared" si="43"/>
        <v>52916</v>
      </c>
      <c r="J151" s="32">
        <f t="shared" si="44"/>
        <v>0</v>
      </c>
      <c r="K151" s="32">
        <f t="shared" si="45"/>
        <v>0</v>
      </c>
      <c r="L151" s="32">
        <f t="shared" si="46"/>
        <v>68512</v>
      </c>
      <c r="M151" s="32">
        <f>0</f>
        <v>0</v>
      </c>
      <c r="N151" s="32">
        <f t="shared" si="47"/>
        <v>25331398</v>
      </c>
      <c r="O151" s="32">
        <f t="shared" si="48"/>
        <v>6176126</v>
      </c>
      <c r="P151" s="34" t="str">
        <f>IF(NOT(AND(T150="",A151&lt;=S150)),"",IF(FALSE,"繰上返済後再計算","")&amp;IF(AND(入力!$B$13="有効",A151&gt;1,MOD(A151-1,60)=0),IF(FALSE,"・","")&amp;"5年見直し","")&amp;IF(AND(A151=入力!$B$11,A151&gt;1),IF(OR(FALSE,AND(入力!$B$13="有効",A151&gt;1,MOD(A151-1,60)=0)),"・","")&amp;"金利変更","")&amp;IF(AND(OR(AND(入力!$B$13="有効",A151&gt;1,MOD(A151-1,60)=0),AND(A151=入力!$B$11,A151&gt;1)),入力!$B$14="有効",IF(E151=0,ROUND(C151/MAX(1,S150-A151+1),0),ROUND(-PMT(E151/12,MAX(1,S150-A151+1),C151),0))&gt;ROUND(G150*1.25,0),NOT(FALSE)),"・上限適用",""))</f>
        <v/>
      </c>
      <c r="Q151" s="35" t="str">
        <f>IF(AND(T150="",A151&lt;=S150),入力!$B$13,"")</f>
        <v>有効</v>
      </c>
      <c r="R151" s="32" t="str">
        <f>IF(AND(AND(T150="",A151&lt;=S150),OR(AND(入力!$B$13="有効",A151&gt;1,MOD(A151-1,60)=0),AND(A151=入力!$B$11,A151&gt;1)),入力!$B$14="有効"),ROUND(G150*1.25,0),"")</f>
        <v/>
      </c>
      <c r="S151" s="36">
        <f t="shared" si="49"/>
        <v>420</v>
      </c>
      <c r="T151" s="35" t="str">
        <f t="shared" si="50"/>
        <v/>
      </c>
      <c r="U151" s="3">
        <f t="shared" si="34"/>
        <v>0</v>
      </c>
      <c r="V151" s="3">
        <f t="shared" si="35"/>
        <v>0</v>
      </c>
      <c r="W151" s="3">
        <f t="shared" si="36"/>
        <v>0</v>
      </c>
      <c r="X151" s="3">
        <f t="shared" si="37"/>
        <v>0</v>
      </c>
      <c r="Y151" s="3">
        <f>0</f>
        <v>0</v>
      </c>
      <c r="Z151" s="3">
        <f t="shared" si="38"/>
        <v>0</v>
      </c>
      <c r="AA151">
        <f>ROUND(IF(FALSE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,0)</f>
        <v>121428</v>
      </c>
    </row>
    <row r="152" spans="1:27">
      <c r="A152" s="30">
        <f>147</f>
        <v>147</v>
      </c>
      <c r="B152" s="31">
        <f>EDATE(入力!$B$6,A152-1)</f>
        <v>50679</v>
      </c>
      <c r="C152" s="32">
        <f t="shared" si="39"/>
        <v>25331398</v>
      </c>
      <c r="D152" s="32">
        <f t="shared" si="40"/>
        <v>0</v>
      </c>
      <c r="E152" s="33">
        <f>IF(AND(T151="",A152&lt;=S151),IF(A152&lt;入力!$B$11,入力!$B$10,入力!$B$12),0)</f>
        <v>2.5000000000000001E-2</v>
      </c>
      <c r="F152" s="32">
        <f t="shared" si="41"/>
        <v>52774</v>
      </c>
      <c r="G152" s="32">
        <f>ROUND(IF(NOT(AND(T151="",A152&lt;=S151)),0,IF(FALSE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),0)</f>
        <v>121428</v>
      </c>
      <c r="H152" s="32">
        <f t="shared" si="42"/>
        <v>121428</v>
      </c>
      <c r="I152" s="32">
        <f t="shared" si="43"/>
        <v>52774</v>
      </c>
      <c r="J152" s="32">
        <f t="shared" si="44"/>
        <v>0</v>
      </c>
      <c r="K152" s="32">
        <f t="shared" si="45"/>
        <v>0</v>
      </c>
      <c r="L152" s="32">
        <f t="shared" si="46"/>
        <v>68654</v>
      </c>
      <c r="M152" s="32">
        <f>0</f>
        <v>0</v>
      </c>
      <c r="N152" s="32">
        <f t="shared" si="47"/>
        <v>25262744</v>
      </c>
      <c r="O152" s="32">
        <f t="shared" si="48"/>
        <v>6228900</v>
      </c>
      <c r="P152" s="34" t="str">
        <f>IF(NOT(AND(T151="",A152&lt;=S151)),"",IF(FALSE,"繰上返済後再計算","")&amp;IF(AND(入力!$B$13="有効",A152&gt;1,MOD(A152-1,60)=0),IF(FALSE,"・","")&amp;"5年見直し","")&amp;IF(AND(A152=入力!$B$11,A152&gt;1),IF(OR(FALSE,AND(入力!$B$13="有効",A152&gt;1,MOD(A152-1,60)=0)),"・","")&amp;"金利変更","")&amp;IF(AND(OR(AND(入力!$B$13="有効",A152&gt;1,MOD(A152-1,60)=0),AND(A152=入力!$B$11,A152&gt;1)),入力!$B$14="有効",IF(E152=0,ROUND(C152/MAX(1,S151-A152+1),0),ROUND(-PMT(E152/12,MAX(1,S151-A152+1),C152),0))&gt;ROUND(G151*1.25,0),NOT(FALSE)),"・上限適用",""))</f>
        <v/>
      </c>
      <c r="Q152" s="35" t="str">
        <f>IF(AND(T151="",A152&lt;=S151),入力!$B$13,"")</f>
        <v>有効</v>
      </c>
      <c r="R152" s="32" t="str">
        <f>IF(AND(AND(T151="",A152&lt;=S151),OR(AND(入力!$B$13="有効",A152&gt;1,MOD(A152-1,60)=0),AND(A152=入力!$B$11,A152&gt;1)),入力!$B$14="有効"),ROUND(G151*1.25,0),"")</f>
        <v/>
      </c>
      <c r="S152" s="36">
        <f t="shared" si="49"/>
        <v>420</v>
      </c>
      <c r="T152" s="35" t="str">
        <f t="shared" si="50"/>
        <v/>
      </c>
      <c r="U152" s="3">
        <f t="shared" si="34"/>
        <v>0</v>
      </c>
      <c r="V152" s="3">
        <f t="shared" si="35"/>
        <v>0</v>
      </c>
      <c r="W152" s="3">
        <f t="shared" si="36"/>
        <v>0</v>
      </c>
      <c r="X152" s="3">
        <f t="shared" si="37"/>
        <v>0</v>
      </c>
      <c r="Y152" s="3">
        <f>0</f>
        <v>0</v>
      </c>
      <c r="Z152" s="3">
        <f t="shared" si="38"/>
        <v>0</v>
      </c>
      <c r="AA152">
        <f>ROUND(IF(FALSE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,0)</f>
        <v>121428</v>
      </c>
    </row>
    <row r="153" spans="1:27">
      <c r="A153" s="30">
        <f>148</f>
        <v>148</v>
      </c>
      <c r="B153" s="31">
        <f>EDATE(入力!$B$6,A153-1)</f>
        <v>50710</v>
      </c>
      <c r="C153" s="32">
        <f t="shared" si="39"/>
        <v>25262744</v>
      </c>
      <c r="D153" s="32">
        <f t="shared" si="40"/>
        <v>0</v>
      </c>
      <c r="E153" s="33">
        <f>IF(AND(T152="",A153&lt;=S152),IF(A153&lt;入力!$B$11,入力!$B$10,入力!$B$12),0)</f>
        <v>2.5000000000000001E-2</v>
      </c>
      <c r="F153" s="32">
        <f t="shared" si="41"/>
        <v>52631</v>
      </c>
      <c r="G153" s="32">
        <f>ROUND(IF(NOT(AND(T152="",A153&lt;=S152)),0,IF(FALSE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),0)</f>
        <v>121428</v>
      </c>
      <c r="H153" s="32">
        <f t="shared" si="42"/>
        <v>121428</v>
      </c>
      <c r="I153" s="32">
        <f t="shared" si="43"/>
        <v>52631</v>
      </c>
      <c r="J153" s="32">
        <f t="shared" si="44"/>
        <v>0</v>
      </c>
      <c r="K153" s="32">
        <f t="shared" si="45"/>
        <v>0</v>
      </c>
      <c r="L153" s="32">
        <f t="shared" si="46"/>
        <v>68797</v>
      </c>
      <c r="M153" s="32">
        <f>0</f>
        <v>0</v>
      </c>
      <c r="N153" s="32">
        <f t="shared" si="47"/>
        <v>25193947</v>
      </c>
      <c r="O153" s="32">
        <f t="shared" si="48"/>
        <v>6281531</v>
      </c>
      <c r="P153" s="34" t="str">
        <f>IF(NOT(AND(T152="",A153&lt;=S152)),"",IF(FALSE,"繰上返済後再計算","")&amp;IF(AND(入力!$B$13="有効",A153&gt;1,MOD(A153-1,60)=0),IF(FALSE,"・","")&amp;"5年見直し","")&amp;IF(AND(A153=入力!$B$11,A153&gt;1),IF(OR(FALSE,AND(入力!$B$13="有効",A153&gt;1,MOD(A153-1,60)=0)),"・","")&amp;"金利変更","")&amp;IF(AND(OR(AND(入力!$B$13="有効",A153&gt;1,MOD(A153-1,60)=0),AND(A153=入力!$B$11,A153&gt;1)),入力!$B$14="有効",IF(E153=0,ROUND(C153/MAX(1,S152-A153+1),0),ROUND(-PMT(E153/12,MAX(1,S152-A153+1),C153),0))&gt;ROUND(G152*1.25,0),NOT(FALSE)),"・上限適用",""))</f>
        <v/>
      </c>
      <c r="Q153" s="35" t="str">
        <f>IF(AND(T152="",A153&lt;=S152),入力!$B$13,"")</f>
        <v>有効</v>
      </c>
      <c r="R153" s="32" t="str">
        <f>IF(AND(AND(T152="",A153&lt;=S152),OR(AND(入力!$B$13="有効",A153&gt;1,MOD(A153-1,60)=0),AND(A153=入力!$B$11,A153&gt;1)),入力!$B$14="有効"),ROUND(G152*1.25,0),"")</f>
        <v/>
      </c>
      <c r="S153" s="36">
        <f t="shared" si="49"/>
        <v>420</v>
      </c>
      <c r="T153" s="35" t="str">
        <f t="shared" si="50"/>
        <v/>
      </c>
      <c r="U153" s="3">
        <f t="shared" si="34"/>
        <v>0</v>
      </c>
      <c r="V153" s="3">
        <f t="shared" si="35"/>
        <v>0</v>
      </c>
      <c r="W153" s="3">
        <f t="shared" si="36"/>
        <v>0</v>
      </c>
      <c r="X153" s="3">
        <f t="shared" si="37"/>
        <v>0</v>
      </c>
      <c r="Y153" s="3">
        <f>0</f>
        <v>0</v>
      </c>
      <c r="Z153" s="3">
        <f t="shared" si="38"/>
        <v>0</v>
      </c>
      <c r="AA153">
        <f>ROUND(IF(FALSE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,0)</f>
        <v>121428</v>
      </c>
    </row>
    <row r="154" spans="1:27">
      <c r="A154" s="30">
        <f>149</f>
        <v>149</v>
      </c>
      <c r="B154" s="31">
        <f>EDATE(入力!$B$6,A154-1)</f>
        <v>50740</v>
      </c>
      <c r="C154" s="32">
        <f t="shared" si="39"/>
        <v>25193947</v>
      </c>
      <c r="D154" s="32">
        <f t="shared" si="40"/>
        <v>0</v>
      </c>
      <c r="E154" s="33">
        <f>IF(AND(T153="",A154&lt;=S153),IF(A154&lt;入力!$B$11,入力!$B$10,入力!$B$12),0)</f>
        <v>2.5000000000000001E-2</v>
      </c>
      <c r="F154" s="32">
        <f t="shared" si="41"/>
        <v>52487</v>
      </c>
      <c r="G154" s="32">
        <f>ROUND(IF(NOT(AND(T153="",A154&lt;=S153)),0,IF(FALSE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),0)</f>
        <v>121428</v>
      </c>
      <c r="H154" s="32">
        <f t="shared" si="42"/>
        <v>121428</v>
      </c>
      <c r="I154" s="32">
        <f t="shared" si="43"/>
        <v>52487</v>
      </c>
      <c r="J154" s="32">
        <f t="shared" si="44"/>
        <v>0</v>
      </c>
      <c r="K154" s="32">
        <f t="shared" si="45"/>
        <v>0</v>
      </c>
      <c r="L154" s="32">
        <f t="shared" si="46"/>
        <v>68941</v>
      </c>
      <c r="M154" s="32">
        <f>0</f>
        <v>0</v>
      </c>
      <c r="N154" s="32">
        <f t="shared" si="47"/>
        <v>25125006</v>
      </c>
      <c r="O154" s="32">
        <f t="shared" si="48"/>
        <v>6334018</v>
      </c>
      <c r="P154" s="34" t="str">
        <f>IF(NOT(AND(T153="",A154&lt;=S153)),"",IF(FALSE,"繰上返済後再計算","")&amp;IF(AND(入力!$B$13="有効",A154&gt;1,MOD(A154-1,60)=0),IF(FALSE,"・","")&amp;"5年見直し","")&amp;IF(AND(A154=入力!$B$11,A154&gt;1),IF(OR(FALSE,AND(入力!$B$13="有効",A154&gt;1,MOD(A154-1,60)=0)),"・","")&amp;"金利変更","")&amp;IF(AND(OR(AND(入力!$B$13="有効",A154&gt;1,MOD(A154-1,60)=0),AND(A154=入力!$B$11,A154&gt;1)),入力!$B$14="有効",IF(E154=0,ROUND(C154/MAX(1,S153-A154+1),0),ROUND(-PMT(E154/12,MAX(1,S153-A154+1),C154),0))&gt;ROUND(G153*1.25,0),NOT(FALSE)),"・上限適用",""))</f>
        <v/>
      </c>
      <c r="Q154" s="35" t="str">
        <f>IF(AND(T153="",A154&lt;=S153),入力!$B$13,"")</f>
        <v>有効</v>
      </c>
      <c r="R154" s="32" t="str">
        <f>IF(AND(AND(T153="",A154&lt;=S153),OR(AND(入力!$B$13="有効",A154&gt;1,MOD(A154-1,60)=0),AND(A154=入力!$B$11,A154&gt;1)),入力!$B$14="有効"),ROUND(G153*1.25,0),"")</f>
        <v/>
      </c>
      <c r="S154" s="36">
        <f t="shared" si="49"/>
        <v>420</v>
      </c>
      <c r="T154" s="35" t="str">
        <f t="shared" si="50"/>
        <v/>
      </c>
      <c r="U154" s="3">
        <f t="shared" si="34"/>
        <v>0</v>
      </c>
      <c r="V154" s="3">
        <f t="shared" si="35"/>
        <v>0</v>
      </c>
      <c r="W154" s="3">
        <f t="shared" si="36"/>
        <v>0</v>
      </c>
      <c r="X154" s="3">
        <f t="shared" si="37"/>
        <v>0</v>
      </c>
      <c r="Y154" s="3">
        <f>0</f>
        <v>0</v>
      </c>
      <c r="Z154" s="3">
        <f t="shared" si="38"/>
        <v>0</v>
      </c>
      <c r="AA154">
        <f>ROUND(IF(FALSE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,0)</f>
        <v>121428</v>
      </c>
    </row>
    <row r="155" spans="1:27">
      <c r="A155" s="30">
        <f>150</f>
        <v>150</v>
      </c>
      <c r="B155" s="31">
        <f>EDATE(入力!$B$6,A155-1)</f>
        <v>50771</v>
      </c>
      <c r="C155" s="32">
        <f t="shared" si="39"/>
        <v>25125006</v>
      </c>
      <c r="D155" s="32">
        <f t="shared" si="40"/>
        <v>0</v>
      </c>
      <c r="E155" s="33">
        <f>IF(AND(T154="",A155&lt;=S154),IF(A155&lt;入力!$B$11,入力!$B$10,入力!$B$12),0)</f>
        <v>2.5000000000000001E-2</v>
      </c>
      <c r="F155" s="32">
        <f t="shared" si="41"/>
        <v>52344</v>
      </c>
      <c r="G155" s="32">
        <f>ROUND(IF(NOT(AND(T154="",A155&lt;=S154)),0,IF(FALSE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),0)</f>
        <v>121428</v>
      </c>
      <c r="H155" s="32">
        <f t="shared" si="42"/>
        <v>121428</v>
      </c>
      <c r="I155" s="32">
        <f t="shared" si="43"/>
        <v>52344</v>
      </c>
      <c r="J155" s="32">
        <f t="shared" si="44"/>
        <v>0</v>
      </c>
      <c r="K155" s="32">
        <f t="shared" si="45"/>
        <v>0</v>
      </c>
      <c r="L155" s="32">
        <f t="shared" si="46"/>
        <v>69084</v>
      </c>
      <c r="M155" s="32">
        <f>0</f>
        <v>0</v>
      </c>
      <c r="N155" s="32">
        <f t="shared" si="47"/>
        <v>25055922</v>
      </c>
      <c r="O155" s="32">
        <f t="shared" si="48"/>
        <v>6386362</v>
      </c>
      <c r="P155" s="34" t="str">
        <f>IF(NOT(AND(T154="",A155&lt;=S154)),"",IF(FALSE,"繰上返済後再計算","")&amp;IF(AND(入力!$B$13="有効",A155&gt;1,MOD(A155-1,60)=0),IF(FALSE,"・","")&amp;"5年見直し","")&amp;IF(AND(A155=入力!$B$11,A155&gt;1),IF(OR(FALSE,AND(入力!$B$13="有効",A155&gt;1,MOD(A155-1,60)=0)),"・","")&amp;"金利変更","")&amp;IF(AND(OR(AND(入力!$B$13="有効",A155&gt;1,MOD(A155-1,60)=0),AND(A155=入力!$B$11,A155&gt;1)),入力!$B$14="有効",IF(E155=0,ROUND(C155/MAX(1,S154-A155+1),0),ROUND(-PMT(E155/12,MAX(1,S154-A155+1),C155),0))&gt;ROUND(G154*1.25,0),NOT(FALSE)),"・上限適用",""))</f>
        <v/>
      </c>
      <c r="Q155" s="35" t="str">
        <f>IF(AND(T154="",A155&lt;=S154),入力!$B$13,"")</f>
        <v>有効</v>
      </c>
      <c r="R155" s="32" t="str">
        <f>IF(AND(AND(T154="",A155&lt;=S154),OR(AND(入力!$B$13="有効",A155&gt;1,MOD(A155-1,60)=0),AND(A155=入力!$B$11,A155&gt;1)),入力!$B$14="有効"),ROUND(G154*1.25,0),"")</f>
        <v/>
      </c>
      <c r="S155" s="36">
        <f t="shared" si="49"/>
        <v>420</v>
      </c>
      <c r="T155" s="35" t="str">
        <f t="shared" si="50"/>
        <v/>
      </c>
      <c r="U155" s="3">
        <f t="shared" si="34"/>
        <v>0</v>
      </c>
      <c r="V155" s="3">
        <f t="shared" si="35"/>
        <v>0</v>
      </c>
      <c r="W155" s="3">
        <f t="shared" si="36"/>
        <v>0</v>
      </c>
      <c r="X155" s="3">
        <f t="shared" si="37"/>
        <v>0</v>
      </c>
      <c r="Y155" s="3">
        <f>0</f>
        <v>0</v>
      </c>
      <c r="Z155" s="3">
        <f t="shared" si="38"/>
        <v>0</v>
      </c>
      <c r="AA155">
        <f>ROUND(IF(FALSE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,0)</f>
        <v>121428</v>
      </c>
    </row>
    <row r="156" spans="1:27">
      <c r="A156" s="30">
        <f>151</f>
        <v>151</v>
      </c>
      <c r="B156" s="31">
        <f>EDATE(入力!$B$6,A156-1)</f>
        <v>50802</v>
      </c>
      <c r="C156" s="32">
        <f t="shared" si="39"/>
        <v>25055922</v>
      </c>
      <c r="D156" s="32">
        <f t="shared" si="40"/>
        <v>0</v>
      </c>
      <c r="E156" s="33">
        <f>IF(AND(T155="",A156&lt;=S155),IF(A156&lt;入力!$B$11,入力!$B$10,入力!$B$12),0)</f>
        <v>2.5000000000000001E-2</v>
      </c>
      <c r="F156" s="32">
        <f t="shared" si="41"/>
        <v>52200</v>
      </c>
      <c r="G156" s="32">
        <f>ROUND(IF(NOT(AND(T155="",A156&lt;=S155)),0,IF(FALSE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),0)</f>
        <v>121428</v>
      </c>
      <c r="H156" s="32">
        <f t="shared" si="42"/>
        <v>121428</v>
      </c>
      <c r="I156" s="32">
        <f t="shared" si="43"/>
        <v>52200</v>
      </c>
      <c r="J156" s="32">
        <f t="shared" si="44"/>
        <v>0</v>
      </c>
      <c r="K156" s="32">
        <f t="shared" si="45"/>
        <v>0</v>
      </c>
      <c r="L156" s="32">
        <f t="shared" si="46"/>
        <v>69228</v>
      </c>
      <c r="M156" s="32">
        <f>0</f>
        <v>0</v>
      </c>
      <c r="N156" s="32">
        <f t="shared" si="47"/>
        <v>24986694</v>
      </c>
      <c r="O156" s="32">
        <f t="shared" si="48"/>
        <v>6438562</v>
      </c>
      <c r="P156" s="34" t="str">
        <f>IF(NOT(AND(T155="",A156&lt;=S155)),"",IF(FALSE,"繰上返済後再計算","")&amp;IF(AND(入力!$B$13="有効",A156&gt;1,MOD(A156-1,60)=0),IF(FALSE,"・","")&amp;"5年見直し","")&amp;IF(AND(A156=入力!$B$11,A156&gt;1),IF(OR(FALSE,AND(入力!$B$13="有効",A156&gt;1,MOD(A156-1,60)=0)),"・","")&amp;"金利変更","")&amp;IF(AND(OR(AND(入力!$B$13="有効",A156&gt;1,MOD(A156-1,60)=0),AND(A156=入力!$B$11,A156&gt;1)),入力!$B$14="有効",IF(E156=0,ROUND(C156/MAX(1,S155-A156+1),0),ROUND(-PMT(E156/12,MAX(1,S155-A156+1),C156),0))&gt;ROUND(G155*1.25,0),NOT(FALSE)),"・上限適用",""))</f>
        <v/>
      </c>
      <c r="Q156" s="35" t="str">
        <f>IF(AND(T155="",A156&lt;=S155),入力!$B$13,"")</f>
        <v>有効</v>
      </c>
      <c r="R156" s="32" t="str">
        <f>IF(AND(AND(T155="",A156&lt;=S155),OR(AND(入力!$B$13="有効",A156&gt;1,MOD(A156-1,60)=0),AND(A156=入力!$B$11,A156&gt;1)),入力!$B$14="有効"),ROUND(G155*1.25,0),"")</f>
        <v/>
      </c>
      <c r="S156" s="36">
        <f t="shared" si="49"/>
        <v>420</v>
      </c>
      <c r="T156" s="35" t="str">
        <f t="shared" si="50"/>
        <v/>
      </c>
      <c r="U156" s="3">
        <f t="shared" si="34"/>
        <v>0</v>
      </c>
      <c r="V156" s="3">
        <f t="shared" si="35"/>
        <v>0</v>
      </c>
      <c r="W156" s="3">
        <f t="shared" si="36"/>
        <v>0</v>
      </c>
      <c r="X156" s="3">
        <f t="shared" si="37"/>
        <v>0</v>
      </c>
      <c r="Y156" s="3">
        <f>0</f>
        <v>0</v>
      </c>
      <c r="Z156" s="3">
        <f t="shared" si="38"/>
        <v>0</v>
      </c>
      <c r="AA156">
        <f>ROUND(IF(FALSE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,0)</f>
        <v>121428</v>
      </c>
    </row>
    <row r="157" spans="1:27">
      <c r="A157" s="30">
        <f>152</f>
        <v>152</v>
      </c>
      <c r="B157" s="31">
        <f>EDATE(入力!$B$6,A157-1)</f>
        <v>50830</v>
      </c>
      <c r="C157" s="32">
        <f t="shared" si="39"/>
        <v>24986694</v>
      </c>
      <c r="D157" s="32">
        <f t="shared" si="40"/>
        <v>0</v>
      </c>
      <c r="E157" s="33">
        <f>IF(AND(T156="",A157&lt;=S156),IF(A157&lt;入力!$B$11,入力!$B$10,入力!$B$12),0)</f>
        <v>2.5000000000000001E-2</v>
      </c>
      <c r="F157" s="32">
        <f t="shared" si="41"/>
        <v>52056</v>
      </c>
      <c r="G157" s="32">
        <f>ROUND(IF(NOT(AND(T156="",A157&lt;=S156)),0,IF(FALSE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),0)</f>
        <v>121428</v>
      </c>
      <c r="H157" s="32">
        <f t="shared" si="42"/>
        <v>121428</v>
      </c>
      <c r="I157" s="32">
        <f t="shared" si="43"/>
        <v>52056</v>
      </c>
      <c r="J157" s="32">
        <f t="shared" si="44"/>
        <v>0</v>
      </c>
      <c r="K157" s="32">
        <f t="shared" si="45"/>
        <v>0</v>
      </c>
      <c r="L157" s="32">
        <f t="shared" si="46"/>
        <v>69372</v>
      </c>
      <c r="M157" s="32">
        <f>0</f>
        <v>0</v>
      </c>
      <c r="N157" s="32">
        <f t="shared" si="47"/>
        <v>24917322</v>
      </c>
      <c r="O157" s="32">
        <f t="shared" si="48"/>
        <v>6490618</v>
      </c>
      <c r="P157" s="34" t="str">
        <f>IF(NOT(AND(T156="",A157&lt;=S156)),"",IF(FALSE,"繰上返済後再計算","")&amp;IF(AND(入力!$B$13="有効",A157&gt;1,MOD(A157-1,60)=0),IF(FALSE,"・","")&amp;"5年見直し","")&amp;IF(AND(A157=入力!$B$11,A157&gt;1),IF(OR(FALSE,AND(入力!$B$13="有効",A157&gt;1,MOD(A157-1,60)=0)),"・","")&amp;"金利変更","")&amp;IF(AND(OR(AND(入力!$B$13="有効",A157&gt;1,MOD(A157-1,60)=0),AND(A157=入力!$B$11,A157&gt;1)),入力!$B$14="有効",IF(E157=0,ROUND(C157/MAX(1,S156-A157+1),0),ROUND(-PMT(E157/12,MAX(1,S156-A157+1),C157),0))&gt;ROUND(G156*1.25,0),NOT(FALSE)),"・上限適用",""))</f>
        <v/>
      </c>
      <c r="Q157" s="35" t="str">
        <f>IF(AND(T156="",A157&lt;=S156),入力!$B$13,"")</f>
        <v>有効</v>
      </c>
      <c r="R157" s="32" t="str">
        <f>IF(AND(AND(T156="",A157&lt;=S156),OR(AND(入力!$B$13="有効",A157&gt;1,MOD(A157-1,60)=0),AND(A157=入力!$B$11,A157&gt;1)),入力!$B$14="有効"),ROUND(G156*1.25,0),"")</f>
        <v/>
      </c>
      <c r="S157" s="36">
        <f t="shared" si="49"/>
        <v>420</v>
      </c>
      <c r="T157" s="35" t="str">
        <f t="shared" si="50"/>
        <v/>
      </c>
      <c r="U157" s="3">
        <f t="shared" si="34"/>
        <v>0</v>
      </c>
      <c r="V157" s="3">
        <f t="shared" si="35"/>
        <v>0</v>
      </c>
      <c r="W157" s="3">
        <f t="shared" si="36"/>
        <v>0</v>
      </c>
      <c r="X157" s="3">
        <f t="shared" si="37"/>
        <v>0</v>
      </c>
      <c r="Y157" s="3">
        <f>0</f>
        <v>0</v>
      </c>
      <c r="Z157" s="3">
        <f t="shared" si="38"/>
        <v>0</v>
      </c>
      <c r="AA157">
        <f>ROUND(IF(FALSE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,0)</f>
        <v>121428</v>
      </c>
    </row>
    <row r="158" spans="1:27">
      <c r="A158" s="30">
        <f>153</f>
        <v>153</v>
      </c>
      <c r="B158" s="31">
        <f>EDATE(入力!$B$6,A158-1)</f>
        <v>50861</v>
      </c>
      <c r="C158" s="32">
        <f t="shared" si="39"/>
        <v>24917322</v>
      </c>
      <c r="D158" s="32">
        <f t="shared" si="40"/>
        <v>0</v>
      </c>
      <c r="E158" s="33">
        <f>IF(AND(T157="",A158&lt;=S157),IF(A158&lt;入力!$B$11,入力!$B$10,入力!$B$12),0)</f>
        <v>2.5000000000000001E-2</v>
      </c>
      <c r="F158" s="32">
        <f t="shared" si="41"/>
        <v>51911</v>
      </c>
      <c r="G158" s="32">
        <f>ROUND(IF(NOT(AND(T157="",A158&lt;=S157)),0,IF(FALSE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),0)</f>
        <v>121428</v>
      </c>
      <c r="H158" s="32">
        <f t="shared" si="42"/>
        <v>121428</v>
      </c>
      <c r="I158" s="32">
        <f t="shared" si="43"/>
        <v>51911</v>
      </c>
      <c r="J158" s="32">
        <f t="shared" si="44"/>
        <v>0</v>
      </c>
      <c r="K158" s="32">
        <f t="shared" si="45"/>
        <v>0</v>
      </c>
      <c r="L158" s="32">
        <f t="shared" si="46"/>
        <v>69517</v>
      </c>
      <c r="M158" s="32">
        <f>0</f>
        <v>0</v>
      </c>
      <c r="N158" s="32">
        <f t="shared" si="47"/>
        <v>24847805</v>
      </c>
      <c r="O158" s="32">
        <f t="shared" si="48"/>
        <v>6542529</v>
      </c>
      <c r="P158" s="34" t="str">
        <f>IF(NOT(AND(T157="",A158&lt;=S157)),"",IF(FALSE,"繰上返済後再計算","")&amp;IF(AND(入力!$B$13="有効",A158&gt;1,MOD(A158-1,60)=0),IF(FALSE,"・","")&amp;"5年見直し","")&amp;IF(AND(A158=入力!$B$11,A158&gt;1),IF(OR(FALSE,AND(入力!$B$13="有効",A158&gt;1,MOD(A158-1,60)=0)),"・","")&amp;"金利変更","")&amp;IF(AND(OR(AND(入力!$B$13="有効",A158&gt;1,MOD(A158-1,60)=0),AND(A158=入力!$B$11,A158&gt;1)),入力!$B$14="有効",IF(E158=0,ROUND(C158/MAX(1,S157-A158+1),0),ROUND(-PMT(E158/12,MAX(1,S157-A158+1),C158),0))&gt;ROUND(G157*1.25,0),NOT(FALSE)),"・上限適用",""))</f>
        <v/>
      </c>
      <c r="Q158" s="35" t="str">
        <f>IF(AND(T157="",A158&lt;=S157),入力!$B$13,"")</f>
        <v>有効</v>
      </c>
      <c r="R158" s="32" t="str">
        <f>IF(AND(AND(T157="",A158&lt;=S157),OR(AND(入力!$B$13="有効",A158&gt;1,MOD(A158-1,60)=0),AND(A158=入力!$B$11,A158&gt;1)),入力!$B$14="有効"),ROUND(G157*1.25,0),"")</f>
        <v/>
      </c>
      <c r="S158" s="36">
        <f t="shared" si="49"/>
        <v>420</v>
      </c>
      <c r="T158" s="35" t="str">
        <f t="shared" si="50"/>
        <v/>
      </c>
      <c r="U158" s="3">
        <f t="shared" si="34"/>
        <v>0</v>
      </c>
      <c r="V158" s="3">
        <f t="shared" si="35"/>
        <v>0</v>
      </c>
      <c r="W158" s="3">
        <f t="shared" si="36"/>
        <v>0</v>
      </c>
      <c r="X158" s="3">
        <f t="shared" si="37"/>
        <v>0</v>
      </c>
      <c r="Y158" s="3">
        <f>0</f>
        <v>0</v>
      </c>
      <c r="Z158" s="3">
        <f t="shared" si="38"/>
        <v>0</v>
      </c>
      <c r="AA158">
        <f>ROUND(IF(FALSE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,0)</f>
        <v>121428</v>
      </c>
    </row>
    <row r="159" spans="1:27">
      <c r="A159" s="30">
        <f>154</f>
        <v>154</v>
      </c>
      <c r="B159" s="31">
        <f>EDATE(入力!$B$6,A159-1)</f>
        <v>50891</v>
      </c>
      <c r="C159" s="32">
        <f t="shared" si="39"/>
        <v>24847805</v>
      </c>
      <c r="D159" s="32">
        <f t="shared" si="40"/>
        <v>0</v>
      </c>
      <c r="E159" s="33">
        <f>IF(AND(T158="",A159&lt;=S158),IF(A159&lt;入力!$B$11,入力!$B$10,入力!$B$12),0)</f>
        <v>2.5000000000000001E-2</v>
      </c>
      <c r="F159" s="32">
        <f t="shared" si="41"/>
        <v>51766</v>
      </c>
      <c r="G159" s="32">
        <f>ROUND(IF(NOT(AND(T158="",A159&lt;=S158)),0,IF(FALSE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),0)</f>
        <v>121428</v>
      </c>
      <c r="H159" s="32">
        <f t="shared" si="42"/>
        <v>121428</v>
      </c>
      <c r="I159" s="32">
        <f t="shared" si="43"/>
        <v>51766</v>
      </c>
      <c r="J159" s="32">
        <f t="shared" si="44"/>
        <v>0</v>
      </c>
      <c r="K159" s="32">
        <f t="shared" si="45"/>
        <v>0</v>
      </c>
      <c r="L159" s="32">
        <f t="shared" si="46"/>
        <v>69662</v>
      </c>
      <c r="M159" s="32">
        <f>0</f>
        <v>0</v>
      </c>
      <c r="N159" s="32">
        <f t="shared" si="47"/>
        <v>24778143</v>
      </c>
      <c r="O159" s="32">
        <f t="shared" si="48"/>
        <v>6594295</v>
      </c>
      <c r="P159" s="34" t="str">
        <f>IF(NOT(AND(T158="",A159&lt;=S158)),"",IF(FALSE,"繰上返済後再計算","")&amp;IF(AND(入力!$B$13="有効",A159&gt;1,MOD(A159-1,60)=0),IF(FALSE,"・","")&amp;"5年見直し","")&amp;IF(AND(A159=入力!$B$11,A159&gt;1),IF(OR(FALSE,AND(入力!$B$13="有効",A159&gt;1,MOD(A159-1,60)=0)),"・","")&amp;"金利変更","")&amp;IF(AND(OR(AND(入力!$B$13="有効",A159&gt;1,MOD(A159-1,60)=0),AND(A159=入力!$B$11,A159&gt;1)),入力!$B$14="有効",IF(E159=0,ROUND(C159/MAX(1,S158-A159+1),0),ROUND(-PMT(E159/12,MAX(1,S158-A159+1),C159),0))&gt;ROUND(G158*1.25,0),NOT(FALSE)),"・上限適用",""))</f>
        <v/>
      </c>
      <c r="Q159" s="35" t="str">
        <f>IF(AND(T158="",A159&lt;=S158),入力!$B$13,"")</f>
        <v>有効</v>
      </c>
      <c r="R159" s="32" t="str">
        <f>IF(AND(AND(T158="",A159&lt;=S158),OR(AND(入力!$B$13="有効",A159&gt;1,MOD(A159-1,60)=0),AND(A159=入力!$B$11,A159&gt;1)),入力!$B$14="有効"),ROUND(G158*1.25,0),"")</f>
        <v/>
      </c>
      <c r="S159" s="36">
        <f t="shared" si="49"/>
        <v>420</v>
      </c>
      <c r="T159" s="35" t="str">
        <f t="shared" si="50"/>
        <v/>
      </c>
      <c r="U159" s="3">
        <f t="shared" si="34"/>
        <v>0</v>
      </c>
      <c r="V159" s="3">
        <f t="shared" si="35"/>
        <v>0</v>
      </c>
      <c r="W159" s="3">
        <f t="shared" si="36"/>
        <v>0</v>
      </c>
      <c r="X159" s="3">
        <f t="shared" si="37"/>
        <v>0</v>
      </c>
      <c r="Y159" s="3">
        <f>0</f>
        <v>0</v>
      </c>
      <c r="Z159" s="3">
        <f t="shared" si="38"/>
        <v>0</v>
      </c>
      <c r="AA159">
        <f>ROUND(IF(FALSE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,0)</f>
        <v>121428</v>
      </c>
    </row>
    <row r="160" spans="1:27">
      <c r="A160" s="30">
        <f>155</f>
        <v>155</v>
      </c>
      <c r="B160" s="31">
        <f>EDATE(入力!$B$6,A160-1)</f>
        <v>50922</v>
      </c>
      <c r="C160" s="32">
        <f t="shared" si="39"/>
        <v>24778143</v>
      </c>
      <c r="D160" s="32">
        <f t="shared" si="40"/>
        <v>0</v>
      </c>
      <c r="E160" s="33">
        <f>IF(AND(T159="",A160&lt;=S159),IF(A160&lt;入力!$B$11,入力!$B$10,入力!$B$12),0)</f>
        <v>2.5000000000000001E-2</v>
      </c>
      <c r="F160" s="32">
        <f t="shared" si="41"/>
        <v>51621</v>
      </c>
      <c r="G160" s="32">
        <f>ROUND(IF(NOT(AND(T159="",A160&lt;=S159)),0,IF(FALSE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),0)</f>
        <v>121428</v>
      </c>
      <c r="H160" s="32">
        <f t="shared" si="42"/>
        <v>121428</v>
      </c>
      <c r="I160" s="32">
        <f t="shared" si="43"/>
        <v>51621</v>
      </c>
      <c r="J160" s="32">
        <f t="shared" si="44"/>
        <v>0</v>
      </c>
      <c r="K160" s="32">
        <f t="shared" si="45"/>
        <v>0</v>
      </c>
      <c r="L160" s="32">
        <f t="shared" si="46"/>
        <v>69807</v>
      </c>
      <c r="M160" s="32">
        <f>0</f>
        <v>0</v>
      </c>
      <c r="N160" s="32">
        <f t="shared" si="47"/>
        <v>24708336</v>
      </c>
      <c r="O160" s="32">
        <f t="shared" si="48"/>
        <v>6645916</v>
      </c>
      <c r="P160" s="34" t="str">
        <f>IF(NOT(AND(T159="",A160&lt;=S159)),"",IF(FALSE,"繰上返済後再計算","")&amp;IF(AND(入力!$B$13="有効",A160&gt;1,MOD(A160-1,60)=0),IF(FALSE,"・","")&amp;"5年見直し","")&amp;IF(AND(A160=入力!$B$11,A160&gt;1),IF(OR(FALSE,AND(入力!$B$13="有効",A160&gt;1,MOD(A160-1,60)=0)),"・","")&amp;"金利変更","")&amp;IF(AND(OR(AND(入力!$B$13="有効",A160&gt;1,MOD(A160-1,60)=0),AND(A160=入力!$B$11,A160&gt;1)),入力!$B$14="有効",IF(E160=0,ROUND(C160/MAX(1,S159-A160+1),0),ROUND(-PMT(E160/12,MAX(1,S159-A160+1),C160),0))&gt;ROUND(G159*1.25,0),NOT(FALSE)),"・上限適用",""))</f>
        <v/>
      </c>
      <c r="Q160" s="35" t="str">
        <f>IF(AND(T159="",A160&lt;=S159),入力!$B$13,"")</f>
        <v>有効</v>
      </c>
      <c r="R160" s="32" t="str">
        <f>IF(AND(AND(T159="",A160&lt;=S159),OR(AND(入力!$B$13="有効",A160&gt;1,MOD(A160-1,60)=0),AND(A160=入力!$B$11,A160&gt;1)),入力!$B$14="有効"),ROUND(G159*1.25,0),"")</f>
        <v/>
      </c>
      <c r="S160" s="36">
        <f t="shared" si="49"/>
        <v>420</v>
      </c>
      <c r="T160" s="35" t="str">
        <f t="shared" si="50"/>
        <v/>
      </c>
      <c r="U160" s="3">
        <f t="shared" si="34"/>
        <v>0</v>
      </c>
      <c r="V160" s="3">
        <f t="shared" si="35"/>
        <v>0</v>
      </c>
      <c r="W160" s="3">
        <f t="shared" si="36"/>
        <v>0</v>
      </c>
      <c r="X160" s="3">
        <f t="shared" si="37"/>
        <v>0</v>
      </c>
      <c r="Y160" s="3">
        <f>0</f>
        <v>0</v>
      </c>
      <c r="Z160" s="3">
        <f t="shared" si="38"/>
        <v>0</v>
      </c>
      <c r="AA160">
        <f>ROUND(IF(FALSE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,0)</f>
        <v>121428</v>
      </c>
    </row>
    <row r="161" spans="1:27">
      <c r="A161" s="30">
        <f>156</f>
        <v>156</v>
      </c>
      <c r="B161" s="31">
        <f>EDATE(入力!$B$6,A161-1)</f>
        <v>50952</v>
      </c>
      <c r="C161" s="32">
        <f t="shared" si="39"/>
        <v>24708336</v>
      </c>
      <c r="D161" s="32">
        <f t="shared" si="40"/>
        <v>0</v>
      </c>
      <c r="E161" s="33">
        <f>IF(AND(T160="",A161&lt;=S160),IF(A161&lt;入力!$B$11,入力!$B$10,入力!$B$12),0)</f>
        <v>2.5000000000000001E-2</v>
      </c>
      <c r="F161" s="32">
        <f t="shared" si="41"/>
        <v>51476</v>
      </c>
      <c r="G161" s="32">
        <f>ROUND(IF(NOT(AND(T160="",A161&lt;=S160)),0,IF(FALSE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),0)</f>
        <v>121428</v>
      </c>
      <c r="H161" s="32">
        <f t="shared" si="42"/>
        <v>121428</v>
      </c>
      <c r="I161" s="32">
        <f t="shared" si="43"/>
        <v>51476</v>
      </c>
      <c r="J161" s="32">
        <f t="shared" si="44"/>
        <v>0</v>
      </c>
      <c r="K161" s="32">
        <f t="shared" si="45"/>
        <v>0</v>
      </c>
      <c r="L161" s="32">
        <f t="shared" si="46"/>
        <v>69952</v>
      </c>
      <c r="M161" s="32">
        <f>0</f>
        <v>0</v>
      </c>
      <c r="N161" s="32">
        <f t="shared" si="47"/>
        <v>24638384</v>
      </c>
      <c r="O161" s="32">
        <f t="shared" si="48"/>
        <v>6697392</v>
      </c>
      <c r="P161" s="34" t="str">
        <f>IF(NOT(AND(T160="",A161&lt;=S160)),"",IF(FALSE,"繰上返済後再計算","")&amp;IF(AND(入力!$B$13="有効",A161&gt;1,MOD(A161-1,60)=0),IF(FALSE,"・","")&amp;"5年見直し","")&amp;IF(AND(A161=入力!$B$11,A161&gt;1),IF(OR(FALSE,AND(入力!$B$13="有効",A161&gt;1,MOD(A161-1,60)=0)),"・","")&amp;"金利変更","")&amp;IF(AND(OR(AND(入力!$B$13="有効",A161&gt;1,MOD(A161-1,60)=0),AND(A161=入力!$B$11,A161&gt;1)),入力!$B$14="有効",IF(E161=0,ROUND(C161/MAX(1,S160-A161+1),0),ROUND(-PMT(E161/12,MAX(1,S160-A161+1),C161),0))&gt;ROUND(G160*1.25,0),NOT(FALSE)),"・上限適用",""))</f>
        <v/>
      </c>
      <c r="Q161" s="35" t="str">
        <f>IF(AND(T160="",A161&lt;=S160),入力!$B$13,"")</f>
        <v>有効</v>
      </c>
      <c r="R161" s="32" t="str">
        <f>IF(AND(AND(T160="",A161&lt;=S160),OR(AND(入力!$B$13="有効",A161&gt;1,MOD(A161-1,60)=0),AND(A161=入力!$B$11,A161&gt;1)),入力!$B$14="有効"),ROUND(G160*1.25,0),"")</f>
        <v/>
      </c>
      <c r="S161" s="36">
        <f t="shared" si="49"/>
        <v>420</v>
      </c>
      <c r="T161" s="35" t="str">
        <f t="shared" si="50"/>
        <v/>
      </c>
      <c r="U161" s="3">
        <f t="shared" si="34"/>
        <v>0</v>
      </c>
      <c r="V161" s="3">
        <f t="shared" si="35"/>
        <v>0</v>
      </c>
      <c r="W161" s="3">
        <f t="shared" si="36"/>
        <v>0</v>
      </c>
      <c r="X161" s="3">
        <f t="shared" si="37"/>
        <v>0</v>
      </c>
      <c r="Y161" s="3">
        <f>0</f>
        <v>0</v>
      </c>
      <c r="Z161" s="3">
        <f t="shared" si="38"/>
        <v>0</v>
      </c>
      <c r="AA161">
        <f>ROUND(IF(FALSE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,0)</f>
        <v>121428</v>
      </c>
    </row>
    <row r="162" spans="1:27">
      <c r="A162" s="30">
        <f>157</f>
        <v>157</v>
      </c>
      <c r="B162" s="31">
        <f>EDATE(入力!$B$6,A162-1)</f>
        <v>50983</v>
      </c>
      <c r="C162" s="32">
        <f t="shared" si="39"/>
        <v>24638384</v>
      </c>
      <c r="D162" s="32">
        <f t="shared" si="40"/>
        <v>0</v>
      </c>
      <c r="E162" s="33">
        <f>IF(AND(T161="",A162&lt;=S161),IF(A162&lt;入力!$B$11,入力!$B$10,入力!$B$12),0)</f>
        <v>2.5000000000000001E-2</v>
      </c>
      <c r="F162" s="32">
        <f t="shared" si="41"/>
        <v>51330</v>
      </c>
      <c r="G162" s="32">
        <f>ROUND(IF(NOT(AND(T161="",A162&lt;=S161)),0,IF(FALSE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),0)</f>
        <v>121428</v>
      </c>
      <c r="H162" s="32">
        <f t="shared" si="42"/>
        <v>121428</v>
      </c>
      <c r="I162" s="32">
        <f t="shared" si="43"/>
        <v>51330</v>
      </c>
      <c r="J162" s="32">
        <f t="shared" si="44"/>
        <v>0</v>
      </c>
      <c r="K162" s="32">
        <f t="shared" si="45"/>
        <v>0</v>
      </c>
      <c r="L162" s="32">
        <f t="shared" si="46"/>
        <v>70098</v>
      </c>
      <c r="M162" s="32">
        <f>0</f>
        <v>0</v>
      </c>
      <c r="N162" s="32">
        <f t="shared" si="47"/>
        <v>24568286</v>
      </c>
      <c r="O162" s="32">
        <f t="shared" si="48"/>
        <v>6748722</v>
      </c>
      <c r="P162" s="34" t="str">
        <f>IF(NOT(AND(T161="",A162&lt;=S161)),"",IF(FALSE,"繰上返済後再計算","")&amp;IF(AND(入力!$B$13="有効",A162&gt;1,MOD(A162-1,60)=0),IF(FALSE,"・","")&amp;"5年見直し","")&amp;IF(AND(A162=入力!$B$11,A162&gt;1),IF(OR(FALSE,AND(入力!$B$13="有効",A162&gt;1,MOD(A162-1,60)=0)),"・","")&amp;"金利変更","")&amp;IF(AND(OR(AND(入力!$B$13="有効",A162&gt;1,MOD(A162-1,60)=0),AND(A162=入力!$B$11,A162&gt;1)),入力!$B$14="有効",IF(E162=0,ROUND(C162/MAX(1,S161-A162+1),0),ROUND(-PMT(E162/12,MAX(1,S161-A162+1),C162),0))&gt;ROUND(G161*1.25,0),NOT(FALSE)),"・上限適用",""))</f>
        <v/>
      </c>
      <c r="Q162" s="35" t="str">
        <f>IF(AND(T161="",A162&lt;=S161),入力!$B$13,"")</f>
        <v>有効</v>
      </c>
      <c r="R162" s="32" t="str">
        <f>IF(AND(AND(T161="",A162&lt;=S161),OR(AND(入力!$B$13="有効",A162&gt;1,MOD(A162-1,60)=0),AND(A162=入力!$B$11,A162&gt;1)),入力!$B$14="有効"),ROUND(G161*1.25,0),"")</f>
        <v/>
      </c>
      <c r="S162" s="36">
        <f t="shared" si="49"/>
        <v>420</v>
      </c>
      <c r="T162" s="35" t="str">
        <f t="shared" si="50"/>
        <v/>
      </c>
      <c r="U162" s="3">
        <f t="shared" si="34"/>
        <v>0</v>
      </c>
      <c r="V162" s="3">
        <f t="shared" si="35"/>
        <v>0</v>
      </c>
      <c r="W162" s="3">
        <f t="shared" si="36"/>
        <v>0</v>
      </c>
      <c r="X162" s="3">
        <f t="shared" si="37"/>
        <v>0</v>
      </c>
      <c r="Y162" s="3">
        <f>0</f>
        <v>0</v>
      </c>
      <c r="Z162" s="3">
        <f t="shared" si="38"/>
        <v>0</v>
      </c>
      <c r="AA162">
        <f>ROUND(IF(FALSE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,0)</f>
        <v>121428</v>
      </c>
    </row>
    <row r="163" spans="1:27">
      <c r="A163" s="30">
        <f>158</f>
        <v>158</v>
      </c>
      <c r="B163" s="31">
        <f>EDATE(入力!$B$6,A163-1)</f>
        <v>51014</v>
      </c>
      <c r="C163" s="32">
        <f t="shared" si="39"/>
        <v>24568286</v>
      </c>
      <c r="D163" s="32">
        <f t="shared" si="40"/>
        <v>0</v>
      </c>
      <c r="E163" s="33">
        <f>IF(AND(T162="",A163&lt;=S162),IF(A163&lt;入力!$B$11,入力!$B$10,入力!$B$12),0)</f>
        <v>2.5000000000000001E-2</v>
      </c>
      <c r="F163" s="32">
        <f t="shared" si="41"/>
        <v>51184</v>
      </c>
      <c r="G163" s="32">
        <f>ROUND(IF(NOT(AND(T162="",A163&lt;=S162)),0,IF(FALSE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),0)</f>
        <v>121428</v>
      </c>
      <c r="H163" s="32">
        <f t="shared" si="42"/>
        <v>121428</v>
      </c>
      <c r="I163" s="32">
        <f t="shared" si="43"/>
        <v>51184</v>
      </c>
      <c r="J163" s="32">
        <f t="shared" si="44"/>
        <v>0</v>
      </c>
      <c r="K163" s="32">
        <f t="shared" si="45"/>
        <v>0</v>
      </c>
      <c r="L163" s="32">
        <f t="shared" si="46"/>
        <v>70244</v>
      </c>
      <c r="M163" s="32">
        <f>0</f>
        <v>0</v>
      </c>
      <c r="N163" s="32">
        <f t="shared" si="47"/>
        <v>24498042</v>
      </c>
      <c r="O163" s="32">
        <f t="shared" si="48"/>
        <v>6799906</v>
      </c>
      <c r="P163" s="34" t="str">
        <f>IF(NOT(AND(T162="",A163&lt;=S162)),"",IF(FALSE,"繰上返済後再計算","")&amp;IF(AND(入力!$B$13="有効",A163&gt;1,MOD(A163-1,60)=0),IF(FALSE,"・","")&amp;"5年見直し","")&amp;IF(AND(A163=入力!$B$11,A163&gt;1),IF(OR(FALSE,AND(入力!$B$13="有効",A163&gt;1,MOD(A163-1,60)=0)),"・","")&amp;"金利変更","")&amp;IF(AND(OR(AND(入力!$B$13="有効",A163&gt;1,MOD(A163-1,60)=0),AND(A163=入力!$B$11,A163&gt;1)),入力!$B$14="有効",IF(E163=0,ROUND(C163/MAX(1,S162-A163+1),0),ROUND(-PMT(E163/12,MAX(1,S162-A163+1),C163),0))&gt;ROUND(G162*1.25,0),NOT(FALSE)),"・上限適用",""))</f>
        <v/>
      </c>
      <c r="Q163" s="35" t="str">
        <f>IF(AND(T162="",A163&lt;=S162),入力!$B$13,"")</f>
        <v>有効</v>
      </c>
      <c r="R163" s="32" t="str">
        <f>IF(AND(AND(T162="",A163&lt;=S162),OR(AND(入力!$B$13="有効",A163&gt;1,MOD(A163-1,60)=0),AND(A163=入力!$B$11,A163&gt;1)),入力!$B$14="有効"),ROUND(G162*1.25,0),"")</f>
        <v/>
      </c>
      <c r="S163" s="36">
        <f t="shared" si="49"/>
        <v>420</v>
      </c>
      <c r="T163" s="35" t="str">
        <f t="shared" si="50"/>
        <v/>
      </c>
      <c r="U163" s="3">
        <f t="shared" si="34"/>
        <v>0</v>
      </c>
      <c r="V163" s="3">
        <f t="shared" si="35"/>
        <v>0</v>
      </c>
      <c r="W163" s="3">
        <f t="shared" si="36"/>
        <v>0</v>
      </c>
      <c r="X163" s="3">
        <f t="shared" si="37"/>
        <v>0</v>
      </c>
      <c r="Y163" s="3">
        <f>0</f>
        <v>0</v>
      </c>
      <c r="Z163" s="3">
        <f t="shared" si="38"/>
        <v>0</v>
      </c>
      <c r="AA163">
        <f>ROUND(IF(FALSE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,0)</f>
        <v>121428</v>
      </c>
    </row>
    <row r="164" spans="1:27">
      <c r="A164" s="30">
        <f>159</f>
        <v>159</v>
      </c>
      <c r="B164" s="31">
        <f>EDATE(入力!$B$6,A164-1)</f>
        <v>51044</v>
      </c>
      <c r="C164" s="32">
        <f t="shared" si="39"/>
        <v>24498042</v>
      </c>
      <c r="D164" s="32">
        <f t="shared" si="40"/>
        <v>0</v>
      </c>
      <c r="E164" s="33">
        <f>IF(AND(T163="",A164&lt;=S163),IF(A164&lt;入力!$B$11,入力!$B$10,入力!$B$12),0)</f>
        <v>2.5000000000000001E-2</v>
      </c>
      <c r="F164" s="32">
        <f t="shared" si="41"/>
        <v>51038</v>
      </c>
      <c r="G164" s="32">
        <f>ROUND(IF(NOT(AND(T163="",A164&lt;=S163)),0,IF(FALSE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),0)</f>
        <v>121428</v>
      </c>
      <c r="H164" s="32">
        <f t="shared" si="42"/>
        <v>121428</v>
      </c>
      <c r="I164" s="32">
        <f t="shared" si="43"/>
        <v>51038</v>
      </c>
      <c r="J164" s="32">
        <f t="shared" si="44"/>
        <v>0</v>
      </c>
      <c r="K164" s="32">
        <f t="shared" si="45"/>
        <v>0</v>
      </c>
      <c r="L164" s="32">
        <f t="shared" si="46"/>
        <v>70390</v>
      </c>
      <c r="M164" s="32">
        <f>0</f>
        <v>0</v>
      </c>
      <c r="N164" s="32">
        <f t="shared" si="47"/>
        <v>24427652</v>
      </c>
      <c r="O164" s="32">
        <f t="shared" si="48"/>
        <v>6850944</v>
      </c>
      <c r="P164" s="34" t="str">
        <f>IF(NOT(AND(T163="",A164&lt;=S163)),"",IF(FALSE,"繰上返済後再計算","")&amp;IF(AND(入力!$B$13="有効",A164&gt;1,MOD(A164-1,60)=0),IF(FALSE,"・","")&amp;"5年見直し","")&amp;IF(AND(A164=入力!$B$11,A164&gt;1),IF(OR(FALSE,AND(入力!$B$13="有効",A164&gt;1,MOD(A164-1,60)=0)),"・","")&amp;"金利変更","")&amp;IF(AND(OR(AND(入力!$B$13="有効",A164&gt;1,MOD(A164-1,60)=0),AND(A164=入力!$B$11,A164&gt;1)),入力!$B$14="有効",IF(E164=0,ROUND(C164/MAX(1,S163-A164+1),0),ROUND(-PMT(E164/12,MAX(1,S163-A164+1),C164),0))&gt;ROUND(G163*1.25,0),NOT(FALSE)),"・上限適用",""))</f>
        <v/>
      </c>
      <c r="Q164" s="35" t="str">
        <f>IF(AND(T163="",A164&lt;=S163),入力!$B$13,"")</f>
        <v>有効</v>
      </c>
      <c r="R164" s="32" t="str">
        <f>IF(AND(AND(T163="",A164&lt;=S163),OR(AND(入力!$B$13="有効",A164&gt;1,MOD(A164-1,60)=0),AND(A164=入力!$B$11,A164&gt;1)),入力!$B$14="有効"),ROUND(G163*1.25,0),"")</f>
        <v/>
      </c>
      <c r="S164" s="36">
        <f t="shared" si="49"/>
        <v>420</v>
      </c>
      <c r="T164" s="35" t="str">
        <f t="shared" si="50"/>
        <v/>
      </c>
      <c r="U164" s="3">
        <f t="shared" si="34"/>
        <v>0</v>
      </c>
      <c r="V164" s="3">
        <f t="shared" si="35"/>
        <v>0</v>
      </c>
      <c r="W164" s="3">
        <f t="shared" si="36"/>
        <v>0</v>
      </c>
      <c r="X164" s="3">
        <f t="shared" si="37"/>
        <v>0</v>
      </c>
      <c r="Y164" s="3">
        <f>0</f>
        <v>0</v>
      </c>
      <c r="Z164" s="3">
        <f t="shared" si="38"/>
        <v>0</v>
      </c>
      <c r="AA164">
        <f>ROUND(IF(FALSE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,0)</f>
        <v>121428</v>
      </c>
    </row>
    <row r="165" spans="1:27">
      <c r="A165" s="30">
        <f>160</f>
        <v>160</v>
      </c>
      <c r="B165" s="31">
        <f>EDATE(入力!$B$6,A165-1)</f>
        <v>51075</v>
      </c>
      <c r="C165" s="32">
        <f t="shared" si="39"/>
        <v>24427652</v>
      </c>
      <c r="D165" s="32">
        <f t="shared" si="40"/>
        <v>0</v>
      </c>
      <c r="E165" s="33">
        <f>IF(AND(T164="",A165&lt;=S164),IF(A165&lt;入力!$B$11,入力!$B$10,入力!$B$12),0)</f>
        <v>2.5000000000000001E-2</v>
      </c>
      <c r="F165" s="32">
        <f t="shared" si="41"/>
        <v>50891</v>
      </c>
      <c r="G165" s="32">
        <f>ROUND(IF(NOT(AND(T164="",A165&lt;=S164)),0,IF(FALSE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),0)</f>
        <v>121428</v>
      </c>
      <c r="H165" s="32">
        <f t="shared" si="42"/>
        <v>121428</v>
      </c>
      <c r="I165" s="32">
        <f t="shared" si="43"/>
        <v>50891</v>
      </c>
      <c r="J165" s="32">
        <f t="shared" si="44"/>
        <v>0</v>
      </c>
      <c r="K165" s="32">
        <f t="shared" si="45"/>
        <v>0</v>
      </c>
      <c r="L165" s="32">
        <f t="shared" si="46"/>
        <v>70537</v>
      </c>
      <c r="M165" s="32">
        <f>0</f>
        <v>0</v>
      </c>
      <c r="N165" s="32">
        <f t="shared" si="47"/>
        <v>24357115</v>
      </c>
      <c r="O165" s="32">
        <f t="shared" si="48"/>
        <v>6901835</v>
      </c>
      <c r="P165" s="34" t="str">
        <f>IF(NOT(AND(T164="",A165&lt;=S164)),"",IF(FALSE,"繰上返済後再計算","")&amp;IF(AND(入力!$B$13="有効",A165&gt;1,MOD(A165-1,60)=0),IF(FALSE,"・","")&amp;"5年見直し","")&amp;IF(AND(A165=入力!$B$11,A165&gt;1),IF(OR(FALSE,AND(入力!$B$13="有効",A165&gt;1,MOD(A165-1,60)=0)),"・","")&amp;"金利変更","")&amp;IF(AND(OR(AND(入力!$B$13="有効",A165&gt;1,MOD(A165-1,60)=0),AND(A165=入力!$B$11,A165&gt;1)),入力!$B$14="有効",IF(E165=0,ROUND(C165/MAX(1,S164-A165+1),0),ROUND(-PMT(E165/12,MAX(1,S164-A165+1),C165),0))&gt;ROUND(G164*1.25,0),NOT(FALSE)),"・上限適用",""))</f>
        <v/>
      </c>
      <c r="Q165" s="35" t="str">
        <f>IF(AND(T164="",A165&lt;=S164),入力!$B$13,"")</f>
        <v>有効</v>
      </c>
      <c r="R165" s="32" t="str">
        <f>IF(AND(AND(T164="",A165&lt;=S164),OR(AND(入力!$B$13="有効",A165&gt;1,MOD(A165-1,60)=0),AND(A165=入力!$B$11,A165&gt;1)),入力!$B$14="有効"),ROUND(G164*1.25,0),"")</f>
        <v/>
      </c>
      <c r="S165" s="36">
        <f t="shared" si="49"/>
        <v>420</v>
      </c>
      <c r="T165" s="35" t="str">
        <f t="shared" si="50"/>
        <v/>
      </c>
      <c r="U165" s="3">
        <f t="shared" si="34"/>
        <v>0</v>
      </c>
      <c r="V165" s="3">
        <f t="shared" si="35"/>
        <v>0</v>
      </c>
      <c r="W165" s="3">
        <f t="shared" si="36"/>
        <v>0</v>
      </c>
      <c r="X165" s="3">
        <f t="shared" si="37"/>
        <v>0</v>
      </c>
      <c r="Y165" s="3">
        <f>0</f>
        <v>0</v>
      </c>
      <c r="Z165" s="3">
        <f t="shared" si="38"/>
        <v>0</v>
      </c>
      <c r="AA165">
        <f>ROUND(IF(FALSE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,0)</f>
        <v>121428</v>
      </c>
    </row>
    <row r="166" spans="1:27">
      <c r="A166" s="30">
        <f>161</f>
        <v>161</v>
      </c>
      <c r="B166" s="31">
        <f>EDATE(入力!$B$6,A166-1)</f>
        <v>51105</v>
      </c>
      <c r="C166" s="32">
        <f t="shared" si="39"/>
        <v>24357115</v>
      </c>
      <c r="D166" s="32">
        <f t="shared" si="40"/>
        <v>0</v>
      </c>
      <c r="E166" s="33">
        <f>IF(AND(T165="",A166&lt;=S165),IF(A166&lt;入力!$B$11,入力!$B$10,入力!$B$12),0)</f>
        <v>2.5000000000000001E-2</v>
      </c>
      <c r="F166" s="32">
        <f t="shared" si="41"/>
        <v>50744</v>
      </c>
      <c r="G166" s="32">
        <f>ROUND(IF(NOT(AND(T165="",A166&lt;=S165)),0,IF(FALSE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),0)</f>
        <v>121428</v>
      </c>
      <c r="H166" s="32">
        <f t="shared" si="42"/>
        <v>121428</v>
      </c>
      <c r="I166" s="32">
        <f t="shared" si="43"/>
        <v>50744</v>
      </c>
      <c r="J166" s="32">
        <f t="shared" si="44"/>
        <v>0</v>
      </c>
      <c r="K166" s="32">
        <f t="shared" si="45"/>
        <v>0</v>
      </c>
      <c r="L166" s="32">
        <f t="shared" si="46"/>
        <v>70684</v>
      </c>
      <c r="M166" s="32">
        <f>0</f>
        <v>0</v>
      </c>
      <c r="N166" s="32">
        <f t="shared" si="47"/>
        <v>24286431</v>
      </c>
      <c r="O166" s="32">
        <f t="shared" si="48"/>
        <v>6952579</v>
      </c>
      <c r="P166" s="34" t="str">
        <f>IF(NOT(AND(T165="",A166&lt;=S165)),"",IF(FALSE,"繰上返済後再計算","")&amp;IF(AND(入力!$B$13="有効",A166&gt;1,MOD(A166-1,60)=0),IF(FALSE,"・","")&amp;"5年見直し","")&amp;IF(AND(A166=入力!$B$11,A166&gt;1),IF(OR(FALSE,AND(入力!$B$13="有効",A166&gt;1,MOD(A166-1,60)=0)),"・","")&amp;"金利変更","")&amp;IF(AND(OR(AND(入力!$B$13="有効",A166&gt;1,MOD(A166-1,60)=0),AND(A166=入力!$B$11,A166&gt;1)),入力!$B$14="有効",IF(E166=0,ROUND(C166/MAX(1,S165-A166+1),0),ROUND(-PMT(E166/12,MAX(1,S165-A166+1),C166),0))&gt;ROUND(G165*1.25,0),NOT(FALSE)),"・上限適用",""))</f>
        <v/>
      </c>
      <c r="Q166" s="35" t="str">
        <f>IF(AND(T165="",A166&lt;=S165),入力!$B$13,"")</f>
        <v>有効</v>
      </c>
      <c r="R166" s="32" t="str">
        <f>IF(AND(AND(T165="",A166&lt;=S165),OR(AND(入力!$B$13="有効",A166&gt;1,MOD(A166-1,60)=0),AND(A166=入力!$B$11,A166&gt;1)),入力!$B$14="有効"),ROUND(G165*1.25,0),"")</f>
        <v/>
      </c>
      <c r="S166" s="36">
        <f t="shared" si="49"/>
        <v>420</v>
      </c>
      <c r="T166" s="35" t="str">
        <f t="shared" si="50"/>
        <v/>
      </c>
      <c r="U166" s="3">
        <f t="shared" si="34"/>
        <v>0</v>
      </c>
      <c r="V166" s="3">
        <f t="shared" si="35"/>
        <v>0</v>
      </c>
      <c r="W166" s="3">
        <f t="shared" si="36"/>
        <v>0</v>
      </c>
      <c r="X166" s="3">
        <f t="shared" si="37"/>
        <v>0</v>
      </c>
      <c r="Y166" s="3">
        <f>0</f>
        <v>0</v>
      </c>
      <c r="Z166" s="3">
        <f t="shared" si="38"/>
        <v>0</v>
      </c>
      <c r="AA166">
        <f>ROUND(IF(FALSE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,0)</f>
        <v>121428</v>
      </c>
    </row>
    <row r="167" spans="1:27">
      <c r="A167" s="30">
        <f>162</f>
        <v>162</v>
      </c>
      <c r="B167" s="31">
        <f>EDATE(入力!$B$6,A167-1)</f>
        <v>51136</v>
      </c>
      <c r="C167" s="32">
        <f t="shared" si="39"/>
        <v>24286431</v>
      </c>
      <c r="D167" s="32">
        <f t="shared" si="40"/>
        <v>0</v>
      </c>
      <c r="E167" s="33">
        <f>IF(AND(T166="",A167&lt;=S166),IF(A167&lt;入力!$B$11,入力!$B$10,入力!$B$12),0)</f>
        <v>2.5000000000000001E-2</v>
      </c>
      <c r="F167" s="32">
        <f t="shared" si="41"/>
        <v>50597</v>
      </c>
      <c r="G167" s="32">
        <f>ROUND(IF(NOT(AND(T166="",A167&lt;=S166)),0,IF(FALSE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),0)</f>
        <v>121428</v>
      </c>
      <c r="H167" s="32">
        <f t="shared" si="42"/>
        <v>121428</v>
      </c>
      <c r="I167" s="32">
        <f t="shared" si="43"/>
        <v>50597</v>
      </c>
      <c r="J167" s="32">
        <f t="shared" si="44"/>
        <v>0</v>
      </c>
      <c r="K167" s="32">
        <f t="shared" si="45"/>
        <v>0</v>
      </c>
      <c r="L167" s="32">
        <f t="shared" si="46"/>
        <v>70831</v>
      </c>
      <c r="M167" s="32">
        <f>0</f>
        <v>0</v>
      </c>
      <c r="N167" s="32">
        <f t="shared" si="47"/>
        <v>24215600</v>
      </c>
      <c r="O167" s="32">
        <f t="shared" si="48"/>
        <v>7003176</v>
      </c>
      <c r="P167" s="34" t="str">
        <f>IF(NOT(AND(T166="",A167&lt;=S166)),"",IF(FALSE,"繰上返済後再計算","")&amp;IF(AND(入力!$B$13="有効",A167&gt;1,MOD(A167-1,60)=0),IF(FALSE,"・","")&amp;"5年見直し","")&amp;IF(AND(A167=入力!$B$11,A167&gt;1),IF(OR(FALSE,AND(入力!$B$13="有効",A167&gt;1,MOD(A167-1,60)=0)),"・","")&amp;"金利変更","")&amp;IF(AND(OR(AND(入力!$B$13="有効",A167&gt;1,MOD(A167-1,60)=0),AND(A167=入力!$B$11,A167&gt;1)),入力!$B$14="有効",IF(E167=0,ROUND(C167/MAX(1,S166-A167+1),0),ROUND(-PMT(E167/12,MAX(1,S166-A167+1),C167),0))&gt;ROUND(G166*1.25,0),NOT(FALSE)),"・上限適用",""))</f>
        <v/>
      </c>
      <c r="Q167" s="35" t="str">
        <f>IF(AND(T166="",A167&lt;=S166),入力!$B$13,"")</f>
        <v>有効</v>
      </c>
      <c r="R167" s="32" t="str">
        <f>IF(AND(AND(T166="",A167&lt;=S166),OR(AND(入力!$B$13="有効",A167&gt;1,MOD(A167-1,60)=0),AND(A167=入力!$B$11,A167&gt;1)),入力!$B$14="有効"),ROUND(G166*1.25,0),"")</f>
        <v/>
      </c>
      <c r="S167" s="36">
        <f t="shared" si="49"/>
        <v>420</v>
      </c>
      <c r="T167" s="35" t="str">
        <f t="shared" si="50"/>
        <v/>
      </c>
      <c r="U167" s="3">
        <f t="shared" si="34"/>
        <v>0</v>
      </c>
      <c r="V167" s="3">
        <f t="shared" si="35"/>
        <v>0</v>
      </c>
      <c r="W167" s="3">
        <f t="shared" si="36"/>
        <v>0</v>
      </c>
      <c r="X167" s="3">
        <f t="shared" si="37"/>
        <v>0</v>
      </c>
      <c r="Y167" s="3">
        <f>0</f>
        <v>0</v>
      </c>
      <c r="Z167" s="3">
        <f t="shared" si="38"/>
        <v>0</v>
      </c>
      <c r="AA167">
        <f>ROUND(IF(FALSE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,0)</f>
        <v>121428</v>
      </c>
    </row>
    <row r="168" spans="1:27">
      <c r="A168" s="30">
        <f>163</f>
        <v>163</v>
      </c>
      <c r="B168" s="31">
        <f>EDATE(入力!$B$6,A168-1)</f>
        <v>51167</v>
      </c>
      <c r="C168" s="32">
        <f t="shared" si="39"/>
        <v>24215600</v>
      </c>
      <c r="D168" s="32">
        <f t="shared" si="40"/>
        <v>0</v>
      </c>
      <c r="E168" s="33">
        <f>IF(AND(T167="",A168&lt;=S167),IF(A168&lt;入力!$B$11,入力!$B$10,入力!$B$12),0)</f>
        <v>2.5000000000000001E-2</v>
      </c>
      <c r="F168" s="32">
        <f t="shared" si="41"/>
        <v>50449</v>
      </c>
      <c r="G168" s="32">
        <f>ROUND(IF(NOT(AND(T167="",A168&lt;=S167)),0,IF(FALSE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),0)</f>
        <v>121428</v>
      </c>
      <c r="H168" s="32">
        <f t="shared" si="42"/>
        <v>121428</v>
      </c>
      <c r="I168" s="32">
        <f t="shared" si="43"/>
        <v>50449</v>
      </c>
      <c r="J168" s="32">
        <f t="shared" si="44"/>
        <v>0</v>
      </c>
      <c r="K168" s="32">
        <f t="shared" si="45"/>
        <v>0</v>
      </c>
      <c r="L168" s="32">
        <f t="shared" si="46"/>
        <v>70979</v>
      </c>
      <c r="M168" s="32">
        <f>0</f>
        <v>0</v>
      </c>
      <c r="N168" s="32">
        <f t="shared" si="47"/>
        <v>24144621</v>
      </c>
      <c r="O168" s="32">
        <f t="shared" si="48"/>
        <v>7053625</v>
      </c>
      <c r="P168" s="34" t="str">
        <f>IF(NOT(AND(T167="",A168&lt;=S167)),"",IF(FALSE,"繰上返済後再計算","")&amp;IF(AND(入力!$B$13="有効",A168&gt;1,MOD(A168-1,60)=0),IF(FALSE,"・","")&amp;"5年見直し","")&amp;IF(AND(A168=入力!$B$11,A168&gt;1),IF(OR(FALSE,AND(入力!$B$13="有効",A168&gt;1,MOD(A168-1,60)=0)),"・","")&amp;"金利変更","")&amp;IF(AND(OR(AND(入力!$B$13="有効",A168&gt;1,MOD(A168-1,60)=0),AND(A168=入力!$B$11,A168&gt;1)),入力!$B$14="有効",IF(E168=0,ROUND(C168/MAX(1,S167-A168+1),0),ROUND(-PMT(E168/12,MAX(1,S167-A168+1),C168),0))&gt;ROUND(G167*1.25,0),NOT(FALSE)),"・上限適用",""))</f>
        <v/>
      </c>
      <c r="Q168" s="35" t="str">
        <f>IF(AND(T167="",A168&lt;=S167),入力!$B$13,"")</f>
        <v>有効</v>
      </c>
      <c r="R168" s="32" t="str">
        <f>IF(AND(AND(T167="",A168&lt;=S167),OR(AND(入力!$B$13="有効",A168&gt;1,MOD(A168-1,60)=0),AND(A168=入力!$B$11,A168&gt;1)),入力!$B$14="有効"),ROUND(G167*1.25,0),"")</f>
        <v/>
      </c>
      <c r="S168" s="36">
        <f t="shared" si="49"/>
        <v>420</v>
      </c>
      <c r="T168" s="35" t="str">
        <f t="shared" si="50"/>
        <v/>
      </c>
      <c r="U168" s="3">
        <f t="shared" si="34"/>
        <v>0</v>
      </c>
      <c r="V168" s="3">
        <f t="shared" si="35"/>
        <v>0</v>
      </c>
      <c r="W168" s="3">
        <f t="shared" si="36"/>
        <v>0</v>
      </c>
      <c r="X168" s="3">
        <f t="shared" si="37"/>
        <v>0</v>
      </c>
      <c r="Y168" s="3">
        <f>0</f>
        <v>0</v>
      </c>
      <c r="Z168" s="3">
        <f t="shared" si="38"/>
        <v>0</v>
      </c>
      <c r="AA168">
        <f>ROUND(IF(FALSE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,0)</f>
        <v>121428</v>
      </c>
    </row>
    <row r="169" spans="1:27">
      <c r="A169" s="30">
        <f>164</f>
        <v>164</v>
      </c>
      <c r="B169" s="31">
        <f>EDATE(入力!$B$6,A169-1)</f>
        <v>51196</v>
      </c>
      <c r="C169" s="32">
        <f t="shared" si="39"/>
        <v>24144621</v>
      </c>
      <c r="D169" s="32">
        <f t="shared" si="40"/>
        <v>0</v>
      </c>
      <c r="E169" s="33">
        <f>IF(AND(T168="",A169&lt;=S168),IF(A169&lt;入力!$B$11,入力!$B$10,入力!$B$12),0)</f>
        <v>2.5000000000000001E-2</v>
      </c>
      <c r="F169" s="32">
        <f t="shared" si="41"/>
        <v>50301</v>
      </c>
      <c r="G169" s="32">
        <f>ROUND(IF(NOT(AND(T168="",A169&lt;=S168)),0,IF(FALSE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),0)</f>
        <v>121428</v>
      </c>
      <c r="H169" s="32">
        <f t="shared" si="42"/>
        <v>121428</v>
      </c>
      <c r="I169" s="32">
        <f t="shared" si="43"/>
        <v>50301</v>
      </c>
      <c r="J169" s="32">
        <f t="shared" si="44"/>
        <v>0</v>
      </c>
      <c r="K169" s="32">
        <f t="shared" si="45"/>
        <v>0</v>
      </c>
      <c r="L169" s="32">
        <f t="shared" si="46"/>
        <v>71127</v>
      </c>
      <c r="M169" s="32">
        <f>0</f>
        <v>0</v>
      </c>
      <c r="N169" s="32">
        <f t="shared" si="47"/>
        <v>24073494</v>
      </c>
      <c r="O169" s="32">
        <f t="shared" si="48"/>
        <v>7103926</v>
      </c>
      <c r="P169" s="34" t="str">
        <f>IF(NOT(AND(T168="",A169&lt;=S168)),"",IF(FALSE,"繰上返済後再計算","")&amp;IF(AND(入力!$B$13="有効",A169&gt;1,MOD(A169-1,60)=0),IF(FALSE,"・","")&amp;"5年見直し","")&amp;IF(AND(A169=入力!$B$11,A169&gt;1),IF(OR(FALSE,AND(入力!$B$13="有効",A169&gt;1,MOD(A169-1,60)=0)),"・","")&amp;"金利変更","")&amp;IF(AND(OR(AND(入力!$B$13="有効",A169&gt;1,MOD(A169-1,60)=0),AND(A169=入力!$B$11,A169&gt;1)),入力!$B$14="有効",IF(E169=0,ROUND(C169/MAX(1,S168-A169+1),0),ROUND(-PMT(E169/12,MAX(1,S168-A169+1),C169),0))&gt;ROUND(G168*1.25,0),NOT(FALSE)),"・上限適用",""))</f>
        <v/>
      </c>
      <c r="Q169" s="35" t="str">
        <f>IF(AND(T168="",A169&lt;=S168),入力!$B$13,"")</f>
        <v>有効</v>
      </c>
      <c r="R169" s="32" t="str">
        <f>IF(AND(AND(T168="",A169&lt;=S168),OR(AND(入力!$B$13="有効",A169&gt;1,MOD(A169-1,60)=0),AND(A169=入力!$B$11,A169&gt;1)),入力!$B$14="有効"),ROUND(G168*1.25,0),"")</f>
        <v/>
      </c>
      <c r="S169" s="36">
        <f t="shared" si="49"/>
        <v>420</v>
      </c>
      <c r="T169" s="35" t="str">
        <f t="shared" si="50"/>
        <v/>
      </c>
      <c r="U169" s="3">
        <f t="shared" si="34"/>
        <v>0</v>
      </c>
      <c r="V169" s="3">
        <f t="shared" si="35"/>
        <v>0</v>
      </c>
      <c r="W169" s="3">
        <f t="shared" si="36"/>
        <v>0</v>
      </c>
      <c r="X169" s="3">
        <f t="shared" si="37"/>
        <v>0</v>
      </c>
      <c r="Y169" s="3">
        <f>0</f>
        <v>0</v>
      </c>
      <c r="Z169" s="3">
        <f t="shared" si="38"/>
        <v>0</v>
      </c>
      <c r="AA169">
        <f>ROUND(IF(FALSE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,0)</f>
        <v>121428</v>
      </c>
    </row>
    <row r="170" spans="1:27">
      <c r="A170" s="30">
        <f>165</f>
        <v>165</v>
      </c>
      <c r="B170" s="31">
        <f>EDATE(入力!$B$6,A170-1)</f>
        <v>51227</v>
      </c>
      <c r="C170" s="32">
        <f t="shared" si="39"/>
        <v>24073494</v>
      </c>
      <c r="D170" s="32">
        <f t="shared" si="40"/>
        <v>0</v>
      </c>
      <c r="E170" s="33">
        <f>IF(AND(T169="",A170&lt;=S169),IF(A170&lt;入力!$B$11,入力!$B$10,入力!$B$12),0)</f>
        <v>2.5000000000000001E-2</v>
      </c>
      <c r="F170" s="32">
        <f t="shared" si="41"/>
        <v>50153</v>
      </c>
      <c r="G170" s="32">
        <f>ROUND(IF(NOT(AND(T169="",A170&lt;=S169)),0,IF(FALSE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),0)</f>
        <v>121428</v>
      </c>
      <c r="H170" s="32">
        <f t="shared" si="42"/>
        <v>121428</v>
      </c>
      <c r="I170" s="32">
        <f t="shared" si="43"/>
        <v>50153</v>
      </c>
      <c r="J170" s="32">
        <f t="shared" si="44"/>
        <v>0</v>
      </c>
      <c r="K170" s="32">
        <f t="shared" si="45"/>
        <v>0</v>
      </c>
      <c r="L170" s="32">
        <f t="shared" si="46"/>
        <v>71275</v>
      </c>
      <c r="M170" s="32">
        <f>0</f>
        <v>0</v>
      </c>
      <c r="N170" s="32">
        <f t="shared" si="47"/>
        <v>24002219</v>
      </c>
      <c r="O170" s="32">
        <f t="shared" si="48"/>
        <v>7154079</v>
      </c>
      <c r="P170" s="34" t="str">
        <f>IF(NOT(AND(T169="",A170&lt;=S169)),"",IF(FALSE,"繰上返済後再計算","")&amp;IF(AND(入力!$B$13="有効",A170&gt;1,MOD(A170-1,60)=0),IF(FALSE,"・","")&amp;"5年見直し","")&amp;IF(AND(A170=入力!$B$11,A170&gt;1),IF(OR(FALSE,AND(入力!$B$13="有効",A170&gt;1,MOD(A170-1,60)=0)),"・","")&amp;"金利変更","")&amp;IF(AND(OR(AND(入力!$B$13="有効",A170&gt;1,MOD(A170-1,60)=0),AND(A170=入力!$B$11,A170&gt;1)),入力!$B$14="有効",IF(E170=0,ROUND(C170/MAX(1,S169-A170+1),0),ROUND(-PMT(E170/12,MAX(1,S169-A170+1),C170),0))&gt;ROUND(G169*1.25,0),NOT(FALSE)),"・上限適用",""))</f>
        <v/>
      </c>
      <c r="Q170" s="35" t="str">
        <f>IF(AND(T169="",A170&lt;=S169),入力!$B$13,"")</f>
        <v>有効</v>
      </c>
      <c r="R170" s="32" t="str">
        <f>IF(AND(AND(T169="",A170&lt;=S169),OR(AND(入力!$B$13="有効",A170&gt;1,MOD(A170-1,60)=0),AND(A170=入力!$B$11,A170&gt;1)),入力!$B$14="有効"),ROUND(G169*1.25,0),"")</f>
        <v/>
      </c>
      <c r="S170" s="36">
        <f t="shared" si="49"/>
        <v>420</v>
      </c>
      <c r="T170" s="35" t="str">
        <f t="shared" si="50"/>
        <v/>
      </c>
      <c r="U170" s="3">
        <f t="shared" si="34"/>
        <v>0</v>
      </c>
      <c r="V170" s="3">
        <f t="shared" si="35"/>
        <v>0</v>
      </c>
      <c r="W170" s="3">
        <f t="shared" si="36"/>
        <v>0</v>
      </c>
      <c r="X170" s="3">
        <f t="shared" si="37"/>
        <v>0</v>
      </c>
      <c r="Y170" s="3">
        <f>0</f>
        <v>0</v>
      </c>
      <c r="Z170" s="3">
        <f t="shared" si="38"/>
        <v>0</v>
      </c>
      <c r="AA170">
        <f>ROUND(IF(FALSE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,0)</f>
        <v>121428</v>
      </c>
    </row>
    <row r="171" spans="1:27">
      <c r="A171" s="30">
        <f>166</f>
        <v>166</v>
      </c>
      <c r="B171" s="31">
        <f>EDATE(入力!$B$6,A171-1)</f>
        <v>51257</v>
      </c>
      <c r="C171" s="32">
        <f t="shared" si="39"/>
        <v>24002219</v>
      </c>
      <c r="D171" s="32">
        <f t="shared" si="40"/>
        <v>0</v>
      </c>
      <c r="E171" s="33">
        <f>IF(AND(T170="",A171&lt;=S170),IF(A171&lt;入力!$B$11,入力!$B$10,入力!$B$12),0)</f>
        <v>2.5000000000000001E-2</v>
      </c>
      <c r="F171" s="32">
        <f t="shared" si="41"/>
        <v>50005</v>
      </c>
      <c r="G171" s="32">
        <f>ROUND(IF(NOT(AND(T170="",A171&lt;=S170)),0,IF(FALSE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),0)</f>
        <v>121428</v>
      </c>
      <c r="H171" s="32">
        <f t="shared" si="42"/>
        <v>121428</v>
      </c>
      <c r="I171" s="32">
        <f t="shared" si="43"/>
        <v>50005</v>
      </c>
      <c r="J171" s="32">
        <f t="shared" si="44"/>
        <v>0</v>
      </c>
      <c r="K171" s="32">
        <f t="shared" si="45"/>
        <v>0</v>
      </c>
      <c r="L171" s="32">
        <f t="shared" si="46"/>
        <v>71423</v>
      </c>
      <c r="M171" s="32">
        <f>0</f>
        <v>0</v>
      </c>
      <c r="N171" s="32">
        <f t="shared" si="47"/>
        <v>23930796</v>
      </c>
      <c r="O171" s="32">
        <f t="shared" si="48"/>
        <v>7204084</v>
      </c>
      <c r="P171" s="34" t="str">
        <f>IF(NOT(AND(T170="",A171&lt;=S170)),"",IF(FALSE,"繰上返済後再計算","")&amp;IF(AND(入力!$B$13="有効",A171&gt;1,MOD(A171-1,60)=0),IF(FALSE,"・","")&amp;"5年見直し","")&amp;IF(AND(A171=入力!$B$11,A171&gt;1),IF(OR(FALSE,AND(入力!$B$13="有効",A171&gt;1,MOD(A171-1,60)=0)),"・","")&amp;"金利変更","")&amp;IF(AND(OR(AND(入力!$B$13="有効",A171&gt;1,MOD(A171-1,60)=0),AND(A171=入力!$B$11,A171&gt;1)),入力!$B$14="有効",IF(E171=0,ROUND(C171/MAX(1,S170-A171+1),0),ROUND(-PMT(E171/12,MAX(1,S170-A171+1),C171),0))&gt;ROUND(G170*1.25,0),NOT(FALSE)),"・上限適用",""))</f>
        <v/>
      </c>
      <c r="Q171" s="35" t="str">
        <f>IF(AND(T170="",A171&lt;=S170),入力!$B$13,"")</f>
        <v>有効</v>
      </c>
      <c r="R171" s="32" t="str">
        <f>IF(AND(AND(T170="",A171&lt;=S170),OR(AND(入力!$B$13="有効",A171&gt;1,MOD(A171-1,60)=0),AND(A171=入力!$B$11,A171&gt;1)),入力!$B$14="有効"),ROUND(G170*1.25,0),"")</f>
        <v/>
      </c>
      <c r="S171" s="36">
        <f t="shared" si="49"/>
        <v>420</v>
      </c>
      <c r="T171" s="35" t="str">
        <f t="shared" si="50"/>
        <v/>
      </c>
      <c r="U171" s="3">
        <f t="shared" si="34"/>
        <v>0</v>
      </c>
      <c r="V171" s="3">
        <f t="shared" si="35"/>
        <v>0</v>
      </c>
      <c r="W171" s="3">
        <f t="shared" si="36"/>
        <v>0</v>
      </c>
      <c r="X171" s="3">
        <f t="shared" si="37"/>
        <v>0</v>
      </c>
      <c r="Y171" s="3">
        <f>0</f>
        <v>0</v>
      </c>
      <c r="Z171" s="3">
        <f t="shared" si="38"/>
        <v>0</v>
      </c>
      <c r="AA171">
        <f>ROUND(IF(FALSE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,0)</f>
        <v>121428</v>
      </c>
    </row>
    <row r="172" spans="1:27">
      <c r="A172" s="30">
        <f>167</f>
        <v>167</v>
      </c>
      <c r="B172" s="31">
        <f>EDATE(入力!$B$6,A172-1)</f>
        <v>51288</v>
      </c>
      <c r="C172" s="32">
        <f t="shared" si="39"/>
        <v>23930796</v>
      </c>
      <c r="D172" s="32">
        <f t="shared" si="40"/>
        <v>0</v>
      </c>
      <c r="E172" s="33">
        <f>IF(AND(T171="",A172&lt;=S171),IF(A172&lt;入力!$B$11,入力!$B$10,入力!$B$12),0)</f>
        <v>2.5000000000000001E-2</v>
      </c>
      <c r="F172" s="32">
        <f t="shared" si="41"/>
        <v>49856</v>
      </c>
      <c r="G172" s="32">
        <f>ROUND(IF(NOT(AND(T171="",A172&lt;=S171)),0,IF(FALSE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),0)</f>
        <v>121428</v>
      </c>
      <c r="H172" s="32">
        <f t="shared" si="42"/>
        <v>121428</v>
      </c>
      <c r="I172" s="32">
        <f t="shared" si="43"/>
        <v>49856</v>
      </c>
      <c r="J172" s="32">
        <f t="shared" si="44"/>
        <v>0</v>
      </c>
      <c r="K172" s="32">
        <f t="shared" si="45"/>
        <v>0</v>
      </c>
      <c r="L172" s="32">
        <f t="shared" si="46"/>
        <v>71572</v>
      </c>
      <c r="M172" s="32">
        <f>0</f>
        <v>0</v>
      </c>
      <c r="N172" s="32">
        <f t="shared" si="47"/>
        <v>23859224</v>
      </c>
      <c r="O172" s="32">
        <f t="shared" si="48"/>
        <v>7253940</v>
      </c>
      <c r="P172" s="34" t="str">
        <f>IF(NOT(AND(T171="",A172&lt;=S171)),"",IF(FALSE,"繰上返済後再計算","")&amp;IF(AND(入力!$B$13="有効",A172&gt;1,MOD(A172-1,60)=0),IF(FALSE,"・","")&amp;"5年見直し","")&amp;IF(AND(A172=入力!$B$11,A172&gt;1),IF(OR(FALSE,AND(入力!$B$13="有効",A172&gt;1,MOD(A172-1,60)=0)),"・","")&amp;"金利変更","")&amp;IF(AND(OR(AND(入力!$B$13="有効",A172&gt;1,MOD(A172-1,60)=0),AND(A172=入力!$B$11,A172&gt;1)),入力!$B$14="有効",IF(E172=0,ROUND(C172/MAX(1,S171-A172+1),0),ROUND(-PMT(E172/12,MAX(1,S171-A172+1),C172),0))&gt;ROUND(G171*1.25,0),NOT(FALSE)),"・上限適用",""))</f>
        <v/>
      </c>
      <c r="Q172" s="35" t="str">
        <f>IF(AND(T171="",A172&lt;=S171),入力!$B$13,"")</f>
        <v>有効</v>
      </c>
      <c r="R172" s="32" t="str">
        <f>IF(AND(AND(T171="",A172&lt;=S171),OR(AND(入力!$B$13="有効",A172&gt;1,MOD(A172-1,60)=0),AND(A172=入力!$B$11,A172&gt;1)),入力!$B$14="有効"),ROUND(G171*1.25,0),"")</f>
        <v/>
      </c>
      <c r="S172" s="36">
        <f t="shared" si="49"/>
        <v>420</v>
      </c>
      <c r="T172" s="35" t="str">
        <f t="shared" si="50"/>
        <v/>
      </c>
      <c r="U172" s="3">
        <f t="shared" si="34"/>
        <v>0</v>
      </c>
      <c r="V172" s="3">
        <f t="shared" si="35"/>
        <v>0</v>
      </c>
      <c r="W172" s="3">
        <f t="shared" si="36"/>
        <v>0</v>
      </c>
      <c r="X172" s="3">
        <f t="shared" si="37"/>
        <v>0</v>
      </c>
      <c r="Y172" s="3">
        <f>0</f>
        <v>0</v>
      </c>
      <c r="Z172" s="3">
        <f t="shared" si="38"/>
        <v>0</v>
      </c>
      <c r="AA172">
        <f>ROUND(IF(FALSE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,0)</f>
        <v>121428</v>
      </c>
    </row>
    <row r="173" spans="1:27">
      <c r="A173" s="30">
        <f>168</f>
        <v>168</v>
      </c>
      <c r="B173" s="31">
        <f>EDATE(入力!$B$6,A173-1)</f>
        <v>51318</v>
      </c>
      <c r="C173" s="32">
        <f t="shared" si="39"/>
        <v>23859224</v>
      </c>
      <c r="D173" s="32">
        <f t="shared" si="40"/>
        <v>0</v>
      </c>
      <c r="E173" s="33">
        <f>IF(AND(T172="",A173&lt;=S172),IF(A173&lt;入力!$B$11,入力!$B$10,入力!$B$12),0)</f>
        <v>2.5000000000000001E-2</v>
      </c>
      <c r="F173" s="32">
        <f t="shared" si="41"/>
        <v>49707</v>
      </c>
      <c r="G173" s="32">
        <f>ROUND(IF(NOT(AND(T172="",A173&lt;=S172)),0,IF(FALSE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),0)</f>
        <v>121428</v>
      </c>
      <c r="H173" s="32">
        <f t="shared" si="42"/>
        <v>121428</v>
      </c>
      <c r="I173" s="32">
        <f t="shared" si="43"/>
        <v>49707</v>
      </c>
      <c r="J173" s="32">
        <f t="shared" si="44"/>
        <v>0</v>
      </c>
      <c r="K173" s="32">
        <f t="shared" si="45"/>
        <v>0</v>
      </c>
      <c r="L173" s="32">
        <f t="shared" si="46"/>
        <v>71721</v>
      </c>
      <c r="M173" s="32">
        <f>0</f>
        <v>0</v>
      </c>
      <c r="N173" s="32">
        <f t="shared" si="47"/>
        <v>23787503</v>
      </c>
      <c r="O173" s="32">
        <f t="shared" si="48"/>
        <v>7303647</v>
      </c>
      <c r="P173" s="34" t="str">
        <f>IF(NOT(AND(T172="",A173&lt;=S172)),"",IF(FALSE,"繰上返済後再計算","")&amp;IF(AND(入力!$B$13="有効",A173&gt;1,MOD(A173-1,60)=0),IF(FALSE,"・","")&amp;"5年見直し","")&amp;IF(AND(A173=入力!$B$11,A173&gt;1),IF(OR(FALSE,AND(入力!$B$13="有効",A173&gt;1,MOD(A173-1,60)=0)),"・","")&amp;"金利変更","")&amp;IF(AND(OR(AND(入力!$B$13="有効",A173&gt;1,MOD(A173-1,60)=0),AND(A173=入力!$B$11,A173&gt;1)),入力!$B$14="有効",IF(E173=0,ROUND(C173/MAX(1,S172-A173+1),0),ROUND(-PMT(E173/12,MAX(1,S172-A173+1),C173),0))&gt;ROUND(G172*1.25,0),NOT(FALSE)),"・上限適用",""))</f>
        <v/>
      </c>
      <c r="Q173" s="35" t="str">
        <f>IF(AND(T172="",A173&lt;=S172),入力!$B$13,"")</f>
        <v>有効</v>
      </c>
      <c r="R173" s="32" t="str">
        <f>IF(AND(AND(T172="",A173&lt;=S172),OR(AND(入力!$B$13="有効",A173&gt;1,MOD(A173-1,60)=0),AND(A173=入力!$B$11,A173&gt;1)),入力!$B$14="有効"),ROUND(G172*1.25,0),"")</f>
        <v/>
      </c>
      <c r="S173" s="36">
        <f t="shared" si="49"/>
        <v>420</v>
      </c>
      <c r="T173" s="35" t="str">
        <f t="shared" si="50"/>
        <v/>
      </c>
      <c r="U173" s="3">
        <f t="shared" si="34"/>
        <v>0</v>
      </c>
      <c r="V173" s="3">
        <f t="shared" si="35"/>
        <v>0</v>
      </c>
      <c r="W173" s="3">
        <f t="shared" si="36"/>
        <v>0</v>
      </c>
      <c r="X173" s="3">
        <f t="shared" si="37"/>
        <v>0</v>
      </c>
      <c r="Y173" s="3">
        <f>0</f>
        <v>0</v>
      </c>
      <c r="Z173" s="3">
        <f t="shared" si="38"/>
        <v>0</v>
      </c>
      <c r="AA173">
        <f>ROUND(IF(FALSE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,0)</f>
        <v>121428</v>
      </c>
    </row>
    <row r="174" spans="1:27">
      <c r="A174" s="30">
        <f>169</f>
        <v>169</v>
      </c>
      <c r="B174" s="31">
        <f>EDATE(入力!$B$6,A174-1)</f>
        <v>51349</v>
      </c>
      <c r="C174" s="32">
        <f t="shared" si="39"/>
        <v>23787503</v>
      </c>
      <c r="D174" s="32">
        <f t="shared" si="40"/>
        <v>0</v>
      </c>
      <c r="E174" s="33">
        <f>IF(AND(T173="",A174&lt;=S173),IF(A174&lt;入力!$B$11,入力!$B$10,入力!$B$12),0)</f>
        <v>2.5000000000000001E-2</v>
      </c>
      <c r="F174" s="32">
        <f t="shared" si="41"/>
        <v>49557</v>
      </c>
      <c r="G174" s="32">
        <f>ROUND(IF(NOT(AND(T173="",A174&lt;=S173)),0,IF(FALSE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),0)</f>
        <v>121428</v>
      </c>
      <c r="H174" s="32">
        <f t="shared" si="42"/>
        <v>121428</v>
      </c>
      <c r="I174" s="32">
        <f t="shared" si="43"/>
        <v>49557</v>
      </c>
      <c r="J174" s="32">
        <f t="shared" si="44"/>
        <v>0</v>
      </c>
      <c r="K174" s="32">
        <f t="shared" si="45"/>
        <v>0</v>
      </c>
      <c r="L174" s="32">
        <f t="shared" si="46"/>
        <v>71871</v>
      </c>
      <c r="M174" s="32">
        <f>0</f>
        <v>0</v>
      </c>
      <c r="N174" s="32">
        <f t="shared" si="47"/>
        <v>23715632</v>
      </c>
      <c r="O174" s="32">
        <f t="shared" si="48"/>
        <v>7353204</v>
      </c>
      <c r="P174" s="34" t="str">
        <f>IF(NOT(AND(T173="",A174&lt;=S173)),"",IF(FALSE,"繰上返済後再計算","")&amp;IF(AND(入力!$B$13="有効",A174&gt;1,MOD(A174-1,60)=0),IF(FALSE,"・","")&amp;"5年見直し","")&amp;IF(AND(A174=入力!$B$11,A174&gt;1),IF(OR(FALSE,AND(入力!$B$13="有効",A174&gt;1,MOD(A174-1,60)=0)),"・","")&amp;"金利変更","")&amp;IF(AND(OR(AND(入力!$B$13="有効",A174&gt;1,MOD(A174-1,60)=0),AND(A174=入力!$B$11,A174&gt;1)),入力!$B$14="有効",IF(E174=0,ROUND(C174/MAX(1,S173-A174+1),0),ROUND(-PMT(E174/12,MAX(1,S173-A174+1),C174),0))&gt;ROUND(G173*1.25,0),NOT(FALSE)),"・上限適用",""))</f>
        <v/>
      </c>
      <c r="Q174" s="35" t="str">
        <f>IF(AND(T173="",A174&lt;=S173),入力!$B$13,"")</f>
        <v>有効</v>
      </c>
      <c r="R174" s="32" t="str">
        <f>IF(AND(AND(T173="",A174&lt;=S173),OR(AND(入力!$B$13="有効",A174&gt;1,MOD(A174-1,60)=0),AND(A174=入力!$B$11,A174&gt;1)),入力!$B$14="有効"),ROUND(G173*1.25,0),"")</f>
        <v/>
      </c>
      <c r="S174" s="36">
        <f t="shared" si="49"/>
        <v>420</v>
      </c>
      <c r="T174" s="35" t="str">
        <f t="shared" si="50"/>
        <v/>
      </c>
      <c r="U174" s="3">
        <f t="shared" si="34"/>
        <v>0</v>
      </c>
      <c r="V174" s="3">
        <f t="shared" si="35"/>
        <v>0</v>
      </c>
      <c r="W174" s="3">
        <f t="shared" si="36"/>
        <v>0</v>
      </c>
      <c r="X174" s="3">
        <f t="shared" si="37"/>
        <v>0</v>
      </c>
      <c r="Y174" s="3">
        <f>0</f>
        <v>0</v>
      </c>
      <c r="Z174" s="3">
        <f t="shared" si="38"/>
        <v>0</v>
      </c>
      <c r="AA174">
        <f>ROUND(IF(FALSE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,0)</f>
        <v>121428</v>
      </c>
    </row>
    <row r="175" spans="1:27">
      <c r="A175" s="30">
        <f>170</f>
        <v>170</v>
      </c>
      <c r="B175" s="31">
        <f>EDATE(入力!$B$6,A175-1)</f>
        <v>51380</v>
      </c>
      <c r="C175" s="32">
        <f t="shared" si="39"/>
        <v>23715632</v>
      </c>
      <c r="D175" s="32">
        <f t="shared" si="40"/>
        <v>0</v>
      </c>
      <c r="E175" s="33">
        <f>IF(AND(T174="",A175&lt;=S174),IF(A175&lt;入力!$B$11,入力!$B$10,入力!$B$12),0)</f>
        <v>2.5000000000000001E-2</v>
      </c>
      <c r="F175" s="32">
        <f t="shared" si="41"/>
        <v>49408</v>
      </c>
      <c r="G175" s="32">
        <f>ROUND(IF(NOT(AND(T174="",A175&lt;=S174)),0,IF(FALSE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),0)</f>
        <v>121428</v>
      </c>
      <c r="H175" s="32">
        <f t="shared" si="42"/>
        <v>121428</v>
      </c>
      <c r="I175" s="32">
        <f t="shared" si="43"/>
        <v>49408</v>
      </c>
      <c r="J175" s="32">
        <f t="shared" si="44"/>
        <v>0</v>
      </c>
      <c r="K175" s="32">
        <f t="shared" si="45"/>
        <v>0</v>
      </c>
      <c r="L175" s="32">
        <f t="shared" si="46"/>
        <v>72020</v>
      </c>
      <c r="M175" s="32">
        <f>0</f>
        <v>0</v>
      </c>
      <c r="N175" s="32">
        <f t="shared" si="47"/>
        <v>23643612</v>
      </c>
      <c r="O175" s="32">
        <f t="shared" si="48"/>
        <v>7402612</v>
      </c>
      <c r="P175" s="34" t="str">
        <f>IF(NOT(AND(T174="",A175&lt;=S174)),"",IF(FALSE,"繰上返済後再計算","")&amp;IF(AND(入力!$B$13="有効",A175&gt;1,MOD(A175-1,60)=0),IF(FALSE,"・","")&amp;"5年見直し","")&amp;IF(AND(A175=入力!$B$11,A175&gt;1),IF(OR(FALSE,AND(入力!$B$13="有効",A175&gt;1,MOD(A175-1,60)=0)),"・","")&amp;"金利変更","")&amp;IF(AND(OR(AND(入力!$B$13="有効",A175&gt;1,MOD(A175-1,60)=0),AND(A175=入力!$B$11,A175&gt;1)),入力!$B$14="有効",IF(E175=0,ROUND(C175/MAX(1,S174-A175+1),0),ROUND(-PMT(E175/12,MAX(1,S174-A175+1),C175),0))&gt;ROUND(G174*1.25,0),NOT(FALSE)),"・上限適用",""))</f>
        <v/>
      </c>
      <c r="Q175" s="35" t="str">
        <f>IF(AND(T174="",A175&lt;=S174),入力!$B$13,"")</f>
        <v>有効</v>
      </c>
      <c r="R175" s="32" t="str">
        <f>IF(AND(AND(T174="",A175&lt;=S174),OR(AND(入力!$B$13="有効",A175&gt;1,MOD(A175-1,60)=0),AND(A175=入力!$B$11,A175&gt;1)),入力!$B$14="有効"),ROUND(G174*1.25,0),"")</f>
        <v/>
      </c>
      <c r="S175" s="36">
        <f t="shared" si="49"/>
        <v>420</v>
      </c>
      <c r="T175" s="35" t="str">
        <f t="shared" si="50"/>
        <v/>
      </c>
      <c r="U175" s="3">
        <f t="shared" si="34"/>
        <v>0</v>
      </c>
      <c r="V175" s="3">
        <f t="shared" si="35"/>
        <v>0</v>
      </c>
      <c r="W175" s="3">
        <f t="shared" si="36"/>
        <v>0</v>
      </c>
      <c r="X175" s="3">
        <f t="shared" si="37"/>
        <v>0</v>
      </c>
      <c r="Y175" s="3">
        <f>0</f>
        <v>0</v>
      </c>
      <c r="Z175" s="3">
        <f t="shared" si="38"/>
        <v>0</v>
      </c>
      <c r="AA175">
        <f>ROUND(IF(FALSE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,0)</f>
        <v>121428</v>
      </c>
    </row>
    <row r="176" spans="1:27">
      <c r="A176" s="30">
        <f>171</f>
        <v>171</v>
      </c>
      <c r="B176" s="31">
        <f>EDATE(入力!$B$6,A176-1)</f>
        <v>51410</v>
      </c>
      <c r="C176" s="32">
        <f t="shared" si="39"/>
        <v>23643612</v>
      </c>
      <c r="D176" s="32">
        <f t="shared" si="40"/>
        <v>0</v>
      </c>
      <c r="E176" s="33">
        <f>IF(AND(T175="",A176&lt;=S175),IF(A176&lt;入力!$B$11,入力!$B$10,入力!$B$12),0)</f>
        <v>2.5000000000000001E-2</v>
      </c>
      <c r="F176" s="32">
        <f t="shared" si="41"/>
        <v>49258</v>
      </c>
      <c r="G176" s="32">
        <f>ROUND(IF(NOT(AND(T175="",A176&lt;=S175)),0,IF(FALSE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),0)</f>
        <v>121428</v>
      </c>
      <c r="H176" s="32">
        <f t="shared" si="42"/>
        <v>121428</v>
      </c>
      <c r="I176" s="32">
        <f t="shared" si="43"/>
        <v>49258</v>
      </c>
      <c r="J176" s="32">
        <f t="shared" si="44"/>
        <v>0</v>
      </c>
      <c r="K176" s="32">
        <f t="shared" si="45"/>
        <v>0</v>
      </c>
      <c r="L176" s="32">
        <f t="shared" si="46"/>
        <v>72170</v>
      </c>
      <c r="M176" s="32">
        <f>0</f>
        <v>0</v>
      </c>
      <c r="N176" s="32">
        <f t="shared" si="47"/>
        <v>23571442</v>
      </c>
      <c r="O176" s="32">
        <f t="shared" si="48"/>
        <v>7451870</v>
      </c>
      <c r="P176" s="34" t="str">
        <f>IF(NOT(AND(T175="",A176&lt;=S175)),"",IF(FALSE,"繰上返済後再計算","")&amp;IF(AND(入力!$B$13="有効",A176&gt;1,MOD(A176-1,60)=0),IF(FALSE,"・","")&amp;"5年見直し","")&amp;IF(AND(A176=入力!$B$11,A176&gt;1),IF(OR(FALSE,AND(入力!$B$13="有効",A176&gt;1,MOD(A176-1,60)=0)),"・","")&amp;"金利変更","")&amp;IF(AND(OR(AND(入力!$B$13="有効",A176&gt;1,MOD(A176-1,60)=0),AND(A176=入力!$B$11,A176&gt;1)),入力!$B$14="有効",IF(E176=0,ROUND(C176/MAX(1,S175-A176+1),0),ROUND(-PMT(E176/12,MAX(1,S175-A176+1),C176),0))&gt;ROUND(G175*1.25,0),NOT(FALSE)),"・上限適用",""))</f>
        <v/>
      </c>
      <c r="Q176" s="35" t="str">
        <f>IF(AND(T175="",A176&lt;=S175),入力!$B$13,"")</f>
        <v>有効</v>
      </c>
      <c r="R176" s="32" t="str">
        <f>IF(AND(AND(T175="",A176&lt;=S175),OR(AND(入力!$B$13="有効",A176&gt;1,MOD(A176-1,60)=0),AND(A176=入力!$B$11,A176&gt;1)),入力!$B$14="有効"),ROUND(G175*1.25,0),"")</f>
        <v/>
      </c>
      <c r="S176" s="36">
        <f t="shared" si="49"/>
        <v>420</v>
      </c>
      <c r="T176" s="35" t="str">
        <f t="shared" si="50"/>
        <v/>
      </c>
      <c r="U176" s="3">
        <f t="shared" si="34"/>
        <v>0</v>
      </c>
      <c r="V176" s="3">
        <f t="shared" si="35"/>
        <v>0</v>
      </c>
      <c r="W176" s="3">
        <f t="shared" si="36"/>
        <v>0</v>
      </c>
      <c r="X176" s="3">
        <f t="shared" si="37"/>
        <v>0</v>
      </c>
      <c r="Y176" s="3">
        <f>0</f>
        <v>0</v>
      </c>
      <c r="Z176" s="3">
        <f t="shared" si="38"/>
        <v>0</v>
      </c>
      <c r="AA176">
        <f>ROUND(IF(FALSE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,0)</f>
        <v>121428</v>
      </c>
    </row>
    <row r="177" spans="1:27">
      <c r="A177" s="30">
        <f>172</f>
        <v>172</v>
      </c>
      <c r="B177" s="31">
        <f>EDATE(入力!$B$6,A177-1)</f>
        <v>51441</v>
      </c>
      <c r="C177" s="32">
        <f t="shared" si="39"/>
        <v>23571442</v>
      </c>
      <c r="D177" s="32">
        <f t="shared" si="40"/>
        <v>0</v>
      </c>
      <c r="E177" s="33">
        <f>IF(AND(T176="",A177&lt;=S176),IF(A177&lt;入力!$B$11,入力!$B$10,入力!$B$12),0)</f>
        <v>2.5000000000000001E-2</v>
      </c>
      <c r="F177" s="32">
        <f t="shared" si="41"/>
        <v>49107</v>
      </c>
      <c r="G177" s="32">
        <f>ROUND(IF(NOT(AND(T176="",A177&lt;=S176)),0,IF(FALSE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),0)</f>
        <v>121428</v>
      </c>
      <c r="H177" s="32">
        <f t="shared" si="42"/>
        <v>121428</v>
      </c>
      <c r="I177" s="32">
        <f t="shared" si="43"/>
        <v>49107</v>
      </c>
      <c r="J177" s="32">
        <f t="shared" si="44"/>
        <v>0</v>
      </c>
      <c r="K177" s="32">
        <f t="shared" si="45"/>
        <v>0</v>
      </c>
      <c r="L177" s="32">
        <f t="shared" si="46"/>
        <v>72321</v>
      </c>
      <c r="M177" s="32">
        <f>0</f>
        <v>0</v>
      </c>
      <c r="N177" s="32">
        <f t="shared" si="47"/>
        <v>23499121</v>
      </c>
      <c r="O177" s="32">
        <f t="shared" si="48"/>
        <v>7500977</v>
      </c>
      <c r="P177" s="34" t="str">
        <f>IF(NOT(AND(T176="",A177&lt;=S176)),"",IF(FALSE,"繰上返済後再計算","")&amp;IF(AND(入力!$B$13="有効",A177&gt;1,MOD(A177-1,60)=0),IF(FALSE,"・","")&amp;"5年見直し","")&amp;IF(AND(A177=入力!$B$11,A177&gt;1),IF(OR(FALSE,AND(入力!$B$13="有効",A177&gt;1,MOD(A177-1,60)=0)),"・","")&amp;"金利変更","")&amp;IF(AND(OR(AND(入力!$B$13="有効",A177&gt;1,MOD(A177-1,60)=0),AND(A177=入力!$B$11,A177&gt;1)),入力!$B$14="有効",IF(E177=0,ROUND(C177/MAX(1,S176-A177+1),0),ROUND(-PMT(E177/12,MAX(1,S176-A177+1),C177),0))&gt;ROUND(G176*1.25,0),NOT(FALSE)),"・上限適用",""))</f>
        <v/>
      </c>
      <c r="Q177" s="35" t="str">
        <f>IF(AND(T176="",A177&lt;=S176),入力!$B$13,"")</f>
        <v>有効</v>
      </c>
      <c r="R177" s="32" t="str">
        <f>IF(AND(AND(T176="",A177&lt;=S176),OR(AND(入力!$B$13="有効",A177&gt;1,MOD(A177-1,60)=0),AND(A177=入力!$B$11,A177&gt;1)),入力!$B$14="有効"),ROUND(G176*1.25,0),"")</f>
        <v/>
      </c>
      <c r="S177" s="36">
        <f t="shared" si="49"/>
        <v>420</v>
      </c>
      <c r="T177" s="35" t="str">
        <f t="shared" si="50"/>
        <v/>
      </c>
      <c r="U177" s="3">
        <f t="shared" si="34"/>
        <v>0</v>
      </c>
      <c r="V177" s="3">
        <f t="shared" si="35"/>
        <v>0</v>
      </c>
      <c r="W177" s="3">
        <f t="shared" si="36"/>
        <v>0</v>
      </c>
      <c r="X177" s="3">
        <f t="shared" si="37"/>
        <v>0</v>
      </c>
      <c r="Y177" s="3">
        <f>0</f>
        <v>0</v>
      </c>
      <c r="Z177" s="3">
        <f t="shared" si="38"/>
        <v>0</v>
      </c>
      <c r="AA177">
        <f>ROUND(IF(FALSE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,0)</f>
        <v>121428</v>
      </c>
    </row>
    <row r="178" spans="1:27">
      <c r="A178" s="30">
        <f>173</f>
        <v>173</v>
      </c>
      <c r="B178" s="31">
        <f>EDATE(入力!$B$6,A178-1)</f>
        <v>51471</v>
      </c>
      <c r="C178" s="32">
        <f t="shared" si="39"/>
        <v>23499121</v>
      </c>
      <c r="D178" s="32">
        <f t="shared" si="40"/>
        <v>0</v>
      </c>
      <c r="E178" s="33">
        <f>IF(AND(T177="",A178&lt;=S177),IF(A178&lt;入力!$B$11,入力!$B$10,入力!$B$12),0)</f>
        <v>2.5000000000000001E-2</v>
      </c>
      <c r="F178" s="32">
        <f t="shared" si="41"/>
        <v>48957</v>
      </c>
      <c r="G178" s="32">
        <f>ROUND(IF(NOT(AND(T177="",A178&lt;=S177)),0,IF(FALSE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),0)</f>
        <v>121428</v>
      </c>
      <c r="H178" s="32">
        <f t="shared" si="42"/>
        <v>121428</v>
      </c>
      <c r="I178" s="32">
        <f t="shared" si="43"/>
        <v>48957</v>
      </c>
      <c r="J178" s="32">
        <f t="shared" si="44"/>
        <v>0</v>
      </c>
      <c r="K178" s="32">
        <f t="shared" si="45"/>
        <v>0</v>
      </c>
      <c r="L178" s="32">
        <f t="shared" si="46"/>
        <v>72471</v>
      </c>
      <c r="M178" s="32">
        <f>0</f>
        <v>0</v>
      </c>
      <c r="N178" s="32">
        <f t="shared" si="47"/>
        <v>23426650</v>
      </c>
      <c r="O178" s="32">
        <f t="shared" si="48"/>
        <v>7549934</v>
      </c>
      <c r="P178" s="34" t="str">
        <f>IF(NOT(AND(T177="",A178&lt;=S177)),"",IF(FALSE,"繰上返済後再計算","")&amp;IF(AND(入力!$B$13="有効",A178&gt;1,MOD(A178-1,60)=0),IF(FALSE,"・","")&amp;"5年見直し","")&amp;IF(AND(A178=入力!$B$11,A178&gt;1),IF(OR(FALSE,AND(入力!$B$13="有効",A178&gt;1,MOD(A178-1,60)=0)),"・","")&amp;"金利変更","")&amp;IF(AND(OR(AND(入力!$B$13="有効",A178&gt;1,MOD(A178-1,60)=0),AND(A178=入力!$B$11,A178&gt;1)),入力!$B$14="有効",IF(E178=0,ROUND(C178/MAX(1,S177-A178+1),0),ROUND(-PMT(E178/12,MAX(1,S177-A178+1),C178),0))&gt;ROUND(G177*1.25,0),NOT(FALSE)),"・上限適用",""))</f>
        <v/>
      </c>
      <c r="Q178" s="35" t="str">
        <f>IF(AND(T177="",A178&lt;=S177),入力!$B$13,"")</f>
        <v>有効</v>
      </c>
      <c r="R178" s="32" t="str">
        <f>IF(AND(AND(T177="",A178&lt;=S177),OR(AND(入力!$B$13="有効",A178&gt;1,MOD(A178-1,60)=0),AND(A178=入力!$B$11,A178&gt;1)),入力!$B$14="有効"),ROUND(G177*1.25,0),"")</f>
        <v/>
      </c>
      <c r="S178" s="36">
        <f t="shared" si="49"/>
        <v>420</v>
      </c>
      <c r="T178" s="35" t="str">
        <f t="shared" si="50"/>
        <v/>
      </c>
      <c r="U178" s="3">
        <f t="shared" si="34"/>
        <v>0</v>
      </c>
      <c r="V178" s="3">
        <f t="shared" si="35"/>
        <v>0</v>
      </c>
      <c r="W178" s="3">
        <f t="shared" si="36"/>
        <v>0</v>
      </c>
      <c r="X178" s="3">
        <f t="shared" si="37"/>
        <v>0</v>
      </c>
      <c r="Y178" s="3">
        <f>0</f>
        <v>0</v>
      </c>
      <c r="Z178" s="3">
        <f t="shared" si="38"/>
        <v>0</v>
      </c>
      <c r="AA178">
        <f>ROUND(IF(FALSE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,0)</f>
        <v>121428</v>
      </c>
    </row>
    <row r="179" spans="1:27">
      <c r="A179" s="30">
        <f>174</f>
        <v>174</v>
      </c>
      <c r="B179" s="31">
        <f>EDATE(入力!$B$6,A179-1)</f>
        <v>51502</v>
      </c>
      <c r="C179" s="32">
        <f t="shared" si="39"/>
        <v>23426650</v>
      </c>
      <c r="D179" s="32">
        <f t="shared" si="40"/>
        <v>0</v>
      </c>
      <c r="E179" s="33">
        <f>IF(AND(T178="",A179&lt;=S178),IF(A179&lt;入力!$B$11,入力!$B$10,入力!$B$12),0)</f>
        <v>2.5000000000000001E-2</v>
      </c>
      <c r="F179" s="32">
        <f t="shared" si="41"/>
        <v>48806</v>
      </c>
      <c r="G179" s="32">
        <f>ROUND(IF(NOT(AND(T178="",A179&lt;=S178)),0,IF(FALSE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),0)</f>
        <v>121428</v>
      </c>
      <c r="H179" s="32">
        <f t="shared" si="42"/>
        <v>121428</v>
      </c>
      <c r="I179" s="32">
        <f t="shared" si="43"/>
        <v>48806</v>
      </c>
      <c r="J179" s="32">
        <f t="shared" si="44"/>
        <v>0</v>
      </c>
      <c r="K179" s="32">
        <f t="shared" si="45"/>
        <v>0</v>
      </c>
      <c r="L179" s="32">
        <f t="shared" si="46"/>
        <v>72622</v>
      </c>
      <c r="M179" s="32">
        <f>0</f>
        <v>0</v>
      </c>
      <c r="N179" s="32">
        <f t="shared" si="47"/>
        <v>23354028</v>
      </c>
      <c r="O179" s="32">
        <f t="shared" si="48"/>
        <v>7598740</v>
      </c>
      <c r="P179" s="34" t="str">
        <f>IF(NOT(AND(T178="",A179&lt;=S178)),"",IF(FALSE,"繰上返済後再計算","")&amp;IF(AND(入力!$B$13="有効",A179&gt;1,MOD(A179-1,60)=0),IF(FALSE,"・","")&amp;"5年見直し","")&amp;IF(AND(A179=入力!$B$11,A179&gt;1),IF(OR(FALSE,AND(入力!$B$13="有効",A179&gt;1,MOD(A179-1,60)=0)),"・","")&amp;"金利変更","")&amp;IF(AND(OR(AND(入力!$B$13="有効",A179&gt;1,MOD(A179-1,60)=0),AND(A179=入力!$B$11,A179&gt;1)),入力!$B$14="有効",IF(E179=0,ROUND(C179/MAX(1,S178-A179+1),0),ROUND(-PMT(E179/12,MAX(1,S178-A179+1),C179),0))&gt;ROUND(G178*1.25,0),NOT(FALSE)),"・上限適用",""))</f>
        <v/>
      </c>
      <c r="Q179" s="35" t="str">
        <f>IF(AND(T178="",A179&lt;=S178),入力!$B$13,"")</f>
        <v>有効</v>
      </c>
      <c r="R179" s="32" t="str">
        <f>IF(AND(AND(T178="",A179&lt;=S178),OR(AND(入力!$B$13="有効",A179&gt;1,MOD(A179-1,60)=0),AND(A179=入力!$B$11,A179&gt;1)),入力!$B$14="有効"),ROUND(G178*1.25,0),"")</f>
        <v/>
      </c>
      <c r="S179" s="36">
        <f t="shared" si="49"/>
        <v>420</v>
      </c>
      <c r="T179" s="35" t="str">
        <f t="shared" si="50"/>
        <v/>
      </c>
      <c r="U179" s="3">
        <f t="shared" si="34"/>
        <v>0</v>
      </c>
      <c r="V179" s="3">
        <f t="shared" si="35"/>
        <v>0</v>
      </c>
      <c r="W179" s="3">
        <f t="shared" si="36"/>
        <v>0</v>
      </c>
      <c r="X179" s="3">
        <f t="shared" si="37"/>
        <v>0</v>
      </c>
      <c r="Y179" s="3">
        <f>0</f>
        <v>0</v>
      </c>
      <c r="Z179" s="3">
        <f t="shared" si="38"/>
        <v>0</v>
      </c>
      <c r="AA179">
        <f>ROUND(IF(FALSE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,0)</f>
        <v>121428</v>
      </c>
    </row>
    <row r="180" spans="1:27">
      <c r="A180" s="30">
        <f>175</f>
        <v>175</v>
      </c>
      <c r="B180" s="31">
        <f>EDATE(入力!$B$6,A180-1)</f>
        <v>51533</v>
      </c>
      <c r="C180" s="32">
        <f t="shared" si="39"/>
        <v>23354028</v>
      </c>
      <c r="D180" s="32">
        <f t="shared" si="40"/>
        <v>0</v>
      </c>
      <c r="E180" s="33">
        <f>IF(AND(T179="",A180&lt;=S179),IF(A180&lt;入力!$B$11,入力!$B$10,入力!$B$12),0)</f>
        <v>2.5000000000000001E-2</v>
      </c>
      <c r="F180" s="32">
        <f t="shared" si="41"/>
        <v>48654</v>
      </c>
      <c r="G180" s="32">
        <f>ROUND(IF(NOT(AND(T179="",A180&lt;=S179)),0,IF(FALSE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),0)</f>
        <v>121428</v>
      </c>
      <c r="H180" s="32">
        <f t="shared" si="42"/>
        <v>121428</v>
      </c>
      <c r="I180" s="32">
        <f t="shared" si="43"/>
        <v>48654</v>
      </c>
      <c r="J180" s="32">
        <f t="shared" si="44"/>
        <v>0</v>
      </c>
      <c r="K180" s="32">
        <f t="shared" si="45"/>
        <v>0</v>
      </c>
      <c r="L180" s="32">
        <f t="shared" si="46"/>
        <v>72774</v>
      </c>
      <c r="M180" s="32">
        <f>0</f>
        <v>0</v>
      </c>
      <c r="N180" s="32">
        <f t="shared" si="47"/>
        <v>23281254</v>
      </c>
      <c r="O180" s="32">
        <f t="shared" si="48"/>
        <v>7647394</v>
      </c>
      <c r="P180" s="34" t="str">
        <f>IF(NOT(AND(T179="",A180&lt;=S179)),"",IF(FALSE,"繰上返済後再計算","")&amp;IF(AND(入力!$B$13="有効",A180&gt;1,MOD(A180-1,60)=0),IF(FALSE,"・","")&amp;"5年見直し","")&amp;IF(AND(A180=入力!$B$11,A180&gt;1),IF(OR(FALSE,AND(入力!$B$13="有効",A180&gt;1,MOD(A180-1,60)=0)),"・","")&amp;"金利変更","")&amp;IF(AND(OR(AND(入力!$B$13="有効",A180&gt;1,MOD(A180-1,60)=0),AND(A180=入力!$B$11,A180&gt;1)),入力!$B$14="有効",IF(E180=0,ROUND(C180/MAX(1,S179-A180+1),0),ROUND(-PMT(E180/12,MAX(1,S179-A180+1),C180),0))&gt;ROUND(G179*1.25,0),NOT(FALSE)),"・上限適用",""))</f>
        <v/>
      </c>
      <c r="Q180" s="35" t="str">
        <f>IF(AND(T179="",A180&lt;=S179),入力!$B$13,"")</f>
        <v>有効</v>
      </c>
      <c r="R180" s="32" t="str">
        <f>IF(AND(AND(T179="",A180&lt;=S179),OR(AND(入力!$B$13="有効",A180&gt;1,MOD(A180-1,60)=0),AND(A180=入力!$B$11,A180&gt;1)),入力!$B$14="有効"),ROUND(G179*1.25,0),"")</f>
        <v/>
      </c>
      <c r="S180" s="36">
        <f t="shared" si="49"/>
        <v>420</v>
      </c>
      <c r="T180" s="35" t="str">
        <f t="shared" si="50"/>
        <v/>
      </c>
      <c r="U180" s="3">
        <f t="shared" si="34"/>
        <v>0</v>
      </c>
      <c r="V180" s="3">
        <f t="shared" si="35"/>
        <v>0</v>
      </c>
      <c r="W180" s="3">
        <f t="shared" si="36"/>
        <v>0</v>
      </c>
      <c r="X180" s="3">
        <f t="shared" si="37"/>
        <v>0</v>
      </c>
      <c r="Y180" s="3">
        <f>0</f>
        <v>0</v>
      </c>
      <c r="Z180" s="3">
        <f t="shared" si="38"/>
        <v>0</v>
      </c>
      <c r="AA180">
        <f>ROUND(IF(FALSE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,0)</f>
        <v>121428</v>
      </c>
    </row>
    <row r="181" spans="1:27">
      <c r="A181" s="30">
        <f>176</f>
        <v>176</v>
      </c>
      <c r="B181" s="31">
        <f>EDATE(入力!$B$6,A181-1)</f>
        <v>51561</v>
      </c>
      <c r="C181" s="32">
        <f t="shared" si="39"/>
        <v>23281254</v>
      </c>
      <c r="D181" s="32">
        <f t="shared" si="40"/>
        <v>0</v>
      </c>
      <c r="E181" s="33">
        <f>IF(AND(T180="",A181&lt;=S180),IF(A181&lt;入力!$B$11,入力!$B$10,入力!$B$12),0)</f>
        <v>2.5000000000000001E-2</v>
      </c>
      <c r="F181" s="32">
        <f t="shared" si="41"/>
        <v>48503</v>
      </c>
      <c r="G181" s="32">
        <f>ROUND(IF(NOT(AND(T180="",A181&lt;=S180)),0,IF(FALSE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),0)</f>
        <v>121428</v>
      </c>
      <c r="H181" s="32">
        <f t="shared" si="42"/>
        <v>121428</v>
      </c>
      <c r="I181" s="32">
        <f t="shared" si="43"/>
        <v>48503</v>
      </c>
      <c r="J181" s="32">
        <f t="shared" si="44"/>
        <v>0</v>
      </c>
      <c r="K181" s="32">
        <f t="shared" si="45"/>
        <v>0</v>
      </c>
      <c r="L181" s="32">
        <f t="shared" si="46"/>
        <v>72925</v>
      </c>
      <c r="M181" s="32">
        <f>0</f>
        <v>0</v>
      </c>
      <c r="N181" s="32">
        <f t="shared" si="47"/>
        <v>23208329</v>
      </c>
      <c r="O181" s="32">
        <f t="shared" si="48"/>
        <v>7695897</v>
      </c>
      <c r="P181" s="34" t="str">
        <f>IF(NOT(AND(T180="",A181&lt;=S180)),"",IF(FALSE,"繰上返済後再計算","")&amp;IF(AND(入力!$B$13="有効",A181&gt;1,MOD(A181-1,60)=0),IF(FALSE,"・","")&amp;"5年見直し","")&amp;IF(AND(A181=入力!$B$11,A181&gt;1),IF(OR(FALSE,AND(入力!$B$13="有効",A181&gt;1,MOD(A181-1,60)=0)),"・","")&amp;"金利変更","")&amp;IF(AND(OR(AND(入力!$B$13="有効",A181&gt;1,MOD(A181-1,60)=0),AND(A181=入力!$B$11,A181&gt;1)),入力!$B$14="有効",IF(E181=0,ROUND(C181/MAX(1,S180-A181+1),0),ROUND(-PMT(E181/12,MAX(1,S180-A181+1),C181),0))&gt;ROUND(G180*1.25,0),NOT(FALSE)),"・上限適用",""))</f>
        <v/>
      </c>
      <c r="Q181" s="35" t="str">
        <f>IF(AND(T180="",A181&lt;=S180),入力!$B$13,"")</f>
        <v>有効</v>
      </c>
      <c r="R181" s="32" t="str">
        <f>IF(AND(AND(T180="",A181&lt;=S180),OR(AND(入力!$B$13="有効",A181&gt;1,MOD(A181-1,60)=0),AND(A181=入力!$B$11,A181&gt;1)),入力!$B$14="有効"),ROUND(G180*1.25,0),"")</f>
        <v/>
      </c>
      <c r="S181" s="36">
        <f t="shared" si="49"/>
        <v>420</v>
      </c>
      <c r="T181" s="35" t="str">
        <f t="shared" si="50"/>
        <v/>
      </c>
      <c r="U181" s="3">
        <f t="shared" si="34"/>
        <v>0</v>
      </c>
      <c r="V181" s="3">
        <f t="shared" si="35"/>
        <v>0</v>
      </c>
      <c r="W181" s="3">
        <f t="shared" si="36"/>
        <v>0</v>
      </c>
      <c r="X181" s="3">
        <f t="shared" si="37"/>
        <v>0</v>
      </c>
      <c r="Y181" s="3">
        <f>0</f>
        <v>0</v>
      </c>
      <c r="Z181" s="3">
        <f t="shared" si="38"/>
        <v>0</v>
      </c>
      <c r="AA181">
        <f>ROUND(IF(FALSE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,0)</f>
        <v>121428</v>
      </c>
    </row>
    <row r="182" spans="1:27">
      <c r="A182" s="30">
        <f>177</f>
        <v>177</v>
      </c>
      <c r="B182" s="31">
        <f>EDATE(入力!$B$6,A182-1)</f>
        <v>51592</v>
      </c>
      <c r="C182" s="32">
        <f t="shared" si="39"/>
        <v>23208329</v>
      </c>
      <c r="D182" s="32">
        <f t="shared" si="40"/>
        <v>0</v>
      </c>
      <c r="E182" s="33">
        <f>IF(AND(T181="",A182&lt;=S181),IF(A182&lt;入力!$B$11,入力!$B$10,入力!$B$12),0)</f>
        <v>2.5000000000000001E-2</v>
      </c>
      <c r="F182" s="32">
        <f t="shared" si="41"/>
        <v>48351</v>
      </c>
      <c r="G182" s="32">
        <f>ROUND(IF(NOT(AND(T181="",A182&lt;=S181)),0,IF(FALSE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),0)</f>
        <v>121428</v>
      </c>
      <c r="H182" s="32">
        <f t="shared" si="42"/>
        <v>121428</v>
      </c>
      <c r="I182" s="32">
        <f t="shared" si="43"/>
        <v>48351</v>
      </c>
      <c r="J182" s="32">
        <f t="shared" si="44"/>
        <v>0</v>
      </c>
      <c r="K182" s="32">
        <f t="shared" si="45"/>
        <v>0</v>
      </c>
      <c r="L182" s="32">
        <f t="shared" si="46"/>
        <v>73077</v>
      </c>
      <c r="M182" s="32">
        <f>0</f>
        <v>0</v>
      </c>
      <c r="N182" s="32">
        <f t="shared" si="47"/>
        <v>23135252</v>
      </c>
      <c r="O182" s="32">
        <f t="shared" si="48"/>
        <v>7744248</v>
      </c>
      <c r="P182" s="34" t="str">
        <f>IF(NOT(AND(T181="",A182&lt;=S181)),"",IF(FALSE,"繰上返済後再計算","")&amp;IF(AND(入力!$B$13="有効",A182&gt;1,MOD(A182-1,60)=0),IF(FALSE,"・","")&amp;"5年見直し","")&amp;IF(AND(A182=入力!$B$11,A182&gt;1),IF(OR(FALSE,AND(入力!$B$13="有効",A182&gt;1,MOD(A182-1,60)=0)),"・","")&amp;"金利変更","")&amp;IF(AND(OR(AND(入力!$B$13="有効",A182&gt;1,MOD(A182-1,60)=0),AND(A182=入力!$B$11,A182&gt;1)),入力!$B$14="有効",IF(E182=0,ROUND(C182/MAX(1,S181-A182+1),0),ROUND(-PMT(E182/12,MAX(1,S181-A182+1),C182),0))&gt;ROUND(G181*1.25,0),NOT(FALSE)),"・上限適用",""))</f>
        <v/>
      </c>
      <c r="Q182" s="35" t="str">
        <f>IF(AND(T181="",A182&lt;=S181),入力!$B$13,"")</f>
        <v>有効</v>
      </c>
      <c r="R182" s="32" t="str">
        <f>IF(AND(AND(T181="",A182&lt;=S181),OR(AND(入力!$B$13="有効",A182&gt;1,MOD(A182-1,60)=0),AND(A182=入力!$B$11,A182&gt;1)),入力!$B$14="有効"),ROUND(G181*1.25,0),"")</f>
        <v/>
      </c>
      <c r="S182" s="36">
        <f t="shared" si="49"/>
        <v>420</v>
      </c>
      <c r="T182" s="35" t="str">
        <f t="shared" si="50"/>
        <v/>
      </c>
      <c r="U182" s="3">
        <f t="shared" si="34"/>
        <v>0</v>
      </c>
      <c r="V182" s="3">
        <f t="shared" si="35"/>
        <v>0</v>
      </c>
      <c r="W182" s="3">
        <f t="shared" si="36"/>
        <v>0</v>
      </c>
      <c r="X182" s="3">
        <f t="shared" si="37"/>
        <v>0</v>
      </c>
      <c r="Y182" s="3">
        <f>0</f>
        <v>0</v>
      </c>
      <c r="Z182" s="3">
        <f t="shared" si="38"/>
        <v>0</v>
      </c>
      <c r="AA182">
        <f>ROUND(IF(FALSE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,0)</f>
        <v>121428</v>
      </c>
    </row>
    <row r="183" spans="1:27">
      <c r="A183" s="30">
        <f>178</f>
        <v>178</v>
      </c>
      <c r="B183" s="31">
        <f>EDATE(入力!$B$6,A183-1)</f>
        <v>51622</v>
      </c>
      <c r="C183" s="32">
        <f t="shared" si="39"/>
        <v>23135252</v>
      </c>
      <c r="D183" s="32">
        <f t="shared" si="40"/>
        <v>0</v>
      </c>
      <c r="E183" s="33">
        <f>IF(AND(T182="",A183&lt;=S182),IF(A183&lt;入力!$B$11,入力!$B$10,入力!$B$12),0)</f>
        <v>2.5000000000000001E-2</v>
      </c>
      <c r="F183" s="32">
        <f t="shared" si="41"/>
        <v>48198</v>
      </c>
      <c r="G183" s="32">
        <f>ROUND(IF(NOT(AND(T182="",A183&lt;=S182)),0,IF(FALSE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),0)</f>
        <v>121428</v>
      </c>
      <c r="H183" s="32">
        <f t="shared" si="42"/>
        <v>121428</v>
      </c>
      <c r="I183" s="32">
        <f t="shared" si="43"/>
        <v>48198</v>
      </c>
      <c r="J183" s="32">
        <f t="shared" si="44"/>
        <v>0</v>
      </c>
      <c r="K183" s="32">
        <f t="shared" si="45"/>
        <v>0</v>
      </c>
      <c r="L183" s="32">
        <f t="shared" si="46"/>
        <v>73230</v>
      </c>
      <c r="M183" s="32">
        <f>0</f>
        <v>0</v>
      </c>
      <c r="N183" s="32">
        <f t="shared" si="47"/>
        <v>23062022</v>
      </c>
      <c r="O183" s="32">
        <f t="shared" si="48"/>
        <v>7792446</v>
      </c>
      <c r="P183" s="34" t="str">
        <f>IF(NOT(AND(T182="",A183&lt;=S182)),"",IF(FALSE,"繰上返済後再計算","")&amp;IF(AND(入力!$B$13="有効",A183&gt;1,MOD(A183-1,60)=0),IF(FALSE,"・","")&amp;"5年見直し","")&amp;IF(AND(A183=入力!$B$11,A183&gt;1),IF(OR(FALSE,AND(入力!$B$13="有効",A183&gt;1,MOD(A183-1,60)=0)),"・","")&amp;"金利変更","")&amp;IF(AND(OR(AND(入力!$B$13="有効",A183&gt;1,MOD(A183-1,60)=0),AND(A183=入力!$B$11,A183&gt;1)),入力!$B$14="有効",IF(E183=0,ROUND(C183/MAX(1,S182-A183+1),0),ROUND(-PMT(E183/12,MAX(1,S182-A183+1),C183),0))&gt;ROUND(G182*1.25,0),NOT(FALSE)),"・上限適用",""))</f>
        <v/>
      </c>
      <c r="Q183" s="35" t="str">
        <f>IF(AND(T182="",A183&lt;=S182),入力!$B$13,"")</f>
        <v>有効</v>
      </c>
      <c r="R183" s="32" t="str">
        <f>IF(AND(AND(T182="",A183&lt;=S182),OR(AND(入力!$B$13="有効",A183&gt;1,MOD(A183-1,60)=0),AND(A183=入力!$B$11,A183&gt;1)),入力!$B$14="有効"),ROUND(G182*1.25,0),"")</f>
        <v/>
      </c>
      <c r="S183" s="36">
        <f t="shared" si="49"/>
        <v>420</v>
      </c>
      <c r="T183" s="35" t="str">
        <f t="shared" si="50"/>
        <v/>
      </c>
      <c r="U183" s="3">
        <f t="shared" si="34"/>
        <v>0</v>
      </c>
      <c r="V183" s="3">
        <f t="shared" si="35"/>
        <v>0</v>
      </c>
      <c r="W183" s="3">
        <f t="shared" si="36"/>
        <v>0</v>
      </c>
      <c r="X183" s="3">
        <f t="shared" si="37"/>
        <v>0</v>
      </c>
      <c r="Y183" s="3">
        <f>0</f>
        <v>0</v>
      </c>
      <c r="Z183" s="3">
        <f t="shared" si="38"/>
        <v>0</v>
      </c>
      <c r="AA183">
        <f>ROUND(IF(FALSE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,0)</f>
        <v>121428</v>
      </c>
    </row>
    <row r="184" spans="1:27">
      <c r="A184" s="30">
        <f>179</f>
        <v>179</v>
      </c>
      <c r="B184" s="31">
        <f>EDATE(入力!$B$6,A184-1)</f>
        <v>51653</v>
      </c>
      <c r="C184" s="32">
        <f t="shared" si="39"/>
        <v>23062022</v>
      </c>
      <c r="D184" s="32">
        <f t="shared" si="40"/>
        <v>0</v>
      </c>
      <c r="E184" s="33">
        <f>IF(AND(T183="",A184&lt;=S183),IF(A184&lt;入力!$B$11,入力!$B$10,入力!$B$12),0)</f>
        <v>2.5000000000000001E-2</v>
      </c>
      <c r="F184" s="32">
        <f t="shared" si="41"/>
        <v>48046</v>
      </c>
      <c r="G184" s="32">
        <f>ROUND(IF(NOT(AND(T183="",A184&lt;=S183)),0,IF(FALSE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),0)</f>
        <v>121428</v>
      </c>
      <c r="H184" s="32">
        <f t="shared" si="42"/>
        <v>121428</v>
      </c>
      <c r="I184" s="32">
        <f t="shared" si="43"/>
        <v>48046</v>
      </c>
      <c r="J184" s="32">
        <f t="shared" si="44"/>
        <v>0</v>
      </c>
      <c r="K184" s="32">
        <f t="shared" si="45"/>
        <v>0</v>
      </c>
      <c r="L184" s="32">
        <f t="shared" si="46"/>
        <v>73382</v>
      </c>
      <c r="M184" s="32">
        <f>0</f>
        <v>0</v>
      </c>
      <c r="N184" s="32">
        <f t="shared" si="47"/>
        <v>22988640</v>
      </c>
      <c r="O184" s="32">
        <f t="shared" si="48"/>
        <v>7840492</v>
      </c>
      <c r="P184" s="34" t="str">
        <f>IF(NOT(AND(T183="",A184&lt;=S183)),"",IF(FALSE,"繰上返済後再計算","")&amp;IF(AND(入力!$B$13="有効",A184&gt;1,MOD(A184-1,60)=0),IF(FALSE,"・","")&amp;"5年見直し","")&amp;IF(AND(A184=入力!$B$11,A184&gt;1),IF(OR(FALSE,AND(入力!$B$13="有効",A184&gt;1,MOD(A184-1,60)=0)),"・","")&amp;"金利変更","")&amp;IF(AND(OR(AND(入力!$B$13="有効",A184&gt;1,MOD(A184-1,60)=0),AND(A184=入力!$B$11,A184&gt;1)),入力!$B$14="有効",IF(E184=0,ROUND(C184/MAX(1,S183-A184+1),0),ROUND(-PMT(E184/12,MAX(1,S183-A184+1),C184),0))&gt;ROUND(G183*1.25,0),NOT(FALSE)),"・上限適用",""))</f>
        <v/>
      </c>
      <c r="Q184" s="35" t="str">
        <f>IF(AND(T183="",A184&lt;=S183),入力!$B$13,"")</f>
        <v>有効</v>
      </c>
      <c r="R184" s="32" t="str">
        <f>IF(AND(AND(T183="",A184&lt;=S183),OR(AND(入力!$B$13="有効",A184&gt;1,MOD(A184-1,60)=0),AND(A184=入力!$B$11,A184&gt;1)),入力!$B$14="有効"),ROUND(G183*1.25,0),"")</f>
        <v/>
      </c>
      <c r="S184" s="36">
        <f t="shared" si="49"/>
        <v>420</v>
      </c>
      <c r="T184" s="35" t="str">
        <f t="shared" si="50"/>
        <v/>
      </c>
      <c r="U184" s="3">
        <f t="shared" si="34"/>
        <v>0</v>
      </c>
      <c r="V184" s="3">
        <f t="shared" si="35"/>
        <v>0</v>
      </c>
      <c r="W184" s="3">
        <f t="shared" si="36"/>
        <v>0</v>
      </c>
      <c r="X184" s="3">
        <f t="shared" si="37"/>
        <v>0</v>
      </c>
      <c r="Y184" s="3">
        <f>0</f>
        <v>0</v>
      </c>
      <c r="Z184" s="3">
        <f t="shared" si="38"/>
        <v>0</v>
      </c>
      <c r="AA184">
        <f>ROUND(IF(FALSE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,0)</f>
        <v>121428</v>
      </c>
    </row>
    <row r="185" spans="1:27">
      <c r="A185" s="30">
        <f>180</f>
        <v>180</v>
      </c>
      <c r="B185" s="31">
        <f>EDATE(入力!$B$6,A185-1)</f>
        <v>51683</v>
      </c>
      <c r="C185" s="32">
        <f t="shared" si="39"/>
        <v>22988640</v>
      </c>
      <c r="D185" s="32">
        <f t="shared" si="40"/>
        <v>0</v>
      </c>
      <c r="E185" s="33">
        <f>IF(AND(T184="",A185&lt;=S184),IF(A185&lt;入力!$B$11,入力!$B$10,入力!$B$12),0)</f>
        <v>2.5000000000000001E-2</v>
      </c>
      <c r="F185" s="32">
        <f t="shared" si="41"/>
        <v>47893</v>
      </c>
      <c r="G185" s="32">
        <f>ROUND(IF(NOT(AND(T184="",A185&lt;=S184)),0,IF(FALSE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),0)</f>
        <v>121428</v>
      </c>
      <c r="H185" s="32">
        <f t="shared" si="42"/>
        <v>121428</v>
      </c>
      <c r="I185" s="32">
        <f t="shared" si="43"/>
        <v>47893</v>
      </c>
      <c r="J185" s="32">
        <f t="shared" si="44"/>
        <v>0</v>
      </c>
      <c r="K185" s="32">
        <f t="shared" si="45"/>
        <v>0</v>
      </c>
      <c r="L185" s="32">
        <f t="shared" si="46"/>
        <v>73535</v>
      </c>
      <c r="M185" s="32">
        <f>0</f>
        <v>0</v>
      </c>
      <c r="N185" s="32">
        <f t="shared" si="47"/>
        <v>22915105</v>
      </c>
      <c r="O185" s="32">
        <f t="shared" si="48"/>
        <v>7888385</v>
      </c>
      <c r="P185" s="34" t="str">
        <f>IF(NOT(AND(T184="",A185&lt;=S184)),"",IF(FALSE,"繰上返済後再計算","")&amp;IF(AND(入力!$B$13="有効",A185&gt;1,MOD(A185-1,60)=0),IF(FALSE,"・","")&amp;"5年見直し","")&amp;IF(AND(A185=入力!$B$11,A185&gt;1),IF(OR(FALSE,AND(入力!$B$13="有効",A185&gt;1,MOD(A185-1,60)=0)),"・","")&amp;"金利変更","")&amp;IF(AND(OR(AND(入力!$B$13="有効",A185&gt;1,MOD(A185-1,60)=0),AND(A185=入力!$B$11,A185&gt;1)),入力!$B$14="有効",IF(E185=0,ROUND(C185/MAX(1,S184-A185+1),0),ROUND(-PMT(E185/12,MAX(1,S184-A185+1),C185),0))&gt;ROUND(G184*1.25,0),NOT(FALSE)),"・上限適用",""))</f>
        <v/>
      </c>
      <c r="Q185" s="35" t="str">
        <f>IF(AND(T184="",A185&lt;=S184),入力!$B$13,"")</f>
        <v>有効</v>
      </c>
      <c r="R185" s="32" t="str">
        <f>IF(AND(AND(T184="",A185&lt;=S184),OR(AND(入力!$B$13="有効",A185&gt;1,MOD(A185-1,60)=0),AND(A185=入力!$B$11,A185&gt;1)),入力!$B$14="有効"),ROUND(G184*1.25,0),"")</f>
        <v/>
      </c>
      <c r="S185" s="36">
        <f t="shared" si="49"/>
        <v>420</v>
      </c>
      <c r="T185" s="35" t="str">
        <f t="shared" si="50"/>
        <v/>
      </c>
      <c r="U185" s="3">
        <f t="shared" si="34"/>
        <v>0</v>
      </c>
      <c r="V185" s="3">
        <f t="shared" si="35"/>
        <v>0</v>
      </c>
      <c r="W185" s="3">
        <f t="shared" si="36"/>
        <v>0</v>
      </c>
      <c r="X185" s="3">
        <f t="shared" si="37"/>
        <v>0</v>
      </c>
      <c r="Y185" s="3">
        <f>0</f>
        <v>0</v>
      </c>
      <c r="Z185" s="3">
        <f t="shared" si="38"/>
        <v>0</v>
      </c>
      <c r="AA185">
        <f>ROUND(IF(FALSE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,0)</f>
        <v>121428</v>
      </c>
    </row>
    <row r="186" spans="1:27">
      <c r="A186" s="30">
        <f>181</f>
        <v>181</v>
      </c>
      <c r="B186" s="31">
        <f>EDATE(入力!$B$6,A186-1)</f>
        <v>51714</v>
      </c>
      <c r="C186" s="32">
        <f t="shared" si="39"/>
        <v>22915105</v>
      </c>
      <c r="D186" s="32">
        <f t="shared" si="40"/>
        <v>0</v>
      </c>
      <c r="E186" s="33">
        <f>IF(AND(T185="",A186&lt;=S185),IF(A186&lt;入力!$B$11,入力!$B$10,入力!$B$12),0)</f>
        <v>2.5000000000000001E-2</v>
      </c>
      <c r="F186" s="32">
        <f t="shared" si="41"/>
        <v>47740</v>
      </c>
      <c r="G186" s="32">
        <f>ROUND(IF(NOT(AND(T185="",A186&lt;=S185)),0,IF(FALSE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),0)</f>
        <v>121428</v>
      </c>
      <c r="H186" s="32">
        <f t="shared" si="42"/>
        <v>121428</v>
      </c>
      <c r="I186" s="32">
        <f t="shared" si="43"/>
        <v>47740</v>
      </c>
      <c r="J186" s="32">
        <f t="shared" si="44"/>
        <v>0</v>
      </c>
      <c r="K186" s="32">
        <f t="shared" si="45"/>
        <v>0</v>
      </c>
      <c r="L186" s="32">
        <f t="shared" si="46"/>
        <v>73688</v>
      </c>
      <c r="M186" s="32">
        <f>0</f>
        <v>0</v>
      </c>
      <c r="N186" s="32">
        <f t="shared" si="47"/>
        <v>22841417</v>
      </c>
      <c r="O186" s="32">
        <f t="shared" si="48"/>
        <v>7936125</v>
      </c>
      <c r="P186" s="34" t="str">
        <f>IF(NOT(AND(T185="",A186&lt;=S185)),"",IF(FALSE,"繰上返済後再計算","")&amp;IF(AND(入力!$B$13="有効",A186&gt;1,MOD(A186-1,60)=0),IF(FALSE,"・","")&amp;"5年見直し","")&amp;IF(AND(A186=入力!$B$11,A186&gt;1),IF(OR(FALSE,AND(入力!$B$13="有効",A186&gt;1,MOD(A186-1,60)=0)),"・","")&amp;"金利変更","")&amp;IF(AND(OR(AND(入力!$B$13="有効",A186&gt;1,MOD(A186-1,60)=0),AND(A186=入力!$B$11,A186&gt;1)),入力!$B$14="有効",IF(E186=0,ROUND(C186/MAX(1,S185-A186+1),0),ROUND(-PMT(E186/12,MAX(1,S185-A186+1),C186),0))&gt;ROUND(G185*1.25,0),NOT(FALSE)),"・上限適用",""))</f>
        <v>5年見直し</v>
      </c>
      <c r="Q186" s="35" t="str">
        <f>IF(AND(T185="",A186&lt;=S185),入力!$B$13,"")</f>
        <v>有効</v>
      </c>
      <c r="R186" s="32">
        <f>IF(AND(AND(T185="",A186&lt;=S185),OR(AND(入力!$B$13="有効",A186&gt;1,MOD(A186-1,60)=0),AND(A186=入力!$B$11,A186&gt;1)),入力!$B$14="有効"),ROUND(G185*1.25,0),"")</f>
        <v>151785</v>
      </c>
      <c r="S186" s="36">
        <f t="shared" si="49"/>
        <v>420</v>
      </c>
      <c r="T186" s="35" t="str">
        <f t="shared" si="50"/>
        <v/>
      </c>
      <c r="U186" s="3">
        <f t="shared" si="34"/>
        <v>0</v>
      </c>
      <c r="V186" s="3">
        <f t="shared" si="35"/>
        <v>0</v>
      </c>
      <c r="W186" s="3">
        <f t="shared" si="36"/>
        <v>0</v>
      </c>
      <c r="X186" s="3">
        <f t="shared" si="37"/>
        <v>0</v>
      </c>
      <c r="Y186" s="3">
        <f>0</f>
        <v>0</v>
      </c>
      <c r="Z186" s="3">
        <f t="shared" si="38"/>
        <v>0</v>
      </c>
      <c r="AA186">
        <f>ROUND(IF(FALSE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,0)</f>
        <v>121428</v>
      </c>
    </row>
    <row r="187" spans="1:27">
      <c r="A187" s="30">
        <f>182</f>
        <v>182</v>
      </c>
      <c r="B187" s="31">
        <f>EDATE(入力!$B$6,A187-1)</f>
        <v>51745</v>
      </c>
      <c r="C187" s="32">
        <f t="shared" si="39"/>
        <v>22841417</v>
      </c>
      <c r="D187" s="32">
        <f t="shared" si="40"/>
        <v>0</v>
      </c>
      <c r="E187" s="33">
        <f>IF(AND(T186="",A187&lt;=S186),IF(A187&lt;入力!$B$11,入力!$B$10,入力!$B$12),0)</f>
        <v>2.5000000000000001E-2</v>
      </c>
      <c r="F187" s="32">
        <f t="shared" si="41"/>
        <v>47586</v>
      </c>
      <c r="G187" s="32">
        <f>ROUND(IF(NOT(AND(T186="",A187&lt;=S186)),0,IF(FALSE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),0)</f>
        <v>121428</v>
      </c>
      <c r="H187" s="32">
        <f t="shared" si="42"/>
        <v>121428</v>
      </c>
      <c r="I187" s="32">
        <f t="shared" si="43"/>
        <v>47586</v>
      </c>
      <c r="J187" s="32">
        <f t="shared" si="44"/>
        <v>0</v>
      </c>
      <c r="K187" s="32">
        <f t="shared" si="45"/>
        <v>0</v>
      </c>
      <c r="L187" s="32">
        <f t="shared" si="46"/>
        <v>73842</v>
      </c>
      <c r="M187" s="32">
        <f>0</f>
        <v>0</v>
      </c>
      <c r="N187" s="32">
        <f t="shared" si="47"/>
        <v>22767575</v>
      </c>
      <c r="O187" s="32">
        <f t="shared" si="48"/>
        <v>7983711</v>
      </c>
      <c r="P187" s="34" t="str">
        <f>IF(NOT(AND(T186="",A187&lt;=S186)),"",IF(FALSE,"繰上返済後再計算","")&amp;IF(AND(入力!$B$13="有効",A187&gt;1,MOD(A187-1,60)=0),IF(FALSE,"・","")&amp;"5年見直し","")&amp;IF(AND(A187=入力!$B$11,A187&gt;1),IF(OR(FALSE,AND(入力!$B$13="有効",A187&gt;1,MOD(A187-1,60)=0)),"・","")&amp;"金利変更","")&amp;IF(AND(OR(AND(入力!$B$13="有効",A187&gt;1,MOD(A187-1,60)=0),AND(A187=入力!$B$11,A187&gt;1)),入力!$B$14="有効",IF(E187=0,ROUND(C187/MAX(1,S186-A187+1),0),ROUND(-PMT(E187/12,MAX(1,S186-A187+1),C187),0))&gt;ROUND(G186*1.25,0),NOT(FALSE)),"・上限適用",""))</f>
        <v/>
      </c>
      <c r="Q187" s="35" t="str">
        <f>IF(AND(T186="",A187&lt;=S186),入力!$B$13,"")</f>
        <v>有効</v>
      </c>
      <c r="R187" s="32" t="str">
        <f>IF(AND(AND(T186="",A187&lt;=S186),OR(AND(入力!$B$13="有効",A187&gt;1,MOD(A187-1,60)=0),AND(A187=入力!$B$11,A187&gt;1)),入力!$B$14="有効"),ROUND(G186*1.25,0),"")</f>
        <v/>
      </c>
      <c r="S187" s="36">
        <f t="shared" si="49"/>
        <v>420</v>
      </c>
      <c r="T187" s="35" t="str">
        <f t="shared" si="50"/>
        <v/>
      </c>
      <c r="U187" s="3">
        <f t="shared" si="34"/>
        <v>0</v>
      </c>
      <c r="V187" s="3">
        <f t="shared" si="35"/>
        <v>0</v>
      </c>
      <c r="W187" s="3">
        <f t="shared" si="36"/>
        <v>0</v>
      </c>
      <c r="X187" s="3">
        <f t="shared" si="37"/>
        <v>0</v>
      </c>
      <c r="Y187" s="3">
        <f>0</f>
        <v>0</v>
      </c>
      <c r="Z187" s="3">
        <f t="shared" si="38"/>
        <v>0</v>
      </c>
      <c r="AA187">
        <f>ROUND(IF(FALSE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,0)</f>
        <v>121428</v>
      </c>
    </row>
    <row r="188" spans="1:27">
      <c r="A188" s="30">
        <f>183</f>
        <v>183</v>
      </c>
      <c r="B188" s="31">
        <f>EDATE(入力!$B$6,A188-1)</f>
        <v>51775</v>
      </c>
      <c r="C188" s="32">
        <f t="shared" si="39"/>
        <v>22767575</v>
      </c>
      <c r="D188" s="32">
        <f t="shared" si="40"/>
        <v>0</v>
      </c>
      <c r="E188" s="33">
        <f>IF(AND(T187="",A188&lt;=S187),IF(A188&lt;入力!$B$11,入力!$B$10,入力!$B$12),0)</f>
        <v>2.5000000000000001E-2</v>
      </c>
      <c r="F188" s="32">
        <f t="shared" si="41"/>
        <v>47432</v>
      </c>
      <c r="G188" s="32">
        <f>ROUND(IF(NOT(AND(T187="",A188&lt;=S187)),0,IF(FALSE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),0)</f>
        <v>121428</v>
      </c>
      <c r="H188" s="32">
        <f t="shared" si="42"/>
        <v>121428</v>
      </c>
      <c r="I188" s="32">
        <f t="shared" si="43"/>
        <v>47432</v>
      </c>
      <c r="J188" s="32">
        <f t="shared" si="44"/>
        <v>0</v>
      </c>
      <c r="K188" s="32">
        <f t="shared" si="45"/>
        <v>0</v>
      </c>
      <c r="L188" s="32">
        <f t="shared" si="46"/>
        <v>73996</v>
      </c>
      <c r="M188" s="32">
        <f>0</f>
        <v>0</v>
      </c>
      <c r="N188" s="32">
        <f t="shared" si="47"/>
        <v>22693579</v>
      </c>
      <c r="O188" s="32">
        <f t="shared" si="48"/>
        <v>8031143</v>
      </c>
      <c r="P188" s="34" t="str">
        <f>IF(NOT(AND(T187="",A188&lt;=S187)),"",IF(FALSE,"繰上返済後再計算","")&amp;IF(AND(入力!$B$13="有効",A188&gt;1,MOD(A188-1,60)=0),IF(FALSE,"・","")&amp;"5年見直し","")&amp;IF(AND(A188=入力!$B$11,A188&gt;1),IF(OR(FALSE,AND(入力!$B$13="有効",A188&gt;1,MOD(A188-1,60)=0)),"・","")&amp;"金利変更","")&amp;IF(AND(OR(AND(入力!$B$13="有効",A188&gt;1,MOD(A188-1,60)=0),AND(A188=入力!$B$11,A188&gt;1)),入力!$B$14="有効",IF(E188=0,ROUND(C188/MAX(1,S187-A188+1),0),ROUND(-PMT(E188/12,MAX(1,S187-A188+1),C188),0))&gt;ROUND(G187*1.25,0),NOT(FALSE)),"・上限適用",""))</f>
        <v/>
      </c>
      <c r="Q188" s="35" t="str">
        <f>IF(AND(T187="",A188&lt;=S187),入力!$B$13,"")</f>
        <v>有効</v>
      </c>
      <c r="R188" s="32" t="str">
        <f>IF(AND(AND(T187="",A188&lt;=S187),OR(AND(入力!$B$13="有効",A188&gt;1,MOD(A188-1,60)=0),AND(A188=入力!$B$11,A188&gt;1)),入力!$B$14="有効"),ROUND(G187*1.25,0),"")</f>
        <v/>
      </c>
      <c r="S188" s="36">
        <f t="shared" si="49"/>
        <v>420</v>
      </c>
      <c r="T188" s="35" t="str">
        <f t="shared" si="50"/>
        <v/>
      </c>
      <c r="U188" s="3">
        <f t="shared" si="34"/>
        <v>0</v>
      </c>
      <c r="V188" s="3">
        <f t="shared" si="35"/>
        <v>0</v>
      </c>
      <c r="W188" s="3">
        <f t="shared" si="36"/>
        <v>0</v>
      </c>
      <c r="X188" s="3">
        <f t="shared" si="37"/>
        <v>0</v>
      </c>
      <c r="Y188" s="3">
        <f>0</f>
        <v>0</v>
      </c>
      <c r="Z188" s="3">
        <f t="shared" si="38"/>
        <v>0</v>
      </c>
      <c r="AA188">
        <f>ROUND(IF(FALSE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,0)</f>
        <v>121428</v>
      </c>
    </row>
    <row r="189" spans="1:27">
      <c r="A189" s="30">
        <f>184</f>
        <v>184</v>
      </c>
      <c r="B189" s="31">
        <f>EDATE(入力!$B$6,A189-1)</f>
        <v>51806</v>
      </c>
      <c r="C189" s="32">
        <f t="shared" si="39"/>
        <v>22693579</v>
      </c>
      <c r="D189" s="32">
        <f t="shared" si="40"/>
        <v>0</v>
      </c>
      <c r="E189" s="33">
        <f>IF(AND(T188="",A189&lt;=S188),IF(A189&lt;入力!$B$11,入力!$B$10,入力!$B$12),0)</f>
        <v>2.5000000000000001E-2</v>
      </c>
      <c r="F189" s="32">
        <f t="shared" si="41"/>
        <v>47278</v>
      </c>
      <c r="G189" s="32">
        <f>ROUND(IF(NOT(AND(T188="",A189&lt;=S188)),0,IF(FALSE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),0)</f>
        <v>121428</v>
      </c>
      <c r="H189" s="32">
        <f t="shared" si="42"/>
        <v>121428</v>
      </c>
      <c r="I189" s="32">
        <f t="shared" si="43"/>
        <v>47278</v>
      </c>
      <c r="J189" s="32">
        <f t="shared" si="44"/>
        <v>0</v>
      </c>
      <c r="K189" s="32">
        <f t="shared" si="45"/>
        <v>0</v>
      </c>
      <c r="L189" s="32">
        <f t="shared" si="46"/>
        <v>74150</v>
      </c>
      <c r="M189" s="32">
        <f>0</f>
        <v>0</v>
      </c>
      <c r="N189" s="32">
        <f t="shared" si="47"/>
        <v>22619429</v>
      </c>
      <c r="O189" s="32">
        <f t="shared" si="48"/>
        <v>8078421</v>
      </c>
      <c r="P189" s="34" t="str">
        <f>IF(NOT(AND(T188="",A189&lt;=S188)),"",IF(FALSE,"繰上返済後再計算","")&amp;IF(AND(入力!$B$13="有効",A189&gt;1,MOD(A189-1,60)=0),IF(FALSE,"・","")&amp;"5年見直し","")&amp;IF(AND(A189=入力!$B$11,A189&gt;1),IF(OR(FALSE,AND(入力!$B$13="有効",A189&gt;1,MOD(A189-1,60)=0)),"・","")&amp;"金利変更","")&amp;IF(AND(OR(AND(入力!$B$13="有効",A189&gt;1,MOD(A189-1,60)=0),AND(A189=入力!$B$11,A189&gt;1)),入力!$B$14="有効",IF(E189=0,ROUND(C189/MAX(1,S188-A189+1),0),ROUND(-PMT(E189/12,MAX(1,S188-A189+1),C189),0))&gt;ROUND(G188*1.25,0),NOT(FALSE)),"・上限適用",""))</f>
        <v/>
      </c>
      <c r="Q189" s="35" t="str">
        <f>IF(AND(T188="",A189&lt;=S188),入力!$B$13,"")</f>
        <v>有効</v>
      </c>
      <c r="R189" s="32" t="str">
        <f>IF(AND(AND(T188="",A189&lt;=S188),OR(AND(入力!$B$13="有効",A189&gt;1,MOD(A189-1,60)=0),AND(A189=入力!$B$11,A189&gt;1)),入力!$B$14="有効"),ROUND(G188*1.25,0),"")</f>
        <v/>
      </c>
      <c r="S189" s="36">
        <f t="shared" si="49"/>
        <v>420</v>
      </c>
      <c r="T189" s="35" t="str">
        <f t="shared" si="50"/>
        <v/>
      </c>
      <c r="U189" s="3">
        <f t="shared" si="34"/>
        <v>0</v>
      </c>
      <c r="V189" s="3">
        <f t="shared" si="35"/>
        <v>0</v>
      </c>
      <c r="W189" s="3">
        <f t="shared" si="36"/>
        <v>0</v>
      </c>
      <c r="X189" s="3">
        <f t="shared" si="37"/>
        <v>0</v>
      </c>
      <c r="Y189" s="3">
        <f>0</f>
        <v>0</v>
      </c>
      <c r="Z189" s="3">
        <f t="shared" si="38"/>
        <v>0</v>
      </c>
      <c r="AA189">
        <f>ROUND(IF(FALSE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,0)</f>
        <v>121428</v>
      </c>
    </row>
    <row r="190" spans="1:27">
      <c r="A190" s="30">
        <f>185</f>
        <v>185</v>
      </c>
      <c r="B190" s="31">
        <f>EDATE(入力!$B$6,A190-1)</f>
        <v>51836</v>
      </c>
      <c r="C190" s="32">
        <f t="shared" si="39"/>
        <v>22619429</v>
      </c>
      <c r="D190" s="32">
        <f t="shared" si="40"/>
        <v>0</v>
      </c>
      <c r="E190" s="33">
        <f>IF(AND(T189="",A190&lt;=S189),IF(A190&lt;入力!$B$11,入力!$B$10,入力!$B$12),0)</f>
        <v>2.5000000000000001E-2</v>
      </c>
      <c r="F190" s="32">
        <f t="shared" si="41"/>
        <v>47124</v>
      </c>
      <c r="G190" s="32">
        <f>ROUND(IF(NOT(AND(T189="",A190&lt;=S189)),0,IF(FALSE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),0)</f>
        <v>121428</v>
      </c>
      <c r="H190" s="32">
        <f t="shared" si="42"/>
        <v>121428</v>
      </c>
      <c r="I190" s="32">
        <f t="shared" si="43"/>
        <v>47124</v>
      </c>
      <c r="J190" s="32">
        <f t="shared" si="44"/>
        <v>0</v>
      </c>
      <c r="K190" s="32">
        <f t="shared" si="45"/>
        <v>0</v>
      </c>
      <c r="L190" s="32">
        <f t="shared" si="46"/>
        <v>74304</v>
      </c>
      <c r="M190" s="32">
        <f>0</f>
        <v>0</v>
      </c>
      <c r="N190" s="32">
        <f t="shared" si="47"/>
        <v>22545125</v>
      </c>
      <c r="O190" s="32">
        <f t="shared" si="48"/>
        <v>8125545</v>
      </c>
      <c r="P190" s="34" t="str">
        <f>IF(NOT(AND(T189="",A190&lt;=S189)),"",IF(FALSE,"繰上返済後再計算","")&amp;IF(AND(入力!$B$13="有効",A190&gt;1,MOD(A190-1,60)=0),IF(FALSE,"・","")&amp;"5年見直し","")&amp;IF(AND(A190=入力!$B$11,A190&gt;1),IF(OR(FALSE,AND(入力!$B$13="有効",A190&gt;1,MOD(A190-1,60)=0)),"・","")&amp;"金利変更","")&amp;IF(AND(OR(AND(入力!$B$13="有効",A190&gt;1,MOD(A190-1,60)=0),AND(A190=入力!$B$11,A190&gt;1)),入力!$B$14="有効",IF(E190=0,ROUND(C190/MAX(1,S189-A190+1),0),ROUND(-PMT(E190/12,MAX(1,S189-A190+1),C190),0))&gt;ROUND(G189*1.25,0),NOT(FALSE)),"・上限適用",""))</f>
        <v/>
      </c>
      <c r="Q190" s="35" t="str">
        <f>IF(AND(T189="",A190&lt;=S189),入力!$B$13,"")</f>
        <v>有効</v>
      </c>
      <c r="R190" s="32" t="str">
        <f>IF(AND(AND(T189="",A190&lt;=S189),OR(AND(入力!$B$13="有効",A190&gt;1,MOD(A190-1,60)=0),AND(A190=入力!$B$11,A190&gt;1)),入力!$B$14="有効"),ROUND(G189*1.25,0),"")</f>
        <v/>
      </c>
      <c r="S190" s="36">
        <f t="shared" si="49"/>
        <v>420</v>
      </c>
      <c r="T190" s="35" t="str">
        <f t="shared" si="50"/>
        <v/>
      </c>
      <c r="U190" s="3">
        <f t="shared" si="34"/>
        <v>0</v>
      </c>
      <c r="V190" s="3">
        <f t="shared" si="35"/>
        <v>0</v>
      </c>
      <c r="W190" s="3">
        <f t="shared" si="36"/>
        <v>0</v>
      </c>
      <c r="X190" s="3">
        <f t="shared" si="37"/>
        <v>0</v>
      </c>
      <c r="Y190" s="3">
        <f>0</f>
        <v>0</v>
      </c>
      <c r="Z190" s="3">
        <f t="shared" si="38"/>
        <v>0</v>
      </c>
      <c r="AA190">
        <f>ROUND(IF(FALSE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,0)</f>
        <v>121428</v>
      </c>
    </row>
    <row r="191" spans="1:27">
      <c r="A191" s="30">
        <f>186</f>
        <v>186</v>
      </c>
      <c r="B191" s="31">
        <f>EDATE(入力!$B$6,A191-1)</f>
        <v>51867</v>
      </c>
      <c r="C191" s="32">
        <f t="shared" si="39"/>
        <v>22545125</v>
      </c>
      <c r="D191" s="32">
        <f t="shared" si="40"/>
        <v>0</v>
      </c>
      <c r="E191" s="33">
        <f>IF(AND(T190="",A191&lt;=S190),IF(A191&lt;入力!$B$11,入力!$B$10,入力!$B$12),0)</f>
        <v>2.5000000000000001E-2</v>
      </c>
      <c r="F191" s="32">
        <f t="shared" si="41"/>
        <v>46969</v>
      </c>
      <c r="G191" s="32">
        <f>ROUND(IF(NOT(AND(T190="",A191&lt;=S190)),0,IF(FALSE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),0)</f>
        <v>121428</v>
      </c>
      <c r="H191" s="32">
        <f t="shared" si="42"/>
        <v>121428</v>
      </c>
      <c r="I191" s="32">
        <f t="shared" si="43"/>
        <v>46969</v>
      </c>
      <c r="J191" s="32">
        <f t="shared" si="44"/>
        <v>0</v>
      </c>
      <c r="K191" s="32">
        <f t="shared" si="45"/>
        <v>0</v>
      </c>
      <c r="L191" s="32">
        <f t="shared" si="46"/>
        <v>74459</v>
      </c>
      <c r="M191" s="32">
        <f>0</f>
        <v>0</v>
      </c>
      <c r="N191" s="32">
        <f t="shared" si="47"/>
        <v>22470666</v>
      </c>
      <c r="O191" s="32">
        <f t="shared" si="48"/>
        <v>8172514</v>
      </c>
      <c r="P191" s="34" t="str">
        <f>IF(NOT(AND(T190="",A191&lt;=S190)),"",IF(FALSE,"繰上返済後再計算","")&amp;IF(AND(入力!$B$13="有効",A191&gt;1,MOD(A191-1,60)=0),IF(FALSE,"・","")&amp;"5年見直し","")&amp;IF(AND(A191=入力!$B$11,A191&gt;1),IF(OR(FALSE,AND(入力!$B$13="有効",A191&gt;1,MOD(A191-1,60)=0)),"・","")&amp;"金利変更","")&amp;IF(AND(OR(AND(入力!$B$13="有効",A191&gt;1,MOD(A191-1,60)=0),AND(A191=入力!$B$11,A191&gt;1)),入力!$B$14="有効",IF(E191=0,ROUND(C191/MAX(1,S190-A191+1),0),ROUND(-PMT(E191/12,MAX(1,S190-A191+1),C191),0))&gt;ROUND(G190*1.25,0),NOT(FALSE)),"・上限適用",""))</f>
        <v/>
      </c>
      <c r="Q191" s="35" t="str">
        <f>IF(AND(T190="",A191&lt;=S190),入力!$B$13,"")</f>
        <v>有効</v>
      </c>
      <c r="R191" s="32" t="str">
        <f>IF(AND(AND(T190="",A191&lt;=S190),OR(AND(入力!$B$13="有効",A191&gt;1,MOD(A191-1,60)=0),AND(A191=入力!$B$11,A191&gt;1)),入力!$B$14="有効"),ROUND(G190*1.25,0),"")</f>
        <v/>
      </c>
      <c r="S191" s="36">
        <f t="shared" si="49"/>
        <v>420</v>
      </c>
      <c r="T191" s="35" t="str">
        <f t="shared" si="50"/>
        <v/>
      </c>
      <c r="U191" s="3">
        <f t="shared" si="34"/>
        <v>0</v>
      </c>
      <c r="V191" s="3">
        <f t="shared" si="35"/>
        <v>0</v>
      </c>
      <c r="W191" s="3">
        <f t="shared" si="36"/>
        <v>0</v>
      </c>
      <c r="X191" s="3">
        <f t="shared" si="37"/>
        <v>0</v>
      </c>
      <c r="Y191" s="3">
        <f>0</f>
        <v>0</v>
      </c>
      <c r="Z191" s="3">
        <f t="shared" si="38"/>
        <v>0</v>
      </c>
      <c r="AA191">
        <f>ROUND(IF(FALSE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,0)</f>
        <v>121428</v>
      </c>
    </row>
    <row r="192" spans="1:27">
      <c r="A192" s="30">
        <f>187</f>
        <v>187</v>
      </c>
      <c r="B192" s="31">
        <f>EDATE(入力!$B$6,A192-1)</f>
        <v>51898</v>
      </c>
      <c r="C192" s="32">
        <f t="shared" si="39"/>
        <v>22470666</v>
      </c>
      <c r="D192" s="32">
        <f t="shared" si="40"/>
        <v>0</v>
      </c>
      <c r="E192" s="33">
        <f>IF(AND(T191="",A192&lt;=S191),IF(A192&lt;入力!$B$11,入力!$B$10,入力!$B$12),0)</f>
        <v>2.5000000000000001E-2</v>
      </c>
      <c r="F192" s="32">
        <f t="shared" si="41"/>
        <v>46814</v>
      </c>
      <c r="G192" s="32">
        <f>ROUND(IF(NOT(AND(T191="",A192&lt;=S191)),0,IF(FALSE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),0)</f>
        <v>121428</v>
      </c>
      <c r="H192" s="32">
        <f t="shared" si="42"/>
        <v>121428</v>
      </c>
      <c r="I192" s="32">
        <f t="shared" si="43"/>
        <v>46814</v>
      </c>
      <c r="J192" s="32">
        <f t="shared" si="44"/>
        <v>0</v>
      </c>
      <c r="K192" s="32">
        <f t="shared" si="45"/>
        <v>0</v>
      </c>
      <c r="L192" s="32">
        <f t="shared" si="46"/>
        <v>74614</v>
      </c>
      <c r="M192" s="32">
        <f>0</f>
        <v>0</v>
      </c>
      <c r="N192" s="32">
        <f t="shared" si="47"/>
        <v>22396052</v>
      </c>
      <c r="O192" s="32">
        <f t="shared" si="48"/>
        <v>8219328</v>
      </c>
      <c r="P192" s="34" t="str">
        <f>IF(NOT(AND(T191="",A192&lt;=S191)),"",IF(FALSE,"繰上返済後再計算","")&amp;IF(AND(入力!$B$13="有効",A192&gt;1,MOD(A192-1,60)=0),IF(FALSE,"・","")&amp;"5年見直し","")&amp;IF(AND(A192=入力!$B$11,A192&gt;1),IF(OR(FALSE,AND(入力!$B$13="有効",A192&gt;1,MOD(A192-1,60)=0)),"・","")&amp;"金利変更","")&amp;IF(AND(OR(AND(入力!$B$13="有効",A192&gt;1,MOD(A192-1,60)=0),AND(A192=入力!$B$11,A192&gt;1)),入力!$B$14="有効",IF(E192=0,ROUND(C192/MAX(1,S191-A192+1),0),ROUND(-PMT(E192/12,MAX(1,S191-A192+1),C192),0))&gt;ROUND(G191*1.25,0),NOT(FALSE)),"・上限適用",""))</f>
        <v/>
      </c>
      <c r="Q192" s="35" t="str">
        <f>IF(AND(T191="",A192&lt;=S191),入力!$B$13,"")</f>
        <v>有効</v>
      </c>
      <c r="R192" s="32" t="str">
        <f>IF(AND(AND(T191="",A192&lt;=S191),OR(AND(入力!$B$13="有効",A192&gt;1,MOD(A192-1,60)=0),AND(A192=入力!$B$11,A192&gt;1)),入力!$B$14="有効"),ROUND(G191*1.25,0),"")</f>
        <v/>
      </c>
      <c r="S192" s="36">
        <f t="shared" si="49"/>
        <v>420</v>
      </c>
      <c r="T192" s="35" t="str">
        <f t="shared" si="50"/>
        <v/>
      </c>
      <c r="U192" s="3">
        <f t="shared" si="34"/>
        <v>0</v>
      </c>
      <c r="V192" s="3">
        <f t="shared" si="35"/>
        <v>0</v>
      </c>
      <c r="W192" s="3">
        <f t="shared" si="36"/>
        <v>0</v>
      </c>
      <c r="X192" s="3">
        <f t="shared" si="37"/>
        <v>0</v>
      </c>
      <c r="Y192" s="3">
        <f>0</f>
        <v>0</v>
      </c>
      <c r="Z192" s="3">
        <f t="shared" si="38"/>
        <v>0</v>
      </c>
      <c r="AA192">
        <f>ROUND(IF(FALSE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,0)</f>
        <v>121428</v>
      </c>
    </row>
    <row r="193" spans="1:27">
      <c r="A193" s="30">
        <f>188</f>
        <v>188</v>
      </c>
      <c r="B193" s="31">
        <f>EDATE(入力!$B$6,A193-1)</f>
        <v>51926</v>
      </c>
      <c r="C193" s="32">
        <f t="shared" si="39"/>
        <v>22396052</v>
      </c>
      <c r="D193" s="32">
        <f t="shared" si="40"/>
        <v>0</v>
      </c>
      <c r="E193" s="33">
        <f>IF(AND(T192="",A193&lt;=S192),IF(A193&lt;入力!$B$11,入力!$B$10,入力!$B$12),0)</f>
        <v>2.5000000000000001E-2</v>
      </c>
      <c r="F193" s="32">
        <f t="shared" si="41"/>
        <v>46658</v>
      </c>
      <c r="G193" s="32">
        <f>ROUND(IF(NOT(AND(T192="",A193&lt;=S192)),0,IF(FALSE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),0)</f>
        <v>121428</v>
      </c>
      <c r="H193" s="32">
        <f t="shared" si="42"/>
        <v>121428</v>
      </c>
      <c r="I193" s="32">
        <f t="shared" si="43"/>
        <v>46658</v>
      </c>
      <c r="J193" s="32">
        <f t="shared" si="44"/>
        <v>0</v>
      </c>
      <c r="K193" s="32">
        <f t="shared" si="45"/>
        <v>0</v>
      </c>
      <c r="L193" s="32">
        <f t="shared" si="46"/>
        <v>74770</v>
      </c>
      <c r="M193" s="32">
        <f>0</f>
        <v>0</v>
      </c>
      <c r="N193" s="32">
        <f t="shared" si="47"/>
        <v>22321282</v>
      </c>
      <c r="O193" s="32">
        <f t="shared" si="48"/>
        <v>8265986</v>
      </c>
      <c r="P193" s="34" t="str">
        <f>IF(NOT(AND(T192="",A193&lt;=S192)),"",IF(FALSE,"繰上返済後再計算","")&amp;IF(AND(入力!$B$13="有効",A193&gt;1,MOD(A193-1,60)=0),IF(FALSE,"・","")&amp;"5年見直し","")&amp;IF(AND(A193=入力!$B$11,A193&gt;1),IF(OR(FALSE,AND(入力!$B$13="有効",A193&gt;1,MOD(A193-1,60)=0)),"・","")&amp;"金利変更","")&amp;IF(AND(OR(AND(入力!$B$13="有効",A193&gt;1,MOD(A193-1,60)=0),AND(A193=入力!$B$11,A193&gt;1)),入力!$B$14="有効",IF(E193=0,ROUND(C193/MAX(1,S192-A193+1),0),ROUND(-PMT(E193/12,MAX(1,S192-A193+1),C193),0))&gt;ROUND(G192*1.25,0),NOT(FALSE)),"・上限適用",""))</f>
        <v/>
      </c>
      <c r="Q193" s="35" t="str">
        <f>IF(AND(T192="",A193&lt;=S192),入力!$B$13,"")</f>
        <v>有効</v>
      </c>
      <c r="R193" s="32" t="str">
        <f>IF(AND(AND(T192="",A193&lt;=S192),OR(AND(入力!$B$13="有効",A193&gt;1,MOD(A193-1,60)=0),AND(A193=入力!$B$11,A193&gt;1)),入力!$B$14="有効"),ROUND(G192*1.25,0),"")</f>
        <v/>
      </c>
      <c r="S193" s="36">
        <f t="shared" si="49"/>
        <v>420</v>
      </c>
      <c r="T193" s="35" t="str">
        <f t="shared" si="50"/>
        <v/>
      </c>
      <c r="U193" s="3">
        <f t="shared" si="34"/>
        <v>0</v>
      </c>
      <c r="V193" s="3">
        <f t="shared" si="35"/>
        <v>0</v>
      </c>
      <c r="W193" s="3">
        <f t="shared" si="36"/>
        <v>0</v>
      </c>
      <c r="X193" s="3">
        <f t="shared" si="37"/>
        <v>0</v>
      </c>
      <c r="Y193" s="3">
        <f>0</f>
        <v>0</v>
      </c>
      <c r="Z193" s="3">
        <f t="shared" si="38"/>
        <v>0</v>
      </c>
      <c r="AA193">
        <f>ROUND(IF(FALSE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,0)</f>
        <v>121428</v>
      </c>
    </row>
    <row r="194" spans="1:27">
      <c r="A194" s="30">
        <f>189</f>
        <v>189</v>
      </c>
      <c r="B194" s="31">
        <f>EDATE(入力!$B$6,A194-1)</f>
        <v>51957</v>
      </c>
      <c r="C194" s="32">
        <f t="shared" si="39"/>
        <v>22321282</v>
      </c>
      <c r="D194" s="32">
        <f t="shared" si="40"/>
        <v>0</v>
      </c>
      <c r="E194" s="33">
        <f>IF(AND(T193="",A194&lt;=S193),IF(A194&lt;入力!$B$11,入力!$B$10,入力!$B$12),0)</f>
        <v>2.5000000000000001E-2</v>
      </c>
      <c r="F194" s="32">
        <f t="shared" si="41"/>
        <v>46503</v>
      </c>
      <c r="G194" s="32">
        <f>ROUND(IF(NOT(AND(T193="",A194&lt;=S193)),0,IF(FALSE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),0)</f>
        <v>121428</v>
      </c>
      <c r="H194" s="32">
        <f t="shared" si="42"/>
        <v>121428</v>
      </c>
      <c r="I194" s="32">
        <f t="shared" si="43"/>
        <v>46503</v>
      </c>
      <c r="J194" s="32">
        <f t="shared" si="44"/>
        <v>0</v>
      </c>
      <c r="K194" s="32">
        <f t="shared" si="45"/>
        <v>0</v>
      </c>
      <c r="L194" s="32">
        <f t="shared" si="46"/>
        <v>74925</v>
      </c>
      <c r="M194" s="32">
        <f>0</f>
        <v>0</v>
      </c>
      <c r="N194" s="32">
        <f t="shared" si="47"/>
        <v>22246357</v>
      </c>
      <c r="O194" s="32">
        <f t="shared" si="48"/>
        <v>8312489</v>
      </c>
      <c r="P194" s="34" t="str">
        <f>IF(NOT(AND(T193="",A194&lt;=S193)),"",IF(FALSE,"繰上返済後再計算","")&amp;IF(AND(入力!$B$13="有効",A194&gt;1,MOD(A194-1,60)=0),IF(FALSE,"・","")&amp;"5年見直し","")&amp;IF(AND(A194=入力!$B$11,A194&gt;1),IF(OR(FALSE,AND(入力!$B$13="有効",A194&gt;1,MOD(A194-1,60)=0)),"・","")&amp;"金利変更","")&amp;IF(AND(OR(AND(入力!$B$13="有効",A194&gt;1,MOD(A194-1,60)=0),AND(A194=入力!$B$11,A194&gt;1)),入力!$B$14="有効",IF(E194=0,ROUND(C194/MAX(1,S193-A194+1),0),ROUND(-PMT(E194/12,MAX(1,S193-A194+1),C194),0))&gt;ROUND(G193*1.25,0),NOT(FALSE)),"・上限適用",""))</f>
        <v/>
      </c>
      <c r="Q194" s="35" t="str">
        <f>IF(AND(T193="",A194&lt;=S193),入力!$B$13,"")</f>
        <v>有効</v>
      </c>
      <c r="R194" s="32" t="str">
        <f>IF(AND(AND(T193="",A194&lt;=S193),OR(AND(入力!$B$13="有効",A194&gt;1,MOD(A194-1,60)=0),AND(A194=入力!$B$11,A194&gt;1)),入力!$B$14="有効"),ROUND(G193*1.25,0),"")</f>
        <v/>
      </c>
      <c r="S194" s="36">
        <f t="shared" si="49"/>
        <v>420</v>
      </c>
      <c r="T194" s="35" t="str">
        <f t="shared" si="50"/>
        <v/>
      </c>
      <c r="U194" s="3">
        <f t="shared" si="34"/>
        <v>0</v>
      </c>
      <c r="V194" s="3">
        <f t="shared" si="35"/>
        <v>0</v>
      </c>
      <c r="W194" s="3">
        <f t="shared" si="36"/>
        <v>0</v>
      </c>
      <c r="X194" s="3">
        <f t="shared" si="37"/>
        <v>0</v>
      </c>
      <c r="Y194" s="3">
        <f>0</f>
        <v>0</v>
      </c>
      <c r="Z194" s="3">
        <f t="shared" si="38"/>
        <v>0</v>
      </c>
      <c r="AA194">
        <f>ROUND(IF(FALSE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,0)</f>
        <v>121428</v>
      </c>
    </row>
    <row r="195" spans="1:27">
      <c r="A195" s="30">
        <f>190</f>
        <v>190</v>
      </c>
      <c r="B195" s="31">
        <f>EDATE(入力!$B$6,A195-1)</f>
        <v>51987</v>
      </c>
      <c r="C195" s="32">
        <f t="shared" si="39"/>
        <v>22246357</v>
      </c>
      <c r="D195" s="32">
        <f t="shared" si="40"/>
        <v>0</v>
      </c>
      <c r="E195" s="33">
        <f>IF(AND(T194="",A195&lt;=S194),IF(A195&lt;入力!$B$11,入力!$B$10,入力!$B$12),0)</f>
        <v>2.5000000000000001E-2</v>
      </c>
      <c r="F195" s="32">
        <f t="shared" si="41"/>
        <v>46347</v>
      </c>
      <c r="G195" s="32">
        <f>ROUND(IF(NOT(AND(T194="",A195&lt;=S194)),0,IF(FALSE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),0)</f>
        <v>121428</v>
      </c>
      <c r="H195" s="32">
        <f t="shared" si="42"/>
        <v>121428</v>
      </c>
      <c r="I195" s="32">
        <f t="shared" si="43"/>
        <v>46347</v>
      </c>
      <c r="J195" s="32">
        <f t="shared" si="44"/>
        <v>0</v>
      </c>
      <c r="K195" s="32">
        <f t="shared" si="45"/>
        <v>0</v>
      </c>
      <c r="L195" s="32">
        <f t="shared" si="46"/>
        <v>75081</v>
      </c>
      <c r="M195" s="32">
        <f>0</f>
        <v>0</v>
      </c>
      <c r="N195" s="32">
        <f t="shared" si="47"/>
        <v>22171276</v>
      </c>
      <c r="O195" s="32">
        <f t="shared" si="48"/>
        <v>8358836</v>
      </c>
      <c r="P195" s="34" t="str">
        <f>IF(NOT(AND(T194="",A195&lt;=S194)),"",IF(FALSE,"繰上返済後再計算","")&amp;IF(AND(入力!$B$13="有効",A195&gt;1,MOD(A195-1,60)=0),IF(FALSE,"・","")&amp;"5年見直し","")&amp;IF(AND(A195=入力!$B$11,A195&gt;1),IF(OR(FALSE,AND(入力!$B$13="有効",A195&gt;1,MOD(A195-1,60)=0)),"・","")&amp;"金利変更","")&amp;IF(AND(OR(AND(入力!$B$13="有効",A195&gt;1,MOD(A195-1,60)=0),AND(A195=入力!$B$11,A195&gt;1)),入力!$B$14="有効",IF(E195=0,ROUND(C195/MAX(1,S194-A195+1),0),ROUND(-PMT(E195/12,MAX(1,S194-A195+1),C195),0))&gt;ROUND(G194*1.25,0),NOT(FALSE)),"・上限適用",""))</f>
        <v/>
      </c>
      <c r="Q195" s="35" t="str">
        <f>IF(AND(T194="",A195&lt;=S194),入力!$B$13,"")</f>
        <v>有効</v>
      </c>
      <c r="R195" s="32" t="str">
        <f>IF(AND(AND(T194="",A195&lt;=S194),OR(AND(入力!$B$13="有効",A195&gt;1,MOD(A195-1,60)=0),AND(A195=入力!$B$11,A195&gt;1)),入力!$B$14="有効"),ROUND(G194*1.25,0),"")</f>
        <v/>
      </c>
      <c r="S195" s="36">
        <f t="shared" si="49"/>
        <v>420</v>
      </c>
      <c r="T195" s="35" t="str">
        <f t="shared" si="50"/>
        <v/>
      </c>
      <c r="U195" s="3">
        <f t="shared" si="34"/>
        <v>0</v>
      </c>
      <c r="V195" s="3">
        <f t="shared" si="35"/>
        <v>0</v>
      </c>
      <c r="W195" s="3">
        <f t="shared" si="36"/>
        <v>0</v>
      </c>
      <c r="X195" s="3">
        <f t="shared" si="37"/>
        <v>0</v>
      </c>
      <c r="Y195" s="3">
        <f>0</f>
        <v>0</v>
      </c>
      <c r="Z195" s="3">
        <f t="shared" si="38"/>
        <v>0</v>
      </c>
      <c r="AA195">
        <f>ROUND(IF(FALSE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,0)</f>
        <v>121428</v>
      </c>
    </row>
    <row r="196" spans="1:27">
      <c r="A196" s="30">
        <f>191</f>
        <v>191</v>
      </c>
      <c r="B196" s="31">
        <f>EDATE(入力!$B$6,A196-1)</f>
        <v>52018</v>
      </c>
      <c r="C196" s="32">
        <f t="shared" si="39"/>
        <v>22171276</v>
      </c>
      <c r="D196" s="32">
        <f t="shared" si="40"/>
        <v>0</v>
      </c>
      <c r="E196" s="33">
        <f>IF(AND(T195="",A196&lt;=S195),IF(A196&lt;入力!$B$11,入力!$B$10,入力!$B$12),0)</f>
        <v>2.5000000000000001E-2</v>
      </c>
      <c r="F196" s="32">
        <f t="shared" si="41"/>
        <v>46190</v>
      </c>
      <c r="G196" s="32">
        <f>ROUND(IF(NOT(AND(T195="",A196&lt;=S195)),0,IF(FALSE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),0)</f>
        <v>121428</v>
      </c>
      <c r="H196" s="32">
        <f t="shared" si="42"/>
        <v>121428</v>
      </c>
      <c r="I196" s="32">
        <f t="shared" si="43"/>
        <v>46190</v>
      </c>
      <c r="J196" s="32">
        <f t="shared" si="44"/>
        <v>0</v>
      </c>
      <c r="K196" s="32">
        <f t="shared" si="45"/>
        <v>0</v>
      </c>
      <c r="L196" s="32">
        <f t="shared" si="46"/>
        <v>75238</v>
      </c>
      <c r="M196" s="32">
        <f>0</f>
        <v>0</v>
      </c>
      <c r="N196" s="32">
        <f t="shared" si="47"/>
        <v>22096038</v>
      </c>
      <c r="O196" s="32">
        <f t="shared" si="48"/>
        <v>8405026</v>
      </c>
      <c r="P196" s="34" t="str">
        <f>IF(NOT(AND(T195="",A196&lt;=S195)),"",IF(FALSE,"繰上返済後再計算","")&amp;IF(AND(入力!$B$13="有効",A196&gt;1,MOD(A196-1,60)=0),IF(FALSE,"・","")&amp;"5年見直し","")&amp;IF(AND(A196=入力!$B$11,A196&gt;1),IF(OR(FALSE,AND(入力!$B$13="有効",A196&gt;1,MOD(A196-1,60)=0)),"・","")&amp;"金利変更","")&amp;IF(AND(OR(AND(入力!$B$13="有効",A196&gt;1,MOD(A196-1,60)=0),AND(A196=入力!$B$11,A196&gt;1)),入力!$B$14="有効",IF(E196=0,ROUND(C196/MAX(1,S195-A196+1),0),ROUND(-PMT(E196/12,MAX(1,S195-A196+1),C196),0))&gt;ROUND(G195*1.25,0),NOT(FALSE)),"・上限適用",""))</f>
        <v/>
      </c>
      <c r="Q196" s="35" t="str">
        <f>IF(AND(T195="",A196&lt;=S195),入力!$B$13,"")</f>
        <v>有効</v>
      </c>
      <c r="R196" s="32" t="str">
        <f>IF(AND(AND(T195="",A196&lt;=S195),OR(AND(入力!$B$13="有効",A196&gt;1,MOD(A196-1,60)=0),AND(A196=入力!$B$11,A196&gt;1)),入力!$B$14="有効"),ROUND(G195*1.25,0),"")</f>
        <v/>
      </c>
      <c r="S196" s="36">
        <f t="shared" si="49"/>
        <v>420</v>
      </c>
      <c r="T196" s="35" t="str">
        <f t="shared" si="50"/>
        <v/>
      </c>
      <c r="U196" s="3">
        <f t="shared" si="34"/>
        <v>0</v>
      </c>
      <c r="V196" s="3">
        <f t="shared" si="35"/>
        <v>0</v>
      </c>
      <c r="W196" s="3">
        <f t="shared" si="36"/>
        <v>0</v>
      </c>
      <c r="X196" s="3">
        <f t="shared" si="37"/>
        <v>0</v>
      </c>
      <c r="Y196" s="3">
        <f>0</f>
        <v>0</v>
      </c>
      <c r="Z196" s="3">
        <f t="shared" si="38"/>
        <v>0</v>
      </c>
      <c r="AA196">
        <f>ROUND(IF(FALSE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,0)</f>
        <v>121428</v>
      </c>
    </row>
    <row r="197" spans="1:27">
      <c r="A197" s="30">
        <f>192</f>
        <v>192</v>
      </c>
      <c r="B197" s="31">
        <f>EDATE(入力!$B$6,A197-1)</f>
        <v>52048</v>
      </c>
      <c r="C197" s="32">
        <f t="shared" si="39"/>
        <v>22096038</v>
      </c>
      <c r="D197" s="32">
        <f t="shared" si="40"/>
        <v>0</v>
      </c>
      <c r="E197" s="33">
        <f>IF(AND(T196="",A197&lt;=S196),IF(A197&lt;入力!$B$11,入力!$B$10,入力!$B$12),0)</f>
        <v>2.5000000000000001E-2</v>
      </c>
      <c r="F197" s="32">
        <f t="shared" si="41"/>
        <v>46033</v>
      </c>
      <c r="G197" s="32">
        <f>ROUND(IF(NOT(AND(T196="",A197&lt;=S196)),0,IF(FALSE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),0)</f>
        <v>121428</v>
      </c>
      <c r="H197" s="32">
        <f t="shared" si="42"/>
        <v>121428</v>
      </c>
      <c r="I197" s="32">
        <f t="shared" si="43"/>
        <v>46033</v>
      </c>
      <c r="J197" s="32">
        <f t="shared" si="44"/>
        <v>0</v>
      </c>
      <c r="K197" s="32">
        <f t="shared" si="45"/>
        <v>0</v>
      </c>
      <c r="L197" s="32">
        <f t="shared" si="46"/>
        <v>75395</v>
      </c>
      <c r="M197" s="32">
        <f>0</f>
        <v>0</v>
      </c>
      <c r="N197" s="32">
        <f t="shared" si="47"/>
        <v>22020643</v>
      </c>
      <c r="O197" s="32">
        <f t="shared" si="48"/>
        <v>8451059</v>
      </c>
      <c r="P197" s="34" t="str">
        <f>IF(NOT(AND(T196="",A197&lt;=S196)),"",IF(FALSE,"繰上返済後再計算","")&amp;IF(AND(入力!$B$13="有効",A197&gt;1,MOD(A197-1,60)=0),IF(FALSE,"・","")&amp;"5年見直し","")&amp;IF(AND(A197=入力!$B$11,A197&gt;1),IF(OR(FALSE,AND(入力!$B$13="有効",A197&gt;1,MOD(A197-1,60)=0)),"・","")&amp;"金利変更","")&amp;IF(AND(OR(AND(入力!$B$13="有効",A197&gt;1,MOD(A197-1,60)=0),AND(A197=入力!$B$11,A197&gt;1)),入力!$B$14="有効",IF(E197=0,ROUND(C197/MAX(1,S196-A197+1),0),ROUND(-PMT(E197/12,MAX(1,S196-A197+1),C197),0))&gt;ROUND(G196*1.25,0),NOT(FALSE)),"・上限適用",""))</f>
        <v/>
      </c>
      <c r="Q197" s="35" t="str">
        <f>IF(AND(T196="",A197&lt;=S196),入力!$B$13,"")</f>
        <v>有効</v>
      </c>
      <c r="R197" s="32" t="str">
        <f>IF(AND(AND(T196="",A197&lt;=S196),OR(AND(入力!$B$13="有効",A197&gt;1,MOD(A197-1,60)=0),AND(A197=入力!$B$11,A197&gt;1)),入力!$B$14="有効"),ROUND(G196*1.25,0),"")</f>
        <v/>
      </c>
      <c r="S197" s="36">
        <f t="shared" si="49"/>
        <v>420</v>
      </c>
      <c r="T197" s="35" t="str">
        <f t="shared" si="50"/>
        <v/>
      </c>
      <c r="U197" s="3">
        <f t="shared" si="34"/>
        <v>0</v>
      </c>
      <c r="V197" s="3">
        <f t="shared" si="35"/>
        <v>0</v>
      </c>
      <c r="W197" s="3">
        <f t="shared" si="36"/>
        <v>0</v>
      </c>
      <c r="X197" s="3">
        <f t="shared" si="37"/>
        <v>0</v>
      </c>
      <c r="Y197" s="3">
        <f>0</f>
        <v>0</v>
      </c>
      <c r="Z197" s="3">
        <f t="shared" si="38"/>
        <v>0</v>
      </c>
      <c r="AA197">
        <f>ROUND(IF(FALSE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,0)</f>
        <v>121428</v>
      </c>
    </row>
    <row r="198" spans="1:27">
      <c r="A198" s="30">
        <f>193</f>
        <v>193</v>
      </c>
      <c r="B198" s="31">
        <f>EDATE(入力!$B$6,A198-1)</f>
        <v>52079</v>
      </c>
      <c r="C198" s="32">
        <f t="shared" si="39"/>
        <v>22020643</v>
      </c>
      <c r="D198" s="32">
        <f t="shared" si="40"/>
        <v>0</v>
      </c>
      <c r="E198" s="33">
        <f>IF(AND(T197="",A198&lt;=S197),IF(A198&lt;入力!$B$11,入力!$B$10,入力!$B$12),0)</f>
        <v>2.5000000000000001E-2</v>
      </c>
      <c r="F198" s="32">
        <f t="shared" si="41"/>
        <v>45876</v>
      </c>
      <c r="G198" s="32">
        <f>ROUND(IF(NOT(AND(T197="",A198&lt;=S197)),0,IF(FALSE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),0)</f>
        <v>121428</v>
      </c>
      <c r="H198" s="32">
        <f t="shared" si="42"/>
        <v>121428</v>
      </c>
      <c r="I198" s="32">
        <f t="shared" si="43"/>
        <v>45876</v>
      </c>
      <c r="J198" s="32">
        <f t="shared" si="44"/>
        <v>0</v>
      </c>
      <c r="K198" s="32">
        <f t="shared" si="45"/>
        <v>0</v>
      </c>
      <c r="L198" s="32">
        <f t="shared" si="46"/>
        <v>75552</v>
      </c>
      <c r="M198" s="32">
        <f>0</f>
        <v>0</v>
      </c>
      <c r="N198" s="32">
        <f t="shared" si="47"/>
        <v>21945091</v>
      </c>
      <c r="O198" s="32">
        <f t="shared" si="48"/>
        <v>8496935</v>
      </c>
      <c r="P198" s="34" t="str">
        <f>IF(NOT(AND(T197="",A198&lt;=S197)),"",IF(FALSE,"繰上返済後再計算","")&amp;IF(AND(入力!$B$13="有効",A198&gt;1,MOD(A198-1,60)=0),IF(FALSE,"・","")&amp;"5年見直し","")&amp;IF(AND(A198=入力!$B$11,A198&gt;1),IF(OR(FALSE,AND(入力!$B$13="有効",A198&gt;1,MOD(A198-1,60)=0)),"・","")&amp;"金利変更","")&amp;IF(AND(OR(AND(入力!$B$13="有効",A198&gt;1,MOD(A198-1,60)=0),AND(A198=入力!$B$11,A198&gt;1)),入力!$B$14="有効",IF(E198=0,ROUND(C198/MAX(1,S197-A198+1),0),ROUND(-PMT(E198/12,MAX(1,S197-A198+1),C198),0))&gt;ROUND(G197*1.25,0),NOT(FALSE)),"・上限適用",""))</f>
        <v/>
      </c>
      <c r="Q198" s="35" t="str">
        <f>IF(AND(T197="",A198&lt;=S197),入力!$B$13,"")</f>
        <v>有効</v>
      </c>
      <c r="R198" s="32" t="str">
        <f>IF(AND(AND(T197="",A198&lt;=S197),OR(AND(入力!$B$13="有効",A198&gt;1,MOD(A198-1,60)=0),AND(A198=入力!$B$11,A198&gt;1)),入力!$B$14="有効"),ROUND(G197*1.25,0),"")</f>
        <v/>
      </c>
      <c r="S198" s="36">
        <f t="shared" si="49"/>
        <v>420</v>
      </c>
      <c r="T198" s="35" t="str">
        <f t="shared" si="50"/>
        <v/>
      </c>
      <c r="U198" s="3">
        <f t="shared" ref="U198:U261" si="51">ABS(I198-MIN(H198,D198+F198))</f>
        <v>0</v>
      </c>
      <c r="V198" s="3">
        <f t="shared" ref="V198:V261" si="52">ABS(L198-(H198-I198))</f>
        <v>0</v>
      </c>
      <c r="W198" s="3">
        <f t="shared" ref="W198:W261" si="53">ABS(K198-(D198+J198))</f>
        <v>0</v>
      </c>
      <c r="X198" s="3">
        <f t="shared" ref="X198:X261" si="54">ABS(F198-ROUND(F198,0))+ABS(G198-ROUND(G198,0))+ABS(H198-ROUND(H198,0))+ABS(I198-ROUND(I198,0))+ABS(J198-ROUND(J198,0))+ABS(K198-ROUND(K198,0))+ABS(L198-ROUND(L198,0))+ABS(M198-ROUND(M198,0))+ABS(N198-ROUND(N198,0))+ABS(O198-ROUND(O198,0))</f>
        <v>0</v>
      </c>
      <c r="Y198" s="3">
        <f>0</f>
        <v>0</v>
      </c>
      <c r="Z198" s="3">
        <f t="shared" ref="Z198:Z261" si="55">SUM(--ISERROR(A198),--ISERROR(B198),--ISERROR(C198),--ISERROR(D198),--ISERROR(E198),--ISERROR(F198),--ISERROR(G198),--ISERROR(H198),--ISERROR(I198),--ISERROR(J198),--ISERROR(K198),--ISERROR(L198),--ISERROR(M198),--ISERROR(N198),--ISERROR(O198),--ISERROR(P198),--ISERROR(Q198),--ISERROR(R198),--ISERROR(S198),--ISERROR(T198))</f>
        <v>0</v>
      </c>
      <c r="AA198">
        <f>ROUND(IF(FALSE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,0)</f>
        <v>121428</v>
      </c>
    </row>
    <row r="199" spans="1:27">
      <c r="A199" s="30">
        <f>194</f>
        <v>194</v>
      </c>
      <c r="B199" s="31">
        <f>EDATE(入力!$B$6,A199-1)</f>
        <v>52110</v>
      </c>
      <c r="C199" s="32">
        <f t="shared" ref="C199:C262" si="56">IF(AND(T198="",A199&lt;=S198),N198,0)</f>
        <v>21945091</v>
      </c>
      <c r="D199" s="32">
        <f t="shared" ref="D199:D262" si="57">IF(AND(T198="",A199&lt;=S198),K198,0)</f>
        <v>0</v>
      </c>
      <c r="E199" s="33">
        <f>IF(AND(T198="",A199&lt;=S198),IF(A199&lt;入力!$B$11,入力!$B$10,入力!$B$12),0)</f>
        <v>2.5000000000000001E-2</v>
      </c>
      <c r="F199" s="32">
        <f t="shared" ref="F199:F262" si="58">IF(AND(T198="",A199&lt;=S198),ROUND(C199*E199/12,0),0)</f>
        <v>45719</v>
      </c>
      <c r="G199" s="32">
        <f>ROUND(IF(NOT(AND(T198="",A199&lt;=S198)),0,IF(FALSE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),0)</f>
        <v>121428</v>
      </c>
      <c r="H199" s="32">
        <f t="shared" ref="H199:H262" si="59">IF(AND(T198="",A199&lt;=S198),ROUND(MIN(G199,C199+D199+F199),0),0)</f>
        <v>121428</v>
      </c>
      <c r="I199" s="32">
        <f t="shared" ref="I199:I262" si="60">IF(AND(T198="",A199&lt;=S198),ROUND(MIN(H199,D199+F199),0),0)</f>
        <v>45719</v>
      </c>
      <c r="J199" s="32">
        <f t="shared" ref="J199:J262" si="61">IF(AND(T198="",A199&lt;=S198),ROUND(F199-I199,0),0)</f>
        <v>0</v>
      </c>
      <c r="K199" s="32">
        <f t="shared" ref="K199:K262" si="62">IF(AND(T198="",A199&lt;=S198),ROUND(D199+J199,0),0)</f>
        <v>0</v>
      </c>
      <c r="L199" s="32">
        <f t="shared" ref="L199:L262" si="63">IF(AND(T198="",A199&lt;=S198),ROUND(H199-I199,0),0)</f>
        <v>75709</v>
      </c>
      <c r="M199" s="32">
        <f>0</f>
        <v>0</v>
      </c>
      <c r="N199" s="32">
        <f t="shared" ref="N199:N262" si="64">IF(AND(T198="",A199&lt;=S198),ROUND(MAX(0,C199-L199-M199),0),0)</f>
        <v>21869382</v>
      </c>
      <c r="O199" s="32">
        <f t="shared" ref="O199:O262" si="65">IF(AND(T198="",A199&lt;=S198),ROUND(O198+F199,0),O198)</f>
        <v>8542654</v>
      </c>
      <c r="P199" s="34" t="str">
        <f>IF(NOT(AND(T198="",A199&lt;=S198)),"",IF(FALSE,"繰上返済後再計算","")&amp;IF(AND(入力!$B$13="有効",A199&gt;1,MOD(A199-1,60)=0),IF(FALSE,"・","")&amp;"5年見直し","")&amp;IF(AND(A199=入力!$B$11,A199&gt;1),IF(OR(FALSE,AND(入力!$B$13="有効",A199&gt;1,MOD(A199-1,60)=0)),"・","")&amp;"金利変更","")&amp;IF(AND(OR(AND(入力!$B$13="有効",A199&gt;1,MOD(A199-1,60)=0),AND(A199=入力!$B$11,A199&gt;1)),入力!$B$14="有効",IF(E199=0,ROUND(C199/MAX(1,S198-A199+1),0),ROUND(-PMT(E199/12,MAX(1,S198-A199+1),C199),0))&gt;ROUND(G198*1.25,0),NOT(FALSE)),"・上限適用",""))</f>
        <v/>
      </c>
      <c r="Q199" s="35" t="str">
        <f>IF(AND(T198="",A199&lt;=S198),入力!$B$13,"")</f>
        <v>有効</v>
      </c>
      <c r="R199" s="32" t="str">
        <f>IF(AND(AND(T198="",A199&lt;=S198),OR(AND(入力!$B$13="有効",A199&gt;1,MOD(A199-1,60)=0),AND(A199=入力!$B$11,A199&gt;1)),入力!$B$14="有効"),ROUND(G198*1.25,0),"")</f>
        <v/>
      </c>
      <c r="S199" s="36">
        <f t="shared" ref="S199:S262" si="66">S198</f>
        <v>420</v>
      </c>
      <c r="T199" s="35" t="str">
        <f t="shared" ref="T199:T262" si="67">IF(NOT(AND(T198="",A199&lt;=S198)),"",IF(AND(N199=0,K199=0),"完済",IF(A199=S199,"最終回清算","")))</f>
        <v/>
      </c>
      <c r="U199" s="3">
        <f t="shared" si="51"/>
        <v>0</v>
      </c>
      <c r="V199" s="3">
        <f t="shared" si="52"/>
        <v>0</v>
      </c>
      <c r="W199" s="3">
        <f t="shared" si="53"/>
        <v>0</v>
      </c>
      <c r="X199" s="3">
        <f t="shared" si="54"/>
        <v>0</v>
      </c>
      <c r="Y199" s="3">
        <f>0</f>
        <v>0</v>
      </c>
      <c r="Z199" s="3">
        <f t="shared" si="55"/>
        <v>0</v>
      </c>
      <c r="AA199">
        <f>ROUND(IF(FALSE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,0)</f>
        <v>121428</v>
      </c>
    </row>
    <row r="200" spans="1:27">
      <c r="A200" s="30">
        <f>195</f>
        <v>195</v>
      </c>
      <c r="B200" s="31">
        <f>EDATE(入力!$B$6,A200-1)</f>
        <v>52140</v>
      </c>
      <c r="C200" s="32">
        <f t="shared" si="56"/>
        <v>21869382</v>
      </c>
      <c r="D200" s="32">
        <f t="shared" si="57"/>
        <v>0</v>
      </c>
      <c r="E200" s="33">
        <f>IF(AND(T199="",A200&lt;=S199),IF(A200&lt;入力!$B$11,入力!$B$10,入力!$B$12),0)</f>
        <v>2.5000000000000001E-2</v>
      </c>
      <c r="F200" s="32">
        <f t="shared" si="58"/>
        <v>45561</v>
      </c>
      <c r="G200" s="32">
        <f>ROUND(IF(NOT(AND(T199="",A200&lt;=S199)),0,IF(FALSE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),0)</f>
        <v>121428</v>
      </c>
      <c r="H200" s="32">
        <f t="shared" si="59"/>
        <v>121428</v>
      </c>
      <c r="I200" s="32">
        <f t="shared" si="60"/>
        <v>45561</v>
      </c>
      <c r="J200" s="32">
        <f t="shared" si="61"/>
        <v>0</v>
      </c>
      <c r="K200" s="32">
        <f t="shared" si="62"/>
        <v>0</v>
      </c>
      <c r="L200" s="32">
        <f t="shared" si="63"/>
        <v>75867</v>
      </c>
      <c r="M200" s="32">
        <f>0</f>
        <v>0</v>
      </c>
      <c r="N200" s="32">
        <f t="shared" si="64"/>
        <v>21793515</v>
      </c>
      <c r="O200" s="32">
        <f t="shared" si="65"/>
        <v>8588215</v>
      </c>
      <c r="P200" s="34" t="str">
        <f>IF(NOT(AND(T199="",A200&lt;=S199)),"",IF(FALSE,"繰上返済後再計算","")&amp;IF(AND(入力!$B$13="有効",A200&gt;1,MOD(A200-1,60)=0),IF(FALSE,"・","")&amp;"5年見直し","")&amp;IF(AND(A200=入力!$B$11,A200&gt;1),IF(OR(FALSE,AND(入力!$B$13="有効",A200&gt;1,MOD(A200-1,60)=0)),"・","")&amp;"金利変更","")&amp;IF(AND(OR(AND(入力!$B$13="有効",A200&gt;1,MOD(A200-1,60)=0),AND(A200=入力!$B$11,A200&gt;1)),入力!$B$14="有効",IF(E200=0,ROUND(C200/MAX(1,S199-A200+1),0),ROUND(-PMT(E200/12,MAX(1,S199-A200+1),C200),0))&gt;ROUND(G199*1.25,0),NOT(FALSE)),"・上限適用",""))</f>
        <v/>
      </c>
      <c r="Q200" s="35" t="str">
        <f>IF(AND(T199="",A200&lt;=S199),入力!$B$13,"")</f>
        <v>有効</v>
      </c>
      <c r="R200" s="32" t="str">
        <f>IF(AND(AND(T199="",A200&lt;=S199),OR(AND(入力!$B$13="有効",A200&gt;1,MOD(A200-1,60)=0),AND(A200=入力!$B$11,A200&gt;1)),入力!$B$14="有効"),ROUND(G199*1.25,0),"")</f>
        <v/>
      </c>
      <c r="S200" s="36">
        <f t="shared" si="66"/>
        <v>420</v>
      </c>
      <c r="T200" s="35" t="str">
        <f t="shared" si="67"/>
        <v/>
      </c>
      <c r="U200" s="3">
        <f t="shared" si="51"/>
        <v>0</v>
      </c>
      <c r="V200" s="3">
        <f t="shared" si="52"/>
        <v>0</v>
      </c>
      <c r="W200" s="3">
        <f t="shared" si="53"/>
        <v>0</v>
      </c>
      <c r="X200" s="3">
        <f t="shared" si="54"/>
        <v>0</v>
      </c>
      <c r="Y200" s="3">
        <f>0</f>
        <v>0</v>
      </c>
      <c r="Z200" s="3">
        <f t="shared" si="55"/>
        <v>0</v>
      </c>
      <c r="AA200">
        <f>ROUND(IF(FALSE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,0)</f>
        <v>121428</v>
      </c>
    </row>
    <row r="201" spans="1:27">
      <c r="A201" s="30">
        <f>196</f>
        <v>196</v>
      </c>
      <c r="B201" s="31">
        <f>EDATE(入力!$B$6,A201-1)</f>
        <v>52171</v>
      </c>
      <c r="C201" s="32">
        <f t="shared" si="56"/>
        <v>21793515</v>
      </c>
      <c r="D201" s="32">
        <f t="shared" si="57"/>
        <v>0</v>
      </c>
      <c r="E201" s="33">
        <f>IF(AND(T200="",A201&lt;=S200),IF(A201&lt;入力!$B$11,入力!$B$10,入力!$B$12),0)</f>
        <v>2.5000000000000001E-2</v>
      </c>
      <c r="F201" s="32">
        <f t="shared" si="58"/>
        <v>45403</v>
      </c>
      <c r="G201" s="32">
        <f>ROUND(IF(NOT(AND(T200="",A201&lt;=S200)),0,IF(FALSE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),0)</f>
        <v>121428</v>
      </c>
      <c r="H201" s="32">
        <f t="shared" si="59"/>
        <v>121428</v>
      </c>
      <c r="I201" s="32">
        <f t="shared" si="60"/>
        <v>45403</v>
      </c>
      <c r="J201" s="32">
        <f t="shared" si="61"/>
        <v>0</v>
      </c>
      <c r="K201" s="32">
        <f t="shared" si="62"/>
        <v>0</v>
      </c>
      <c r="L201" s="32">
        <f t="shared" si="63"/>
        <v>76025</v>
      </c>
      <c r="M201" s="32">
        <f>0</f>
        <v>0</v>
      </c>
      <c r="N201" s="32">
        <f t="shared" si="64"/>
        <v>21717490</v>
      </c>
      <c r="O201" s="32">
        <f t="shared" si="65"/>
        <v>8633618</v>
      </c>
      <c r="P201" s="34" t="str">
        <f>IF(NOT(AND(T200="",A201&lt;=S200)),"",IF(FALSE,"繰上返済後再計算","")&amp;IF(AND(入力!$B$13="有効",A201&gt;1,MOD(A201-1,60)=0),IF(FALSE,"・","")&amp;"5年見直し","")&amp;IF(AND(A201=入力!$B$11,A201&gt;1),IF(OR(FALSE,AND(入力!$B$13="有効",A201&gt;1,MOD(A201-1,60)=0)),"・","")&amp;"金利変更","")&amp;IF(AND(OR(AND(入力!$B$13="有効",A201&gt;1,MOD(A201-1,60)=0),AND(A201=入力!$B$11,A201&gt;1)),入力!$B$14="有効",IF(E201=0,ROUND(C201/MAX(1,S200-A201+1),0),ROUND(-PMT(E201/12,MAX(1,S200-A201+1),C201),0))&gt;ROUND(G200*1.25,0),NOT(FALSE)),"・上限適用",""))</f>
        <v/>
      </c>
      <c r="Q201" s="35" t="str">
        <f>IF(AND(T200="",A201&lt;=S200),入力!$B$13,"")</f>
        <v>有効</v>
      </c>
      <c r="R201" s="32" t="str">
        <f>IF(AND(AND(T200="",A201&lt;=S200),OR(AND(入力!$B$13="有効",A201&gt;1,MOD(A201-1,60)=0),AND(A201=入力!$B$11,A201&gt;1)),入力!$B$14="有効"),ROUND(G200*1.25,0),"")</f>
        <v/>
      </c>
      <c r="S201" s="36">
        <f t="shared" si="66"/>
        <v>420</v>
      </c>
      <c r="T201" s="35" t="str">
        <f t="shared" si="67"/>
        <v/>
      </c>
      <c r="U201" s="3">
        <f t="shared" si="51"/>
        <v>0</v>
      </c>
      <c r="V201" s="3">
        <f t="shared" si="52"/>
        <v>0</v>
      </c>
      <c r="W201" s="3">
        <f t="shared" si="53"/>
        <v>0</v>
      </c>
      <c r="X201" s="3">
        <f t="shared" si="54"/>
        <v>0</v>
      </c>
      <c r="Y201" s="3">
        <f>0</f>
        <v>0</v>
      </c>
      <c r="Z201" s="3">
        <f t="shared" si="55"/>
        <v>0</v>
      </c>
      <c r="AA201">
        <f>ROUND(IF(FALSE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,0)</f>
        <v>121428</v>
      </c>
    </row>
    <row r="202" spans="1:27">
      <c r="A202" s="30">
        <f>197</f>
        <v>197</v>
      </c>
      <c r="B202" s="31">
        <f>EDATE(入力!$B$6,A202-1)</f>
        <v>52201</v>
      </c>
      <c r="C202" s="32">
        <f t="shared" si="56"/>
        <v>21717490</v>
      </c>
      <c r="D202" s="32">
        <f t="shared" si="57"/>
        <v>0</v>
      </c>
      <c r="E202" s="33">
        <f>IF(AND(T201="",A202&lt;=S201),IF(A202&lt;入力!$B$11,入力!$B$10,入力!$B$12),0)</f>
        <v>2.5000000000000001E-2</v>
      </c>
      <c r="F202" s="32">
        <f t="shared" si="58"/>
        <v>45245</v>
      </c>
      <c r="G202" s="32">
        <f>ROUND(IF(NOT(AND(T201="",A202&lt;=S201)),0,IF(FALSE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),0)</f>
        <v>121428</v>
      </c>
      <c r="H202" s="32">
        <f t="shared" si="59"/>
        <v>121428</v>
      </c>
      <c r="I202" s="32">
        <f t="shared" si="60"/>
        <v>45245</v>
      </c>
      <c r="J202" s="32">
        <f t="shared" si="61"/>
        <v>0</v>
      </c>
      <c r="K202" s="32">
        <f t="shared" si="62"/>
        <v>0</v>
      </c>
      <c r="L202" s="32">
        <f t="shared" si="63"/>
        <v>76183</v>
      </c>
      <c r="M202" s="32">
        <f>0</f>
        <v>0</v>
      </c>
      <c r="N202" s="32">
        <f t="shared" si="64"/>
        <v>21641307</v>
      </c>
      <c r="O202" s="32">
        <f t="shared" si="65"/>
        <v>8678863</v>
      </c>
      <c r="P202" s="34" t="str">
        <f>IF(NOT(AND(T201="",A202&lt;=S201)),"",IF(FALSE,"繰上返済後再計算","")&amp;IF(AND(入力!$B$13="有効",A202&gt;1,MOD(A202-1,60)=0),IF(FALSE,"・","")&amp;"5年見直し","")&amp;IF(AND(A202=入力!$B$11,A202&gt;1),IF(OR(FALSE,AND(入力!$B$13="有効",A202&gt;1,MOD(A202-1,60)=0)),"・","")&amp;"金利変更","")&amp;IF(AND(OR(AND(入力!$B$13="有効",A202&gt;1,MOD(A202-1,60)=0),AND(A202=入力!$B$11,A202&gt;1)),入力!$B$14="有効",IF(E202=0,ROUND(C202/MAX(1,S201-A202+1),0),ROUND(-PMT(E202/12,MAX(1,S201-A202+1),C202),0))&gt;ROUND(G201*1.25,0),NOT(FALSE)),"・上限適用",""))</f>
        <v/>
      </c>
      <c r="Q202" s="35" t="str">
        <f>IF(AND(T201="",A202&lt;=S201),入力!$B$13,"")</f>
        <v>有効</v>
      </c>
      <c r="R202" s="32" t="str">
        <f>IF(AND(AND(T201="",A202&lt;=S201),OR(AND(入力!$B$13="有効",A202&gt;1,MOD(A202-1,60)=0),AND(A202=入力!$B$11,A202&gt;1)),入力!$B$14="有効"),ROUND(G201*1.25,0),"")</f>
        <v/>
      </c>
      <c r="S202" s="36">
        <f t="shared" si="66"/>
        <v>420</v>
      </c>
      <c r="T202" s="35" t="str">
        <f t="shared" si="67"/>
        <v/>
      </c>
      <c r="U202" s="3">
        <f t="shared" si="51"/>
        <v>0</v>
      </c>
      <c r="V202" s="3">
        <f t="shared" si="52"/>
        <v>0</v>
      </c>
      <c r="W202" s="3">
        <f t="shared" si="53"/>
        <v>0</v>
      </c>
      <c r="X202" s="3">
        <f t="shared" si="54"/>
        <v>0</v>
      </c>
      <c r="Y202" s="3">
        <f>0</f>
        <v>0</v>
      </c>
      <c r="Z202" s="3">
        <f t="shared" si="55"/>
        <v>0</v>
      </c>
      <c r="AA202">
        <f>ROUND(IF(FALSE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,0)</f>
        <v>121428</v>
      </c>
    </row>
    <row r="203" spans="1:27">
      <c r="A203" s="30">
        <f>198</f>
        <v>198</v>
      </c>
      <c r="B203" s="31">
        <f>EDATE(入力!$B$6,A203-1)</f>
        <v>52232</v>
      </c>
      <c r="C203" s="32">
        <f t="shared" si="56"/>
        <v>21641307</v>
      </c>
      <c r="D203" s="32">
        <f t="shared" si="57"/>
        <v>0</v>
      </c>
      <c r="E203" s="33">
        <f>IF(AND(T202="",A203&lt;=S202),IF(A203&lt;入力!$B$11,入力!$B$10,入力!$B$12),0)</f>
        <v>2.5000000000000001E-2</v>
      </c>
      <c r="F203" s="32">
        <f t="shared" si="58"/>
        <v>45086</v>
      </c>
      <c r="G203" s="32">
        <f>ROUND(IF(NOT(AND(T202="",A203&lt;=S202)),0,IF(FALSE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),0)</f>
        <v>121428</v>
      </c>
      <c r="H203" s="32">
        <f t="shared" si="59"/>
        <v>121428</v>
      </c>
      <c r="I203" s="32">
        <f t="shared" si="60"/>
        <v>45086</v>
      </c>
      <c r="J203" s="32">
        <f t="shared" si="61"/>
        <v>0</v>
      </c>
      <c r="K203" s="32">
        <f t="shared" si="62"/>
        <v>0</v>
      </c>
      <c r="L203" s="32">
        <f t="shared" si="63"/>
        <v>76342</v>
      </c>
      <c r="M203" s="32">
        <f>0</f>
        <v>0</v>
      </c>
      <c r="N203" s="32">
        <f t="shared" si="64"/>
        <v>21564965</v>
      </c>
      <c r="O203" s="32">
        <f t="shared" si="65"/>
        <v>8723949</v>
      </c>
      <c r="P203" s="34" t="str">
        <f>IF(NOT(AND(T202="",A203&lt;=S202)),"",IF(FALSE,"繰上返済後再計算","")&amp;IF(AND(入力!$B$13="有効",A203&gt;1,MOD(A203-1,60)=0),IF(FALSE,"・","")&amp;"5年見直し","")&amp;IF(AND(A203=入力!$B$11,A203&gt;1),IF(OR(FALSE,AND(入力!$B$13="有効",A203&gt;1,MOD(A203-1,60)=0)),"・","")&amp;"金利変更","")&amp;IF(AND(OR(AND(入力!$B$13="有効",A203&gt;1,MOD(A203-1,60)=0),AND(A203=入力!$B$11,A203&gt;1)),入力!$B$14="有効",IF(E203=0,ROUND(C203/MAX(1,S202-A203+1),0),ROUND(-PMT(E203/12,MAX(1,S202-A203+1),C203),0))&gt;ROUND(G202*1.25,0),NOT(FALSE)),"・上限適用",""))</f>
        <v/>
      </c>
      <c r="Q203" s="35" t="str">
        <f>IF(AND(T202="",A203&lt;=S202),入力!$B$13,"")</f>
        <v>有効</v>
      </c>
      <c r="R203" s="32" t="str">
        <f>IF(AND(AND(T202="",A203&lt;=S202),OR(AND(入力!$B$13="有効",A203&gt;1,MOD(A203-1,60)=0),AND(A203=入力!$B$11,A203&gt;1)),入力!$B$14="有効"),ROUND(G202*1.25,0),"")</f>
        <v/>
      </c>
      <c r="S203" s="36">
        <f t="shared" si="66"/>
        <v>420</v>
      </c>
      <c r="T203" s="35" t="str">
        <f t="shared" si="67"/>
        <v/>
      </c>
      <c r="U203" s="3">
        <f t="shared" si="51"/>
        <v>0</v>
      </c>
      <c r="V203" s="3">
        <f t="shared" si="52"/>
        <v>0</v>
      </c>
      <c r="W203" s="3">
        <f t="shared" si="53"/>
        <v>0</v>
      </c>
      <c r="X203" s="3">
        <f t="shared" si="54"/>
        <v>0</v>
      </c>
      <c r="Y203" s="3">
        <f>0</f>
        <v>0</v>
      </c>
      <c r="Z203" s="3">
        <f t="shared" si="55"/>
        <v>0</v>
      </c>
      <c r="AA203">
        <f>ROUND(IF(FALSE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,0)</f>
        <v>121428</v>
      </c>
    </row>
    <row r="204" spans="1:27">
      <c r="A204" s="30">
        <f>199</f>
        <v>199</v>
      </c>
      <c r="B204" s="31">
        <f>EDATE(入力!$B$6,A204-1)</f>
        <v>52263</v>
      </c>
      <c r="C204" s="32">
        <f t="shared" si="56"/>
        <v>21564965</v>
      </c>
      <c r="D204" s="32">
        <f t="shared" si="57"/>
        <v>0</v>
      </c>
      <c r="E204" s="33">
        <f>IF(AND(T203="",A204&lt;=S203),IF(A204&lt;入力!$B$11,入力!$B$10,入力!$B$12),0)</f>
        <v>2.5000000000000001E-2</v>
      </c>
      <c r="F204" s="32">
        <f t="shared" si="58"/>
        <v>44927</v>
      </c>
      <c r="G204" s="32">
        <f>ROUND(IF(NOT(AND(T203="",A204&lt;=S203)),0,IF(FALSE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),0)</f>
        <v>121428</v>
      </c>
      <c r="H204" s="32">
        <f t="shared" si="59"/>
        <v>121428</v>
      </c>
      <c r="I204" s="32">
        <f t="shared" si="60"/>
        <v>44927</v>
      </c>
      <c r="J204" s="32">
        <f t="shared" si="61"/>
        <v>0</v>
      </c>
      <c r="K204" s="32">
        <f t="shared" si="62"/>
        <v>0</v>
      </c>
      <c r="L204" s="32">
        <f t="shared" si="63"/>
        <v>76501</v>
      </c>
      <c r="M204" s="32">
        <f>0</f>
        <v>0</v>
      </c>
      <c r="N204" s="32">
        <f t="shared" si="64"/>
        <v>21488464</v>
      </c>
      <c r="O204" s="32">
        <f t="shared" si="65"/>
        <v>8768876</v>
      </c>
      <c r="P204" s="34" t="str">
        <f>IF(NOT(AND(T203="",A204&lt;=S203)),"",IF(FALSE,"繰上返済後再計算","")&amp;IF(AND(入力!$B$13="有効",A204&gt;1,MOD(A204-1,60)=0),IF(FALSE,"・","")&amp;"5年見直し","")&amp;IF(AND(A204=入力!$B$11,A204&gt;1),IF(OR(FALSE,AND(入力!$B$13="有効",A204&gt;1,MOD(A204-1,60)=0)),"・","")&amp;"金利変更","")&amp;IF(AND(OR(AND(入力!$B$13="有効",A204&gt;1,MOD(A204-1,60)=0),AND(A204=入力!$B$11,A204&gt;1)),入力!$B$14="有効",IF(E204=0,ROUND(C204/MAX(1,S203-A204+1),0),ROUND(-PMT(E204/12,MAX(1,S203-A204+1),C204),0))&gt;ROUND(G203*1.25,0),NOT(FALSE)),"・上限適用",""))</f>
        <v/>
      </c>
      <c r="Q204" s="35" t="str">
        <f>IF(AND(T203="",A204&lt;=S203),入力!$B$13,"")</f>
        <v>有効</v>
      </c>
      <c r="R204" s="32" t="str">
        <f>IF(AND(AND(T203="",A204&lt;=S203),OR(AND(入力!$B$13="有効",A204&gt;1,MOD(A204-1,60)=0),AND(A204=入力!$B$11,A204&gt;1)),入力!$B$14="有効"),ROUND(G203*1.25,0),"")</f>
        <v/>
      </c>
      <c r="S204" s="36">
        <f t="shared" si="66"/>
        <v>420</v>
      </c>
      <c r="T204" s="35" t="str">
        <f t="shared" si="67"/>
        <v/>
      </c>
      <c r="U204" s="3">
        <f t="shared" si="51"/>
        <v>0</v>
      </c>
      <c r="V204" s="3">
        <f t="shared" si="52"/>
        <v>0</v>
      </c>
      <c r="W204" s="3">
        <f t="shared" si="53"/>
        <v>0</v>
      </c>
      <c r="X204" s="3">
        <f t="shared" si="54"/>
        <v>0</v>
      </c>
      <c r="Y204" s="3">
        <f>0</f>
        <v>0</v>
      </c>
      <c r="Z204" s="3">
        <f t="shared" si="55"/>
        <v>0</v>
      </c>
      <c r="AA204">
        <f>ROUND(IF(FALSE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,0)</f>
        <v>121428</v>
      </c>
    </row>
    <row r="205" spans="1:27">
      <c r="A205" s="30">
        <f>200</f>
        <v>200</v>
      </c>
      <c r="B205" s="31">
        <f>EDATE(入力!$B$6,A205-1)</f>
        <v>52291</v>
      </c>
      <c r="C205" s="32">
        <f t="shared" si="56"/>
        <v>21488464</v>
      </c>
      <c r="D205" s="32">
        <f t="shared" si="57"/>
        <v>0</v>
      </c>
      <c r="E205" s="33">
        <f>IF(AND(T204="",A205&lt;=S204),IF(A205&lt;入力!$B$11,入力!$B$10,入力!$B$12),0)</f>
        <v>2.5000000000000001E-2</v>
      </c>
      <c r="F205" s="32">
        <f t="shared" si="58"/>
        <v>44768</v>
      </c>
      <c r="G205" s="32">
        <f>ROUND(IF(NOT(AND(T204="",A205&lt;=S204)),0,IF(FALSE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),0)</f>
        <v>121428</v>
      </c>
      <c r="H205" s="32">
        <f t="shared" si="59"/>
        <v>121428</v>
      </c>
      <c r="I205" s="32">
        <f t="shared" si="60"/>
        <v>44768</v>
      </c>
      <c r="J205" s="32">
        <f t="shared" si="61"/>
        <v>0</v>
      </c>
      <c r="K205" s="32">
        <f t="shared" si="62"/>
        <v>0</v>
      </c>
      <c r="L205" s="32">
        <f t="shared" si="63"/>
        <v>76660</v>
      </c>
      <c r="M205" s="32">
        <f>0</f>
        <v>0</v>
      </c>
      <c r="N205" s="32">
        <f t="shared" si="64"/>
        <v>21411804</v>
      </c>
      <c r="O205" s="32">
        <f t="shared" si="65"/>
        <v>8813644</v>
      </c>
      <c r="P205" s="34" t="str">
        <f>IF(NOT(AND(T204="",A205&lt;=S204)),"",IF(FALSE,"繰上返済後再計算","")&amp;IF(AND(入力!$B$13="有効",A205&gt;1,MOD(A205-1,60)=0),IF(FALSE,"・","")&amp;"5年見直し","")&amp;IF(AND(A205=入力!$B$11,A205&gt;1),IF(OR(FALSE,AND(入力!$B$13="有効",A205&gt;1,MOD(A205-1,60)=0)),"・","")&amp;"金利変更","")&amp;IF(AND(OR(AND(入力!$B$13="有効",A205&gt;1,MOD(A205-1,60)=0),AND(A205=入力!$B$11,A205&gt;1)),入力!$B$14="有効",IF(E205=0,ROUND(C205/MAX(1,S204-A205+1),0),ROUND(-PMT(E205/12,MAX(1,S204-A205+1),C205),0))&gt;ROUND(G204*1.25,0),NOT(FALSE)),"・上限適用",""))</f>
        <v/>
      </c>
      <c r="Q205" s="35" t="str">
        <f>IF(AND(T204="",A205&lt;=S204),入力!$B$13,"")</f>
        <v>有効</v>
      </c>
      <c r="R205" s="32" t="str">
        <f>IF(AND(AND(T204="",A205&lt;=S204),OR(AND(入力!$B$13="有効",A205&gt;1,MOD(A205-1,60)=0),AND(A205=入力!$B$11,A205&gt;1)),入力!$B$14="有効"),ROUND(G204*1.25,0),"")</f>
        <v/>
      </c>
      <c r="S205" s="36">
        <f t="shared" si="66"/>
        <v>420</v>
      </c>
      <c r="T205" s="35" t="str">
        <f t="shared" si="67"/>
        <v/>
      </c>
      <c r="U205" s="3">
        <f t="shared" si="51"/>
        <v>0</v>
      </c>
      <c r="V205" s="3">
        <f t="shared" si="52"/>
        <v>0</v>
      </c>
      <c r="W205" s="3">
        <f t="shared" si="53"/>
        <v>0</v>
      </c>
      <c r="X205" s="3">
        <f t="shared" si="54"/>
        <v>0</v>
      </c>
      <c r="Y205" s="3">
        <f>0</f>
        <v>0</v>
      </c>
      <c r="Z205" s="3">
        <f t="shared" si="55"/>
        <v>0</v>
      </c>
      <c r="AA205">
        <f>ROUND(IF(FALSE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,0)</f>
        <v>121428</v>
      </c>
    </row>
    <row r="206" spans="1:27">
      <c r="A206" s="30">
        <f>201</f>
        <v>201</v>
      </c>
      <c r="B206" s="31">
        <f>EDATE(入力!$B$6,A206-1)</f>
        <v>52322</v>
      </c>
      <c r="C206" s="32">
        <f t="shared" si="56"/>
        <v>21411804</v>
      </c>
      <c r="D206" s="32">
        <f t="shared" si="57"/>
        <v>0</v>
      </c>
      <c r="E206" s="33">
        <f>IF(AND(T205="",A206&lt;=S205),IF(A206&lt;入力!$B$11,入力!$B$10,入力!$B$12),0)</f>
        <v>2.5000000000000001E-2</v>
      </c>
      <c r="F206" s="32">
        <f t="shared" si="58"/>
        <v>44608</v>
      </c>
      <c r="G206" s="32">
        <f>ROUND(IF(NOT(AND(T205="",A206&lt;=S205)),0,IF(FALSE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),0)</f>
        <v>121428</v>
      </c>
      <c r="H206" s="32">
        <f t="shared" si="59"/>
        <v>121428</v>
      </c>
      <c r="I206" s="32">
        <f t="shared" si="60"/>
        <v>44608</v>
      </c>
      <c r="J206" s="32">
        <f t="shared" si="61"/>
        <v>0</v>
      </c>
      <c r="K206" s="32">
        <f t="shared" si="62"/>
        <v>0</v>
      </c>
      <c r="L206" s="32">
        <f t="shared" si="63"/>
        <v>76820</v>
      </c>
      <c r="M206" s="32">
        <f>0</f>
        <v>0</v>
      </c>
      <c r="N206" s="32">
        <f t="shared" si="64"/>
        <v>21334984</v>
      </c>
      <c r="O206" s="32">
        <f t="shared" si="65"/>
        <v>8858252</v>
      </c>
      <c r="P206" s="34" t="str">
        <f>IF(NOT(AND(T205="",A206&lt;=S205)),"",IF(FALSE,"繰上返済後再計算","")&amp;IF(AND(入力!$B$13="有効",A206&gt;1,MOD(A206-1,60)=0),IF(FALSE,"・","")&amp;"5年見直し","")&amp;IF(AND(A206=入力!$B$11,A206&gt;1),IF(OR(FALSE,AND(入力!$B$13="有効",A206&gt;1,MOD(A206-1,60)=0)),"・","")&amp;"金利変更","")&amp;IF(AND(OR(AND(入力!$B$13="有効",A206&gt;1,MOD(A206-1,60)=0),AND(A206=入力!$B$11,A206&gt;1)),入力!$B$14="有効",IF(E206=0,ROUND(C206/MAX(1,S205-A206+1),0),ROUND(-PMT(E206/12,MAX(1,S205-A206+1),C206),0))&gt;ROUND(G205*1.25,0),NOT(FALSE)),"・上限適用",""))</f>
        <v/>
      </c>
      <c r="Q206" s="35" t="str">
        <f>IF(AND(T205="",A206&lt;=S205),入力!$B$13,"")</f>
        <v>有効</v>
      </c>
      <c r="R206" s="32" t="str">
        <f>IF(AND(AND(T205="",A206&lt;=S205),OR(AND(入力!$B$13="有効",A206&gt;1,MOD(A206-1,60)=0),AND(A206=入力!$B$11,A206&gt;1)),入力!$B$14="有効"),ROUND(G205*1.25,0),"")</f>
        <v/>
      </c>
      <c r="S206" s="36">
        <f t="shared" si="66"/>
        <v>420</v>
      </c>
      <c r="T206" s="35" t="str">
        <f t="shared" si="67"/>
        <v/>
      </c>
      <c r="U206" s="3">
        <f t="shared" si="51"/>
        <v>0</v>
      </c>
      <c r="V206" s="3">
        <f t="shared" si="52"/>
        <v>0</v>
      </c>
      <c r="W206" s="3">
        <f t="shared" si="53"/>
        <v>0</v>
      </c>
      <c r="X206" s="3">
        <f t="shared" si="54"/>
        <v>0</v>
      </c>
      <c r="Y206" s="3">
        <f>0</f>
        <v>0</v>
      </c>
      <c r="Z206" s="3">
        <f t="shared" si="55"/>
        <v>0</v>
      </c>
      <c r="AA206">
        <f>ROUND(IF(FALSE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,0)</f>
        <v>121428</v>
      </c>
    </row>
    <row r="207" spans="1:27">
      <c r="A207" s="30">
        <f>202</f>
        <v>202</v>
      </c>
      <c r="B207" s="31">
        <f>EDATE(入力!$B$6,A207-1)</f>
        <v>52352</v>
      </c>
      <c r="C207" s="32">
        <f t="shared" si="56"/>
        <v>21334984</v>
      </c>
      <c r="D207" s="32">
        <f t="shared" si="57"/>
        <v>0</v>
      </c>
      <c r="E207" s="33">
        <f>IF(AND(T206="",A207&lt;=S206),IF(A207&lt;入力!$B$11,入力!$B$10,入力!$B$12),0)</f>
        <v>2.5000000000000001E-2</v>
      </c>
      <c r="F207" s="32">
        <f t="shared" si="58"/>
        <v>44448</v>
      </c>
      <c r="G207" s="32">
        <f>ROUND(IF(NOT(AND(T206="",A207&lt;=S206)),0,IF(FALSE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),0)</f>
        <v>121428</v>
      </c>
      <c r="H207" s="32">
        <f t="shared" si="59"/>
        <v>121428</v>
      </c>
      <c r="I207" s="32">
        <f t="shared" si="60"/>
        <v>44448</v>
      </c>
      <c r="J207" s="32">
        <f t="shared" si="61"/>
        <v>0</v>
      </c>
      <c r="K207" s="32">
        <f t="shared" si="62"/>
        <v>0</v>
      </c>
      <c r="L207" s="32">
        <f t="shared" si="63"/>
        <v>76980</v>
      </c>
      <c r="M207" s="32">
        <f>0</f>
        <v>0</v>
      </c>
      <c r="N207" s="32">
        <f t="shared" si="64"/>
        <v>21258004</v>
      </c>
      <c r="O207" s="32">
        <f t="shared" si="65"/>
        <v>8902700</v>
      </c>
      <c r="P207" s="34" t="str">
        <f>IF(NOT(AND(T206="",A207&lt;=S206)),"",IF(FALSE,"繰上返済後再計算","")&amp;IF(AND(入力!$B$13="有効",A207&gt;1,MOD(A207-1,60)=0),IF(FALSE,"・","")&amp;"5年見直し","")&amp;IF(AND(A207=入力!$B$11,A207&gt;1),IF(OR(FALSE,AND(入力!$B$13="有効",A207&gt;1,MOD(A207-1,60)=0)),"・","")&amp;"金利変更","")&amp;IF(AND(OR(AND(入力!$B$13="有効",A207&gt;1,MOD(A207-1,60)=0),AND(A207=入力!$B$11,A207&gt;1)),入力!$B$14="有効",IF(E207=0,ROUND(C207/MAX(1,S206-A207+1),0),ROUND(-PMT(E207/12,MAX(1,S206-A207+1),C207),0))&gt;ROUND(G206*1.25,0),NOT(FALSE)),"・上限適用",""))</f>
        <v/>
      </c>
      <c r="Q207" s="35" t="str">
        <f>IF(AND(T206="",A207&lt;=S206),入力!$B$13,"")</f>
        <v>有効</v>
      </c>
      <c r="R207" s="32" t="str">
        <f>IF(AND(AND(T206="",A207&lt;=S206),OR(AND(入力!$B$13="有効",A207&gt;1,MOD(A207-1,60)=0),AND(A207=入力!$B$11,A207&gt;1)),入力!$B$14="有効"),ROUND(G206*1.25,0),"")</f>
        <v/>
      </c>
      <c r="S207" s="36">
        <f t="shared" si="66"/>
        <v>420</v>
      </c>
      <c r="T207" s="35" t="str">
        <f t="shared" si="67"/>
        <v/>
      </c>
      <c r="U207" s="3">
        <f t="shared" si="51"/>
        <v>0</v>
      </c>
      <c r="V207" s="3">
        <f t="shared" si="52"/>
        <v>0</v>
      </c>
      <c r="W207" s="3">
        <f t="shared" si="53"/>
        <v>0</v>
      </c>
      <c r="X207" s="3">
        <f t="shared" si="54"/>
        <v>0</v>
      </c>
      <c r="Y207" s="3">
        <f>0</f>
        <v>0</v>
      </c>
      <c r="Z207" s="3">
        <f t="shared" si="55"/>
        <v>0</v>
      </c>
      <c r="AA207">
        <f>ROUND(IF(FALSE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,0)</f>
        <v>121428</v>
      </c>
    </row>
    <row r="208" spans="1:27">
      <c r="A208" s="30">
        <f>203</f>
        <v>203</v>
      </c>
      <c r="B208" s="31">
        <f>EDATE(入力!$B$6,A208-1)</f>
        <v>52383</v>
      </c>
      <c r="C208" s="32">
        <f t="shared" si="56"/>
        <v>21258004</v>
      </c>
      <c r="D208" s="32">
        <f t="shared" si="57"/>
        <v>0</v>
      </c>
      <c r="E208" s="33">
        <f>IF(AND(T207="",A208&lt;=S207),IF(A208&lt;入力!$B$11,入力!$B$10,入力!$B$12),0)</f>
        <v>2.5000000000000001E-2</v>
      </c>
      <c r="F208" s="32">
        <f t="shared" si="58"/>
        <v>44288</v>
      </c>
      <c r="G208" s="32">
        <f>ROUND(IF(NOT(AND(T207="",A208&lt;=S207)),0,IF(FALSE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),0)</f>
        <v>121428</v>
      </c>
      <c r="H208" s="32">
        <f t="shared" si="59"/>
        <v>121428</v>
      </c>
      <c r="I208" s="32">
        <f t="shared" si="60"/>
        <v>44288</v>
      </c>
      <c r="J208" s="32">
        <f t="shared" si="61"/>
        <v>0</v>
      </c>
      <c r="K208" s="32">
        <f t="shared" si="62"/>
        <v>0</v>
      </c>
      <c r="L208" s="32">
        <f t="shared" si="63"/>
        <v>77140</v>
      </c>
      <c r="M208" s="32">
        <f>0</f>
        <v>0</v>
      </c>
      <c r="N208" s="32">
        <f t="shared" si="64"/>
        <v>21180864</v>
      </c>
      <c r="O208" s="32">
        <f t="shared" si="65"/>
        <v>8946988</v>
      </c>
      <c r="P208" s="34" t="str">
        <f>IF(NOT(AND(T207="",A208&lt;=S207)),"",IF(FALSE,"繰上返済後再計算","")&amp;IF(AND(入力!$B$13="有効",A208&gt;1,MOD(A208-1,60)=0),IF(FALSE,"・","")&amp;"5年見直し","")&amp;IF(AND(A208=入力!$B$11,A208&gt;1),IF(OR(FALSE,AND(入力!$B$13="有効",A208&gt;1,MOD(A208-1,60)=0)),"・","")&amp;"金利変更","")&amp;IF(AND(OR(AND(入力!$B$13="有効",A208&gt;1,MOD(A208-1,60)=0),AND(A208=入力!$B$11,A208&gt;1)),入力!$B$14="有効",IF(E208=0,ROUND(C208/MAX(1,S207-A208+1),0),ROUND(-PMT(E208/12,MAX(1,S207-A208+1),C208),0))&gt;ROUND(G207*1.25,0),NOT(FALSE)),"・上限適用",""))</f>
        <v/>
      </c>
      <c r="Q208" s="35" t="str">
        <f>IF(AND(T207="",A208&lt;=S207),入力!$B$13,"")</f>
        <v>有効</v>
      </c>
      <c r="R208" s="32" t="str">
        <f>IF(AND(AND(T207="",A208&lt;=S207),OR(AND(入力!$B$13="有効",A208&gt;1,MOD(A208-1,60)=0),AND(A208=入力!$B$11,A208&gt;1)),入力!$B$14="有効"),ROUND(G207*1.25,0),"")</f>
        <v/>
      </c>
      <c r="S208" s="36">
        <f t="shared" si="66"/>
        <v>420</v>
      </c>
      <c r="T208" s="35" t="str">
        <f t="shared" si="67"/>
        <v/>
      </c>
      <c r="U208" s="3">
        <f t="shared" si="51"/>
        <v>0</v>
      </c>
      <c r="V208" s="3">
        <f t="shared" si="52"/>
        <v>0</v>
      </c>
      <c r="W208" s="3">
        <f t="shared" si="53"/>
        <v>0</v>
      </c>
      <c r="X208" s="3">
        <f t="shared" si="54"/>
        <v>0</v>
      </c>
      <c r="Y208" s="3">
        <f>0</f>
        <v>0</v>
      </c>
      <c r="Z208" s="3">
        <f t="shared" si="55"/>
        <v>0</v>
      </c>
      <c r="AA208">
        <f>ROUND(IF(FALSE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,0)</f>
        <v>121428</v>
      </c>
    </row>
    <row r="209" spans="1:27">
      <c r="A209" s="30">
        <f>204</f>
        <v>204</v>
      </c>
      <c r="B209" s="31">
        <f>EDATE(入力!$B$6,A209-1)</f>
        <v>52413</v>
      </c>
      <c r="C209" s="32">
        <f t="shared" si="56"/>
        <v>21180864</v>
      </c>
      <c r="D209" s="32">
        <f t="shared" si="57"/>
        <v>0</v>
      </c>
      <c r="E209" s="33">
        <f>IF(AND(T208="",A209&lt;=S208),IF(A209&lt;入力!$B$11,入力!$B$10,入力!$B$12),0)</f>
        <v>2.5000000000000001E-2</v>
      </c>
      <c r="F209" s="32">
        <f t="shared" si="58"/>
        <v>44127</v>
      </c>
      <c r="G209" s="32">
        <f>ROUND(IF(NOT(AND(T208="",A209&lt;=S208)),0,IF(FALSE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),0)</f>
        <v>121428</v>
      </c>
      <c r="H209" s="32">
        <f t="shared" si="59"/>
        <v>121428</v>
      </c>
      <c r="I209" s="32">
        <f t="shared" si="60"/>
        <v>44127</v>
      </c>
      <c r="J209" s="32">
        <f t="shared" si="61"/>
        <v>0</v>
      </c>
      <c r="K209" s="32">
        <f t="shared" si="62"/>
        <v>0</v>
      </c>
      <c r="L209" s="32">
        <f t="shared" si="63"/>
        <v>77301</v>
      </c>
      <c r="M209" s="32">
        <f>0</f>
        <v>0</v>
      </c>
      <c r="N209" s="32">
        <f t="shared" si="64"/>
        <v>21103563</v>
      </c>
      <c r="O209" s="32">
        <f t="shared" si="65"/>
        <v>8991115</v>
      </c>
      <c r="P209" s="34" t="str">
        <f>IF(NOT(AND(T208="",A209&lt;=S208)),"",IF(FALSE,"繰上返済後再計算","")&amp;IF(AND(入力!$B$13="有効",A209&gt;1,MOD(A209-1,60)=0),IF(FALSE,"・","")&amp;"5年見直し","")&amp;IF(AND(A209=入力!$B$11,A209&gt;1),IF(OR(FALSE,AND(入力!$B$13="有効",A209&gt;1,MOD(A209-1,60)=0)),"・","")&amp;"金利変更","")&amp;IF(AND(OR(AND(入力!$B$13="有効",A209&gt;1,MOD(A209-1,60)=0),AND(A209=入力!$B$11,A209&gt;1)),入力!$B$14="有効",IF(E209=0,ROUND(C209/MAX(1,S208-A209+1),0),ROUND(-PMT(E209/12,MAX(1,S208-A209+1),C209),0))&gt;ROUND(G208*1.25,0),NOT(FALSE)),"・上限適用",""))</f>
        <v/>
      </c>
      <c r="Q209" s="35" t="str">
        <f>IF(AND(T208="",A209&lt;=S208),入力!$B$13,"")</f>
        <v>有効</v>
      </c>
      <c r="R209" s="32" t="str">
        <f>IF(AND(AND(T208="",A209&lt;=S208),OR(AND(入力!$B$13="有効",A209&gt;1,MOD(A209-1,60)=0),AND(A209=入力!$B$11,A209&gt;1)),入力!$B$14="有効"),ROUND(G208*1.25,0),"")</f>
        <v/>
      </c>
      <c r="S209" s="36">
        <f t="shared" si="66"/>
        <v>420</v>
      </c>
      <c r="T209" s="35" t="str">
        <f t="shared" si="67"/>
        <v/>
      </c>
      <c r="U209" s="3">
        <f t="shared" si="51"/>
        <v>0</v>
      </c>
      <c r="V209" s="3">
        <f t="shared" si="52"/>
        <v>0</v>
      </c>
      <c r="W209" s="3">
        <f t="shared" si="53"/>
        <v>0</v>
      </c>
      <c r="X209" s="3">
        <f t="shared" si="54"/>
        <v>0</v>
      </c>
      <c r="Y209" s="3">
        <f>0</f>
        <v>0</v>
      </c>
      <c r="Z209" s="3">
        <f t="shared" si="55"/>
        <v>0</v>
      </c>
      <c r="AA209">
        <f>ROUND(IF(FALSE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,0)</f>
        <v>121428</v>
      </c>
    </row>
    <row r="210" spans="1:27">
      <c r="A210" s="30">
        <f>205</f>
        <v>205</v>
      </c>
      <c r="B210" s="31">
        <f>EDATE(入力!$B$6,A210-1)</f>
        <v>52444</v>
      </c>
      <c r="C210" s="32">
        <f t="shared" si="56"/>
        <v>21103563</v>
      </c>
      <c r="D210" s="32">
        <f t="shared" si="57"/>
        <v>0</v>
      </c>
      <c r="E210" s="33">
        <f>IF(AND(T209="",A210&lt;=S209),IF(A210&lt;入力!$B$11,入力!$B$10,入力!$B$12),0)</f>
        <v>2.5000000000000001E-2</v>
      </c>
      <c r="F210" s="32">
        <f t="shared" si="58"/>
        <v>43966</v>
      </c>
      <c r="G210" s="32">
        <f>ROUND(IF(NOT(AND(T209="",A210&lt;=S209)),0,IF(FALSE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),0)</f>
        <v>121428</v>
      </c>
      <c r="H210" s="32">
        <f t="shared" si="59"/>
        <v>121428</v>
      </c>
      <c r="I210" s="32">
        <f t="shared" si="60"/>
        <v>43966</v>
      </c>
      <c r="J210" s="32">
        <f t="shared" si="61"/>
        <v>0</v>
      </c>
      <c r="K210" s="32">
        <f t="shared" si="62"/>
        <v>0</v>
      </c>
      <c r="L210" s="32">
        <f t="shared" si="63"/>
        <v>77462</v>
      </c>
      <c r="M210" s="32">
        <f>0</f>
        <v>0</v>
      </c>
      <c r="N210" s="32">
        <f t="shared" si="64"/>
        <v>21026101</v>
      </c>
      <c r="O210" s="32">
        <f t="shared" si="65"/>
        <v>9035081</v>
      </c>
      <c r="P210" s="34" t="str">
        <f>IF(NOT(AND(T209="",A210&lt;=S209)),"",IF(FALSE,"繰上返済後再計算","")&amp;IF(AND(入力!$B$13="有効",A210&gt;1,MOD(A210-1,60)=0),IF(FALSE,"・","")&amp;"5年見直し","")&amp;IF(AND(A210=入力!$B$11,A210&gt;1),IF(OR(FALSE,AND(入力!$B$13="有効",A210&gt;1,MOD(A210-1,60)=0)),"・","")&amp;"金利変更","")&amp;IF(AND(OR(AND(入力!$B$13="有効",A210&gt;1,MOD(A210-1,60)=0),AND(A210=入力!$B$11,A210&gt;1)),入力!$B$14="有効",IF(E210=0,ROUND(C210/MAX(1,S209-A210+1),0),ROUND(-PMT(E210/12,MAX(1,S209-A210+1),C210),0))&gt;ROUND(G209*1.25,0),NOT(FALSE)),"・上限適用",""))</f>
        <v/>
      </c>
      <c r="Q210" s="35" t="str">
        <f>IF(AND(T209="",A210&lt;=S209),入力!$B$13,"")</f>
        <v>有効</v>
      </c>
      <c r="R210" s="32" t="str">
        <f>IF(AND(AND(T209="",A210&lt;=S209),OR(AND(入力!$B$13="有効",A210&gt;1,MOD(A210-1,60)=0),AND(A210=入力!$B$11,A210&gt;1)),入力!$B$14="有効"),ROUND(G209*1.25,0),"")</f>
        <v/>
      </c>
      <c r="S210" s="36">
        <f t="shared" si="66"/>
        <v>420</v>
      </c>
      <c r="T210" s="35" t="str">
        <f t="shared" si="67"/>
        <v/>
      </c>
      <c r="U210" s="3">
        <f t="shared" si="51"/>
        <v>0</v>
      </c>
      <c r="V210" s="3">
        <f t="shared" si="52"/>
        <v>0</v>
      </c>
      <c r="W210" s="3">
        <f t="shared" si="53"/>
        <v>0</v>
      </c>
      <c r="X210" s="3">
        <f t="shared" si="54"/>
        <v>0</v>
      </c>
      <c r="Y210" s="3">
        <f>0</f>
        <v>0</v>
      </c>
      <c r="Z210" s="3">
        <f t="shared" si="55"/>
        <v>0</v>
      </c>
      <c r="AA210">
        <f>ROUND(IF(FALSE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,0)</f>
        <v>121428</v>
      </c>
    </row>
    <row r="211" spans="1:27">
      <c r="A211" s="30">
        <f>206</f>
        <v>206</v>
      </c>
      <c r="B211" s="31">
        <f>EDATE(入力!$B$6,A211-1)</f>
        <v>52475</v>
      </c>
      <c r="C211" s="32">
        <f t="shared" si="56"/>
        <v>21026101</v>
      </c>
      <c r="D211" s="32">
        <f t="shared" si="57"/>
        <v>0</v>
      </c>
      <c r="E211" s="33">
        <f>IF(AND(T210="",A211&lt;=S210),IF(A211&lt;入力!$B$11,入力!$B$10,入力!$B$12),0)</f>
        <v>2.5000000000000001E-2</v>
      </c>
      <c r="F211" s="32">
        <f t="shared" si="58"/>
        <v>43804</v>
      </c>
      <c r="G211" s="32">
        <f>ROUND(IF(NOT(AND(T210="",A211&lt;=S210)),0,IF(FALSE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),0)</f>
        <v>121428</v>
      </c>
      <c r="H211" s="32">
        <f t="shared" si="59"/>
        <v>121428</v>
      </c>
      <c r="I211" s="32">
        <f t="shared" si="60"/>
        <v>43804</v>
      </c>
      <c r="J211" s="32">
        <f t="shared" si="61"/>
        <v>0</v>
      </c>
      <c r="K211" s="32">
        <f t="shared" si="62"/>
        <v>0</v>
      </c>
      <c r="L211" s="32">
        <f t="shared" si="63"/>
        <v>77624</v>
      </c>
      <c r="M211" s="32">
        <f>0</f>
        <v>0</v>
      </c>
      <c r="N211" s="32">
        <f t="shared" si="64"/>
        <v>20948477</v>
      </c>
      <c r="O211" s="32">
        <f t="shared" si="65"/>
        <v>9078885</v>
      </c>
      <c r="P211" s="34" t="str">
        <f>IF(NOT(AND(T210="",A211&lt;=S210)),"",IF(FALSE,"繰上返済後再計算","")&amp;IF(AND(入力!$B$13="有効",A211&gt;1,MOD(A211-1,60)=0),IF(FALSE,"・","")&amp;"5年見直し","")&amp;IF(AND(A211=入力!$B$11,A211&gt;1),IF(OR(FALSE,AND(入力!$B$13="有効",A211&gt;1,MOD(A211-1,60)=0)),"・","")&amp;"金利変更","")&amp;IF(AND(OR(AND(入力!$B$13="有効",A211&gt;1,MOD(A211-1,60)=0),AND(A211=入力!$B$11,A211&gt;1)),入力!$B$14="有効",IF(E211=0,ROUND(C211/MAX(1,S210-A211+1),0),ROUND(-PMT(E211/12,MAX(1,S210-A211+1),C211),0))&gt;ROUND(G210*1.25,0),NOT(FALSE)),"・上限適用",""))</f>
        <v/>
      </c>
      <c r="Q211" s="35" t="str">
        <f>IF(AND(T210="",A211&lt;=S210),入力!$B$13,"")</f>
        <v>有効</v>
      </c>
      <c r="R211" s="32" t="str">
        <f>IF(AND(AND(T210="",A211&lt;=S210),OR(AND(入力!$B$13="有効",A211&gt;1,MOD(A211-1,60)=0),AND(A211=入力!$B$11,A211&gt;1)),入力!$B$14="有効"),ROUND(G210*1.25,0),"")</f>
        <v/>
      </c>
      <c r="S211" s="36">
        <f t="shared" si="66"/>
        <v>420</v>
      </c>
      <c r="T211" s="35" t="str">
        <f t="shared" si="67"/>
        <v/>
      </c>
      <c r="U211" s="3">
        <f t="shared" si="51"/>
        <v>0</v>
      </c>
      <c r="V211" s="3">
        <f t="shared" si="52"/>
        <v>0</v>
      </c>
      <c r="W211" s="3">
        <f t="shared" si="53"/>
        <v>0</v>
      </c>
      <c r="X211" s="3">
        <f t="shared" si="54"/>
        <v>0</v>
      </c>
      <c r="Y211" s="3">
        <f>0</f>
        <v>0</v>
      </c>
      <c r="Z211" s="3">
        <f t="shared" si="55"/>
        <v>0</v>
      </c>
      <c r="AA211">
        <f>ROUND(IF(FALSE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,0)</f>
        <v>121428</v>
      </c>
    </row>
    <row r="212" spans="1:27">
      <c r="A212" s="30">
        <f>207</f>
        <v>207</v>
      </c>
      <c r="B212" s="31">
        <f>EDATE(入力!$B$6,A212-1)</f>
        <v>52505</v>
      </c>
      <c r="C212" s="32">
        <f t="shared" si="56"/>
        <v>20948477</v>
      </c>
      <c r="D212" s="32">
        <f t="shared" si="57"/>
        <v>0</v>
      </c>
      <c r="E212" s="33">
        <f>IF(AND(T211="",A212&lt;=S211),IF(A212&lt;入力!$B$11,入力!$B$10,入力!$B$12),0)</f>
        <v>2.5000000000000001E-2</v>
      </c>
      <c r="F212" s="32">
        <f t="shared" si="58"/>
        <v>43643</v>
      </c>
      <c r="G212" s="32">
        <f>ROUND(IF(NOT(AND(T211="",A212&lt;=S211)),0,IF(FALSE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),0)</f>
        <v>121428</v>
      </c>
      <c r="H212" s="32">
        <f t="shared" si="59"/>
        <v>121428</v>
      </c>
      <c r="I212" s="32">
        <f t="shared" si="60"/>
        <v>43643</v>
      </c>
      <c r="J212" s="32">
        <f t="shared" si="61"/>
        <v>0</v>
      </c>
      <c r="K212" s="32">
        <f t="shared" si="62"/>
        <v>0</v>
      </c>
      <c r="L212" s="32">
        <f t="shared" si="63"/>
        <v>77785</v>
      </c>
      <c r="M212" s="32">
        <f>0</f>
        <v>0</v>
      </c>
      <c r="N212" s="32">
        <f t="shared" si="64"/>
        <v>20870692</v>
      </c>
      <c r="O212" s="32">
        <f t="shared" si="65"/>
        <v>9122528</v>
      </c>
      <c r="P212" s="34" t="str">
        <f>IF(NOT(AND(T211="",A212&lt;=S211)),"",IF(FALSE,"繰上返済後再計算","")&amp;IF(AND(入力!$B$13="有効",A212&gt;1,MOD(A212-1,60)=0),IF(FALSE,"・","")&amp;"5年見直し","")&amp;IF(AND(A212=入力!$B$11,A212&gt;1),IF(OR(FALSE,AND(入力!$B$13="有効",A212&gt;1,MOD(A212-1,60)=0)),"・","")&amp;"金利変更","")&amp;IF(AND(OR(AND(入力!$B$13="有効",A212&gt;1,MOD(A212-1,60)=0),AND(A212=入力!$B$11,A212&gt;1)),入力!$B$14="有効",IF(E212=0,ROUND(C212/MAX(1,S211-A212+1),0),ROUND(-PMT(E212/12,MAX(1,S211-A212+1),C212),0))&gt;ROUND(G211*1.25,0),NOT(FALSE)),"・上限適用",""))</f>
        <v/>
      </c>
      <c r="Q212" s="35" t="str">
        <f>IF(AND(T211="",A212&lt;=S211),入力!$B$13,"")</f>
        <v>有効</v>
      </c>
      <c r="R212" s="32" t="str">
        <f>IF(AND(AND(T211="",A212&lt;=S211),OR(AND(入力!$B$13="有効",A212&gt;1,MOD(A212-1,60)=0),AND(A212=入力!$B$11,A212&gt;1)),入力!$B$14="有効"),ROUND(G211*1.25,0),"")</f>
        <v/>
      </c>
      <c r="S212" s="36">
        <f t="shared" si="66"/>
        <v>420</v>
      </c>
      <c r="T212" s="35" t="str">
        <f t="shared" si="67"/>
        <v/>
      </c>
      <c r="U212" s="3">
        <f t="shared" si="51"/>
        <v>0</v>
      </c>
      <c r="V212" s="3">
        <f t="shared" si="52"/>
        <v>0</v>
      </c>
      <c r="W212" s="3">
        <f t="shared" si="53"/>
        <v>0</v>
      </c>
      <c r="X212" s="3">
        <f t="shared" si="54"/>
        <v>0</v>
      </c>
      <c r="Y212" s="3">
        <f>0</f>
        <v>0</v>
      </c>
      <c r="Z212" s="3">
        <f t="shared" si="55"/>
        <v>0</v>
      </c>
      <c r="AA212">
        <f>ROUND(IF(FALSE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,0)</f>
        <v>121428</v>
      </c>
    </row>
    <row r="213" spans="1:27">
      <c r="A213" s="30">
        <f>208</f>
        <v>208</v>
      </c>
      <c r="B213" s="31">
        <f>EDATE(入力!$B$6,A213-1)</f>
        <v>52536</v>
      </c>
      <c r="C213" s="32">
        <f t="shared" si="56"/>
        <v>20870692</v>
      </c>
      <c r="D213" s="32">
        <f t="shared" si="57"/>
        <v>0</v>
      </c>
      <c r="E213" s="33">
        <f>IF(AND(T212="",A213&lt;=S212),IF(A213&lt;入力!$B$11,入力!$B$10,入力!$B$12),0)</f>
        <v>2.5000000000000001E-2</v>
      </c>
      <c r="F213" s="32">
        <f t="shared" si="58"/>
        <v>43481</v>
      </c>
      <c r="G213" s="32">
        <f>ROUND(IF(NOT(AND(T212="",A213&lt;=S212)),0,IF(FALSE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),0)</f>
        <v>121428</v>
      </c>
      <c r="H213" s="32">
        <f t="shared" si="59"/>
        <v>121428</v>
      </c>
      <c r="I213" s="32">
        <f t="shared" si="60"/>
        <v>43481</v>
      </c>
      <c r="J213" s="32">
        <f t="shared" si="61"/>
        <v>0</v>
      </c>
      <c r="K213" s="32">
        <f t="shared" si="62"/>
        <v>0</v>
      </c>
      <c r="L213" s="32">
        <f t="shared" si="63"/>
        <v>77947</v>
      </c>
      <c r="M213" s="32">
        <f>0</f>
        <v>0</v>
      </c>
      <c r="N213" s="32">
        <f t="shared" si="64"/>
        <v>20792745</v>
      </c>
      <c r="O213" s="32">
        <f t="shared" si="65"/>
        <v>9166009</v>
      </c>
      <c r="P213" s="34" t="str">
        <f>IF(NOT(AND(T212="",A213&lt;=S212)),"",IF(FALSE,"繰上返済後再計算","")&amp;IF(AND(入力!$B$13="有効",A213&gt;1,MOD(A213-1,60)=0),IF(FALSE,"・","")&amp;"5年見直し","")&amp;IF(AND(A213=入力!$B$11,A213&gt;1),IF(OR(FALSE,AND(入力!$B$13="有効",A213&gt;1,MOD(A213-1,60)=0)),"・","")&amp;"金利変更","")&amp;IF(AND(OR(AND(入力!$B$13="有効",A213&gt;1,MOD(A213-1,60)=0),AND(A213=入力!$B$11,A213&gt;1)),入力!$B$14="有効",IF(E213=0,ROUND(C213/MAX(1,S212-A213+1),0),ROUND(-PMT(E213/12,MAX(1,S212-A213+1),C213),0))&gt;ROUND(G212*1.25,0),NOT(FALSE)),"・上限適用",""))</f>
        <v/>
      </c>
      <c r="Q213" s="35" t="str">
        <f>IF(AND(T212="",A213&lt;=S212),入力!$B$13,"")</f>
        <v>有効</v>
      </c>
      <c r="R213" s="32" t="str">
        <f>IF(AND(AND(T212="",A213&lt;=S212),OR(AND(入力!$B$13="有効",A213&gt;1,MOD(A213-1,60)=0),AND(A213=入力!$B$11,A213&gt;1)),入力!$B$14="有効"),ROUND(G212*1.25,0),"")</f>
        <v/>
      </c>
      <c r="S213" s="36">
        <f t="shared" si="66"/>
        <v>420</v>
      </c>
      <c r="T213" s="35" t="str">
        <f t="shared" si="67"/>
        <v/>
      </c>
      <c r="U213" s="3">
        <f t="shared" si="51"/>
        <v>0</v>
      </c>
      <c r="V213" s="3">
        <f t="shared" si="52"/>
        <v>0</v>
      </c>
      <c r="W213" s="3">
        <f t="shared" si="53"/>
        <v>0</v>
      </c>
      <c r="X213" s="3">
        <f t="shared" si="54"/>
        <v>0</v>
      </c>
      <c r="Y213" s="3">
        <f>0</f>
        <v>0</v>
      </c>
      <c r="Z213" s="3">
        <f t="shared" si="55"/>
        <v>0</v>
      </c>
      <c r="AA213">
        <f>ROUND(IF(FALSE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,0)</f>
        <v>121428</v>
      </c>
    </row>
    <row r="214" spans="1:27">
      <c r="A214" s="30">
        <f>209</f>
        <v>209</v>
      </c>
      <c r="B214" s="31">
        <f>EDATE(入力!$B$6,A214-1)</f>
        <v>52566</v>
      </c>
      <c r="C214" s="32">
        <f t="shared" si="56"/>
        <v>20792745</v>
      </c>
      <c r="D214" s="32">
        <f t="shared" si="57"/>
        <v>0</v>
      </c>
      <c r="E214" s="33">
        <f>IF(AND(T213="",A214&lt;=S213),IF(A214&lt;入力!$B$11,入力!$B$10,入力!$B$12),0)</f>
        <v>2.5000000000000001E-2</v>
      </c>
      <c r="F214" s="32">
        <f t="shared" si="58"/>
        <v>43318</v>
      </c>
      <c r="G214" s="32">
        <f>ROUND(IF(NOT(AND(T213="",A214&lt;=S213)),0,IF(FALSE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),0)</f>
        <v>121428</v>
      </c>
      <c r="H214" s="32">
        <f t="shared" si="59"/>
        <v>121428</v>
      </c>
      <c r="I214" s="32">
        <f t="shared" si="60"/>
        <v>43318</v>
      </c>
      <c r="J214" s="32">
        <f t="shared" si="61"/>
        <v>0</v>
      </c>
      <c r="K214" s="32">
        <f t="shared" si="62"/>
        <v>0</v>
      </c>
      <c r="L214" s="32">
        <f t="shared" si="63"/>
        <v>78110</v>
      </c>
      <c r="M214" s="32">
        <f>0</f>
        <v>0</v>
      </c>
      <c r="N214" s="32">
        <f t="shared" si="64"/>
        <v>20714635</v>
      </c>
      <c r="O214" s="32">
        <f t="shared" si="65"/>
        <v>9209327</v>
      </c>
      <c r="P214" s="34" t="str">
        <f>IF(NOT(AND(T213="",A214&lt;=S213)),"",IF(FALSE,"繰上返済後再計算","")&amp;IF(AND(入力!$B$13="有効",A214&gt;1,MOD(A214-1,60)=0),IF(FALSE,"・","")&amp;"5年見直し","")&amp;IF(AND(A214=入力!$B$11,A214&gt;1),IF(OR(FALSE,AND(入力!$B$13="有効",A214&gt;1,MOD(A214-1,60)=0)),"・","")&amp;"金利変更","")&amp;IF(AND(OR(AND(入力!$B$13="有効",A214&gt;1,MOD(A214-1,60)=0),AND(A214=入力!$B$11,A214&gt;1)),入力!$B$14="有効",IF(E214=0,ROUND(C214/MAX(1,S213-A214+1),0),ROUND(-PMT(E214/12,MAX(1,S213-A214+1),C214),0))&gt;ROUND(G213*1.25,0),NOT(FALSE)),"・上限適用",""))</f>
        <v/>
      </c>
      <c r="Q214" s="35" t="str">
        <f>IF(AND(T213="",A214&lt;=S213),入力!$B$13,"")</f>
        <v>有効</v>
      </c>
      <c r="R214" s="32" t="str">
        <f>IF(AND(AND(T213="",A214&lt;=S213),OR(AND(入力!$B$13="有効",A214&gt;1,MOD(A214-1,60)=0),AND(A214=入力!$B$11,A214&gt;1)),入力!$B$14="有効"),ROUND(G213*1.25,0),"")</f>
        <v/>
      </c>
      <c r="S214" s="36">
        <f t="shared" si="66"/>
        <v>420</v>
      </c>
      <c r="T214" s="35" t="str">
        <f t="shared" si="67"/>
        <v/>
      </c>
      <c r="U214" s="3">
        <f t="shared" si="51"/>
        <v>0</v>
      </c>
      <c r="V214" s="3">
        <f t="shared" si="52"/>
        <v>0</v>
      </c>
      <c r="W214" s="3">
        <f t="shared" si="53"/>
        <v>0</v>
      </c>
      <c r="X214" s="3">
        <f t="shared" si="54"/>
        <v>0</v>
      </c>
      <c r="Y214" s="3">
        <f>0</f>
        <v>0</v>
      </c>
      <c r="Z214" s="3">
        <f t="shared" si="55"/>
        <v>0</v>
      </c>
      <c r="AA214">
        <f>ROUND(IF(FALSE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,0)</f>
        <v>121428</v>
      </c>
    </row>
    <row r="215" spans="1:27">
      <c r="A215" s="30">
        <f>210</f>
        <v>210</v>
      </c>
      <c r="B215" s="31">
        <f>EDATE(入力!$B$6,A215-1)</f>
        <v>52597</v>
      </c>
      <c r="C215" s="32">
        <f t="shared" si="56"/>
        <v>20714635</v>
      </c>
      <c r="D215" s="32">
        <f t="shared" si="57"/>
        <v>0</v>
      </c>
      <c r="E215" s="33">
        <f>IF(AND(T214="",A215&lt;=S214),IF(A215&lt;入力!$B$11,入力!$B$10,入力!$B$12),0)</f>
        <v>2.5000000000000001E-2</v>
      </c>
      <c r="F215" s="32">
        <f t="shared" si="58"/>
        <v>43155</v>
      </c>
      <c r="G215" s="32">
        <f>ROUND(IF(NOT(AND(T214="",A215&lt;=S214)),0,IF(FALSE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),0)</f>
        <v>121428</v>
      </c>
      <c r="H215" s="32">
        <f t="shared" si="59"/>
        <v>121428</v>
      </c>
      <c r="I215" s="32">
        <f t="shared" si="60"/>
        <v>43155</v>
      </c>
      <c r="J215" s="32">
        <f t="shared" si="61"/>
        <v>0</v>
      </c>
      <c r="K215" s="32">
        <f t="shared" si="62"/>
        <v>0</v>
      </c>
      <c r="L215" s="32">
        <f t="shared" si="63"/>
        <v>78273</v>
      </c>
      <c r="M215" s="32">
        <f>0</f>
        <v>0</v>
      </c>
      <c r="N215" s="32">
        <f t="shared" si="64"/>
        <v>20636362</v>
      </c>
      <c r="O215" s="32">
        <f t="shared" si="65"/>
        <v>9252482</v>
      </c>
      <c r="P215" s="34" t="str">
        <f>IF(NOT(AND(T214="",A215&lt;=S214)),"",IF(FALSE,"繰上返済後再計算","")&amp;IF(AND(入力!$B$13="有効",A215&gt;1,MOD(A215-1,60)=0),IF(FALSE,"・","")&amp;"5年見直し","")&amp;IF(AND(A215=入力!$B$11,A215&gt;1),IF(OR(FALSE,AND(入力!$B$13="有効",A215&gt;1,MOD(A215-1,60)=0)),"・","")&amp;"金利変更","")&amp;IF(AND(OR(AND(入力!$B$13="有効",A215&gt;1,MOD(A215-1,60)=0),AND(A215=入力!$B$11,A215&gt;1)),入力!$B$14="有効",IF(E215=0,ROUND(C215/MAX(1,S214-A215+1),0),ROUND(-PMT(E215/12,MAX(1,S214-A215+1),C215),0))&gt;ROUND(G214*1.25,0),NOT(FALSE)),"・上限適用",""))</f>
        <v/>
      </c>
      <c r="Q215" s="35" t="str">
        <f>IF(AND(T214="",A215&lt;=S214),入力!$B$13,"")</f>
        <v>有効</v>
      </c>
      <c r="R215" s="32" t="str">
        <f>IF(AND(AND(T214="",A215&lt;=S214),OR(AND(入力!$B$13="有効",A215&gt;1,MOD(A215-1,60)=0),AND(A215=入力!$B$11,A215&gt;1)),入力!$B$14="有効"),ROUND(G214*1.25,0),"")</f>
        <v/>
      </c>
      <c r="S215" s="36">
        <f t="shared" si="66"/>
        <v>420</v>
      </c>
      <c r="T215" s="35" t="str">
        <f t="shared" si="67"/>
        <v/>
      </c>
      <c r="U215" s="3">
        <f t="shared" si="51"/>
        <v>0</v>
      </c>
      <c r="V215" s="3">
        <f t="shared" si="52"/>
        <v>0</v>
      </c>
      <c r="W215" s="3">
        <f t="shared" si="53"/>
        <v>0</v>
      </c>
      <c r="X215" s="3">
        <f t="shared" si="54"/>
        <v>0</v>
      </c>
      <c r="Y215" s="3">
        <f>0</f>
        <v>0</v>
      </c>
      <c r="Z215" s="3">
        <f t="shared" si="55"/>
        <v>0</v>
      </c>
      <c r="AA215">
        <f>ROUND(IF(FALSE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,0)</f>
        <v>121428</v>
      </c>
    </row>
    <row r="216" spans="1:27">
      <c r="A216" s="30">
        <f>211</f>
        <v>211</v>
      </c>
      <c r="B216" s="31">
        <f>EDATE(入力!$B$6,A216-1)</f>
        <v>52628</v>
      </c>
      <c r="C216" s="32">
        <f t="shared" si="56"/>
        <v>20636362</v>
      </c>
      <c r="D216" s="32">
        <f t="shared" si="57"/>
        <v>0</v>
      </c>
      <c r="E216" s="33">
        <f>IF(AND(T215="",A216&lt;=S215),IF(A216&lt;入力!$B$11,入力!$B$10,入力!$B$12),0)</f>
        <v>2.5000000000000001E-2</v>
      </c>
      <c r="F216" s="32">
        <f t="shared" si="58"/>
        <v>42992</v>
      </c>
      <c r="G216" s="32">
        <f>ROUND(IF(NOT(AND(T215="",A216&lt;=S215)),0,IF(FALSE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),0)</f>
        <v>121428</v>
      </c>
      <c r="H216" s="32">
        <f t="shared" si="59"/>
        <v>121428</v>
      </c>
      <c r="I216" s="32">
        <f t="shared" si="60"/>
        <v>42992</v>
      </c>
      <c r="J216" s="32">
        <f t="shared" si="61"/>
        <v>0</v>
      </c>
      <c r="K216" s="32">
        <f t="shared" si="62"/>
        <v>0</v>
      </c>
      <c r="L216" s="32">
        <f t="shared" si="63"/>
        <v>78436</v>
      </c>
      <c r="M216" s="32">
        <f>0</f>
        <v>0</v>
      </c>
      <c r="N216" s="32">
        <f t="shared" si="64"/>
        <v>20557926</v>
      </c>
      <c r="O216" s="32">
        <f t="shared" si="65"/>
        <v>9295474</v>
      </c>
      <c r="P216" s="34" t="str">
        <f>IF(NOT(AND(T215="",A216&lt;=S215)),"",IF(FALSE,"繰上返済後再計算","")&amp;IF(AND(入力!$B$13="有効",A216&gt;1,MOD(A216-1,60)=0),IF(FALSE,"・","")&amp;"5年見直し","")&amp;IF(AND(A216=入力!$B$11,A216&gt;1),IF(OR(FALSE,AND(入力!$B$13="有効",A216&gt;1,MOD(A216-1,60)=0)),"・","")&amp;"金利変更","")&amp;IF(AND(OR(AND(入力!$B$13="有効",A216&gt;1,MOD(A216-1,60)=0),AND(A216=入力!$B$11,A216&gt;1)),入力!$B$14="有効",IF(E216=0,ROUND(C216/MAX(1,S215-A216+1),0),ROUND(-PMT(E216/12,MAX(1,S215-A216+1),C216),0))&gt;ROUND(G215*1.25,0),NOT(FALSE)),"・上限適用",""))</f>
        <v/>
      </c>
      <c r="Q216" s="35" t="str">
        <f>IF(AND(T215="",A216&lt;=S215),入力!$B$13,"")</f>
        <v>有効</v>
      </c>
      <c r="R216" s="32" t="str">
        <f>IF(AND(AND(T215="",A216&lt;=S215),OR(AND(入力!$B$13="有効",A216&gt;1,MOD(A216-1,60)=0),AND(A216=入力!$B$11,A216&gt;1)),入力!$B$14="有効"),ROUND(G215*1.25,0),"")</f>
        <v/>
      </c>
      <c r="S216" s="36">
        <f t="shared" si="66"/>
        <v>420</v>
      </c>
      <c r="T216" s="35" t="str">
        <f t="shared" si="67"/>
        <v/>
      </c>
      <c r="U216" s="3">
        <f t="shared" si="51"/>
        <v>0</v>
      </c>
      <c r="V216" s="3">
        <f t="shared" si="52"/>
        <v>0</v>
      </c>
      <c r="W216" s="3">
        <f t="shared" si="53"/>
        <v>0</v>
      </c>
      <c r="X216" s="3">
        <f t="shared" si="54"/>
        <v>0</v>
      </c>
      <c r="Y216" s="3">
        <f>0</f>
        <v>0</v>
      </c>
      <c r="Z216" s="3">
        <f t="shared" si="55"/>
        <v>0</v>
      </c>
      <c r="AA216">
        <f>ROUND(IF(FALSE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,0)</f>
        <v>121428</v>
      </c>
    </row>
    <row r="217" spans="1:27">
      <c r="A217" s="30">
        <f>212</f>
        <v>212</v>
      </c>
      <c r="B217" s="31">
        <f>EDATE(入力!$B$6,A217-1)</f>
        <v>52657</v>
      </c>
      <c r="C217" s="32">
        <f t="shared" si="56"/>
        <v>20557926</v>
      </c>
      <c r="D217" s="32">
        <f t="shared" si="57"/>
        <v>0</v>
      </c>
      <c r="E217" s="33">
        <f>IF(AND(T216="",A217&lt;=S216),IF(A217&lt;入力!$B$11,入力!$B$10,入力!$B$12),0)</f>
        <v>2.5000000000000001E-2</v>
      </c>
      <c r="F217" s="32">
        <f t="shared" si="58"/>
        <v>42829</v>
      </c>
      <c r="G217" s="32">
        <f>ROUND(IF(NOT(AND(T216="",A217&lt;=S216)),0,IF(FALSE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),0)</f>
        <v>121428</v>
      </c>
      <c r="H217" s="32">
        <f t="shared" si="59"/>
        <v>121428</v>
      </c>
      <c r="I217" s="32">
        <f t="shared" si="60"/>
        <v>42829</v>
      </c>
      <c r="J217" s="32">
        <f t="shared" si="61"/>
        <v>0</v>
      </c>
      <c r="K217" s="32">
        <f t="shared" si="62"/>
        <v>0</v>
      </c>
      <c r="L217" s="32">
        <f t="shared" si="63"/>
        <v>78599</v>
      </c>
      <c r="M217" s="32">
        <f>0</f>
        <v>0</v>
      </c>
      <c r="N217" s="32">
        <f t="shared" si="64"/>
        <v>20479327</v>
      </c>
      <c r="O217" s="32">
        <f t="shared" si="65"/>
        <v>9338303</v>
      </c>
      <c r="P217" s="34" t="str">
        <f>IF(NOT(AND(T216="",A217&lt;=S216)),"",IF(FALSE,"繰上返済後再計算","")&amp;IF(AND(入力!$B$13="有効",A217&gt;1,MOD(A217-1,60)=0),IF(FALSE,"・","")&amp;"5年見直し","")&amp;IF(AND(A217=入力!$B$11,A217&gt;1),IF(OR(FALSE,AND(入力!$B$13="有効",A217&gt;1,MOD(A217-1,60)=0)),"・","")&amp;"金利変更","")&amp;IF(AND(OR(AND(入力!$B$13="有効",A217&gt;1,MOD(A217-1,60)=0),AND(A217=入力!$B$11,A217&gt;1)),入力!$B$14="有効",IF(E217=0,ROUND(C217/MAX(1,S216-A217+1),0),ROUND(-PMT(E217/12,MAX(1,S216-A217+1),C217),0))&gt;ROUND(G216*1.25,0),NOT(FALSE)),"・上限適用",""))</f>
        <v/>
      </c>
      <c r="Q217" s="35" t="str">
        <f>IF(AND(T216="",A217&lt;=S216),入力!$B$13,"")</f>
        <v>有効</v>
      </c>
      <c r="R217" s="32" t="str">
        <f>IF(AND(AND(T216="",A217&lt;=S216),OR(AND(入力!$B$13="有効",A217&gt;1,MOD(A217-1,60)=0),AND(A217=入力!$B$11,A217&gt;1)),入力!$B$14="有効"),ROUND(G216*1.25,0),"")</f>
        <v/>
      </c>
      <c r="S217" s="36">
        <f t="shared" si="66"/>
        <v>420</v>
      </c>
      <c r="T217" s="35" t="str">
        <f t="shared" si="67"/>
        <v/>
      </c>
      <c r="U217" s="3">
        <f t="shared" si="51"/>
        <v>0</v>
      </c>
      <c r="V217" s="3">
        <f t="shared" si="52"/>
        <v>0</v>
      </c>
      <c r="W217" s="3">
        <f t="shared" si="53"/>
        <v>0</v>
      </c>
      <c r="X217" s="3">
        <f t="shared" si="54"/>
        <v>0</v>
      </c>
      <c r="Y217" s="3">
        <f>0</f>
        <v>0</v>
      </c>
      <c r="Z217" s="3">
        <f t="shared" si="55"/>
        <v>0</v>
      </c>
      <c r="AA217">
        <f>ROUND(IF(FALSE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,0)</f>
        <v>121428</v>
      </c>
    </row>
    <row r="218" spans="1:27">
      <c r="A218" s="30">
        <f>213</f>
        <v>213</v>
      </c>
      <c r="B218" s="31">
        <f>EDATE(入力!$B$6,A218-1)</f>
        <v>52688</v>
      </c>
      <c r="C218" s="32">
        <f t="shared" si="56"/>
        <v>20479327</v>
      </c>
      <c r="D218" s="32">
        <f t="shared" si="57"/>
        <v>0</v>
      </c>
      <c r="E218" s="33">
        <f>IF(AND(T217="",A218&lt;=S217),IF(A218&lt;入力!$B$11,入力!$B$10,入力!$B$12),0)</f>
        <v>2.5000000000000001E-2</v>
      </c>
      <c r="F218" s="32">
        <f t="shared" si="58"/>
        <v>42665</v>
      </c>
      <c r="G218" s="32">
        <f>ROUND(IF(NOT(AND(T217="",A218&lt;=S217)),0,IF(FALSE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),0)</f>
        <v>121428</v>
      </c>
      <c r="H218" s="32">
        <f t="shared" si="59"/>
        <v>121428</v>
      </c>
      <c r="I218" s="32">
        <f t="shared" si="60"/>
        <v>42665</v>
      </c>
      <c r="J218" s="32">
        <f t="shared" si="61"/>
        <v>0</v>
      </c>
      <c r="K218" s="32">
        <f t="shared" si="62"/>
        <v>0</v>
      </c>
      <c r="L218" s="32">
        <f t="shared" si="63"/>
        <v>78763</v>
      </c>
      <c r="M218" s="32">
        <f>0</f>
        <v>0</v>
      </c>
      <c r="N218" s="32">
        <f t="shared" si="64"/>
        <v>20400564</v>
      </c>
      <c r="O218" s="32">
        <f t="shared" si="65"/>
        <v>9380968</v>
      </c>
      <c r="P218" s="34" t="str">
        <f>IF(NOT(AND(T217="",A218&lt;=S217)),"",IF(FALSE,"繰上返済後再計算","")&amp;IF(AND(入力!$B$13="有効",A218&gt;1,MOD(A218-1,60)=0),IF(FALSE,"・","")&amp;"5年見直し","")&amp;IF(AND(A218=入力!$B$11,A218&gt;1),IF(OR(FALSE,AND(入力!$B$13="有効",A218&gt;1,MOD(A218-1,60)=0)),"・","")&amp;"金利変更","")&amp;IF(AND(OR(AND(入力!$B$13="有効",A218&gt;1,MOD(A218-1,60)=0),AND(A218=入力!$B$11,A218&gt;1)),入力!$B$14="有効",IF(E218=0,ROUND(C218/MAX(1,S217-A218+1),0),ROUND(-PMT(E218/12,MAX(1,S217-A218+1),C218),0))&gt;ROUND(G217*1.25,0),NOT(FALSE)),"・上限適用",""))</f>
        <v/>
      </c>
      <c r="Q218" s="35" t="str">
        <f>IF(AND(T217="",A218&lt;=S217),入力!$B$13,"")</f>
        <v>有効</v>
      </c>
      <c r="R218" s="32" t="str">
        <f>IF(AND(AND(T217="",A218&lt;=S217),OR(AND(入力!$B$13="有効",A218&gt;1,MOD(A218-1,60)=0),AND(A218=入力!$B$11,A218&gt;1)),入力!$B$14="有効"),ROUND(G217*1.25,0),"")</f>
        <v/>
      </c>
      <c r="S218" s="36">
        <f t="shared" si="66"/>
        <v>420</v>
      </c>
      <c r="T218" s="35" t="str">
        <f t="shared" si="67"/>
        <v/>
      </c>
      <c r="U218" s="3">
        <f t="shared" si="51"/>
        <v>0</v>
      </c>
      <c r="V218" s="3">
        <f t="shared" si="52"/>
        <v>0</v>
      </c>
      <c r="W218" s="3">
        <f t="shared" si="53"/>
        <v>0</v>
      </c>
      <c r="X218" s="3">
        <f t="shared" si="54"/>
        <v>0</v>
      </c>
      <c r="Y218" s="3">
        <f>0</f>
        <v>0</v>
      </c>
      <c r="Z218" s="3">
        <f t="shared" si="55"/>
        <v>0</v>
      </c>
      <c r="AA218">
        <f>ROUND(IF(FALSE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,0)</f>
        <v>121428</v>
      </c>
    </row>
    <row r="219" spans="1:27">
      <c r="A219" s="30">
        <f>214</f>
        <v>214</v>
      </c>
      <c r="B219" s="31">
        <f>EDATE(入力!$B$6,A219-1)</f>
        <v>52718</v>
      </c>
      <c r="C219" s="32">
        <f t="shared" si="56"/>
        <v>20400564</v>
      </c>
      <c r="D219" s="32">
        <f t="shared" si="57"/>
        <v>0</v>
      </c>
      <c r="E219" s="33">
        <f>IF(AND(T218="",A219&lt;=S218),IF(A219&lt;入力!$B$11,入力!$B$10,入力!$B$12),0)</f>
        <v>2.5000000000000001E-2</v>
      </c>
      <c r="F219" s="32">
        <f t="shared" si="58"/>
        <v>42501</v>
      </c>
      <c r="G219" s="32">
        <f>ROUND(IF(NOT(AND(T218="",A219&lt;=S218)),0,IF(FALSE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),0)</f>
        <v>121428</v>
      </c>
      <c r="H219" s="32">
        <f t="shared" si="59"/>
        <v>121428</v>
      </c>
      <c r="I219" s="32">
        <f t="shared" si="60"/>
        <v>42501</v>
      </c>
      <c r="J219" s="32">
        <f t="shared" si="61"/>
        <v>0</v>
      </c>
      <c r="K219" s="32">
        <f t="shared" si="62"/>
        <v>0</v>
      </c>
      <c r="L219" s="32">
        <f t="shared" si="63"/>
        <v>78927</v>
      </c>
      <c r="M219" s="32">
        <f>0</f>
        <v>0</v>
      </c>
      <c r="N219" s="32">
        <f t="shared" si="64"/>
        <v>20321637</v>
      </c>
      <c r="O219" s="32">
        <f t="shared" si="65"/>
        <v>9423469</v>
      </c>
      <c r="P219" s="34" t="str">
        <f>IF(NOT(AND(T218="",A219&lt;=S218)),"",IF(FALSE,"繰上返済後再計算","")&amp;IF(AND(入力!$B$13="有効",A219&gt;1,MOD(A219-1,60)=0),IF(FALSE,"・","")&amp;"5年見直し","")&amp;IF(AND(A219=入力!$B$11,A219&gt;1),IF(OR(FALSE,AND(入力!$B$13="有効",A219&gt;1,MOD(A219-1,60)=0)),"・","")&amp;"金利変更","")&amp;IF(AND(OR(AND(入力!$B$13="有効",A219&gt;1,MOD(A219-1,60)=0),AND(A219=入力!$B$11,A219&gt;1)),入力!$B$14="有効",IF(E219=0,ROUND(C219/MAX(1,S218-A219+1),0),ROUND(-PMT(E219/12,MAX(1,S218-A219+1),C219),0))&gt;ROUND(G218*1.25,0),NOT(FALSE)),"・上限適用",""))</f>
        <v/>
      </c>
      <c r="Q219" s="35" t="str">
        <f>IF(AND(T218="",A219&lt;=S218),入力!$B$13,"")</f>
        <v>有効</v>
      </c>
      <c r="R219" s="32" t="str">
        <f>IF(AND(AND(T218="",A219&lt;=S218),OR(AND(入力!$B$13="有効",A219&gt;1,MOD(A219-1,60)=0),AND(A219=入力!$B$11,A219&gt;1)),入力!$B$14="有効"),ROUND(G218*1.25,0),"")</f>
        <v/>
      </c>
      <c r="S219" s="36">
        <f t="shared" si="66"/>
        <v>420</v>
      </c>
      <c r="T219" s="35" t="str">
        <f t="shared" si="67"/>
        <v/>
      </c>
      <c r="U219" s="3">
        <f t="shared" si="51"/>
        <v>0</v>
      </c>
      <c r="V219" s="3">
        <f t="shared" si="52"/>
        <v>0</v>
      </c>
      <c r="W219" s="3">
        <f t="shared" si="53"/>
        <v>0</v>
      </c>
      <c r="X219" s="3">
        <f t="shared" si="54"/>
        <v>0</v>
      </c>
      <c r="Y219" s="3">
        <f>0</f>
        <v>0</v>
      </c>
      <c r="Z219" s="3">
        <f t="shared" si="55"/>
        <v>0</v>
      </c>
      <c r="AA219">
        <f>ROUND(IF(FALSE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,0)</f>
        <v>121428</v>
      </c>
    </row>
    <row r="220" spans="1:27">
      <c r="A220" s="30">
        <f>215</f>
        <v>215</v>
      </c>
      <c r="B220" s="31">
        <f>EDATE(入力!$B$6,A220-1)</f>
        <v>52749</v>
      </c>
      <c r="C220" s="32">
        <f t="shared" si="56"/>
        <v>20321637</v>
      </c>
      <c r="D220" s="32">
        <f t="shared" si="57"/>
        <v>0</v>
      </c>
      <c r="E220" s="33">
        <f>IF(AND(T219="",A220&lt;=S219),IF(A220&lt;入力!$B$11,入力!$B$10,入力!$B$12),0)</f>
        <v>2.5000000000000001E-2</v>
      </c>
      <c r="F220" s="32">
        <f t="shared" si="58"/>
        <v>42337</v>
      </c>
      <c r="G220" s="32">
        <f>ROUND(IF(NOT(AND(T219="",A220&lt;=S219)),0,IF(FALSE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),0)</f>
        <v>121428</v>
      </c>
      <c r="H220" s="32">
        <f t="shared" si="59"/>
        <v>121428</v>
      </c>
      <c r="I220" s="32">
        <f t="shared" si="60"/>
        <v>42337</v>
      </c>
      <c r="J220" s="32">
        <f t="shared" si="61"/>
        <v>0</v>
      </c>
      <c r="K220" s="32">
        <f t="shared" si="62"/>
        <v>0</v>
      </c>
      <c r="L220" s="32">
        <f t="shared" si="63"/>
        <v>79091</v>
      </c>
      <c r="M220" s="32">
        <f>0</f>
        <v>0</v>
      </c>
      <c r="N220" s="32">
        <f t="shared" si="64"/>
        <v>20242546</v>
      </c>
      <c r="O220" s="32">
        <f t="shared" si="65"/>
        <v>9465806</v>
      </c>
      <c r="P220" s="34" t="str">
        <f>IF(NOT(AND(T219="",A220&lt;=S219)),"",IF(FALSE,"繰上返済後再計算","")&amp;IF(AND(入力!$B$13="有効",A220&gt;1,MOD(A220-1,60)=0),IF(FALSE,"・","")&amp;"5年見直し","")&amp;IF(AND(A220=入力!$B$11,A220&gt;1),IF(OR(FALSE,AND(入力!$B$13="有効",A220&gt;1,MOD(A220-1,60)=0)),"・","")&amp;"金利変更","")&amp;IF(AND(OR(AND(入力!$B$13="有効",A220&gt;1,MOD(A220-1,60)=0),AND(A220=入力!$B$11,A220&gt;1)),入力!$B$14="有効",IF(E220=0,ROUND(C220/MAX(1,S219-A220+1),0),ROUND(-PMT(E220/12,MAX(1,S219-A220+1),C220),0))&gt;ROUND(G219*1.25,0),NOT(FALSE)),"・上限適用",""))</f>
        <v/>
      </c>
      <c r="Q220" s="35" t="str">
        <f>IF(AND(T219="",A220&lt;=S219),入力!$B$13,"")</f>
        <v>有効</v>
      </c>
      <c r="R220" s="32" t="str">
        <f>IF(AND(AND(T219="",A220&lt;=S219),OR(AND(入力!$B$13="有効",A220&gt;1,MOD(A220-1,60)=0),AND(A220=入力!$B$11,A220&gt;1)),入力!$B$14="有効"),ROUND(G219*1.25,0),"")</f>
        <v/>
      </c>
      <c r="S220" s="36">
        <f t="shared" si="66"/>
        <v>420</v>
      </c>
      <c r="T220" s="35" t="str">
        <f t="shared" si="67"/>
        <v/>
      </c>
      <c r="U220" s="3">
        <f t="shared" si="51"/>
        <v>0</v>
      </c>
      <c r="V220" s="3">
        <f t="shared" si="52"/>
        <v>0</v>
      </c>
      <c r="W220" s="3">
        <f t="shared" si="53"/>
        <v>0</v>
      </c>
      <c r="X220" s="3">
        <f t="shared" si="54"/>
        <v>0</v>
      </c>
      <c r="Y220" s="3">
        <f>0</f>
        <v>0</v>
      </c>
      <c r="Z220" s="3">
        <f t="shared" si="55"/>
        <v>0</v>
      </c>
      <c r="AA220">
        <f>ROUND(IF(FALSE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,0)</f>
        <v>121428</v>
      </c>
    </row>
    <row r="221" spans="1:27">
      <c r="A221" s="30">
        <f>216</f>
        <v>216</v>
      </c>
      <c r="B221" s="31">
        <f>EDATE(入力!$B$6,A221-1)</f>
        <v>52779</v>
      </c>
      <c r="C221" s="32">
        <f t="shared" si="56"/>
        <v>20242546</v>
      </c>
      <c r="D221" s="32">
        <f t="shared" si="57"/>
        <v>0</v>
      </c>
      <c r="E221" s="33">
        <f>IF(AND(T220="",A221&lt;=S220),IF(A221&lt;入力!$B$11,入力!$B$10,入力!$B$12),0)</f>
        <v>2.5000000000000001E-2</v>
      </c>
      <c r="F221" s="32">
        <f t="shared" si="58"/>
        <v>42172</v>
      </c>
      <c r="G221" s="32">
        <f>ROUND(IF(NOT(AND(T220="",A221&lt;=S220)),0,IF(FALSE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),0)</f>
        <v>121428</v>
      </c>
      <c r="H221" s="32">
        <f t="shared" si="59"/>
        <v>121428</v>
      </c>
      <c r="I221" s="32">
        <f t="shared" si="60"/>
        <v>42172</v>
      </c>
      <c r="J221" s="32">
        <f t="shared" si="61"/>
        <v>0</v>
      </c>
      <c r="K221" s="32">
        <f t="shared" si="62"/>
        <v>0</v>
      </c>
      <c r="L221" s="32">
        <f t="shared" si="63"/>
        <v>79256</v>
      </c>
      <c r="M221" s="32">
        <f>0</f>
        <v>0</v>
      </c>
      <c r="N221" s="32">
        <f t="shared" si="64"/>
        <v>20163290</v>
      </c>
      <c r="O221" s="32">
        <f t="shared" si="65"/>
        <v>9507978</v>
      </c>
      <c r="P221" s="34" t="str">
        <f>IF(NOT(AND(T220="",A221&lt;=S220)),"",IF(FALSE,"繰上返済後再計算","")&amp;IF(AND(入力!$B$13="有効",A221&gt;1,MOD(A221-1,60)=0),IF(FALSE,"・","")&amp;"5年見直し","")&amp;IF(AND(A221=入力!$B$11,A221&gt;1),IF(OR(FALSE,AND(入力!$B$13="有効",A221&gt;1,MOD(A221-1,60)=0)),"・","")&amp;"金利変更","")&amp;IF(AND(OR(AND(入力!$B$13="有効",A221&gt;1,MOD(A221-1,60)=0),AND(A221=入力!$B$11,A221&gt;1)),入力!$B$14="有効",IF(E221=0,ROUND(C221/MAX(1,S220-A221+1),0),ROUND(-PMT(E221/12,MAX(1,S220-A221+1),C221),0))&gt;ROUND(G220*1.25,0),NOT(FALSE)),"・上限適用",""))</f>
        <v/>
      </c>
      <c r="Q221" s="35" t="str">
        <f>IF(AND(T220="",A221&lt;=S220),入力!$B$13,"")</f>
        <v>有効</v>
      </c>
      <c r="R221" s="32" t="str">
        <f>IF(AND(AND(T220="",A221&lt;=S220),OR(AND(入力!$B$13="有効",A221&gt;1,MOD(A221-1,60)=0),AND(A221=入力!$B$11,A221&gt;1)),入力!$B$14="有効"),ROUND(G220*1.25,0),"")</f>
        <v/>
      </c>
      <c r="S221" s="36">
        <f t="shared" si="66"/>
        <v>420</v>
      </c>
      <c r="T221" s="35" t="str">
        <f t="shared" si="67"/>
        <v/>
      </c>
      <c r="U221" s="3">
        <f t="shared" si="51"/>
        <v>0</v>
      </c>
      <c r="V221" s="3">
        <f t="shared" si="52"/>
        <v>0</v>
      </c>
      <c r="W221" s="3">
        <f t="shared" si="53"/>
        <v>0</v>
      </c>
      <c r="X221" s="3">
        <f t="shared" si="54"/>
        <v>0</v>
      </c>
      <c r="Y221" s="3">
        <f>0</f>
        <v>0</v>
      </c>
      <c r="Z221" s="3">
        <f t="shared" si="55"/>
        <v>0</v>
      </c>
      <c r="AA221">
        <f>ROUND(IF(FALSE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,0)</f>
        <v>121428</v>
      </c>
    </row>
    <row r="222" spans="1:27">
      <c r="A222" s="30">
        <f>217</f>
        <v>217</v>
      </c>
      <c r="B222" s="31">
        <f>EDATE(入力!$B$6,A222-1)</f>
        <v>52810</v>
      </c>
      <c r="C222" s="32">
        <f t="shared" si="56"/>
        <v>20163290</v>
      </c>
      <c r="D222" s="32">
        <f t="shared" si="57"/>
        <v>0</v>
      </c>
      <c r="E222" s="33">
        <f>IF(AND(T221="",A222&lt;=S221),IF(A222&lt;入力!$B$11,入力!$B$10,入力!$B$12),0)</f>
        <v>2.5000000000000001E-2</v>
      </c>
      <c r="F222" s="32">
        <f t="shared" si="58"/>
        <v>42007</v>
      </c>
      <c r="G222" s="32">
        <f>ROUND(IF(NOT(AND(T221="",A222&lt;=S221)),0,IF(FALSE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),0)</f>
        <v>121428</v>
      </c>
      <c r="H222" s="32">
        <f t="shared" si="59"/>
        <v>121428</v>
      </c>
      <c r="I222" s="32">
        <f t="shared" si="60"/>
        <v>42007</v>
      </c>
      <c r="J222" s="32">
        <f t="shared" si="61"/>
        <v>0</v>
      </c>
      <c r="K222" s="32">
        <f t="shared" si="62"/>
        <v>0</v>
      </c>
      <c r="L222" s="32">
        <f t="shared" si="63"/>
        <v>79421</v>
      </c>
      <c r="M222" s="32">
        <f>0</f>
        <v>0</v>
      </c>
      <c r="N222" s="32">
        <f t="shared" si="64"/>
        <v>20083869</v>
      </c>
      <c r="O222" s="32">
        <f t="shared" si="65"/>
        <v>9549985</v>
      </c>
      <c r="P222" s="34" t="str">
        <f>IF(NOT(AND(T221="",A222&lt;=S221)),"",IF(FALSE,"繰上返済後再計算","")&amp;IF(AND(入力!$B$13="有効",A222&gt;1,MOD(A222-1,60)=0),IF(FALSE,"・","")&amp;"5年見直し","")&amp;IF(AND(A222=入力!$B$11,A222&gt;1),IF(OR(FALSE,AND(入力!$B$13="有効",A222&gt;1,MOD(A222-1,60)=0)),"・","")&amp;"金利変更","")&amp;IF(AND(OR(AND(入力!$B$13="有効",A222&gt;1,MOD(A222-1,60)=0),AND(A222=入力!$B$11,A222&gt;1)),入力!$B$14="有効",IF(E222=0,ROUND(C222/MAX(1,S221-A222+1),0),ROUND(-PMT(E222/12,MAX(1,S221-A222+1),C222),0))&gt;ROUND(G221*1.25,0),NOT(FALSE)),"・上限適用",""))</f>
        <v/>
      </c>
      <c r="Q222" s="35" t="str">
        <f>IF(AND(T221="",A222&lt;=S221),入力!$B$13,"")</f>
        <v>有効</v>
      </c>
      <c r="R222" s="32" t="str">
        <f>IF(AND(AND(T221="",A222&lt;=S221),OR(AND(入力!$B$13="有効",A222&gt;1,MOD(A222-1,60)=0),AND(A222=入力!$B$11,A222&gt;1)),入力!$B$14="有効"),ROUND(G221*1.25,0),"")</f>
        <v/>
      </c>
      <c r="S222" s="36">
        <f t="shared" si="66"/>
        <v>420</v>
      </c>
      <c r="T222" s="35" t="str">
        <f t="shared" si="67"/>
        <v/>
      </c>
      <c r="U222" s="3">
        <f t="shared" si="51"/>
        <v>0</v>
      </c>
      <c r="V222" s="3">
        <f t="shared" si="52"/>
        <v>0</v>
      </c>
      <c r="W222" s="3">
        <f t="shared" si="53"/>
        <v>0</v>
      </c>
      <c r="X222" s="3">
        <f t="shared" si="54"/>
        <v>0</v>
      </c>
      <c r="Y222" s="3">
        <f>0</f>
        <v>0</v>
      </c>
      <c r="Z222" s="3">
        <f t="shared" si="55"/>
        <v>0</v>
      </c>
      <c r="AA222">
        <f>ROUND(IF(FALSE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,0)</f>
        <v>121428</v>
      </c>
    </row>
    <row r="223" spans="1:27">
      <c r="A223" s="30">
        <f>218</f>
        <v>218</v>
      </c>
      <c r="B223" s="31">
        <f>EDATE(入力!$B$6,A223-1)</f>
        <v>52841</v>
      </c>
      <c r="C223" s="32">
        <f t="shared" si="56"/>
        <v>20083869</v>
      </c>
      <c r="D223" s="32">
        <f t="shared" si="57"/>
        <v>0</v>
      </c>
      <c r="E223" s="33">
        <f>IF(AND(T222="",A223&lt;=S222),IF(A223&lt;入力!$B$11,入力!$B$10,入力!$B$12),0)</f>
        <v>2.5000000000000001E-2</v>
      </c>
      <c r="F223" s="32">
        <f t="shared" si="58"/>
        <v>41841</v>
      </c>
      <c r="G223" s="32">
        <f>ROUND(IF(NOT(AND(T222="",A223&lt;=S222)),0,IF(FALSE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),0)</f>
        <v>121428</v>
      </c>
      <c r="H223" s="32">
        <f t="shared" si="59"/>
        <v>121428</v>
      </c>
      <c r="I223" s="32">
        <f t="shared" si="60"/>
        <v>41841</v>
      </c>
      <c r="J223" s="32">
        <f t="shared" si="61"/>
        <v>0</v>
      </c>
      <c r="K223" s="32">
        <f t="shared" si="62"/>
        <v>0</v>
      </c>
      <c r="L223" s="32">
        <f t="shared" si="63"/>
        <v>79587</v>
      </c>
      <c r="M223" s="32">
        <f>0</f>
        <v>0</v>
      </c>
      <c r="N223" s="32">
        <f t="shared" si="64"/>
        <v>20004282</v>
      </c>
      <c r="O223" s="32">
        <f t="shared" si="65"/>
        <v>9591826</v>
      </c>
      <c r="P223" s="34" t="str">
        <f>IF(NOT(AND(T222="",A223&lt;=S222)),"",IF(FALSE,"繰上返済後再計算","")&amp;IF(AND(入力!$B$13="有効",A223&gt;1,MOD(A223-1,60)=0),IF(FALSE,"・","")&amp;"5年見直し","")&amp;IF(AND(A223=入力!$B$11,A223&gt;1),IF(OR(FALSE,AND(入力!$B$13="有効",A223&gt;1,MOD(A223-1,60)=0)),"・","")&amp;"金利変更","")&amp;IF(AND(OR(AND(入力!$B$13="有効",A223&gt;1,MOD(A223-1,60)=0),AND(A223=入力!$B$11,A223&gt;1)),入力!$B$14="有効",IF(E223=0,ROUND(C223/MAX(1,S222-A223+1),0),ROUND(-PMT(E223/12,MAX(1,S222-A223+1),C223),0))&gt;ROUND(G222*1.25,0),NOT(FALSE)),"・上限適用",""))</f>
        <v/>
      </c>
      <c r="Q223" s="35" t="str">
        <f>IF(AND(T222="",A223&lt;=S222),入力!$B$13,"")</f>
        <v>有効</v>
      </c>
      <c r="R223" s="32" t="str">
        <f>IF(AND(AND(T222="",A223&lt;=S222),OR(AND(入力!$B$13="有効",A223&gt;1,MOD(A223-1,60)=0),AND(A223=入力!$B$11,A223&gt;1)),入力!$B$14="有効"),ROUND(G222*1.25,0),"")</f>
        <v/>
      </c>
      <c r="S223" s="36">
        <f t="shared" si="66"/>
        <v>420</v>
      </c>
      <c r="T223" s="35" t="str">
        <f t="shared" si="67"/>
        <v/>
      </c>
      <c r="U223" s="3">
        <f t="shared" si="51"/>
        <v>0</v>
      </c>
      <c r="V223" s="3">
        <f t="shared" si="52"/>
        <v>0</v>
      </c>
      <c r="W223" s="3">
        <f t="shared" si="53"/>
        <v>0</v>
      </c>
      <c r="X223" s="3">
        <f t="shared" si="54"/>
        <v>0</v>
      </c>
      <c r="Y223" s="3">
        <f>0</f>
        <v>0</v>
      </c>
      <c r="Z223" s="3">
        <f t="shared" si="55"/>
        <v>0</v>
      </c>
      <c r="AA223">
        <f>ROUND(IF(FALSE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,0)</f>
        <v>121428</v>
      </c>
    </row>
    <row r="224" spans="1:27">
      <c r="A224" s="30">
        <f>219</f>
        <v>219</v>
      </c>
      <c r="B224" s="31">
        <f>EDATE(入力!$B$6,A224-1)</f>
        <v>52871</v>
      </c>
      <c r="C224" s="32">
        <f t="shared" si="56"/>
        <v>20004282</v>
      </c>
      <c r="D224" s="32">
        <f t="shared" si="57"/>
        <v>0</v>
      </c>
      <c r="E224" s="33">
        <f>IF(AND(T223="",A224&lt;=S223),IF(A224&lt;入力!$B$11,入力!$B$10,入力!$B$12),0)</f>
        <v>2.5000000000000001E-2</v>
      </c>
      <c r="F224" s="32">
        <f t="shared" si="58"/>
        <v>41676</v>
      </c>
      <c r="G224" s="32">
        <f>ROUND(IF(NOT(AND(T223="",A224&lt;=S223)),0,IF(FALSE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),0)</f>
        <v>121428</v>
      </c>
      <c r="H224" s="32">
        <f t="shared" si="59"/>
        <v>121428</v>
      </c>
      <c r="I224" s="32">
        <f t="shared" si="60"/>
        <v>41676</v>
      </c>
      <c r="J224" s="32">
        <f t="shared" si="61"/>
        <v>0</v>
      </c>
      <c r="K224" s="32">
        <f t="shared" si="62"/>
        <v>0</v>
      </c>
      <c r="L224" s="32">
        <f t="shared" si="63"/>
        <v>79752</v>
      </c>
      <c r="M224" s="32">
        <f>0</f>
        <v>0</v>
      </c>
      <c r="N224" s="32">
        <f t="shared" si="64"/>
        <v>19924530</v>
      </c>
      <c r="O224" s="32">
        <f t="shared" si="65"/>
        <v>9633502</v>
      </c>
      <c r="P224" s="34" t="str">
        <f>IF(NOT(AND(T223="",A224&lt;=S223)),"",IF(FALSE,"繰上返済後再計算","")&amp;IF(AND(入力!$B$13="有効",A224&gt;1,MOD(A224-1,60)=0),IF(FALSE,"・","")&amp;"5年見直し","")&amp;IF(AND(A224=入力!$B$11,A224&gt;1),IF(OR(FALSE,AND(入力!$B$13="有効",A224&gt;1,MOD(A224-1,60)=0)),"・","")&amp;"金利変更","")&amp;IF(AND(OR(AND(入力!$B$13="有効",A224&gt;1,MOD(A224-1,60)=0),AND(A224=入力!$B$11,A224&gt;1)),入力!$B$14="有効",IF(E224=0,ROUND(C224/MAX(1,S223-A224+1),0),ROUND(-PMT(E224/12,MAX(1,S223-A224+1),C224),0))&gt;ROUND(G223*1.25,0),NOT(FALSE)),"・上限適用",""))</f>
        <v/>
      </c>
      <c r="Q224" s="35" t="str">
        <f>IF(AND(T223="",A224&lt;=S223),入力!$B$13,"")</f>
        <v>有効</v>
      </c>
      <c r="R224" s="32" t="str">
        <f>IF(AND(AND(T223="",A224&lt;=S223),OR(AND(入力!$B$13="有効",A224&gt;1,MOD(A224-1,60)=0),AND(A224=入力!$B$11,A224&gt;1)),入力!$B$14="有効"),ROUND(G223*1.25,0),"")</f>
        <v/>
      </c>
      <c r="S224" s="36">
        <f t="shared" si="66"/>
        <v>420</v>
      </c>
      <c r="T224" s="35" t="str">
        <f t="shared" si="67"/>
        <v/>
      </c>
      <c r="U224" s="3">
        <f t="shared" si="51"/>
        <v>0</v>
      </c>
      <c r="V224" s="3">
        <f t="shared" si="52"/>
        <v>0</v>
      </c>
      <c r="W224" s="3">
        <f t="shared" si="53"/>
        <v>0</v>
      </c>
      <c r="X224" s="3">
        <f t="shared" si="54"/>
        <v>0</v>
      </c>
      <c r="Y224" s="3">
        <f>0</f>
        <v>0</v>
      </c>
      <c r="Z224" s="3">
        <f t="shared" si="55"/>
        <v>0</v>
      </c>
      <c r="AA224">
        <f>ROUND(IF(FALSE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,0)</f>
        <v>121428</v>
      </c>
    </row>
    <row r="225" spans="1:27">
      <c r="A225" s="30">
        <f>220</f>
        <v>220</v>
      </c>
      <c r="B225" s="31">
        <f>EDATE(入力!$B$6,A225-1)</f>
        <v>52902</v>
      </c>
      <c r="C225" s="32">
        <f t="shared" si="56"/>
        <v>19924530</v>
      </c>
      <c r="D225" s="32">
        <f t="shared" si="57"/>
        <v>0</v>
      </c>
      <c r="E225" s="33">
        <f>IF(AND(T224="",A225&lt;=S224),IF(A225&lt;入力!$B$11,入力!$B$10,入力!$B$12),0)</f>
        <v>2.5000000000000001E-2</v>
      </c>
      <c r="F225" s="32">
        <f t="shared" si="58"/>
        <v>41509</v>
      </c>
      <c r="G225" s="32">
        <f>ROUND(IF(NOT(AND(T224="",A225&lt;=S224)),0,IF(FALSE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),0)</f>
        <v>121428</v>
      </c>
      <c r="H225" s="32">
        <f t="shared" si="59"/>
        <v>121428</v>
      </c>
      <c r="I225" s="32">
        <f t="shared" si="60"/>
        <v>41509</v>
      </c>
      <c r="J225" s="32">
        <f t="shared" si="61"/>
        <v>0</v>
      </c>
      <c r="K225" s="32">
        <f t="shared" si="62"/>
        <v>0</v>
      </c>
      <c r="L225" s="32">
        <f t="shared" si="63"/>
        <v>79919</v>
      </c>
      <c r="M225" s="32">
        <f>0</f>
        <v>0</v>
      </c>
      <c r="N225" s="32">
        <f t="shared" si="64"/>
        <v>19844611</v>
      </c>
      <c r="O225" s="32">
        <f t="shared" si="65"/>
        <v>9675011</v>
      </c>
      <c r="P225" s="34" t="str">
        <f>IF(NOT(AND(T224="",A225&lt;=S224)),"",IF(FALSE,"繰上返済後再計算","")&amp;IF(AND(入力!$B$13="有効",A225&gt;1,MOD(A225-1,60)=0),IF(FALSE,"・","")&amp;"5年見直し","")&amp;IF(AND(A225=入力!$B$11,A225&gt;1),IF(OR(FALSE,AND(入力!$B$13="有効",A225&gt;1,MOD(A225-1,60)=0)),"・","")&amp;"金利変更","")&amp;IF(AND(OR(AND(入力!$B$13="有効",A225&gt;1,MOD(A225-1,60)=0),AND(A225=入力!$B$11,A225&gt;1)),入力!$B$14="有効",IF(E225=0,ROUND(C225/MAX(1,S224-A225+1),0),ROUND(-PMT(E225/12,MAX(1,S224-A225+1),C225),0))&gt;ROUND(G224*1.25,0),NOT(FALSE)),"・上限適用",""))</f>
        <v/>
      </c>
      <c r="Q225" s="35" t="str">
        <f>IF(AND(T224="",A225&lt;=S224),入力!$B$13,"")</f>
        <v>有効</v>
      </c>
      <c r="R225" s="32" t="str">
        <f>IF(AND(AND(T224="",A225&lt;=S224),OR(AND(入力!$B$13="有効",A225&gt;1,MOD(A225-1,60)=0),AND(A225=入力!$B$11,A225&gt;1)),入力!$B$14="有効"),ROUND(G224*1.25,0),"")</f>
        <v/>
      </c>
      <c r="S225" s="36">
        <f t="shared" si="66"/>
        <v>420</v>
      </c>
      <c r="T225" s="35" t="str">
        <f t="shared" si="67"/>
        <v/>
      </c>
      <c r="U225" s="3">
        <f t="shared" si="51"/>
        <v>0</v>
      </c>
      <c r="V225" s="3">
        <f t="shared" si="52"/>
        <v>0</v>
      </c>
      <c r="W225" s="3">
        <f t="shared" si="53"/>
        <v>0</v>
      </c>
      <c r="X225" s="3">
        <f t="shared" si="54"/>
        <v>0</v>
      </c>
      <c r="Y225" s="3">
        <f>0</f>
        <v>0</v>
      </c>
      <c r="Z225" s="3">
        <f t="shared" si="55"/>
        <v>0</v>
      </c>
      <c r="AA225">
        <f>ROUND(IF(FALSE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,0)</f>
        <v>121428</v>
      </c>
    </row>
    <row r="226" spans="1:27">
      <c r="A226" s="30">
        <f>221</f>
        <v>221</v>
      </c>
      <c r="B226" s="31">
        <f>EDATE(入力!$B$6,A226-1)</f>
        <v>52932</v>
      </c>
      <c r="C226" s="32">
        <f t="shared" si="56"/>
        <v>19844611</v>
      </c>
      <c r="D226" s="32">
        <f t="shared" si="57"/>
        <v>0</v>
      </c>
      <c r="E226" s="33">
        <f>IF(AND(T225="",A226&lt;=S225),IF(A226&lt;入力!$B$11,入力!$B$10,入力!$B$12),0)</f>
        <v>2.5000000000000001E-2</v>
      </c>
      <c r="F226" s="32">
        <f t="shared" si="58"/>
        <v>41343</v>
      </c>
      <c r="G226" s="32">
        <f>ROUND(IF(NOT(AND(T225="",A226&lt;=S225)),0,IF(FALSE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),0)</f>
        <v>121428</v>
      </c>
      <c r="H226" s="32">
        <f t="shared" si="59"/>
        <v>121428</v>
      </c>
      <c r="I226" s="32">
        <f t="shared" si="60"/>
        <v>41343</v>
      </c>
      <c r="J226" s="32">
        <f t="shared" si="61"/>
        <v>0</v>
      </c>
      <c r="K226" s="32">
        <f t="shared" si="62"/>
        <v>0</v>
      </c>
      <c r="L226" s="32">
        <f t="shared" si="63"/>
        <v>80085</v>
      </c>
      <c r="M226" s="32">
        <f>0</f>
        <v>0</v>
      </c>
      <c r="N226" s="32">
        <f t="shared" si="64"/>
        <v>19764526</v>
      </c>
      <c r="O226" s="32">
        <f t="shared" si="65"/>
        <v>9716354</v>
      </c>
      <c r="P226" s="34" t="str">
        <f>IF(NOT(AND(T225="",A226&lt;=S225)),"",IF(FALSE,"繰上返済後再計算","")&amp;IF(AND(入力!$B$13="有効",A226&gt;1,MOD(A226-1,60)=0),IF(FALSE,"・","")&amp;"5年見直し","")&amp;IF(AND(A226=入力!$B$11,A226&gt;1),IF(OR(FALSE,AND(入力!$B$13="有効",A226&gt;1,MOD(A226-1,60)=0)),"・","")&amp;"金利変更","")&amp;IF(AND(OR(AND(入力!$B$13="有効",A226&gt;1,MOD(A226-1,60)=0),AND(A226=入力!$B$11,A226&gt;1)),入力!$B$14="有効",IF(E226=0,ROUND(C226/MAX(1,S225-A226+1),0),ROUND(-PMT(E226/12,MAX(1,S225-A226+1),C226),0))&gt;ROUND(G225*1.25,0),NOT(FALSE)),"・上限適用",""))</f>
        <v/>
      </c>
      <c r="Q226" s="35" t="str">
        <f>IF(AND(T225="",A226&lt;=S225),入力!$B$13,"")</f>
        <v>有効</v>
      </c>
      <c r="R226" s="32" t="str">
        <f>IF(AND(AND(T225="",A226&lt;=S225),OR(AND(入力!$B$13="有効",A226&gt;1,MOD(A226-1,60)=0),AND(A226=入力!$B$11,A226&gt;1)),入力!$B$14="有効"),ROUND(G225*1.25,0),"")</f>
        <v/>
      </c>
      <c r="S226" s="36">
        <f t="shared" si="66"/>
        <v>420</v>
      </c>
      <c r="T226" s="35" t="str">
        <f t="shared" si="67"/>
        <v/>
      </c>
      <c r="U226" s="3">
        <f t="shared" si="51"/>
        <v>0</v>
      </c>
      <c r="V226" s="3">
        <f t="shared" si="52"/>
        <v>0</v>
      </c>
      <c r="W226" s="3">
        <f t="shared" si="53"/>
        <v>0</v>
      </c>
      <c r="X226" s="3">
        <f t="shared" si="54"/>
        <v>0</v>
      </c>
      <c r="Y226" s="3">
        <f>0</f>
        <v>0</v>
      </c>
      <c r="Z226" s="3">
        <f t="shared" si="55"/>
        <v>0</v>
      </c>
      <c r="AA226">
        <f>ROUND(IF(FALSE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,0)</f>
        <v>121428</v>
      </c>
    </row>
    <row r="227" spans="1:27">
      <c r="A227" s="30">
        <f>222</f>
        <v>222</v>
      </c>
      <c r="B227" s="31">
        <f>EDATE(入力!$B$6,A227-1)</f>
        <v>52963</v>
      </c>
      <c r="C227" s="32">
        <f t="shared" si="56"/>
        <v>19764526</v>
      </c>
      <c r="D227" s="32">
        <f t="shared" si="57"/>
        <v>0</v>
      </c>
      <c r="E227" s="33">
        <f>IF(AND(T226="",A227&lt;=S226),IF(A227&lt;入力!$B$11,入力!$B$10,入力!$B$12),0)</f>
        <v>2.5000000000000001E-2</v>
      </c>
      <c r="F227" s="32">
        <f t="shared" si="58"/>
        <v>41176</v>
      </c>
      <c r="G227" s="32">
        <f>ROUND(IF(NOT(AND(T226="",A227&lt;=S226)),0,IF(FALSE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),0)</f>
        <v>121428</v>
      </c>
      <c r="H227" s="32">
        <f t="shared" si="59"/>
        <v>121428</v>
      </c>
      <c r="I227" s="32">
        <f t="shared" si="60"/>
        <v>41176</v>
      </c>
      <c r="J227" s="32">
        <f t="shared" si="61"/>
        <v>0</v>
      </c>
      <c r="K227" s="32">
        <f t="shared" si="62"/>
        <v>0</v>
      </c>
      <c r="L227" s="32">
        <f t="shared" si="63"/>
        <v>80252</v>
      </c>
      <c r="M227" s="32">
        <f>0</f>
        <v>0</v>
      </c>
      <c r="N227" s="32">
        <f t="shared" si="64"/>
        <v>19684274</v>
      </c>
      <c r="O227" s="32">
        <f t="shared" si="65"/>
        <v>9757530</v>
      </c>
      <c r="P227" s="34" t="str">
        <f>IF(NOT(AND(T226="",A227&lt;=S226)),"",IF(FALSE,"繰上返済後再計算","")&amp;IF(AND(入力!$B$13="有効",A227&gt;1,MOD(A227-1,60)=0),IF(FALSE,"・","")&amp;"5年見直し","")&amp;IF(AND(A227=入力!$B$11,A227&gt;1),IF(OR(FALSE,AND(入力!$B$13="有効",A227&gt;1,MOD(A227-1,60)=0)),"・","")&amp;"金利変更","")&amp;IF(AND(OR(AND(入力!$B$13="有効",A227&gt;1,MOD(A227-1,60)=0),AND(A227=入力!$B$11,A227&gt;1)),入力!$B$14="有効",IF(E227=0,ROUND(C227/MAX(1,S226-A227+1),0),ROUND(-PMT(E227/12,MAX(1,S226-A227+1),C227),0))&gt;ROUND(G226*1.25,0),NOT(FALSE)),"・上限適用",""))</f>
        <v/>
      </c>
      <c r="Q227" s="35" t="str">
        <f>IF(AND(T226="",A227&lt;=S226),入力!$B$13,"")</f>
        <v>有効</v>
      </c>
      <c r="R227" s="32" t="str">
        <f>IF(AND(AND(T226="",A227&lt;=S226),OR(AND(入力!$B$13="有効",A227&gt;1,MOD(A227-1,60)=0),AND(A227=入力!$B$11,A227&gt;1)),入力!$B$14="有効"),ROUND(G226*1.25,0),"")</f>
        <v/>
      </c>
      <c r="S227" s="36">
        <f t="shared" si="66"/>
        <v>420</v>
      </c>
      <c r="T227" s="35" t="str">
        <f t="shared" si="67"/>
        <v/>
      </c>
      <c r="U227" s="3">
        <f t="shared" si="51"/>
        <v>0</v>
      </c>
      <c r="V227" s="3">
        <f t="shared" si="52"/>
        <v>0</v>
      </c>
      <c r="W227" s="3">
        <f t="shared" si="53"/>
        <v>0</v>
      </c>
      <c r="X227" s="3">
        <f t="shared" si="54"/>
        <v>0</v>
      </c>
      <c r="Y227" s="3">
        <f>0</f>
        <v>0</v>
      </c>
      <c r="Z227" s="3">
        <f t="shared" si="55"/>
        <v>0</v>
      </c>
      <c r="AA227">
        <f>ROUND(IF(FALSE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,0)</f>
        <v>121428</v>
      </c>
    </row>
    <row r="228" spans="1:27">
      <c r="A228" s="30">
        <f>223</f>
        <v>223</v>
      </c>
      <c r="B228" s="31">
        <f>EDATE(入力!$B$6,A228-1)</f>
        <v>52994</v>
      </c>
      <c r="C228" s="32">
        <f t="shared" si="56"/>
        <v>19684274</v>
      </c>
      <c r="D228" s="32">
        <f t="shared" si="57"/>
        <v>0</v>
      </c>
      <c r="E228" s="33">
        <f>IF(AND(T227="",A228&lt;=S227),IF(A228&lt;入力!$B$11,入力!$B$10,入力!$B$12),0)</f>
        <v>2.5000000000000001E-2</v>
      </c>
      <c r="F228" s="32">
        <f t="shared" si="58"/>
        <v>41009</v>
      </c>
      <c r="G228" s="32">
        <f>ROUND(IF(NOT(AND(T227="",A228&lt;=S227)),0,IF(FALSE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),0)</f>
        <v>121428</v>
      </c>
      <c r="H228" s="32">
        <f t="shared" si="59"/>
        <v>121428</v>
      </c>
      <c r="I228" s="32">
        <f t="shared" si="60"/>
        <v>41009</v>
      </c>
      <c r="J228" s="32">
        <f t="shared" si="61"/>
        <v>0</v>
      </c>
      <c r="K228" s="32">
        <f t="shared" si="62"/>
        <v>0</v>
      </c>
      <c r="L228" s="32">
        <f t="shared" si="63"/>
        <v>80419</v>
      </c>
      <c r="M228" s="32">
        <f>0</f>
        <v>0</v>
      </c>
      <c r="N228" s="32">
        <f t="shared" si="64"/>
        <v>19603855</v>
      </c>
      <c r="O228" s="32">
        <f t="shared" si="65"/>
        <v>9798539</v>
      </c>
      <c r="P228" s="34" t="str">
        <f>IF(NOT(AND(T227="",A228&lt;=S227)),"",IF(FALSE,"繰上返済後再計算","")&amp;IF(AND(入力!$B$13="有効",A228&gt;1,MOD(A228-1,60)=0),IF(FALSE,"・","")&amp;"5年見直し","")&amp;IF(AND(A228=入力!$B$11,A228&gt;1),IF(OR(FALSE,AND(入力!$B$13="有効",A228&gt;1,MOD(A228-1,60)=0)),"・","")&amp;"金利変更","")&amp;IF(AND(OR(AND(入力!$B$13="有効",A228&gt;1,MOD(A228-1,60)=0),AND(A228=入力!$B$11,A228&gt;1)),入力!$B$14="有効",IF(E228=0,ROUND(C228/MAX(1,S227-A228+1),0),ROUND(-PMT(E228/12,MAX(1,S227-A228+1),C228),0))&gt;ROUND(G227*1.25,0),NOT(FALSE)),"・上限適用",""))</f>
        <v/>
      </c>
      <c r="Q228" s="35" t="str">
        <f>IF(AND(T227="",A228&lt;=S227),入力!$B$13,"")</f>
        <v>有効</v>
      </c>
      <c r="R228" s="32" t="str">
        <f>IF(AND(AND(T227="",A228&lt;=S227),OR(AND(入力!$B$13="有効",A228&gt;1,MOD(A228-1,60)=0),AND(A228=入力!$B$11,A228&gt;1)),入力!$B$14="有効"),ROUND(G227*1.25,0),"")</f>
        <v/>
      </c>
      <c r="S228" s="36">
        <f t="shared" si="66"/>
        <v>420</v>
      </c>
      <c r="T228" s="35" t="str">
        <f t="shared" si="67"/>
        <v/>
      </c>
      <c r="U228" s="3">
        <f t="shared" si="51"/>
        <v>0</v>
      </c>
      <c r="V228" s="3">
        <f t="shared" si="52"/>
        <v>0</v>
      </c>
      <c r="W228" s="3">
        <f t="shared" si="53"/>
        <v>0</v>
      </c>
      <c r="X228" s="3">
        <f t="shared" si="54"/>
        <v>0</v>
      </c>
      <c r="Y228" s="3">
        <f>0</f>
        <v>0</v>
      </c>
      <c r="Z228" s="3">
        <f t="shared" si="55"/>
        <v>0</v>
      </c>
      <c r="AA228">
        <f>ROUND(IF(FALSE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,0)</f>
        <v>121428</v>
      </c>
    </row>
    <row r="229" spans="1:27">
      <c r="A229" s="30">
        <f>224</f>
        <v>224</v>
      </c>
      <c r="B229" s="31">
        <f>EDATE(入力!$B$6,A229-1)</f>
        <v>53022</v>
      </c>
      <c r="C229" s="32">
        <f t="shared" si="56"/>
        <v>19603855</v>
      </c>
      <c r="D229" s="32">
        <f t="shared" si="57"/>
        <v>0</v>
      </c>
      <c r="E229" s="33">
        <f>IF(AND(T228="",A229&lt;=S228),IF(A229&lt;入力!$B$11,入力!$B$10,入力!$B$12),0)</f>
        <v>2.5000000000000001E-2</v>
      </c>
      <c r="F229" s="32">
        <f t="shared" si="58"/>
        <v>40841</v>
      </c>
      <c r="G229" s="32">
        <f>ROUND(IF(NOT(AND(T228="",A229&lt;=S228)),0,IF(FALSE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),0)</f>
        <v>121428</v>
      </c>
      <c r="H229" s="32">
        <f t="shared" si="59"/>
        <v>121428</v>
      </c>
      <c r="I229" s="32">
        <f t="shared" si="60"/>
        <v>40841</v>
      </c>
      <c r="J229" s="32">
        <f t="shared" si="61"/>
        <v>0</v>
      </c>
      <c r="K229" s="32">
        <f t="shared" si="62"/>
        <v>0</v>
      </c>
      <c r="L229" s="32">
        <f t="shared" si="63"/>
        <v>80587</v>
      </c>
      <c r="M229" s="32">
        <f>0</f>
        <v>0</v>
      </c>
      <c r="N229" s="32">
        <f t="shared" si="64"/>
        <v>19523268</v>
      </c>
      <c r="O229" s="32">
        <f t="shared" si="65"/>
        <v>9839380</v>
      </c>
      <c r="P229" s="34" t="str">
        <f>IF(NOT(AND(T228="",A229&lt;=S228)),"",IF(FALSE,"繰上返済後再計算","")&amp;IF(AND(入力!$B$13="有効",A229&gt;1,MOD(A229-1,60)=0),IF(FALSE,"・","")&amp;"5年見直し","")&amp;IF(AND(A229=入力!$B$11,A229&gt;1),IF(OR(FALSE,AND(入力!$B$13="有効",A229&gt;1,MOD(A229-1,60)=0)),"・","")&amp;"金利変更","")&amp;IF(AND(OR(AND(入力!$B$13="有効",A229&gt;1,MOD(A229-1,60)=0),AND(A229=入力!$B$11,A229&gt;1)),入力!$B$14="有効",IF(E229=0,ROUND(C229/MAX(1,S228-A229+1),0),ROUND(-PMT(E229/12,MAX(1,S228-A229+1),C229),0))&gt;ROUND(G228*1.25,0),NOT(FALSE)),"・上限適用",""))</f>
        <v/>
      </c>
      <c r="Q229" s="35" t="str">
        <f>IF(AND(T228="",A229&lt;=S228),入力!$B$13,"")</f>
        <v>有効</v>
      </c>
      <c r="R229" s="32" t="str">
        <f>IF(AND(AND(T228="",A229&lt;=S228),OR(AND(入力!$B$13="有効",A229&gt;1,MOD(A229-1,60)=0),AND(A229=入力!$B$11,A229&gt;1)),入力!$B$14="有効"),ROUND(G228*1.25,0),"")</f>
        <v/>
      </c>
      <c r="S229" s="36">
        <f t="shared" si="66"/>
        <v>420</v>
      </c>
      <c r="T229" s="35" t="str">
        <f t="shared" si="67"/>
        <v/>
      </c>
      <c r="U229" s="3">
        <f t="shared" si="51"/>
        <v>0</v>
      </c>
      <c r="V229" s="3">
        <f t="shared" si="52"/>
        <v>0</v>
      </c>
      <c r="W229" s="3">
        <f t="shared" si="53"/>
        <v>0</v>
      </c>
      <c r="X229" s="3">
        <f t="shared" si="54"/>
        <v>0</v>
      </c>
      <c r="Y229" s="3">
        <f>0</f>
        <v>0</v>
      </c>
      <c r="Z229" s="3">
        <f t="shared" si="55"/>
        <v>0</v>
      </c>
      <c r="AA229">
        <f>ROUND(IF(FALSE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,0)</f>
        <v>121428</v>
      </c>
    </row>
    <row r="230" spans="1:27">
      <c r="A230" s="30">
        <f>225</f>
        <v>225</v>
      </c>
      <c r="B230" s="31">
        <f>EDATE(入力!$B$6,A230-1)</f>
        <v>53053</v>
      </c>
      <c r="C230" s="32">
        <f t="shared" si="56"/>
        <v>19523268</v>
      </c>
      <c r="D230" s="32">
        <f t="shared" si="57"/>
        <v>0</v>
      </c>
      <c r="E230" s="33">
        <f>IF(AND(T229="",A230&lt;=S229),IF(A230&lt;入力!$B$11,入力!$B$10,入力!$B$12),0)</f>
        <v>2.5000000000000001E-2</v>
      </c>
      <c r="F230" s="32">
        <f t="shared" si="58"/>
        <v>40673</v>
      </c>
      <c r="G230" s="32">
        <f>ROUND(IF(NOT(AND(T229="",A230&lt;=S229)),0,IF(FALSE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),0)</f>
        <v>121428</v>
      </c>
      <c r="H230" s="32">
        <f t="shared" si="59"/>
        <v>121428</v>
      </c>
      <c r="I230" s="32">
        <f t="shared" si="60"/>
        <v>40673</v>
      </c>
      <c r="J230" s="32">
        <f t="shared" si="61"/>
        <v>0</v>
      </c>
      <c r="K230" s="32">
        <f t="shared" si="62"/>
        <v>0</v>
      </c>
      <c r="L230" s="32">
        <f t="shared" si="63"/>
        <v>80755</v>
      </c>
      <c r="M230" s="32">
        <f>0</f>
        <v>0</v>
      </c>
      <c r="N230" s="32">
        <f t="shared" si="64"/>
        <v>19442513</v>
      </c>
      <c r="O230" s="32">
        <f t="shared" si="65"/>
        <v>9880053</v>
      </c>
      <c r="P230" s="34" t="str">
        <f>IF(NOT(AND(T229="",A230&lt;=S229)),"",IF(FALSE,"繰上返済後再計算","")&amp;IF(AND(入力!$B$13="有効",A230&gt;1,MOD(A230-1,60)=0),IF(FALSE,"・","")&amp;"5年見直し","")&amp;IF(AND(A230=入力!$B$11,A230&gt;1),IF(OR(FALSE,AND(入力!$B$13="有効",A230&gt;1,MOD(A230-1,60)=0)),"・","")&amp;"金利変更","")&amp;IF(AND(OR(AND(入力!$B$13="有効",A230&gt;1,MOD(A230-1,60)=0),AND(A230=入力!$B$11,A230&gt;1)),入力!$B$14="有効",IF(E230=0,ROUND(C230/MAX(1,S229-A230+1),0),ROUND(-PMT(E230/12,MAX(1,S229-A230+1),C230),0))&gt;ROUND(G229*1.25,0),NOT(FALSE)),"・上限適用",""))</f>
        <v/>
      </c>
      <c r="Q230" s="35" t="str">
        <f>IF(AND(T229="",A230&lt;=S229),入力!$B$13,"")</f>
        <v>有効</v>
      </c>
      <c r="R230" s="32" t="str">
        <f>IF(AND(AND(T229="",A230&lt;=S229),OR(AND(入力!$B$13="有効",A230&gt;1,MOD(A230-1,60)=0),AND(A230=入力!$B$11,A230&gt;1)),入力!$B$14="有効"),ROUND(G229*1.25,0),"")</f>
        <v/>
      </c>
      <c r="S230" s="36">
        <f t="shared" si="66"/>
        <v>420</v>
      </c>
      <c r="T230" s="35" t="str">
        <f t="shared" si="67"/>
        <v/>
      </c>
      <c r="U230" s="3">
        <f t="shared" si="51"/>
        <v>0</v>
      </c>
      <c r="V230" s="3">
        <f t="shared" si="52"/>
        <v>0</v>
      </c>
      <c r="W230" s="3">
        <f t="shared" si="53"/>
        <v>0</v>
      </c>
      <c r="X230" s="3">
        <f t="shared" si="54"/>
        <v>0</v>
      </c>
      <c r="Y230" s="3">
        <f>0</f>
        <v>0</v>
      </c>
      <c r="Z230" s="3">
        <f t="shared" si="55"/>
        <v>0</v>
      </c>
      <c r="AA230">
        <f>ROUND(IF(FALSE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,0)</f>
        <v>121428</v>
      </c>
    </row>
    <row r="231" spans="1:27">
      <c r="A231" s="30">
        <f>226</f>
        <v>226</v>
      </c>
      <c r="B231" s="31">
        <f>EDATE(入力!$B$6,A231-1)</f>
        <v>53083</v>
      </c>
      <c r="C231" s="32">
        <f t="shared" si="56"/>
        <v>19442513</v>
      </c>
      <c r="D231" s="32">
        <f t="shared" si="57"/>
        <v>0</v>
      </c>
      <c r="E231" s="33">
        <f>IF(AND(T230="",A231&lt;=S230),IF(A231&lt;入力!$B$11,入力!$B$10,入力!$B$12),0)</f>
        <v>2.5000000000000001E-2</v>
      </c>
      <c r="F231" s="32">
        <f t="shared" si="58"/>
        <v>40505</v>
      </c>
      <c r="G231" s="32">
        <f>ROUND(IF(NOT(AND(T230="",A231&lt;=S230)),0,IF(FALSE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),0)</f>
        <v>121428</v>
      </c>
      <c r="H231" s="32">
        <f t="shared" si="59"/>
        <v>121428</v>
      </c>
      <c r="I231" s="32">
        <f t="shared" si="60"/>
        <v>40505</v>
      </c>
      <c r="J231" s="32">
        <f t="shared" si="61"/>
        <v>0</v>
      </c>
      <c r="K231" s="32">
        <f t="shared" si="62"/>
        <v>0</v>
      </c>
      <c r="L231" s="32">
        <f t="shared" si="63"/>
        <v>80923</v>
      </c>
      <c r="M231" s="32">
        <f>0</f>
        <v>0</v>
      </c>
      <c r="N231" s="32">
        <f t="shared" si="64"/>
        <v>19361590</v>
      </c>
      <c r="O231" s="32">
        <f t="shared" si="65"/>
        <v>9920558</v>
      </c>
      <c r="P231" s="34" t="str">
        <f>IF(NOT(AND(T230="",A231&lt;=S230)),"",IF(FALSE,"繰上返済後再計算","")&amp;IF(AND(入力!$B$13="有効",A231&gt;1,MOD(A231-1,60)=0),IF(FALSE,"・","")&amp;"5年見直し","")&amp;IF(AND(A231=入力!$B$11,A231&gt;1),IF(OR(FALSE,AND(入力!$B$13="有効",A231&gt;1,MOD(A231-1,60)=0)),"・","")&amp;"金利変更","")&amp;IF(AND(OR(AND(入力!$B$13="有効",A231&gt;1,MOD(A231-1,60)=0),AND(A231=入力!$B$11,A231&gt;1)),入力!$B$14="有効",IF(E231=0,ROUND(C231/MAX(1,S230-A231+1),0),ROUND(-PMT(E231/12,MAX(1,S230-A231+1),C231),0))&gt;ROUND(G230*1.25,0),NOT(FALSE)),"・上限適用",""))</f>
        <v/>
      </c>
      <c r="Q231" s="35" t="str">
        <f>IF(AND(T230="",A231&lt;=S230),入力!$B$13,"")</f>
        <v>有効</v>
      </c>
      <c r="R231" s="32" t="str">
        <f>IF(AND(AND(T230="",A231&lt;=S230),OR(AND(入力!$B$13="有効",A231&gt;1,MOD(A231-1,60)=0),AND(A231=入力!$B$11,A231&gt;1)),入力!$B$14="有効"),ROUND(G230*1.25,0),"")</f>
        <v/>
      </c>
      <c r="S231" s="36">
        <f t="shared" si="66"/>
        <v>420</v>
      </c>
      <c r="T231" s="35" t="str">
        <f t="shared" si="67"/>
        <v/>
      </c>
      <c r="U231" s="3">
        <f t="shared" si="51"/>
        <v>0</v>
      </c>
      <c r="V231" s="3">
        <f t="shared" si="52"/>
        <v>0</v>
      </c>
      <c r="W231" s="3">
        <f t="shared" si="53"/>
        <v>0</v>
      </c>
      <c r="X231" s="3">
        <f t="shared" si="54"/>
        <v>0</v>
      </c>
      <c r="Y231" s="3">
        <f>0</f>
        <v>0</v>
      </c>
      <c r="Z231" s="3">
        <f t="shared" si="55"/>
        <v>0</v>
      </c>
      <c r="AA231">
        <f>ROUND(IF(FALSE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,0)</f>
        <v>121428</v>
      </c>
    </row>
    <row r="232" spans="1:27">
      <c r="A232" s="30">
        <f>227</f>
        <v>227</v>
      </c>
      <c r="B232" s="31">
        <f>EDATE(入力!$B$6,A232-1)</f>
        <v>53114</v>
      </c>
      <c r="C232" s="32">
        <f t="shared" si="56"/>
        <v>19361590</v>
      </c>
      <c r="D232" s="32">
        <f t="shared" si="57"/>
        <v>0</v>
      </c>
      <c r="E232" s="33">
        <f>IF(AND(T231="",A232&lt;=S231),IF(A232&lt;入力!$B$11,入力!$B$10,入力!$B$12),0)</f>
        <v>2.5000000000000001E-2</v>
      </c>
      <c r="F232" s="32">
        <f t="shared" si="58"/>
        <v>40337</v>
      </c>
      <c r="G232" s="32">
        <f>ROUND(IF(NOT(AND(T231="",A232&lt;=S231)),0,IF(FALSE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),0)</f>
        <v>121428</v>
      </c>
      <c r="H232" s="32">
        <f t="shared" si="59"/>
        <v>121428</v>
      </c>
      <c r="I232" s="32">
        <f t="shared" si="60"/>
        <v>40337</v>
      </c>
      <c r="J232" s="32">
        <f t="shared" si="61"/>
        <v>0</v>
      </c>
      <c r="K232" s="32">
        <f t="shared" si="62"/>
        <v>0</v>
      </c>
      <c r="L232" s="32">
        <f t="shared" si="63"/>
        <v>81091</v>
      </c>
      <c r="M232" s="32">
        <f>0</f>
        <v>0</v>
      </c>
      <c r="N232" s="32">
        <f t="shared" si="64"/>
        <v>19280499</v>
      </c>
      <c r="O232" s="32">
        <f t="shared" si="65"/>
        <v>9960895</v>
      </c>
      <c r="P232" s="34" t="str">
        <f>IF(NOT(AND(T231="",A232&lt;=S231)),"",IF(FALSE,"繰上返済後再計算","")&amp;IF(AND(入力!$B$13="有効",A232&gt;1,MOD(A232-1,60)=0),IF(FALSE,"・","")&amp;"5年見直し","")&amp;IF(AND(A232=入力!$B$11,A232&gt;1),IF(OR(FALSE,AND(入力!$B$13="有効",A232&gt;1,MOD(A232-1,60)=0)),"・","")&amp;"金利変更","")&amp;IF(AND(OR(AND(入力!$B$13="有効",A232&gt;1,MOD(A232-1,60)=0),AND(A232=入力!$B$11,A232&gt;1)),入力!$B$14="有効",IF(E232=0,ROUND(C232/MAX(1,S231-A232+1),0),ROUND(-PMT(E232/12,MAX(1,S231-A232+1),C232),0))&gt;ROUND(G231*1.25,0),NOT(FALSE)),"・上限適用",""))</f>
        <v/>
      </c>
      <c r="Q232" s="35" t="str">
        <f>IF(AND(T231="",A232&lt;=S231),入力!$B$13,"")</f>
        <v>有効</v>
      </c>
      <c r="R232" s="32" t="str">
        <f>IF(AND(AND(T231="",A232&lt;=S231),OR(AND(入力!$B$13="有効",A232&gt;1,MOD(A232-1,60)=0),AND(A232=入力!$B$11,A232&gt;1)),入力!$B$14="有効"),ROUND(G231*1.25,0),"")</f>
        <v/>
      </c>
      <c r="S232" s="36">
        <f t="shared" si="66"/>
        <v>420</v>
      </c>
      <c r="T232" s="35" t="str">
        <f t="shared" si="67"/>
        <v/>
      </c>
      <c r="U232" s="3">
        <f t="shared" si="51"/>
        <v>0</v>
      </c>
      <c r="V232" s="3">
        <f t="shared" si="52"/>
        <v>0</v>
      </c>
      <c r="W232" s="3">
        <f t="shared" si="53"/>
        <v>0</v>
      </c>
      <c r="X232" s="3">
        <f t="shared" si="54"/>
        <v>0</v>
      </c>
      <c r="Y232" s="3">
        <f>0</f>
        <v>0</v>
      </c>
      <c r="Z232" s="3">
        <f t="shared" si="55"/>
        <v>0</v>
      </c>
      <c r="AA232">
        <f>ROUND(IF(FALSE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,0)</f>
        <v>121428</v>
      </c>
    </row>
    <row r="233" spans="1:27">
      <c r="A233" s="30">
        <f>228</f>
        <v>228</v>
      </c>
      <c r="B233" s="31">
        <f>EDATE(入力!$B$6,A233-1)</f>
        <v>53144</v>
      </c>
      <c r="C233" s="32">
        <f t="shared" si="56"/>
        <v>19280499</v>
      </c>
      <c r="D233" s="32">
        <f t="shared" si="57"/>
        <v>0</v>
      </c>
      <c r="E233" s="33">
        <f>IF(AND(T232="",A233&lt;=S232),IF(A233&lt;入力!$B$11,入力!$B$10,入力!$B$12),0)</f>
        <v>2.5000000000000001E-2</v>
      </c>
      <c r="F233" s="32">
        <f t="shared" si="58"/>
        <v>40168</v>
      </c>
      <c r="G233" s="32">
        <f>ROUND(IF(NOT(AND(T232="",A233&lt;=S232)),0,IF(FALSE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),0)</f>
        <v>121428</v>
      </c>
      <c r="H233" s="32">
        <f t="shared" si="59"/>
        <v>121428</v>
      </c>
      <c r="I233" s="32">
        <f t="shared" si="60"/>
        <v>40168</v>
      </c>
      <c r="J233" s="32">
        <f t="shared" si="61"/>
        <v>0</v>
      </c>
      <c r="K233" s="32">
        <f t="shared" si="62"/>
        <v>0</v>
      </c>
      <c r="L233" s="32">
        <f t="shared" si="63"/>
        <v>81260</v>
      </c>
      <c r="M233" s="32">
        <f>0</f>
        <v>0</v>
      </c>
      <c r="N233" s="32">
        <f t="shared" si="64"/>
        <v>19199239</v>
      </c>
      <c r="O233" s="32">
        <f t="shared" si="65"/>
        <v>10001063</v>
      </c>
      <c r="P233" s="34" t="str">
        <f>IF(NOT(AND(T232="",A233&lt;=S232)),"",IF(FALSE,"繰上返済後再計算","")&amp;IF(AND(入力!$B$13="有効",A233&gt;1,MOD(A233-1,60)=0),IF(FALSE,"・","")&amp;"5年見直し","")&amp;IF(AND(A233=入力!$B$11,A233&gt;1),IF(OR(FALSE,AND(入力!$B$13="有効",A233&gt;1,MOD(A233-1,60)=0)),"・","")&amp;"金利変更","")&amp;IF(AND(OR(AND(入力!$B$13="有効",A233&gt;1,MOD(A233-1,60)=0),AND(A233=入力!$B$11,A233&gt;1)),入力!$B$14="有効",IF(E233=0,ROUND(C233/MAX(1,S232-A233+1),0),ROUND(-PMT(E233/12,MAX(1,S232-A233+1),C233),0))&gt;ROUND(G232*1.25,0),NOT(FALSE)),"・上限適用",""))</f>
        <v/>
      </c>
      <c r="Q233" s="35" t="str">
        <f>IF(AND(T232="",A233&lt;=S232),入力!$B$13,"")</f>
        <v>有効</v>
      </c>
      <c r="R233" s="32" t="str">
        <f>IF(AND(AND(T232="",A233&lt;=S232),OR(AND(入力!$B$13="有効",A233&gt;1,MOD(A233-1,60)=0),AND(A233=入力!$B$11,A233&gt;1)),入力!$B$14="有効"),ROUND(G232*1.25,0),"")</f>
        <v/>
      </c>
      <c r="S233" s="36">
        <f t="shared" si="66"/>
        <v>420</v>
      </c>
      <c r="T233" s="35" t="str">
        <f t="shared" si="67"/>
        <v/>
      </c>
      <c r="U233" s="3">
        <f t="shared" si="51"/>
        <v>0</v>
      </c>
      <c r="V233" s="3">
        <f t="shared" si="52"/>
        <v>0</v>
      </c>
      <c r="W233" s="3">
        <f t="shared" si="53"/>
        <v>0</v>
      </c>
      <c r="X233" s="3">
        <f t="shared" si="54"/>
        <v>0</v>
      </c>
      <c r="Y233" s="3">
        <f>0</f>
        <v>0</v>
      </c>
      <c r="Z233" s="3">
        <f t="shared" si="55"/>
        <v>0</v>
      </c>
      <c r="AA233">
        <f>ROUND(IF(FALSE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,0)</f>
        <v>121428</v>
      </c>
    </row>
    <row r="234" spans="1:27">
      <c r="A234" s="30">
        <f>229</f>
        <v>229</v>
      </c>
      <c r="B234" s="31">
        <f>EDATE(入力!$B$6,A234-1)</f>
        <v>53175</v>
      </c>
      <c r="C234" s="32">
        <f t="shared" si="56"/>
        <v>19199239</v>
      </c>
      <c r="D234" s="32">
        <f t="shared" si="57"/>
        <v>0</v>
      </c>
      <c r="E234" s="33">
        <f>IF(AND(T233="",A234&lt;=S233),IF(A234&lt;入力!$B$11,入力!$B$10,入力!$B$12),0)</f>
        <v>2.5000000000000001E-2</v>
      </c>
      <c r="F234" s="32">
        <f t="shared" si="58"/>
        <v>39998</v>
      </c>
      <c r="G234" s="32">
        <f>ROUND(IF(NOT(AND(T233="",A234&lt;=S233)),0,IF(FALSE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),0)</f>
        <v>121428</v>
      </c>
      <c r="H234" s="32">
        <f t="shared" si="59"/>
        <v>121428</v>
      </c>
      <c r="I234" s="32">
        <f t="shared" si="60"/>
        <v>39998</v>
      </c>
      <c r="J234" s="32">
        <f t="shared" si="61"/>
        <v>0</v>
      </c>
      <c r="K234" s="32">
        <f t="shared" si="62"/>
        <v>0</v>
      </c>
      <c r="L234" s="32">
        <f t="shared" si="63"/>
        <v>81430</v>
      </c>
      <c r="M234" s="32">
        <f>0</f>
        <v>0</v>
      </c>
      <c r="N234" s="32">
        <f t="shared" si="64"/>
        <v>19117809</v>
      </c>
      <c r="O234" s="32">
        <f t="shared" si="65"/>
        <v>10041061</v>
      </c>
      <c r="P234" s="34" t="str">
        <f>IF(NOT(AND(T233="",A234&lt;=S233)),"",IF(FALSE,"繰上返済後再計算","")&amp;IF(AND(入力!$B$13="有効",A234&gt;1,MOD(A234-1,60)=0),IF(FALSE,"・","")&amp;"5年見直し","")&amp;IF(AND(A234=入力!$B$11,A234&gt;1),IF(OR(FALSE,AND(入力!$B$13="有効",A234&gt;1,MOD(A234-1,60)=0)),"・","")&amp;"金利変更","")&amp;IF(AND(OR(AND(入力!$B$13="有効",A234&gt;1,MOD(A234-1,60)=0),AND(A234=入力!$B$11,A234&gt;1)),入力!$B$14="有効",IF(E234=0,ROUND(C234/MAX(1,S233-A234+1),0),ROUND(-PMT(E234/12,MAX(1,S233-A234+1),C234),0))&gt;ROUND(G233*1.25,0),NOT(FALSE)),"・上限適用",""))</f>
        <v/>
      </c>
      <c r="Q234" s="35" t="str">
        <f>IF(AND(T233="",A234&lt;=S233),入力!$B$13,"")</f>
        <v>有効</v>
      </c>
      <c r="R234" s="32" t="str">
        <f>IF(AND(AND(T233="",A234&lt;=S233),OR(AND(入力!$B$13="有効",A234&gt;1,MOD(A234-1,60)=0),AND(A234=入力!$B$11,A234&gt;1)),入力!$B$14="有効"),ROUND(G233*1.25,0),"")</f>
        <v/>
      </c>
      <c r="S234" s="36">
        <f t="shared" si="66"/>
        <v>420</v>
      </c>
      <c r="T234" s="35" t="str">
        <f t="shared" si="67"/>
        <v/>
      </c>
      <c r="U234" s="3">
        <f t="shared" si="51"/>
        <v>0</v>
      </c>
      <c r="V234" s="3">
        <f t="shared" si="52"/>
        <v>0</v>
      </c>
      <c r="W234" s="3">
        <f t="shared" si="53"/>
        <v>0</v>
      </c>
      <c r="X234" s="3">
        <f t="shared" si="54"/>
        <v>0</v>
      </c>
      <c r="Y234" s="3">
        <f>0</f>
        <v>0</v>
      </c>
      <c r="Z234" s="3">
        <f t="shared" si="55"/>
        <v>0</v>
      </c>
      <c r="AA234">
        <f>ROUND(IF(FALSE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,0)</f>
        <v>121428</v>
      </c>
    </row>
    <row r="235" spans="1:27">
      <c r="A235" s="30">
        <f>230</f>
        <v>230</v>
      </c>
      <c r="B235" s="31">
        <f>EDATE(入力!$B$6,A235-1)</f>
        <v>53206</v>
      </c>
      <c r="C235" s="32">
        <f t="shared" si="56"/>
        <v>19117809</v>
      </c>
      <c r="D235" s="32">
        <f t="shared" si="57"/>
        <v>0</v>
      </c>
      <c r="E235" s="33">
        <f>IF(AND(T234="",A235&lt;=S234),IF(A235&lt;入力!$B$11,入力!$B$10,入力!$B$12),0)</f>
        <v>2.5000000000000001E-2</v>
      </c>
      <c r="F235" s="32">
        <f t="shared" si="58"/>
        <v>39829</v>
      </c>
      <c r="G235" s="32">
        <f>ROUND(IF(NOT(AND(T234="",A235&lt;=S234)),0,IF(FALSE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),0)</f>
        <v>121428</v>
      </c>
      <c r="H235" s="32">
        <f t="shared" si="59"/>
        <v>121428</v>
      </c>
      <c r="I235" s="32">
        <f t="shared" si="60"/>
        <v>39829</v>
      </c>
      <c r="J235" s="32">
        <f t="shared" si="61"/>
        <v>0</v>
      </c>
      <c r="K235" s="32">
        <f t="shared" si="62"/>
        <v>0</v>
      </c>
      <c r="L235" s="32">
        <f t="shared" si="63"/>
        <v>81599</v>
      </c>
      <c r="M235" s="32">
        <f>0</f>
        <v>0</v>
      </c>
      <c r="N235" s="32">
        <f t="shared" si="64"/>
        <v>19036210</v>
      </c>
      <c r="O235" s="32">
        <f t="shared" si="65"/>
        <v>10080890</v>
      </c>
      <c r="P235" s="34" t="str">
        <f>IF(NOT(AND(T234="",A235&lt;=S234)),"",IF(FALSE,"繰上返済後再計算","")&amp;IF(AND(入力!$B$13="有効",A235&gt;1,MOD(A235-1,60)=0),IF(FALSE,"・","")&amp;"5年見直し","")&amp;IF(AND(A235=入力!$B$11,A235&gt;1),IF(OR(FALSE,AND(入力!$B$13="有効",A235&gt;1,MOD(A235-1,60)=0)),"・","")&amp;"金利変更","")&amp;IF(AND(OR(AND(入力!$B$13="有効",A235&gt;1,MOD(A235-1,60)=0),AND(A235=入力!$B$11,A235&gt;1)),入力!$B$14="有効",IF(E235=0,ROUND(C235/MAX(1,S234-A235+1),0),ROUND(-PMT(E235/12,MAX(1,S234-A235+1),C235),0))&gt;ROUND(G234*1.25,0),NOT(FALSE)),"・上限適用",""))</f>
        <v/>
      </c>
      <c r="Q235" s="35" t="str">
        <f>IF(AND(T234="",A235&lt;=S234),入力!$B$13,"")</f>
        <v>有効</v>
      </c>
      <c r="R235" s="32" t="str">
        <f>IF(AND(AND(T234="",A235&lt;=S234),OR(AND(入力!$B$13="有効",A235&gt;1,MOD(A235-1,60)=0),AND(A235=入力!$B$11,A235&gt;1)),入力!$B$14="有効"),ROUND(G234*1.25,0),"")</f>
        <v/>
      </c>
      <c r="S235" s="36">
        <f t="shared" si="66"/>
        <v>420</v>
      </c>
      <c r="T235" s="35" t="str">
        <f t="shared" si="67"/>
        <v/>
      </c>
      <c r="U235" s="3">
        <f t="shared" si="51"/>
        <v>0</v>
      </c>
      <c r="V235" s="3">
        <f t="shared" si="52"/>
        <v>0</v>
      </c>
      <c r="W235" s="3">
        <f t="shared" si="53"/>
        <v>0</v>
      </c>
      <c r="X235" s="3">
        <f t="shared" si="54"/>
        <v>0</v>
      </c>
      <c r="Y235" s="3">
        <f>0</f>
        <v>0</v>
      </c>
      <c r="Z235" s="3">
        <f t="shared" si="55"/>
        <v>0</v>
      </c>
      <c r="AA235">
        <f>ROUND(IF(FALSE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,0)</f>
        <v>121428</v>
      </c>
    </row>
    <row r="236" spans="1:27">
      <c r="A236" s="30">
        <f>231</f>
        <v>231</v>
      </c>
      <c r="B236" s="31">
        <f>EDATE(入力!$B$6,A236-1)</f>
        <v>53236</v>
      </c>
      <c r="C236" s="32">
        <f t="shared" si="56"/>
        <v>19036210</v>
      </c>
      <c r="D236" s="32">
        <f t="shared" si="57"/>
        <v>0</v>
      </c>
      <c r="E236" s="33">
        <f>IF(AND(T235="",A236&lt;=S235),IF(A236&lt;入力!$B$11,入力!$B$10,入力!$B$12),0)</f>
        <v>2.5000000000000001E-2</v>
      </c>
      <c r="F236" s="32">
        <f t="shared" si="58"/>
        <v>39659</v>
      </c>
      <c r="G236" s="32">
        <f>ROUND(IF(NOT(AND(T235="",A236&lt;=S235)),0,IF(FALSE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),0)</f>
        <v>121428</v>
      </c>
      <c r="H236" s="32">
        <f t="shared" si="59"/>
        <v>121428</v>
      </c>
      <c r="I236" s="32">
        <f t="shared" si="60"/>
        <v>39659</v>
      </c>
      <c r="J236" s="32">
        <f t="shared" si="61"/>
        <v>0</v>
      </c>
      <c r="K236" s="32">
        <f t="shared" si="62"/>
        <v>0</v>
      </c>
      <c r="L236" s="32">
        <f t="shared" si="63"/>
        <v>81769</v>
      </c>
      <c r="M236" s="32">
        <f>0</f>
        <v>0</v>
      </c>
      <c r="N236" s="32">
        <f t="shared" si="64"/>
        <v>18954441</v>
      </c>
      <c r="O236" s="32">
        <f t="shared" si="65"/>
        <v>10120549</v>
      </c>
      <c r="P236" s="34" t="str">
        <f>IF(NOT(AND(T235="",A236&lt;=S235)),"",IF(FALSE,"繰上返済後再計算","")&amp;IF(AND(入力!$B$13="有効",A236&gt;1,MOD(A236-1,60)=0),IF(FALSE,"・","")&amp;"5年見直し","")&amp;IF(AND(A236=入力!$B$11,A236&gt;1),IF(OR(FALSE,AND(入力!$B$13="有効",A236&gt;1,MOD(A236-1,60)=0)),"・","")&amp;"金利変更","")&amp;IF(AND(OR(AND(入力!$B$13="有効",A236&gt;1,MOD(A236-1,60)=0),AND(A236=入力!$B$11,A236&gt;1)),入力!$B$14="有効",IF(E236=0,ROUND(C236/MAX(1,S235-A236+1),0),ROUND(-PMT(E236/12,MAX(1,S235-A236+1),C236),0))&gt;ROUND(G235*1.25,0),NOT(FALSE)),"・上限適用",""))</f>
        <v/>
      </c>
      <c r="Q236" s="35" t="str">
        <f>IF(AND(T235="",A236&lt;=S235),入力!$B$13,"")</f>
        <v>有効</v>
      </c>
      <c r="R236" s="32" t="str">
        <f>IF(AND(AND(T235="",A236&lt;=S235),OR(AND(入力!$B$13="有効",A236&gt;1,MOD(A236-1,60)=0),AND(A236=入力!$B$11,A236&gt;1)),入力!$B$14="有効"),ROUND(G235*1.25,0),"")</f>
        <v/>
      </c>
      <c r="S236" s="36">
        <f t="shared" si="66"/>
        <v>420</v>
      </c>
      <c r="T236" s="35" t="str">
        <f t="shared" si="67"/>
        <v/>
      </c>
      <c r="U236" s="3">
        <f t="shared" si="51"/>
        <v>0</v>
      </c>
      <c r="V236" s="3">
        <f t="shared" si="52"/>
        <v>0</v>
      </c>
      <c r="W236" s="3">
        <f t="shared" si="53"/>
        <v>0</v>
      </c>
      <c r="X236" s="3">
        <f t="shared" si="54"/>
        <v>0</v>
      </c>
      <c r="Y236" s="3">
        <f>0</f>
        <v>0</v>
      </c>
      <c r="Z236" s="3">
        <f t="shared" si="55"/>
        <v>0</v>
      </c>
      <c r="AA236">
        <f>ROUND(IF(FALSE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,0)</f>
        <v>121428</v>
      </c>
    </row>
    <row r="237" spans="1:27">
      <c r="A237" s="30">
        <f>232</f>
        <v>232</v>
      </c>
      <c r="B237" s="31">
        <f>EDATE(入力!$B$6,A237-1)</f>
        <v>53267</v>
      </c>
      <c r="C237" s="32">
        <f t="shared" si="56"/>
        <v>18954441</v>
      </c>
      <c r="D237" s="32">
        <f t="shared" si="57"/>
        <v>0</v>
      </c>
      <c r="E237" s="33">
        <f>IF(AND(T236="",A237&lt;=S236),IF(A237&lt;入力!$B$11,入力!$B$10,入力!$B$12),0)</f>
        <v>2.5000000000000001E-2</v>
      </c>
      <c r="F237" s="32">
        <f t="shared" si="58"/>
        <v>39488</v>
      </c>
      <c r="G237" s="32">
        <f>ROUND(IF(NOT(AND(T236="",A237&lt;=S236)),0,IF(FALSE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),0)</f>
        <v>121428</v>
      </c>
      <c r="H237" s="32">
        <f t="shared" si="59"/>
        <v>121428</v>
      </c>
      <c r="I237" s="32">
        <f t="shared" si="60"/>
        <v>39488</v>
      </c>
      <c r="J237" s="32">
        <f t="shared" si="61"/>
        <v>0</v>
      </c>
      <c r="K237" s="32">
        <f t="shared" si="62"/>
        <v>0</v>
      </c>
      <c r="L237" s="32">
        <f t="shared" si="63"/>
        <v>81940</v>
      </c>
      <c r="M237" s="32">
        <f>0</f>
        <v>0</v>
      </c>
      <c r="N237" s="32">
        <f t="shared" si="64"/>
        <v>18872501</v>
      </c>
      <c r="O237" s="32">
        <f t="shared" si="65"/>
        <v>10160037</v>
      </c>
      <c r="P237" s="34" t="str">
        <f>IF(NOT(AND(T236="",A237&lt;=S236)),"",IF(FALSE,"繰上返済後再計算","")&amp;IF(AND(入力!$B$13="有効",A237&gt;1,MOD(A237-1,60)=0),IF(FALSE,"・","")&amp;"5年見直し","")&amp;IF(AND(A237=入力!$B$11,A237&gt;1),IF(OR(FALSE,AND(入力!$B$13="有効",A237&gt;1,MOD(A237-1,60)=0)),"・","")&amp;"金利変更","")&amp;IF(AND(OR(AND(入力!$B$13="有効",A237&gt;1,MOD(A237-1,60)=0),AND(A237=入力!$B$11,A237&gt;1)),入力!$B$14="有効",IF(E237=0,ROUND(C237/MAX(1,S236-A237+1),0),ROUND(-PMT(E237/12,MAX(1,S236-A237+1),C237),0))&gt;ROUND(G236*1.25,0),NOT(FALSE)),"・上限適用",""))</f>
        <v/>
      </c>
      <c r="Q237" s="35" t="str">
        <f>IF(AND(T236="",A237&lt;=S236),入力!$B$13,"")</f>
        <v>有効</v>
      </c>
      <c r="R237" s="32" t="str">
        <f>IF(AND(AND(T236="",A237&lt;=S236),OR(AND(入力!$B$13="有効",A237&gt;1,MOD(A237-1,60)=0),AND(A237=入力!$B$11,A237&gt;1)),入力!$B$14="有効"),ROUND(G236*1.25,0),"")</f>
        <v/>
      </c>
      <c r="S237" s="36">
        <f t="shared" si="66"/>
        <v>420</v>
      </c>
      <c r="T237" s="35" t="str">
        <f t="shared" si="67"/>
        <v/>
      </c>
      <c r="U237" s="3">
        <f t="shared" si="51"/>
        <v>0</v>
      </c>
      <c r="V237" s="3">
        <f t="shared" si="52"/>
        <v>0</v>
      </c>
      <c r="W237" s="3">
        <f t="shared" si="53"/>
        <v>0</v>
      </c>
      <c r="X237" s="3">
        <f t="shared" si="54"/>
        <v>0</v>
      </c>
      <c r="Y237" s="3">
        <f>0</f>
        <v>0</v>
      </c>
      <c r="Z237" s="3">
        <f t="shared" si="55"/>
        <v>0</v>
      </c>
      <c r="AA237">
        <f>ROUND(IF(FALSE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,0)</f>
        <v>121428</v>
      </c>
    </row>
    <row r="238" spans="1:27">
      <c r="A238" s="30">
        <f>233</f>
        <v>233</v>
      </c>
      <c r="B238" s="31">
        <f>EDATE(入力!$B$6,A238-1)</f>
        <v>53297</v>
      </c>
      <c r="C238" s="32">
        <f t="shared" si="56"/>
        <v>18872501</v>
      </c>
      <c r="D238" s="32">
        <f t="shared" si="57"/>
        <v>0</v>
      </c>
      <c r="E238" s="33">
        <f>IF(AND(T237="",A238&lt;=S237),IF(A238&lt;入力!$B$11,入力!$B$10,入力!$B$12),0)</f>
        <v>2.5000000000000001E-2</v>
      </c>
      <c r="F238" s="32">
        <f t="shared" si="58"/>
        <v>39318</v>
      </c>
      <c r="G238" s="32">
        <f>ROUND(IF(NOT(AND(T237="",A238&lt;=S237)),0,IF(FALSE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),0)</f>
        <v>121428</v>
      </c>
      <c r="H238" s="32">
        <f t="shared" si="59"/>
        <v>121428</v>
      </c>
      <c r="I238" s="32">
        <f t="shared" si="60"/>
        <v>39318</v>
      </c>
      <c r="J238" s="32">
        <f t="shared" si="61"/>
        <v>0</v>
      </c>
      <c r="K238" s="32">
        <f t="shared" si="62"/>
        <v>0</v>
      </c>
      <c r="L238" s="32">
        <f t="shared" si="63"/>
        <v>82110</v>
      </c>
      <c r="M238" s="32">
        <f>0</f>
        <v>0</v>
      </c>
      <c r="N238" s="32">
        <f t="shared" si="64"/>
        <v>18790391</v>
      </c>
      <c r="O238" s="32">
        <f t="shared" si="65"/>
        <v>10199355</v>
      </c>
      <c r="P238" s="34" t="str">
        <f>IF(NOT(AND(T237="",A238&lt;=S237)),"",IF(FALSE,"繰上返済後再計算","")&amp;IF(AND(入力!$B$13="有効",A238&gt;1,MOD(A238-1,60)=0),IF(FALSE,"・","")&amp;"5年見直し","")&amp;IF(AND(A238=入力!$B$11,A238&gt;1),IF(OR(FALSE,AND(入力!$B$13="有効",A238&gt;1,MOD(A238-1,60)=0)),"・","")&amp;"金利変更","")&amp;IF(AND(OR(AND(入力!$B$13="有効",A238&gt;1,MOD(A238-1,60)=0),AND(A238=入力!$B$11,A238&gt;1)),入力!$B$14="有効",IF(E238=0,ROUND(C238/MAX(1,S237-A238+1),0),ROUND(-PMT(E238/12,MAX(1,S237-A238+1),C238),0))&gt;ROUND(G237*1.25,0),NOT(FALSE)),"・上限適用",""))</f>
        <v/>
      </c>
      <c r="Q238" s="35" t="str">
        <f>IF(AND(T237="",A238&lt;=S237),入力!$B$13,"")</f>
        <v>有効</v>
      </c>
      <c r="R238" s="32" t="str">
        <f>IF(AND(AND(T237="",A238&lt;=S237),OR(AND(入力!$B$13="有効",A238&gt;1,MOD(A238-1,60)=0),AND(A238=入力!$B$11,A238&gt;1)),入力!$B$14="有効"),ROUND(G237*1.25,0),"")</f>
        <v/>
      </c>
      <c r="S238" s="36">
        <f t="shared" si="66"/>
        <v>420</v>
      </c>
      <c r="T238" s="35" t="str">
        <f t="shared" si="67"/>
        <v/>
      </c>
      <c r="U238" s="3">
        <f t="shared" si="51"/>
        <v>0</v>
      </c>
      <c r="V238" s="3">
        <f t="shared" si="52"/>
        <v>0</v>
      </c>
      <c r="W238" s="3">
        <f t="shared" si="53"/>
        <v>0</v>
      </c>
      <c r="X238" s="3">
        <f t="shared" si="54"/>
        <v>0</v>
      </c>
      <c r="Y238" s="3">
        <f>0</f>
        <v>0</v>
      </c>
      <c r="Z238" s="3">
        <f t="shared" si="55"/>
        <v>0</v>
      </c>
      <c r="AA238">
        <f>ROUND(IF(FALSE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,0)</f>
        <v>121428</v>
      </c>
    </row>
    <row r="239" spans="1:27">
      <c r="A239" s="30">
        <f>234</f>
        <v>234</v>
      </c>
      <c r="B239" s="31">
        <f>EDATE(入力!$B$6,A239-1)</f>
        <v>53328</v>
      </c>
      <c r="C239" s="32">
        <f t="shared" si="56"/>
        <v>18790391</v>
      </c>
      <c r="D239" s="32">
        <f t="shared" si="57"/>
        <v>0</v>
      </c>
      <c r="E239" s="33">
        <f>IF(AND(T238="",A239&lt;=S238),IF(A239&lt;入力!$B$11,入力!$B$10,入力!$B$12),0)</f>
        <v>2.5000000000000001E-2</v>
      </c>
      <c r="F239" s="32">
        <f t="shared" si="58"/>
        <v>39147</v>
      </c>
      <c r="G239" s="32">
        <f>ROUND(IF(NOT(AND(T238="",A239&lt;=S238)),0,IF(FALSE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),0)</f>
        <v>121428</v>
      </c>
      <c r="H239" s="32">
        <f t="shared" si="59"/>
        <v>121428</v>
      </c>
      <c r="I239" s="32">
        <f t="shared" si="60"/>
        <v>39147</v>
      </c>
      <c r="J239" s="32">
        <f t="shared" si="61"/>
        <v>0</v>
      </c>
      <c r="K239" s="32">
        <f t="shared" si="62"/>
        <v>0</v>
      </c>
      <c r="L239" s="32">
        <f t="shared" si="63"/>
        <v>82281</v>
      </c>
      <c r="M239" s="32">
        <f>0</f>
        <v>0</v>
      </c>
      <c r="N239" s="32">
        <f t="shared" si="64"/>
        <v>18708110</v>
      </c>
      <c r="O239" s="32">
        <f t="shared" si="65"/>
        <v>10238502</v>
      </c>
      <c r="P239" s="34" t="str">
        <f>IF(NOT(AND(T238="",A239&lt;=S238)),"",IF(FALSE,"繰上返済後再計算","")&amp;IF(AND(入力!$B$13="有効",A239&gt;1,MOD(A239-1,60)=0),IF(FALSE,"・","")&amp;"5年見直し","")&amp;IF(AND(A239=入力!$B$11,A239&gt;1),IF(OR(FALSE,AND(入力!$B$13="有効",A239&gt;1,MOD(A239-1,60)=0)),"・","")&amp;"金利変更","")&amp;IF(AND(OR(AND(入力!$B$13="有効",A239&gt;1,MOD(A239-1,60)=0),AND(A239=入力!$B$11,A239&gt;1)),入力!$B$14="有効",IF(E239=0,ROUND(C239/MAX(1,S238-A239+1),0),ROUND(-PMT(E239/12,MAX(1,S238-A239+1),C239),0))&gt;ROUND(G238*1.25,0),NOT(FALSE)),"・上限適用",""))</f>
        <v/>
      </c>
      <c r="Q239" s="35" t="str">
        <f>IF(AND(T238="",A239&lt;=S238),入力!$B$13,"")</f>
        <v>有効</v>
      </c>
      <c r="R239" s="32" t="str">
        <f>IF(AND(AND(T238="",A239&lt;=S238),OR(AND(入力!$B$13="有効",A239&gt;1,MOD(A239-1,60)=0),AND(A239=入力!$B$11,A239&gt;1)),入力!$B$14="有効"),ROUND(G238*1.25,0),"")</f>
        <v/>
      </c>
      <c r="S239" s="36">
        <f t="shared" si="66"/>
        <v>420</v>
      </c>
      <c r="T239" s="35" t="str">
        <f t="shared" si="67"/>
        <v/>
      </c>
      <c r="U239" s="3">
        <f t="shared" si="51"/>
        <v>0</v>
      </c>
      <c r="V239" s="3">
        <f t="shared" si="52"/>
        <v>0</v>
      </c>
      <c r="W239" s="3">
        <f t="shared" si="53"/>
        <v>0</v>
      </c>
      <c r="X239" s="3">
        <f t="shared" si="54"/>
        <v>0</v>
      </c>
      <c r="Y239" s="3">
        <f>0</f>
        <v>0</v>
      </c>
      <c r="Z239" s="3">
        <f t="shared" si="55"/>
        <v>0</v>
      </c>
      <c r="AA239">
        <f>ROUND(IF(FALSE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,0)</f>
        <v>121428</v>
      </c>
    </row>
    <row r="240" spans="1:27">
      <c r="A240" s="30">
        <f>235</f>
        <v>235</v>
      </c>
      <c r="B240" s="31">
        <f>EDATE(入力!$B$6,A240-1)</f>
        <v>53359</v>
      </c>
      <c r="C240" s="32">
        <f t="shared" si="56"/>
        <v>18708110</v>
      </c>
      <c r="D240" s="32">
        <f t="shared" si="57"/>
        <v>0</v>
      </c>
      <c r="E240" s="33">
        <f>IF(AND(T239="",A240&lt;=S239),IF(A240&lt;入力!$B$11,入力!$B$10,入力!$B$12),0)</f>
        <v>2.5000000000000001E-2</v>
      </c>
      <c r="F240" s="32">
        <f t="shared" si="58"/>
        <v>38975</v>
      </c>
      <c r="G240" s="32">
        <f>ROUND(IF(NOT(AND(T239="",A240&lt;=S239)),0,IF(FALSE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),0)</f>
        <v>121428</v>
      </c>
      <c r="H240" s="32">
        <f t="shared" si="59"/>
        <v>121428</v>
      </c>
      <c r="I240" s="32">
        <f t="shared" si="60"/>
        <v>38975</v>
      </c>
      <c r="J240" s="32">
        <f t="shared" si="61"/>
        <v>0</v>
      </c>
      <c r="K240" s="32">
        <f t="shared" si="62"/>
        <v>0</v>
      </c>
      <c r="L240" s="32">
        <f t="shared" si="63"/>
        <v>82453</v>
      </c>
      <c r="M240" s="32">
        <f>0</f>
        <v>0</v>
      </c>
      <c r="N240" s="32">
        <f t="shared" si="64"/>
        <v>18625657</v>
      </c>
      <c r="O240" s="32">
        <f t="shared" si="65"/>
        <v>10277477</v>
      </c>
      <c r="P240" s="34" t="str">
        <f>IF(NOT(AND(T239="",A240&lt;=S239)),"",IF(FALSE,"繰上返済後再計算","")&amp;IF(AND(入力!$B$13="有効",A240&gt;1,MOD(A240-1,60)=0),IF(FALSE,"・","")&amp;"5年見直し","")&amp;IF(AND(A240=入力!$B$11,A240&gt;1),IF(OR(FALSE,AND(入力!$B$13="有効",A240&gt;1,MOD(A240-1,60)=0)),"・","")&amp;"金利変更","")&amp;IF(AND(OR(AND(入力!$B$13="有効",A240&gt;1,MOD(A240-1,60)=0),AND(A240=入力!$B$11,A240&gt;1)),入力!$B$14="有効",IF(E240=0,ROUND(C240/MAX(1,S239-A240+1),0),ROUND(-PMT(E240/12,MAX(1,S239-A240+1),C240),0))&gt;ROUND(G239*1.25,0),NOT(FALSE)),"・上限適用",""))</f>
        <v/>
      </c>
      <c r="Q240" s="35" t="str">
        <f>IF(AND(T239="",A240&lt;=S239),入力!$B$13,"")</f>
        <v>有効</v>
      </c>
      <c r="R240" s="32" t="str">
        <f>IF(AND(AND(T239="",A240&lt;=S239),OR(AND(入力!$B$13="有効",A240&gt;1,MOD(A240-1,60)=0),AND(A240=入力!$B$11,A240&gt;1)),入力!$B$14="有効"),ROUND(G239*1.25,0),"")</f>
        <v/>
      </c>
      <c r="S240" s="36">
        <f t="shared" si="66"/>
        <v>420</v>
      </c>
      <c r="T240" s="35" t="str">
        <f t="shared" si="67"/>
        <v/>
      </c>
      <c r="U240" s="3">
        <f t="shared" si="51"/>
        <v>0</v>
      </c>
      <c r="V240" s="3">
        <f t="shared" si="52"/>
        <v>0</v>
      </c>
      <c r="W240" s="3">
        <f t="shared" si="53"/>
        <v>0</v>
      </c>
      <c r="X240" s="3">
        <f t="shared" si="54"/>
        <v>0</v>
      </c>
      <c r="Y240" s="3">
        <f>0</f>
        <v>0</v>
      </c>
      <c r="Z240" s="3">
        <f t="shared" si="55"/>
        <v>0</v>
      </c>
      <c r="AA240">
        <f>ROUND(IF(FALSE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,0)</f>
        <v>121428</v>
      </c>
    </row>
    <row r="241" spans="1:27">
      <c r="A241" s="30">
        <f>236</f>
        <v>236</v>
      </c>
      <c r="B241" s="31">
        <f>EDATE(入力!$B$6,A241-1)</f>
        <v>53387</v>
      </c>
      <c r="C241" s="32">
        <f t="shared" si="56"/>
        <v>18625657</v>
      </c>
      <c r="D241" s="32">
        <f t="shared" si="57"/>
        <v>0</v>
      </c>
      <c r="E241" s="33">
        <f>IF(AND(T240="",A241&lt;=S240),IF(A241&lt;入力!$B$11,入力!$B$10,入力!$B$12),0)</f>
        <v>2.5000000000000001E-2</v>
      </c>
      <c r="F241" s="32">
        <f t="shared" si="58"/>
        <v>38803</v>
      </c>
      <c r="G241" s="32">
        <f>ROUND(IF(NOT(AND(T240="",A241&lt;=S240)),0,IF(FALSE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),0)</f>
        <v>121428</v>
      </c>
      <c r="H241" s="32">
        <f t="shared" si="59"/>
        <v>121428</v>
      </c>
      <c r="I241" s="32">
        <f t="shared" si="60"/>
        <v>38803</v>
      </c>
      <c r="J241" s="32">
        <f t="shared" si="61"/>
        <v>0</v>
      </c>
      <c r="K241" s="32">
        <f t="shared" si="62"/>
        <v>0</v>
      </c>
      <c r="L241" s="32">
        <f t="shared" si="63"/>
        <v>82625</v>
      </c>
      <c r="M241" s="32">
        <f>0</f>
        <v>0</v>
      </c>
      <c r="N241" s="32">
        <f t="shared" si="64"/>
        <v>18543032</v>
      </c>
      <c r="O241" s="32">
        <f t="shared" si="65"/>
        <v>10316280</v>
      </c>
      <c r="P241" s="34" t="str">
        <f>IF(NOT(AND(T240="",A241&lt;=S240)),"",IF(FALSE,"繰上返済後再計算","")&amp;IF(AND(入力!$B$13="有効",A241&gt;1,MOD(A241-1,60)=0),IF(FALSE,"・","")&amp;"5年見直し","")&amp;IF(AND(A241=入力!$B$11,A241&gt;1),IF(OR(FALSE,AND(入力!$B$13="有効",A241&gt;1,MOD(A241-1,60)=0)),"・","")&amp;"金利変更","")&amp;IF(AND(OR(AND(入力!$B$13="有効",A241&gt;1,MOD(A241-1,60)=0),AND(A241=入力!$B$11,A241&gt;1)),入力!$B$14="有効",IF(E241=0,ROUND(C241/MAX(1,S240-A241+1),0),ROUND(-PMT(E241/12,MAX(1,S240-A241+1),C241),0))&gt;ROUND(G240*1.25,0),NOT(FALSE)),"・上限適用",""))</f>
        <v/>
      </c>
      <c r="Q241" s="35" t="str">
        <f>IF(AND(T240="",A241&lt;=S240),入力!$B$13,"")</f>
        <v>有効</v>
      </c>
      <c r="R241" s="32" t="str">
        <f>IF(AND(AND(T240="",A241&lt;=S240),OR(AND(入力!$B$13="有効",A241&gt;1,MOD(A241-1,60)=0),AND(A241=入力!$B$11,A241&gt;1)),入力!$B$14="有効"),ROUND(G240*1.25,0),"")</f>
        <v/>
      </c>
      <c r="S241" s="36">
        <f t="shared" si="66"/>
        <v>420</v>
      </c>
      <c r="T241" s="35" t="str">
        <f t="shared" si="67"/>
        <v/>
      </c>
      <c r="U241" s="3">
        <f t="shared" si="51"/>
        <v>0</v>
      </c>
      <c r="V241" s="3">
        <f t="shared" si="52"/>
        <v>0</v>
      </c>
      <c r="W241" s="3">
        <f t="shared" si="53"/>
        <v>0</v>
      </c>
      <c r="X241" s="3">
        <f t="shared" si="54"/>
        <v>0</v>
      </c>
      <c r="Y241" s="3">
        <f>0</f>
        <v>0</v>
      </c>
      <c r="Z241" s="3">
        <f t="shared" si="55"/>
        <v>0</v>
      </c>
      <c r="AA241">
        <f>ROUND(IF(FALSE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,0)</f>
        <v>121428</v>
      </c>
    </row>
    <row r="242" spans="1:27">
      <c r="A242" s="30">
        <f>237</f>
        <v>237</v>
      </c>
      <c r="B242" s="31">
        <f>EDATE(入力!$B$6,A242-1)</f>
        <v>53418</v>
      </c>
      <c r="C242" s="32">
        <f t="shared" si="56"/>
        <v>18543032</v>
      </c>
      <c r="D242" s="32">
        <f t="shared" si="57"/>
        <v>0</v>
      </c>
      <c r="E242" s="33">
        <f>IF(AND(T241="",A242&lt;=S241),IF(A242&lt;入力!$B$11,入力!$B$10,入力!$B$12),0)</f>
        <v>2.5000000000000001E-2</v>
      </c>
      <c r="F242" s="32">
        <f t="shared" si="58"/>
        <v>38631</v>
      </c>
      <c r="G242" s="32">
        <f>ROUND(IF(NOT(AND(T241="",A242&lt;=S241)),0,IF(FALSE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),0)</f>
        <v>121428</v>
      </c>
      <c r="H242" s="32">
        <f t="shared" si="59"/>
        <v>121428</v>
      </c>
      <c r="I242" s="32">
        <f t="shared" si="60"/>
        <v>38631</v>
      </c>
      <c r="J242" s="32">
        <f t="shared" si="61"/>
        <v>0</v>
      </c>
      <c r="K242" s="32">
        <f t="shared" si="62"/>
        <v>0</v>
      </c>
      <c r="L242" s="32">
        <f t="shared" si="63"/>
        <v>82797</v>
      </c>
      <c r="M242" s="32">
        <f>0</f>
        <v>0</v>
      </c>
      <c r="N242" s="32">
        <f t="shared" si="64"/>
        <v>18460235</v>
      </c>
      <c r="O242" s="32">
        <f t="shared" si="65"/>
        <v>10354911</v>
      </c>
      <c r="P242" s="34" t="str">
        <f>IF(NOT(AND(T241="",A242&lt;=S241)),"",IF(FALSE,"繰上返済後再計算","")&amp;IF(AND(入力!$B$13="有効",A242&gt;1,MOD(A242-1,60)=0),IF(FALSE,"・","")&amp;"5年見直し","")&amp;IF(AND(A242=入力!$B$11,A242&gt;1),IF(OR(FALSE,AND(入力!$B$13="有効",A242&gt;1,MOD(A242-1,60)=0)),"・","")&amp;"金利変更","")&amp;IF(AND(OR(AND(入力!$B$13="有効",A242&gt;1,MOD(A242-1,60)=0),AND(A242=入力!$B$11,A242&gt;1)),入力!$B$14="有効",IF(E242=0,ROUND(C242/MAX(1,S241-A242+1),0),ROUND(-PMT(E242/12,MAX(1,S241-A242+1),C242),0))&gt;ROUND(G241*1.25,0),NOT(FALSE)),"・上限適用",""))</f>
        <v/>
      </c>
      <c r="Q242" s="35" t="str">
        <f>IF(AND(T241="",A242&lt;=S241),入力!$B$13,"")</f>
        <v>有効</v>
      </c>
      <c r="R242" s="32" t="str">
        <f>IF(AND(AND(T241="",A242&lt;=S241),OR(AND(入力!$B$13="有効",A242&gt;1,MOD(A242-1,60)=0),AND(A242=入力!$B$11,A242&gt;1)),入力!$B$14="有効"),ROUND(G241*1.25,0),"")</f>
        <v/>
      </c>
      <c r="S242" s="36">
        <f t="shared" si="66"/>
        <v>420</v>
      </c>
      <c r="T242" s="35" t="str">
        <f t="shared" si="67"/>
        <v/>
      </c>
      <c r="U242" s="3">
        <f t="shared" si="51"/>
        <v>0</v>
      </c>
      <c r="V242" s="3">
        <f t="shared" si="52"/>
        <v>0</v>
      </c>
      <c r="W242" s="3">
        <f t="shared" si="53"/>
        <v>0</v>
      </c>
      <c r="X242" s="3">
        <f t="shared" si="54"/>
        <v>0</v>
      </c>
      <c r="Y242" s="3">
        <f>0</f>
        <v>0</v>
      </c>
      <c r="Z242" s="3">
        <f t="shared" si="55"/>
        <v>0</v>
      </c>
      <c r="AA242">
        <f>ROUND(IF(FALSE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,0)</f>
        <v>121428</v>
      </c>
    </row>
    <row r="243" spans="1:27">
      <c r="A243" s="30">
        <f>238</f>
        <v>238</v>
      </c>
      <c r="B243" s="31">
        <f>EDATE(入力!$B$6,A243-1)</f>
        <v>53448</v>
      </c>
      <c r="C243" s="32">
        <f t="shared" si="56"/>
        <v>18460235</v>
      </c>
      <c r="D243" s="32">
        <f t="shared" si="57"/>
        <v>0</v>
      </c>
      <c r="E243" s="33">
        <f>IF(AND(T242="",A243&lt;=S242),IF(A243&lt;入力!$B$11,入力!$B$10,入力!$B$12),0)</f>
        <v>2.5000000000000001E-2</v>
      </c>
      <c r="F243" s="32">
        <f t="shared" si="58"/>
        <v>38459</v>
      </c>
      <c r="G243" s="32">
        <f>ROUND(IF(NOT(AND(T242="",A243&lt;=S242)),0,IF(FALSE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),0)</f>
        <v>121428</v>
      </c>
      <c r="H243" s="32">
        <f t="shared" si="59"/>
        <v>121428</v>
      </c>
      <c r="I243" s="32">
        <f t="shared" si="60"/>
        <v>38459</v>
      </c>
      <c r="J243" s="32">
        <f t="shared" si="61"/>
        <v>0</v>
      </c>
      <c r="K243" s="32">
        <f t="shared" si="62"/>
        <v>0</v>
      </c>
      <c r="L243" s="32">
        <f t="shared" si="63"/>
        <v>82969</v>
      </c>
      <c r="M243" s="32">
        <f>0</f>
        <v>0</v>
      </c>
      <c r="N243" s="32">
        <f t="shared" si="64"/>
        <v>18377266</v>
      </c>
      <c r="O243" s="32">
        <f t="shared" si="65"/>
        <v>10393370</v>
      </c>
      <c r="P243" s="34" t="str">
        <f>IF(NOT(AND(T242="",A243&lt;=S242)),"",IF(FALSE,"繰上返済後再計算","")&amp;IF(AND(入力!$B$13="有効",A243&gt;1,MOD(A243-1,60)=0),IF(FALSE,"・","")&amp;"5年見直し","")&amp;IF(AND(A243=入力!$B$11,A243&gt;1),IF(OR(FALSE,AND(入力!$B$13="有効",A243&gt;1,MOD(A243-1,60)=0)),"・","")&amp;"金利変更","")&amp;IF(AND(OR(AND(入力!$B$13="有効",A243&gt;1,MOD(A243-1,60)=0),AND(A243=入力!$B$11,A243&gt;1)),入力!$B$14="有効",IF(E243=0,ROUND(C243/MAX(1,S242-A243+1),0),ROUND(-PMT(E243/12,MAX(1,S242-A243+1),C243),0))&gt;ROUND(G242*1.25,0),NOT(FALSE)),"・上限適用",""))</f>
        <v/>
      </c>
      <c r="Q243" s="35" t="str">
        <f>IF(AND(T242="",A243&lt;=S242),入力!$B$13,"")</f>
        <v>有効</v>
      </c>
      <c r="R243" s="32" t="str">
        <f>IF(AND(AND(T242="",A243&lt;=S242),OR(AND(入力!$B$13="有効",A243&gt;1,MOD(A243-1,60)=0),AND(A243=入力!$B$11,A243&gt;1)),入力!$B$14="有効"),ROUND(G242*1.25,0),"")</f>
        <v/>
      </c>
      <c r="S243" s="36">
        <f t="shared" si="66"/>
        <v>420</v>
      </c>
      <c r="T243" s="35" t="str">
        <f t="shared" si="67"/>
        <v/>
      </c>
      <c r="U243" s="3">
        <f t="shared" si="51"/>
        <v>0</v>
      </c>
      <c r="V243" s="3">
        <f t="shared" si="52"/>
        <v>0</v>
      </c>
      <c r="W243" s="3">
        <f t="shared" si="53"/>
        <v>0</v>
      </c>
      <c r="X243" s="3">
        <f t="shared" si="54"/>
        <v>0</v>
      </c>
      <c r="Y243" s="3">
        <f>0</f>
        <v>0</v>
      </c>
      <c r="Z243" s="3">
        <f t="shared" si="55"/>
        <v>0</v>
      </c>
      <c r="AA243">
        <f>ROUND(IF(FALSE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,0)</f>
        <v>121428</v>
      </c>
    </row>
    <row r="244" spans="1:27">
      <c r="A244" s="30">
        <f>239</f>
        <v>239</v>
      </c>
      <c r="B244" s="31">
        <f>EDATE(入力!$B$6,A244-1)</f>
        <v>53479</v>
      </c>
      <c r="C244" s="32">
        <f t="shared" si="56"/>
        <v>18377266</v>
      </c>
      <c r="D244" s="32">
        <f t="shared" si="57"/>
        <v>0</v>
      </c>
      <c r="E244" s="33">
        <f>IF(AND(T243="",A244&lt;=S243),IF(A244&lt;入力!$B$11,入力!$B$10,入力!$B$12),0)</f>
        <v>2.5000000000000001E-2</v>
      </c>
      <c r="F244" s="32">
        <f t="shared" si="58"/>
        <v>38286</v>
      </c>
      <c r="G244" s="32">
        <f>ROUND(IF(NOT(AND(T243="",A244&lt;=S243)),0,IF(FALSE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),0)</f>
        <v>121428</v>
      </c>
      <c r="H244" s="32">
        <f t="shared" si="59"/>
        <v>121428</v>
      </c>
      <c r="I244" s="32">
        <f t="shared" si="60"/>
        <v>38286</v>
      </c>
      <c r="J244" s="32">
        <f t="shared" si="61"/>
        <v>0</v>
      </c>
      <c r="K244" s="32">
        <f t="shared" si="62"/>
        <v>0</v>
      </c>
      <c r="L244" s="32">
        <f t="shared" si="63"/>
        <v>83142</v>
      </c>
      <c r="M244" s="32">
        <f>0</f>
        <v>0</v>
      </c>
      <c r="N244" s="32">
        <f t="shared" si="64"/>
        <v>18294124</v>
      </c>
      <c r="O244" s="32">
        <f t="shared" si="65"/>
        <v>10431656</v>
      </c>
      <c r="P244" s="34" t="str">
        <f>IF(NOT(AND(T243="",A244&lt;=S243)),"",IF(FALSE,"繰上返済後再計算","")&amp;IF(AND(入力!$B$13="有効",A244&gt;1,MOD(A244-1,60)=0),IF(FALSE,"・","")&amp;"5年見直し","")&amp;IF(AND(A244=入力!$B$11,A244&gt;1),IF(OR(FALSE,AND(入力!$B$13="有効",A244&gt;1,MOD(A244-1,60)=0)),"・","")&amp;"金利変更","")&amp;IF(AND(OR(AND(入力!$B$13="有効",A244&gt;1,MOD(A244-1,60)=0),AND(A244=入力!$B$11,A244&gt;1)),入力!$B$14="有効",IF(E244=0,ROUND(C244/MAX(1,S243-A244+1),0),ROUND(-PMT(E244/12,MAX(1,S243-A244+1),C244),0))&gt;ROUND(G243*1.25,0),NOT(FALSE)),"・上限適用",""))</f>
        <v/>
      </c>
      <c r="Q244" s="35" t="str">
        <f>IF(AND(T243="",A244&lt;=S243),入力!$B$13,"")</f>
        <v>有効</v>
      </c>
      <c r="R244" s="32" t="str">
        <f>IF(AND(AND(T243="",A244&lt;=S243),OR(AND(入力!$B$13="有効",A244&gt;1,MOD(A244-1,60)=0),AND(A244=入力!$B$11,A244&gt;1)),入力!$B$14="有効"),ROUND(G243*1.25,0),"")</f>
        <v/>
      </c>
      <c r="S244" s="36">
        <f t="shared" si="66"/>
        <v>420</v>
      </c>
      <c r="T244" s="35" t="str">
        <f t="shared" si="67"/>
        <v/>
      </c>
      <c r="U244" s="3">
        <f t="shared" si="51"/>
        <v>0</v>
      </c>
      <c r="V244" s="3">
        <f t="shared" si="52"/>
        <v>0</v>
      </c>
      <c r="W244" s="3">
        <f t="shared" si="53"/>
        <v>0</v>
      </c>
      <c r="X244" s="3">
        <f t="shared" si="54"/>
        <v>0</v>
      </c>
      <c r="Y244" s="3">
        <f>0</f>
        <v>0</v>
      </c>
      <c r="Z244" s="3">
        <f t="shared" si="55"/>
        <v>0</v>
      </c>
      <c r="AA244">
        <f>ROUND(IF(FALSE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,0)</f>
        <v>121428</v>
      </c>
    </row>
    <row r="245" spans="1:27">
      <c r="A245" s="30">
        <f>240</f>
        <v>240</v>
      </c>
      <c r="B245" s="31">
        <f>EDATE(入力!$B$6,A245-1)</f>
        <v>53509</v>
      </c>
      <c r="C245" s="32">
        <f t="shared" si="56"/>
        <v>18294124</v>
      </c>
      <c r="D245" s="32">
        <f t="shared" si="57"/>
        <v>0</v>
      </c>
      <c r="E245" s="33">
        <f>IF(AND(T244="",A245&lt;=S244),IF(A245&lt;入力!$B$11,入力!$B$10,入力!$B$12),0)</f>
        <v>2.5000000000000001E-2</v>
      </c>
      <c r="F245" s="32">
        <f t="shared" si="58"/>
        <v>38113</v>
      </c>
      <c r="G245" s="32">
        <f>ROUND(IF(NOT(AND(T244="",A245&lt;=S244)),0,IF(FALSE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),0)</f>
        <v>121428</v>
      </c>
      <c r="H245" s="32">
        <f t="shared" si="59"/>
        <v>121428</v>
      </c>
      <c r="I245" s="32">
        <f t="shared" si="60"/>
        <v>38113</v>
      </c>
      <c r="J245" s="32">
        <f t="shared" si="61"/>
        <v>0</v>
      </c>
      <c r="K245" s="32">
        <f t="shared" si="62"/>
        <v>0</v>
      </c>
      <c r="L245" s="32">
        <f t="shared" si="63"/>
        <v>83315</v>
      </c>
      <c r="M245" s="32">
        <f>0</f>
        <v>0</v>
      </c>
      <c r="N245" s="32">
        <f t="shared" si="64"/>
        <v>18210809</v>
      </c>
      <c r="O245" s="32">
        <f t="shared" si="65"/>
        <v>10469769</v>
      </c>
      <c r="P245" s="34" t="str">
        <f>IF(NOT(AND(T244="",A245&lt;=S244)),"",IF(FALSE,"繰上返済後再計算","")&amp;IF(AND(入力!$B$13="有効",A245&gt;1,MOD(A245-1,60)=0),IF(FALSE,"・","")&amp;"5年見直し","")&amp;IF(AND(A245=入力!$B$11,A245&gt;1),IF(OR(FALSE,AND(入力!$B$13="有効",A245&gt;1,MOD(A245-1,60)=0)),"・","")&amp;"金利変更","")&amp;IF(AND(OR(AND(入力!$B$13="有効",A245&gt;1,MOD(A245-1,60)=0),AND(A245=入力!$B$11,A245&gt;1)),入力!$B$14="有効",IF(E245=0,ROUND(C245/MAX(1,S244-A245+1),0),ROUND(-PMT(E245/12,MAX(1,S244-A245+1),C245),0))&gt;ROUND(G244*1.25,0),NOT(FALSE)),"・上限適用",""))</f>
        <v/>
      </c>
      <c r="Q245" s="35" t="str">
        <f>IF(AND(T244="",A245&lt;=S244),入力!$B$13,"")</f>
        <v>有効</v>
      </c>
      <c r="R245" s="32" t="str">
        <f>IF(AND(AND(T244="",A245&lt;=S244),OR(AND(入力!$B$13="有効",A245&gt;1,MOD(A245-1,60)=0),AND(A245=入力!$B$11,A245&gt;1)),入力!$B$14="有効"),ROUND(G244*1.25,0),"")</f>
        <v/>
      </c>
      <c r="S245" s="36">
        <f t="shared" si="66"/>
        <v>420</v>
      </c>
      <c r="T245" s="35" t="str">
        <f t="shared" si="67"/>
        <v/>
      </c>
      <c r="U245" s="3">
        <f t="shared" si="51"/>
        <v>0</v>
      </c>
      <c r="V245" s="3">
        <f t="shared" si="52"/>
        <v>0</v>
      </c>
      <c r="W245" s="3">
        <f t="shared" si="53"/>
        <v>0</v>
      </c>
      <c r="X245" s="3">
        <f t="shared" si="54"/>
        <v>0</v>
      </c>
      <c r="Y245" s="3">
        <f>0</f>
        <v>0</v>
      </c>
      <c r="Z245" s="3">
        <f t="shared" si="55"/>
        <v>0</v>
      </c>
      <c r="AA245">
        <f>ROUND(IF(FALSE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,0)</f>
        <v>121428</v>
      </c>
    </row>
    <row r="246" spans="1:27">
      <c r="A246" s="30">
        <f>241</f>
        <v>241</v>
      </c>
      <c r="B246" s="31">
        <f>EDATE(入力!$B$6,A246-1)</f>
        <v>53540</v>
      </c>
      <c r="C246" s="32">
        <f t="shared" si="56"/>
        <v>18210809</v>
      </c>
      <c r="D246" s="32">
        <f t="shared" si="57"/>
        <v>0</v>
      </c>
      <c r="E246" s="33">
        <f>IF(AND(T245="",A246&lt;=S245),IF(A246&lt;入力!$B$11,入力!$B$10,入力!$B$12),0)</f>
        <v>2.5000000000000001E-2</v>
      </c>
      <c r="F246" s="32">
        <f t="shared" si="58"/>
        <v>37939</v>
      </c>
      <c r="G246" s="32">
        <f>ROUND(IF(NOT(AND(T245="",A246&lt;=S245)),0,IF(FALSE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),0)</f>
        <v>121428</v>
      </c>
      <c r="H246" s="32">
        <f t="shared" si="59"/>
        <v>121428</v>
      </c>
      <c r="I246" s="32">
        <f t="shared" si="60"/>
        <v>37939</v>
      </c>
      <c r="J246" s="32">
        <f t="shared" si="61"/>
        <v>0</v>
      </c>
      <c r="K246" s="32">
        <f t="shared" si="62"/>
        <v>0</v>
      </c>
      <c r="L246" s="32">
        <f t="shared" si="63"/>
        <v>83489</v>
      </c>
      <c r="M246" s="32">
        <f>0</f>
        <v>0</v>
      </c>
      <c r="N246" s="32">
        <f t="shared" si="64"/>
        <v>18127320</v>
      </c>
      <c r="O246" s="32">
        <f t="shared" si="65"/>
        <v>10507708</v>
      </c>
      <c r="P246" s="34" t="str">
        <f>IF(NOT(AND(T245="",A246&lt;=S245)),"",IF(FALSE,"繰上返済後再計算","")&amp;IF(AND(入力!$B$13="有効",A246&gt;1,MOD(A246-1,60)=0),IF(FALSE,"・","")&amp;"5年見直し","")&amp;IF(AND(A246=入力!$B$11,A246&gt;1),IF(OR(FALSE,AND(入力!$B$13="有効",A246&gt;1,MOD(A246-1,60)=0)),"・","")&amp;"金利変更","")&amp;IF(AND(OR(AND(入力!$B$13="有効",A246&gt;1,MOD(A246-1,60)=0),AND(A246=入力!$B$11,A246&gt;1)),入力!$B$14="有効",IF(E246=0,ROUND(C246/MAX(1,S245-A246+1),0),ROUND(-PMT(E246/12,MAX(1,S245-A246+1),C246),0))&gt;ROUND(G245*1.25,0),NOT(FALSE)),"・上限適用",""))</f>
        <v>5年見直し</v>
      </c>
      <c r="Q246" s="35" t="str">
        <f>IF(AND(T245="",A246&lt;=S245),入力!$B$13,"")</f>
        <v>有効</v>
      </c>
      <c r="R246" s="32">
        <f>IF(AND(AND(T245="",A246&lt;=S245),OR(AND(入力!$B$13="有効",A246&gt;1,MOD(A246-1,60)=0),AND(A246=入力!$B$11,A246&gt;1)),入力!$B$14="有効"),ROUND(G245*1.25,0),"")</f>
        <v>151785</v>
      </c>
      <c r="S246" s="36">
        <f t="shared" si="66"/>
        <v>420</v>
      </c>
      <c r="T246" s="35" t="str">
        <f t="shared" si="67"/>
        <v/>
      </c>
      <c r="U246" s="3">
        <f t="shared" si="51"/>
        <v>0</v>
      </c>
      <c r="V246" s="3">
        <f t="shared" si="52"/>
        <v>0</v>
      </c>
      <c r="W246" s="3">
        <f t="shared" si="53"/>
        <v>0</v>
      </c>
      <c r="X246" s="3">
        <f t="shared" si="54"/>
        <v>0</v>
      </c>
      <c r="Y246" s="3">
        <f>0</f>
        <v>0</v>
      </c>
      <c r="Z246" s="3">
        <f t="shared" si="55"/>
        <v>0</v>
      </c>
      <c r="AA246">
        <f>ROUND(IF(FALSE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,0)</f>
        <v>121428</v>
      </c>
    </row>
    <row r="247" spans="1:27">
      <c r="A247" s="30">
        <f>242</f>
        <v>242</v>
      </c>
      <c r="B247" s="31">
        <f>EDATE(入力!$B$6,A247-1)</f>
        <v>53571</v>
      </c>
      <c r="C247" s="32">
        <f t="shared" si="56"/>
        <v>18127320</v>
      </c>
      <c r="D247" s="32">
        <f t="shared" si="57"/>
        <v>0</v>
      </c>
      <c r="E247" s="33">
        <f>IF(AND(T246="",A247&lt;=S246),IF(A247&lt;入力!$B$11,入力!$B$10,入力!$B$12),0)</f>
        <v>2.5000000000000001E-2</v>
      </c>
      <c r="F247" s="32">
        <f t="shared" si="58"/>
        <v>37765</v>
      </c>
      <c r="G247" s="32">
        <f>ROUND(IF(NOT(AND(T246="",A247&lt;=S246)),0,IF(FALSE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),0)</f>
        <v>121428</v>
      </c>
      <c r="H247" s="32">
        <f t="shared" si="59"/>
        <v>121428</v>
      </c>
      <c r="I247" s="32">
        <f t="shared" si="60"/>
        <v>37765</v>
      </c>
      <c r="J247" s="32">
        <f t="shared" si="61"/>
        <v>0</v>
      </c>
      <c r="K247" s="32">
        <f t="shared" si="62"/>
        <v>0</v>
      </c>
      <c r="L247" s="32">
        <f t="shared" si="63"/>
        <v>83663</v>
      </c>
      <c r="M247" s="32">
        <f>0</f>
        <v>0</v>
      </c>
      <c r="N247" s="32">
        <f t="shared" si="64"/>
        <v>18043657</v>
      </c>
      <c r="O247" s="32">
        <f t="shared" si="65"/>
        <v>10545473</v>
      </c>
      <c r="P247" s="34" t="str">
        <f>IF(NOT(AND(T246="",A247&lt;=S246)),"",IF(FALSE,"繰上返済後再計算","")&amp;IF(AND(入力!$B$13="有効",A247&gt;1,MOD(A247-1,60)=0),IF(FALSE,"・","")&amp;"5年見直し","")&amp;IF(AND(A247=入力!$B$11,A247&gt;1),IF(OR(FALSE,AND(入力!$B$13="有効",A247&gt;1,MOD(A247-1,60)=0)),"・","")&amp;"金利変更","")&amp;IF(AND(OR(AND(入力!$B$13="有効",A247&gt;1,MOD(A247-1,60)=0),AND(A247=入力!$B$11,A247&gt;1)),入力!$B$14="有効",IF(E247=0,ROUND(C247/MAX(1,S246-A247+1),0),ROUND(-PMT(E247/12,MAX(1,S246-A247+1),C247),0))&gt;ROUND(G246*1.25,0),NOT(FALSE)),"・上限適用",""))</f>
        <v/>
      </c>
      <c r="Q247" s="35" t="str">
        <f>IF(AND(T246="",A247&lt;=S246),入力!$B$13,"")</f>
        <v>有効</v>
      </c>
      <c r="R247" s="32" t="str">
        <f>IF(AND(AND(T246="",A247&lt;=S246),OR(AND(入力!$B$13="有効",A247&gt;1,MOD(A247-1,60)=0),AND(A247=入力!$B$11,A247&gt;1)),入力!$B$14="有効"),ROUND(G246*1.25,0),"")</f>
        <v/>
      </c>
      <c r="S247" s="36">
        <f t="shared" si="66"/>
        <v>420</v>
      </c>
      <c r="T247" s="35" t="str">
        <f t="shared" si="67"/>
        <v/>
      </c>
      <c r="U247" s="3">
        <f t="shared" si="51"/>
        <v>0</v>
      </c>
      <c r="V247" s="3">
        <f t="shared" si="52"/>
        <v>0</v>
      </c>
      <c r="W247" s="3">
        <f t="shared" si="53"/>
        <v>0</v>
      </c>
      <c r="X247" s="3">
        <f t="shared" si="54"/>
        <v>0</v>
      </c>
      <c r="Y247" s="3">
        <f>0</f>
        <v>0</v>
      </c>
      <c r="Z247" s="3">
        <f t="shared" si="55"/>
        <v>0</v>
      </c>
      <c r="AA247">
        <f>ROUND(IF(FALSE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,0)</f>
        <v>121428</v>
      </c>
    </row>
    <row r="248" spans="1:27">
      <c r="A248" s="30">
        <f>243</f>
        <v>243</v>
      </c>
      <c r="B248" s="31">
        <f>EDATE(入力!$B$6,A248-1)</f>
        <v>53601</v>
      </c>
      <c r="C248" s="32">
        <f t="shared" si="56"/>
        <v>18043657</v>
      </c>
      <c r="D248" s="32">
        <f t="shared" si="57"/>
        <v>0</v>
      </c>
      <c r="E248" s="33">
        <f>IF(AND(T247="",A248&lt;=S247),IF(A248&lt;入力!$B$11,入力!$B$10,入力!$B$12),0)</f>
        <v>2.5000000000000001E-2</v>
      </c>
      <c r="F248" s="32">
        <f t="shared" si="58"/>
        <v>37591</v>
      </c>
      <c r="G248" s="32">
        <f>ROUND(IF(NOT(AND(T247="",A248&lt;=S247)),0,IF(FALSE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),0)</f>
        <v>121428</v>
      </c>
      <c r="H248" s="32">
        <f t="shared" si="59"/>
        <v>121428</v>
      </c>
      <c r="I248" s="32">
        <f t="shared" si="60"/>
        <v>37591</v>
      </c>
      <c r="J248" s="32">
        <f t="shared" si="61"/>
        <v>0</v>
      </c>
      <c r="K248" s="32">
        <f t="shared" si="62"/>
        <v>0</v>
      </c>
      <c r="L248" s="32">
        <f t="shared" si="63"/>
        <v>83837</v>
      </c>
      <c r="M248" s="32">
        <f>0</f>
        <v>0</v>
      </c>
      <c r="N248" s="32">
        <f t="shared" si="64"/>
        <v>17959820</v>
      </c>
      <c r="O248" s="32">
        <f t="shared" si="65"/>
        <v>10583064</v>
      </c>
      <c r="P248" s="34" t="str">
        <f>IF(NOT(AND(T247="",A248&lt;=S247)),"",IF(FALSE,"繰上返済後再計算","")&amp;IF(AND(入力!$B$13="有効",A248&gt;1,MOD(A248-1,60)=0),IF(FALSE,"・","")&amp;"5年見直し","")&amp;IF(AND(A248=入力!$B$11,A248&gt;1),IF(OR(FALSE,AND(入力!$B$13="有効",A248&gt;1,MOD(A248-1,60)=0)),"・","")&amp;"金利変更","")&amp;IF(AND(OR(AND(入力!$B$13="有効",A248&gt;1,MOD(A248-1,60)=0),AND(A248=入力!$B$11,A248&gt;1)),入力!$B$14="有効",IF(E248=0,ROUND(C248/MAX(1,S247-A248+1),0),ROUND(-PMT(E248/12,MAX(1,S247-A248+1),C248),0))&gt;ROUND(G247*1.25,0),NOT(FALSE)),"・上限適用",""))</f>
        <v/>
      </c>
      <c r="Q248" s="35" t="str">
        <f>IF(AND(T247="",A248&lt;=S247),入力!$B$13,"")</f>
        <v>有効</v>
      </c>
      <c r="R248" s="32" t="str">
        <f>IF(AND(AND(T247="",A248&lt;=S247),OR(AND(入力!$B$13="有効",A248&gt;1,MOD(A248-1,60)=0),AND(A248=入力!$B$11,A248&gt;1)),入力!$B$14="有効"),ROUND(G247*1.25,0),"")</f>
        <v/>
      </c>
      <c r="S248" s="36">
        <f t="shared" si="66"/>
        <v>420</v>
      </c>
      <c r="T248" s="35" t="str">
        <f t="shared" si="67"/>
        <v/>
      </c>
      <c r="U248" s="3">
        <f t="shared" si="51"/>
        <v>0</v>
      </c>
      <c r="V248" s="3">
        <f t="shared" si="52"/>
        <v>0</v>
      </c>
      <c r="W248" s="3">
        <f t="shared" si="53"/>
        <v>0</v>
      </c>
      <c r="X248" s="3">
        <f t="shared" si="54"/>
        <v>0</v>
      </c>
      <c r="Y248" s="3">
        <f>0</f>
        <v>0</v>
      </c>
      <c r="Z248" s="3">
        <f t="shared" si="55"/>
        <v>0</v>
      </c>
      <c r="AA248">
        <f>ROUND(IF(FALSE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,0)</f>
        <v>121428</v>
      </c>
    </row>
    <row r="249" spans="1:27">
      <c r="A249" s="30">
        <f>244</f>
        <v>244</v>
      </c>
      <c r="B249" s="31">
        <f>EDATE(入力!$B$6,A249-1)</f>
        <v>53632</v>
      </c>
      <c r="C249" s="32">
        <f t="shared" si="56"/>
        <v>17959820</v>
      </c>
      <c r="D249" s="32">
        <f t="shared" si="57"/>
        <v>0</v>
      </c>
      <c r="E249" s="33">
        <f>IF(AND(T248="",A249&lt;=S248),IF(A249&lt;入力!$B$11,入力!$B$10,入力!$B$12),0)</f>
        <v>2.5000000000000001E-2</v>
      </c>
      <c r="F249" s="32">
        <f t="shared" si="58"/>
        <v>37416</v>
      </c>
      <c r="G249" s="32">
        <f>ROUND(IF(NOT(AND(T248="",A249&lt;=S248)),0,IF(FALSE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),0)</f>
        <v>121428</v>
      </c>
      <c r="H249" s="32">
        <f t="shared" si="59"/>
        <v>121428</v>
      </c>
      <c r="I249" s="32">
        <f t="shared" si="60"/>
        <v>37416</v>
      </c>
      <c r="J249" s="32">
        <f t="shared" si="61"/>
        <v>0</v>
      </c>
      <c r="K249" s="32">
        <f t="shared" si="62"/>
        <v>0</v>
      </c>
      <c r="L249" s="32">
        <f t="shared" si="63"/>
        <v>84012</v>
      </c>
      <c r="M249" s="32">
        <f>0</f>
        <v>0</v>
      </c>
      <c r="N249" s="32">
        <f t="shared" si="64"/>
        <v>17875808</v>
      </c>
      <c r="O249" s="32">
        <f t="shared" si="65"/>
        <v>10620480</v>
      </c>
      <c r="P249" s="34" t="str">
        <f>IF(NOT(AND(T248="",A249&lt;=S248)),"",IF(FALSE,"繰上返済後再計算","")&amp;IF(AND(入力!$B$13="有効",A249&gt;1,MOD(A249-1,60)=0),IF(FALSE,"・","")&amp;"5年見直し","")&amp;IF(AND(A249=入力!$B$11,A249&gt;1),IF(OR(FALSE,AND(入力!$B$13="有効",A249&gt;1,MOD(A249-1,60)=0)),"・","")&amp;"金利変更","")&amp;IF(AND(OR(AND(入力!$B$13="有効",A249&gt;1,MOD(A249-1,60)=0),AND(A249=入力!$B$11,A249&gt;1)),入力!$B$14="有効",IF(E249=0,ROUND(C249/MAX(1,S248-A249+1),0),ROUND(-PMT(E249/12,MAX(1,S248-A249+1),C249),0))&gt;ROUND(G248*1.25,0),NOT(FALSE)),"・上限適用",""))</f>
        <v/>
      </c>
      <c r="Q249" s="35" t="str">
        <f>IF(AND(T248="",A249&lt;=S248),入力!$B$13,"")</f>
        <v>有効</v>
      </c>
      <c r="R249" s="32" t="str">
        <f>IF(AND(AND(T248="",A249&lt;=S248),OR(AND(入力!$B$13="有効",A249&gt;1,MOD(A249-1,60)=0),AND(A249=入力!$B$11,A249&gt;1)),入力!$B$14="有効"),ROUND(G248*1.25,0),"")</f>
        <v/>
      </c>
      <c r="S249" s="36">
        <f t="shared" si="66"/>
        <v>420</v>
      </c>
      <c r="T249" s="35" t="str">
        <f t="shared" si="67"/>
        <v/>
      </c>
      <c r="U249" s="3">
        <f t="shared" si="51"/>
        <v>0</v>
      </c>
      <c r="V249" s="3">
        <f t="shared" si="52"/>
        <v>0</v>
      </c>
      <c r="W249" s="3">
        <f t="shared" si="53"/>
        <v>0</v>
      </c>
      <c r="X249" s="3">
        <f t="shared" si="54"/>
        <v>0</v>
      </c>
      <c r="Y249" s="3">
        <f>0</f>
        <v>0</v>
      </c>
      <c r="Z249" s="3">
        <f t="shared" si="55"/>
        <v>0</v>
      </c>
      <c r="AA249">
        <f>ROUND(IF(FALSE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,0)</f>
        <v>121428</v>
      </c>
    </row>
    <row r="250" spans="1:27">
      <c r="A250" s="30">
        <f>245</f>
        <v>245</v>
      </c>
      <c r="B250" s="31">
        <f>EDATE(入力!$B$6,A250-1)</f>
        <v>53662</v>
      </c>
      <c r="C250" s="32">
        <f t="shared" si="56"/>
        <v>17875808</v>
      </c>
      <c r="D250" s="32">
        <f t="shared" si="57"/>
        <v>0</v>
      </c>
      <c r="E250" s="33">
        <f>IF(AND(T249="",A250&lt;=S249),IF(A250&lt;入力!$B$11,入力!$B$10,入力!$B$12),0)</f>
        <v>2.5000000000000001E-2</v>
      </c>
      <c r="F250" s="32">
        <f t="shared" si="58"/>
        <v>37241</v>
      </c>
      <c r="G250" s="32">
        <f>ROUND(IF(NOT(AND(T249="",A250&lt;=S249)),0,IF(FALSE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),0)</f>
        <v>121428</v>
      </c>
      <c r="H250" s="32">
        <f t="shared" si="59"/>
        <v>121428</v>
      </c>
      <c r="I250" s="32">
        <f t="shared" si="60"/>
        <v>37241</v>
      </c>
      <c r="J250" s="32">
        <f t="shared" si="61"/>
        <v>0</v>
      </c>
      <c r="K250" s="32">
        <f t="shared" si="62"/>
        <v>0</v>
      </c>
      <c r="L250" s="32">
        <f t="shared" si="63"/>
        <v>84187</v>
      </c>
      <c r="M250" s="32">
        <f>0</f>
        <v>0</v>
      </c>
      <c r="N250" s="32">
        <f t="shared" si="64"/>
        <v>17791621</v>
      </c>
      <c r="O250" s="32">
        <f t="shared" si="65"/>
        <v>10657721</v>
      </c>
      <c r="P250" s="34" t="str">
        <f>IF(NOT(AND(T249="",A250&lt;=S249)),"",IF(FALSE,"繰上返済後再計算","")&amp;IF(AND(入力!$B$13="有効",A250&gt;1,MOD(A250-1,60)=0),IF(FALSE,"・","")&amp;"5年見直し","")&amp;IF(AND(A250=入力!$B$11,A250&gt;1),IF(OR(FALSE,AND(入力!$B$13="有効",A250&gt;1,MOD(A250-1,60)=0)),"・","")&amp;"金利変更","")&amp;IF(AND(OR(AND(入力!$B$13="有効",A250&gt;1,MOD(A250-1,60)=0),AND(A250=入力!$B$11,A250&gt;1)),入力!$B$14="有効",IF(E250=0,ROUND(C250/MAX(1,S249-A250+1),0),ROUND(-PMT(E250/12,MAX(1,S249-A250+1),C250),0))&gt;ROUND(G249*1.25,0),NOT(FALSE)),"・上限適用",""))</f>
        <v/>
      </c>
      <c r="Q250" s="35" t="str">
        <f>IF(AND(T249="",A250&lt;=S249),入力!$B$13,"")</f>
        <v>有効</v>
      </c>
      <c r="R250" s="32" t="str">
        <f>IF(AND(AND(T249="",A250&lt;=S249),OR(AND(入力!$B$13="有効",A250&gt;1,MOD(A250-1,60)=0),AND(A250=入力!$B$11,A250&gt;1)),入力!$B$14="有効"),ROUND(G249*1.25,0),"")</f>
        <v/>
      </c>
      <c r="S250" s="36">
        <f t="shared" si="66"/>
        <v>420</v>
      </c>
      <c r="T250" s="35" t="str">
        <f t="shared" si="67"/>
        <v/>
      </c>
      <c r="U250" s="3">
        <f t="shared" si="51"/>
        <v>0</v>
      </c>
      <c r="V250" s="3">
        <f t="shared" si="52"/>
        <v>0</v>
      </c>
      <c r="W250" s="3">
        <f t="shared" si="53"/>
        <v>0</v>
      </c>
      <c r="X250" s="3">
        <f t="shared" si="54"/>
        <v>0</v>
      </c>
      <c r="Y250" s="3">
        <f>0</f>
        <v>0</v>
      </c>
      <c r="Z250" s="3">
        <f t="shared" si="55"/>
        <v>0</v>
      </c>
      <c r="AA250">
        <f>ROUND(IF(FALSE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,0)</f>
        <v>121428</v>
      </c>
    </row>
    <row r="251" spans="1:27">
      <c r="A251" s="30">
        <f>246</f>
        <v>246</v>
      </c>
      <c r="B251" s="31">
        <f>EDATE(入力!$B$6,A251-1)</f>
        <v>53693</v>
      </c>
      <c r="C251" s="32">
        <f t="shared" si="56"/>
        <v>17791621</v>
      </c>
      <c r="D251" s="32">
        <f t="shared" si="57"/>
        <v>0</v>
      </c>
      <c r="E251" s="33">
        <f>IF(AND(T250="",A251&lt;=S250),IF(A251&lt;入力!$B$11,入力!$B$10,入力!$B$12),0)</f>
        <v>2.5000000000000001E-2</v>
      </c>
      <c r="F251" s="32">
        <f t="shared" si="58"/>
        <v>37066</v>
      </c>
      <c r="G251" s="32">
        <f>ROUND(IF(NOT(AND(T250="",A251&lt;=S250)),0,IF(FALSE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),0)</f>
        <v>121428</v>
      </c>
      <c r="H251" s="32">
        <f t="shared" si="59"/>
        <v>121428</v>
      </c>
      <c r="I251" s="32">
        <f t="shared" si="60"/>
        <v>37066</v>
      </c>
      <c r="J251" s="32">
        <f t="shared" si="61"/>
        <v>0</v>
      </c>
      <c r="K251" s="32">
        <f t="shared" si="62"/>
        <v>0</v>
      </c>
      <c r="L251" s="32">
        <f t="shared" si="63"/>
        <v>84362</v>
      </c>
      <c r="M251" s="32">
        <f>0</f>
        <v>0</v>
      </c>
      <c r="N251" s="32">
        <f t="shared" si="64"/>
        <v>17707259</v>
      </c>
      <c r="O251" s="32">
        <f t="shared" si="65"/>
        <v>10694787</v>
      </c>
      <c r="P251" s="34" t="str">
        <f>IF(NOT(AND(T250="",A251&lt;=S250)),"",IF(FALSE,"繰上返済後再計算","")&amp;IF(AND(入力!$B$13="有効",A251&gt;1,MOD(A251-1,60)=0),IF(FALSE,"・","")&amp;"5年見直し","")&amp;IF(AND(A251=入力!$B$11,A251&gt;1),IF(OR(FALSE,AND(入力!$B$13="有効",A251&gt;1,MOD(A251-1,60)=0)),"・","")&amp;"金利変更","")&amp;IF(AND(OR(AND(入力!$B$13="有効",A251&gt;1,MOD(A251-1,60)=0),AND(A251=入力!$B$11,A251&gt;1)),入力!$B$14="有効",IF(E251=0,ROUND(C251/MAX(1,S250-A251+1),0),ROUND(-PMT(E251/12,MAX(1,S250-A251+1),C251),0))&gt;ROUND(G250*1.25,0),NOT(FALSE)),"・上限適用",""))</f>
        <v/>
      </c>
      <c r="Q251" s="35" t="str">
        <f>IF(AND(T250="",A251&lt;=S250),入力!$B$13,"")</f>
        <v>有効</v>
      </c>
      <c r="R251" s="32" t="str">
        <f>IF(AND(AND(T250="",A251&lt;=S250),OR(AND(入力!$B$13="有効",A251&gt;1,MOD(A251-1,60)=0),AND(A251=入力!$B$11,A251&gt;1)),入力!$B$14="有効"),ROUND(G250*1.25,0),"")</f>
        <v/>
      </c>
      <c r="S251" s="36">
        <f t="shared" si="66"/>
        <v>420</v>
      </c>
      <c r="T251" s="35" t="str">
        <f t="shared" si="67"/>
        <v/>
      </c>
      <c r="U251" s="3">
        <f t="shared" si="51"/>
        <v>0</v>
      </c>
      <c r="V251" s="3">
        <f t="shared" si="52"/>
        <v>0</v>
      </c>
      <c r="W251" s="3">
        <f t="shared" si="53"/>
        <v>0</v>
      </c>
      <c r="X251" s="3">
        <f t="shared" si="54"/>
        <v>0</v>
      </c>
      <c r="Y251" s="3">
        <f>0</f>
        <v>0</v>
      </c>
      <c r="Z251" s="3">
        <f t="shared" si="55"/>
        <v>0</v>
      </c>
      <c r="AA251">
        <f>ROUND(IF(FALSE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,0)</f>
        <v>121428</v>
      </c>
    </row>
    <row r="252" spans="1:27">
      <c r="A252" s="30">
        <f>247</f>
        <v>247</v>
      </c>
      <c r="B252" s="31">
        <f>EDATE(入力!$B$6,A252-1)</f>
        <v>53724</v>
      </c>
      <c r="C252" s="32">
        <f t="shared" si="56"/>
        <v>17707259</v>
      </c>
      <c r="D252" s="32">
        <f t="shared" si="57"/>
        <v>0</v>
      </c>
      <c r="E252" s="33">
        <f>IF(AND(T251="",A252&lt;=S251),IF(A252&lt;入力!$B$11,入力!$B$10,入力!$B$12),0)</f>
        <v>2.5000000000000001E-2</v>
      </c>
      <c r="F252" s="32">
        <f t="shared" si="58"/>
        <v>36890</v>
      </c>
      <c r="G252" s="32">
        <f>ROUND(IF(NOT(AND(T251="",A252&lt;=S251)),0,IF(FALSE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),0)</f>
        <v>121428</v>
      </c>
      <c r="H252" s="32">
        <f t="shared" si="59"/>
        <v>121428</v>
      </c>
      <c r="I252" s="32">
        <f t="shared" si="60"/>
        <v>36890</v>
      </c>
      <c r="J252" s="32">
        <f t="shared" si="61"/>
        <v>0</v>
      </c>
      <c r="K252" s="32">
        <f t="shared" si="62"/>
        <v>0</v>
      </c>
      <c r="L252" s="32">
        <f t="shared" si="63"/>
        <v>84538</v>
      </c>
      <c r="M252" s="32">
        <f>0</f>
        <v>0</v>
      </c>
      <c r="N252" s="32">
        <f t="shared" si="64"/>
        <v>17622721</v>
      </c>
      <c r="O252" s="32">
        <f t="shared" si="65"/>
        <v>10731677</v>
      </c>
      <c r="P252" s="34" t="str">
        <f>IF(NOT(AND(T251="",A252&lt;=S251)),"",IF(FALSE,"繰上返済後再計算","")&amp;IF(AND(入力!$B$13="有効",A252&gt;1,MOD(A252-1,60)=0),IF(FALSE,"・","")&amp;"5年見直し","")&amp;IF(AND(A252=入力!$B$11,A252&gt;1),IF(OR(FALSE,AND(入力!$B$13="有効",A252&gt;1,MOD(A252-1,60)=0)),"・","")&amp;"金利変更","")&amp;IF(AND(OR(AND(入力!$B$13="有効",A252&gt;1,MOD(A252-1,60)=0),AND(A252=入力!$B$11,A252&gt;1)),入力!$B$14="有効",IF(E252=0,ROUND(C252/MAX(1,S251-A252+1),0),ROUND(-PMT(E252/12,MAX(1,S251-A252+1),C252),0))&gt;ROUND(G251*1.25,0),NOT(FALSE)),"・上限適用",""))</f>
        <v/>
      </c>
      <c r="Q252" s="35" t="str">
        <f>IF(AND(T251="",A252&lt;=S251),入力!$B$13,"")</f>
        <v>有効</v>
      </c>
      <c r="R252" s="32" t="str">
        <f>IF(AND(AND(T251="",A252&lt;=S251),OR(AND(入力!$B$13="有効",A252&gt;1,MOD(A252-1,60)=0),AND(A252=入力!$B$11,A252&gt;1)),入力!$B$14="有効"),ROUND(G251*1.25,0),"")</f>
        <v/>
      </c>
      <c r="S252" s="36">
        <f t="shared" si="66"/>
        <v>420</v>
      </c>
      <c r="T252" s="35" t="str">
        <f t="shared" si="67"/>
        <v/>
      </c>
      <c r="U252" s="3">
        <f t="shared" si="51"/>
        <v>0</v>
      </c>
      <c r="V252" s="3">
        <f t="shared" si="52"/>
        <v>0</v>
      </c>
      <c r="W252" s="3">
        <f t="shared" si="53"/>
        <v>0</v>
      </c>
      <c r="X252" s="3">
        <f t="shared" si="54"/>
        <v>0</v>
      </c>
      <c r="Y252" s="3">
        <f>0</f>
        <v>0</v>
      </c>
      <c r="Z252" s="3">
        <f t="shared" si="55"/>
        <v>0</v>
      </c>
      <c r="AA252">
        <f>ROUND(IF(FALSE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,0)</f>
        <v>121428</v>
      </c>
    </row>
    <row r="253" spans="1:27">
      <c r="A253" s="30">
        <f>248</f>
        <v>248</v>
      </c>
      <c r="B253" s="31">
        <f>EDATE(入力!$B$6,A253-1)</f>
        <v>53752</v>
      </c>
      <c r="C253" s="32">
        <f t="shared" si="56"/>
        <v>17622721</v>
      </c>
      <c r="D253" s="32">
        <f t="shared" si="57"/>
        <v>0</v>
      </c>
      <c r="E253" s="33">
        <f>IF(AND(T252="",A253&lt;=S252),IF(A253&lt;入力!$B$11,入力!$B$10,入力!$B$12),0)</f>
        <v>2.5000000000000001E-2</v>
      </c>
      <c r="F253" s="32">
        <f t="shared" si="58"/>
        <v>36714</v>
      </c>
      <c r="G253" s="32">
        <f>ROUND(IF(NOT(AND(T252="",A253&lt;=S252)),0,IF(FALSE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),0)</f>
        <v>121428</v>
      </c>
      <c r="H253" s="32">
        <f t="shared" si="59"/>
        <v>121428</v>
      </c>
      <c r="I253" s="32">
        <f t="shared" si="60"/>
        <v>36714</v>
      </c>
      <c r="J253" s="32">
        <f t="shared" si="61"/>
        <v>0</v>
      </c>
      <c r="K253" s="32">
        <f t="shared" si="62"/>
        <v>0</v>
      </c>
      <c r="L253" s="32">
        <f t="shared" si="63"/>
        <v>84714</v>
      </c>
      <c r="M253" s="32">
        <f>0</f>
        <v>0</v>
      </c>
      <c r="N253" s="32">
        <f t="shared" si="64"/>
        <v>17538007</v>
      </c>
      <c r="O253" s="32">
        <f t="shared" si="65"/>
        <v>10768391</v>
      </c>
      <c r="P253" s="34" t="str">
        <f>IF(NOT(AND(T252="",A253&lt;=S252)),"",IF(FALSE,"繰上返済後再計算","")&amp;IF(AND(入力!$B$13="有効",A253&gt;1,MOD(A253-1,60)=0),IF(FALSE,"・","")&amp;"5年見直し","")&amp;IF(AND(A253=入力!$B$11,A253&gt;1),IF(OR(FALSE,AND(入力!$B$13="有効",A253&gt;1,MOD(A253-1,60)=0)),"・","")&amp;"金利変更","")&amp;IF(AND(OR(AND(入力!$B$13="有効",A253&gt;1,MOD(A253-1,60)=0),AND(A253=入力!$B$11,A253&gt;1)),入力!$B$14="有効",IF(E253=0,ROUND(C253/MAX(1,S252-A253+1),0),ROUND(-PMT(E253/12,MAX(1,S252-A253+1),C253),0))&gt;ROUND(G252*1.25,0),NOT(FALSE)),"・上限適用",""))</f>
        <v/>
      </c>
      <c r="Q253" s="35" t="str">
        <f>IF(AND(T252="",A253&lt;=S252),入力!$B$13,"")</f>
        <v>有効</v>
      </c>
      <c r="R253" s="32" t="str">
        <f>IF(AND(AND(T252="",A253&lt;=S252),OR(AND(入力!$B$13="有効",A253&gt;1,MOD(A253-1,60)=0),AND(A253=入力!$B$11,A253&gt;1)),入力!$B$14="有効"),ROUND(G252*1.25,0),"")</f>
        <v/>
      </c>
      <c r="S253" s="36">
        <f t="shared" si="66"/>
        <v>420</v>
      </c>
      <c r="T253" s="35" t="str">
        <f t="shared" si="67"/>
        <v/>
      </c>
      <c r="U253" s="3">
        <f t="shared" si="51"/>
        <v>0</v>
      </c>
      <c r="V253" s="3">
        <f t="shared" si="52"/>
        <v>0</v>
      </c>
      <c r="W253" s="3">
        <f t="shared" si="53"/>
        <v>0</v>
      </c>
      <c r="X253" s="3">
        <f t="shared" si="54"/>
        <v>0</v>
      </c>
      <c r="Y253" s="3">
        <f>0</f>
        <v>0</v>
      </c>
      <c r="Z253" s="3">
        <f t="shared" si="55"/>
        <v>0</v>
      </c>
      <c r="AA253">
        <f>ROUND(IF(FALSE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,0)</f>
        <v>121428</v>
      </c>
    </row>
    <row r="254" spans="1:27">
      <c r="A254" s="30">
        <f>249</f>
        <v>249</v>
      </c>
      <c r="B254" s="31">
        <f>EDATE(入力!$B$6,A254-1)</f>
        <v>53783</v>
      </c>
      <c r="C254" s="32">
        <f t="shared" si="56"/>
        <v>17538007</v>
      </c>
      <c r="D254" s="32">
        <f t="shared" si="57"/>
        <v>0</v>
      </c>
      <c r="E254" s="33">
        <f>IF(AND(T253="",A254&lt;=S253),IF(A254&lt;入力!$B$11,入力!$B$10,入力!$B$12),0)</f>
        <v>2.5000000000000001E-2</v>
      </c>
      <c r="F254" s="32">
        <f t="shared" si="58"/>
        <v>36538</v>
      </c>
      <c r="G254" s="32">
        <f>ROUND(IF(NOT(AND(T253="",A254&lt;=S253)),0,IF(FALSE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),0)</f>
        <v>121428</v>
      </c>
      <c r="H254" s="32">
        <f t="shared" si="59"/>
        <v>121428</v>
      </c>
      <c r="I254" s="32">
        <f t="shared" si="60"/>
        <v>36538</v>
      </c>
      <c r="J254" s="32">
        <f t="shared" si="61"/>
        <v>0</v>
      </c>
      <c r="K254" s="32">
        <f t="shared" si="62"/>
        <v>0</v>
      </c>
      <c r="L254" s="32">
        <f t="shared" si="63"/>
        <v>84890</v>
      </c>
      <c r="M254" s="32">
        <f>0</f>
        <v>0</v>
      </c>
      <c r="N254" s="32">
        <f t="shared" si="64"/>
        <v>17453117</v>
      </c>
      <c r="O254" s="32">
        <f t="shared" si="65"/>
        <v>10804929</v>
      </c>
      <c r="P254" s="34" t="str">
        <f>IF(NOT(AND(T253="",A254&lt;=S253)),"",IF(FALSE,"繰上返済後再計算","")&amp;IF(AND(入力!$B$13="有効",A254&gt;1,MOD(A254-1,60)=0),IF(FALSE,"・","")&amp;"5年見直し","")&amp;IF(AND(A254=入力!$B$11,A254&gt;1),IF(OR(FALSE,AND(入力!$B$13="有効",A254&gt;1,MOD(A254-1,60)=0)),"・","")&amp;"金利変更","")&amp;IF(AND(OR(AND(入力!$B$13="有効",A254&gt;1,MOD(A254-1,60)=0),AND(A254=入力!$B$11,A254&gt;1)),入力!$B$14="有効",IF(E254=0,ROUND(C254/MAX(1,S253-A254+1),0),ROUND(-PMT(E254/12,MAX(1,S253-A254+1),C254),0))&gt;ROUND(G253*1.25,0),NOT(FALSE)),"・上限適用",""))</f>
        <v/>
      </c>
      <c r="Q254" s="35" t="str">
        <f>IF(AND(T253="",A254&lt;=S253),入力!$B$13,"")</f>
        <v>有効</v>
      </c>
      <c r="R254" s="32" t="str">
        <f>IF(AND(AND(T253="",A254&lt;=S253),OR(AND(入力!$B$13="有効",A254&gt;1,MOD(A254-1,60)=0),AND(A254=入力!$B$11,A254&gt;1)),入力!$B$14="有効"),ROUND(G253*1.25,0),"")</f>
        <v/>
      </c>
      <c r="S254" s="36">
        <f t="shared" si="66"/>
        <v>420</v>
      </c>
      <c r="T254" s="35" t="str">
        <f t="shared" si="67"/>
        <v/>
      </c>
      <c r="U254" s="3">
        <f t="shared" si="51"/>
        <v>0</v>
      </c>
      <c r="V254" s="3">
        <f t="shared" si="52"/>
        <v>0</v>
      </c>
      <c r="W254" s="3">
        <f t="shared" si="53"/>
        <v>0</v>
      </c>
      <c r="X254" s="3">
        <f t="shared" si="54"/>
        <v>0</v>
      </c>
      <c r="Y254" s="3">
        <f>0</f>
        <v>0</v>
      </c>
      <c r="Z254" s="3">
        <f t="shared" si="55"/>
        <v>0</v>
      </c>
      <c r="AA254">
        <f>ROUND(IF(FALSE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,0)</f>
        <v>121428</v>
      </c>
    </row>
    <row r="255" spans="1:27">
      <c r="A255" s="30">
        <f>250</f>
        <v>250</v>
      </c>
      <c r="B255" s="31">
        <f>EDATE(入力!$B$6,A255-1)</f>
        <v>53813</v>
      </c>
      <c r="C255" s="32">
        <f t="shared" si="56"/>
        <v>17453117</v>
      </c>
      <c r="D255" s="32">
        <f t="shared" si="57"/>
        <v>0</v>
      </c>
      <c r="E255" s="33">
        <f>IF(AND(T254="",A255&lt;=S254),IF(A255&lt;入力!$B$11,入力!$B$10,入力!$B$12),0)</f>
        <v>2.5000000000000001E-2</v>
      </c>
      <c r="F255" s="32">
        <f t="shared" si="58"/>
        <v>36361</v>
      </c>
      <c r="G255" s="32">
        <f>ROUND(IF(NOT(AND(T254="",A255&lt;=S254)),0,IF(FALSE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),0)</f>
        <v>121428</v>
      </c>
      <c r="H255" s="32">
        <f t="shared" si="59"/>
        <v>121428</v>
      </c>
      <c r="I255" s="32">
        <f t="shared" si="60"/>
        <v>36361</v>
      </c>
      <c r="J255" s="32">
        <f t="shared" si="61"/>
        <v>0</v>
      </c>
      <c r="K255" s="32">
        <f t="shared" si="62"/>
        <v>0</v>
      </c>
      <c r="L255" s="32">
        <f t="shared" si="63"/>
        <v>85067</v>
      </c>
      <c r="M255" s="32">
        <f>0</f>
        <v>0</v>
      </c>
      <c r="N255" s="32">
        <f t="shared" si="64"/>
        <v>17368050</v>
      </c>
      <c r="O255" s="32">
        <f t="shared" si="65"/>
        <v>10841290</v>
      </c>
      <c r="P255" s="34" t="str">
        <f>IF(NOT(AND(T254="",A255&lt;=S254)),"",IF(FALSE,"繰上返済後再計算","")&amp;IF(AND(入力!$B$13="有効",A255&gt;1,MOD(A255-1,60)=0),IF(FALSE,"・","")&amp;"5年見直し","")&amp;IF(AND(A255=入力!$B$11,A255&gt;1),IF(OR(FALSE,AND(入力!$B$13="有効",A255&gt;1,MOD(A255-1,60)=0)),"・","")&amp;"金利変更","")&amp;IF(AND(OR(AND(入力!$B$13="有効",A255&gt;1,MOD(A255-1,60)=0),AND(A255=入力!$B$11,A255&gt;1)),入力!$B$14="有効",IF(E255=0,ROUND(C255/MAX(1,S254-A255+1),0),ROUND(-PMT(E255/12,MAX(1,S254-A255+1),C255),0))&gt;ROUND(G254*1.25,0),NOT(FALSE)),"・上限適用",""))</f>
        <v/>
      </c>
      <c r="Q255" s="35" t="str">
        <f>IF(AND(T254="",A255&lt;=S254),入力!$B$13,"")</f>
        <v>有効</v>
      </c>
      <c r="R255" s="32" t="str">
        <f>IF(AND(AND(T254="",A255&lt;=S254),OR(AND(入力!$B$13="有効",A255&gt;1,MOD(A255-1,60)=0),AND(A255=入力!$B$11,A255&gt;1)),入力!$B$14="有効"),ROUND(G254*1.25,0),"")</f>
        <v/>
      </c>
      <c r="S255" s="36">
        <f t="shared" si="66"/>
        <v>420</v>
      </c>
      <c r="T255" s="35" t="str">
        <f t="shared" si="67"/>
        <v/>
      </c>
      <c r="U255" s="3">
        <f t="shared" si="51"/>
        <v>0</v>
      </c>
      <c r="V255" s="3">
        <f t="shared" si="52"/>
        <v>0</v>
      </c>
      <c r="W255" s="3">
        <f t="shared" si="53"/>
        <v>0</v>
      </c>
      <c r="X255" s="3">
        <f t="shared" si="54"/>
        <v>0</v>
      </c>
      <c r="Y255" s="3">
        <f>0</f>
        <v>0</v>
      </c>
      <c r="Z255" s="3">
        <f t="shared" si="55"/>
        <v>0</v>
      </c>
      <c r="AA255">
        <f>ROUND(IF(FALSE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,0)</f>
        <v>121428</v>
      </c>
    </row>
    <row r="256" spans="1:27">
      <c r="A256" s="30">
        <f>251</f>
        <v>251</v>
      </c>
      <c r="B256" s="31">
        <f>EDATE(入力!$B$6,A256-1)</f>
        <v>53844</v>
      </c>
      <c r="C256" s="32">
        <f t="shared" si="56"/>
        <v>17368050</v>
      </c>
      <c r="D256" s="32">
        <f t="shared" si="57"/>
        <v>0</v>
      </c>
      <c r="E256" s="33">
        <f>IF(AND(T255="",A256&lt;=S255),IF(A256&lt;入力!$B$11,入力!$B$10,入力!$B$12),0)</f>
        <v>2.5000000000000001E-2</v>
      </c>
      <c r="F256" s="32">
        <f t="shared" si="58"/>
        <v>36183</v>
      </c>
      <c r="G256" s="32">
        <f>ROUND(IF(NOT(AND(T255="",A256&lt;=S255)),0,IF(FALSE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),0)</f>
        <v>121428</v>
      </c>
      <c r="H256" s="32">
        <f t="shared" si="59"/>
        <v>121428</v>
      </c>
      <c r="I256" s="32">
        <f t="shared" si="60"/>
        <v>36183</v>
      </c>
      <c r="J256" s="32">
        <f t="shared" si="61"/>
        <v>0</v>
      </c>
      <c r="K256" s="32">
        <f t="shared" si="62"/>
        <v>0</v>
      </c>
      <c r="L256" s="32">
        <f t="shared" si="63"/>
        <v>85245</v>
      </c>
      <c r="M256" s="32">
        <f>0</f>
        <v>0</v>
      </c>
      <c r="N256" s="32">
        <f t="shared" si="64"/>
        <v>17282805</v>
      </c>
      <c r="O256" s="32">
        <f t="shared" si="65"/>
        <v>10877473</v>
      </c>
      <c r="P256" s="34" t="str">
        <f>IF(NOT(AND(T255="",A256&lt;=S255)),"",IF(FALSE,"繰上返済後再計算","")&amp;IF(AND(入力!$B$13="有効",A256&gt;1,MOD(A256-1,60)=0),IF(FALSE,"・","")&amp;"5年見直し","")&amp;IF(AND(A256=入力!$B$11,A256&gt;1),IF(OR(FALSE,AND(入力!$B$13="有効",A256&gt;1,MOD(A256-1,60)=0)),"・","")&amp;"金利変更","")&amp;IF(AND(OR(AND(入力!$B$13="有効",A256&gt;1,MOD(A256-1,60)=0),AND(A256=入力!$B$11,A256&gt;1)),入力!$B$14="有効",IF(E256=0,ROUND(C256/MAX(1,S255-A256+1),0),ROUND(-PMT(E256/12,MAX(1,S255-A256+1),C256),0))&gt;ROUND(G255*1.25,0),NOT(FALSE)),"・上限適用",""))</f>
        <v/>
      </c>
      <c r="Q256" s="35" t="str">
        <f>IF(AND(T255="",A256&lt;=S255),入力!$B$13,"")</f>
        <v>有効</v>
      </c>
      <c r="R256" s="32" t="str">
        <f>IF(AND(AND(T255="",A256&lt;=S255),OR(AND(入力!$B$13="有効",A256&gt;1,MOD(A256-1,60)=0),AND(A256=入力!$B$11,A256&gt;1)),入力!$B$14="有効"),ROUND(G255*1.25,0),"")</f>
        <v/>
      </c>
      <c r="S256" s="36">
        <f t="shared" si="66"/>
        <v>420</v>
      </c>
      <c r="T256" s="35" t="str">
        <f t="shared" si="67"/>
        <v/>
      </c>
      <c r="U256" s="3">
        <f t="shared" si="51"/>
        <v>0</v>
      </c>
      <c r="V256" s="3">
        <f t="shared" si="52"/>
        <v>0</v>
      </c>
      <c r="W256" s="3">
        <f t="shared" si="53"/>
        <v>0</v>
      </c>
      <c r="X256" s="3">
        <f t="shared" si="54"/>
        <v>0</v>
      </c>
      <c r="Y256" s="3">
        <f>0</f>
        <v>0</v>
      </c>
      <c r="Z256" s="3">
        <f t="shared" si="55"/>
        <v>0</v>
      </c>
      <c r="AA256">
        <f>ROUND(IF(FALSE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,0)</f>
        <v>121428</v>
      </c>
    </row>
    <row r="257" spans="1:27">
      <c r="A257" s="30">
        <f>252</f>
        <v>252</v>
      </c>
      <c r="B257" s="31">
        <f>EDATE(入力!$B$6,A257-1)</f>
        <v>53874</v>
      </c>
      <c r="C257" s="32">
        <f t="shared" si="56"/>
        <v>17282805</v>
      </c>
      <c r="D257" s="32">
        <f t="shared" si="57"/>
        <v>0</v>
      </c>
      <c r="E257" s="33">
        <f>IF(AND(T256="",A257&lt;=S256),IF(A257&lt;入力!$B$11,入力!$B$10,入力!$B$12),0)</f>
        <v>2.5000000000000001E-2</v>
      </c>
      <c r="F257" s="32">
        <f t="shared" si="58"/>
        <v>36006</v>
      </c>
      <c r="G257" s="32">
        <f>ROUND(IF(NOT(AND(T256="",A257&lt;=S256)),0,IF(FALSE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),0)</f>
        <v>121428</v>
      </c>
      <c r="H257" s="32">
        <f t="shared" si="59"/>
        <v>121428</v>
      </c>
      <c r="I257" s="32">
        <f t="shared" si="60"/>
        <v>36006</v>
      </c>
      <c r="J257" s="32">
        <f t="shared" si="61"/>
        <v>0</v>
      </c>
      <c r="K257" s="32">
        <f t="shared" si="62"/>
        <v>0</v>
      </c>
      <c r="L257" s="32">
        <f t="shared" si="63"/>
        <v>85422</v>
      </c>
      <c r="M257" s="32">
        <f>0</f>
        <v>0</v>
      </c>
      <c r="N257" s="32">
        <f t="shared" si="64"/>
        <v>17197383</v>
      </c>
      <c r="O257" s="32">
        <f t="shared" si="65"/>
        <v>10913479</v>
      </c>
      <c r="P257" s="34" t="str">
        <f>IF(NOT(AND(T256="",A257&lt;=S256)),"",IF(FALSE,"繰上返済後再計算","")&amp;IF(AND(入力!$B$13="有効",A257&gt;1,MOD(A257-1,60)=0),IF(FALSE,"・","")&amp;"5年見直し","")&amp;IF(AND(A257=入力!$B$11,A257&gt;1),IF(OR(FALSE,AND(入力!$B$13="有効",A257&gt;1,MOD(A257-1,60)=0)),"・","")&amp;"金利変更","")&amp;IF(AND(OR(AND(入力!$B$13="有効",A257&gt;1,MOD(A257-1,60)=0),AND(A257=入力!$B$11,A257&gt;1)),入力!$B$14="有効",IF(E257=0,ROUND(C257/MAX(1,S256-A257+1),0),ROUND(-PMT(E257/12,MAX(1,S256-A257+1),C257),0))&gt;ROUND(G256*1.25,0),NOT(FALSE)),"・上限適用",""))</f>
        <v/>
      </c>
      <c r="Q257" s="35" t="str">
        <f>IF(AND(T256="",A257&lt;=S256),入力!$B$13,"")</f>
        <v>有効</v>
      </c>
      <c r="R257" s="32" t="str">
        <f>IF(AND(AND(T256="",A257&lt;=S256),OR(AND(入力!$B$13="有効",A257&gt;1,MOD(A257-1,60)=0),AND(A257=入力!$B$11,A257&gt;1)),入力!$B$14="有効"),ROUND(G256*1.25,0),"")</f>
        <v/>
      </c>
      <c r="S257" s="36">
        <f t="shared" si="66"/>
        <v>420</v>
      </c>
      <c r="T257" s="35" t="str">
        <f t="shared" si="67"/>
        <v/>
      </c>
      <c r="U257" s="3">
        <f t="shared" si="51"/>
        <v>0</v>
      </c>
      <c r="V257" s="3">
        <f t="shared" si="52"/>
        <v>0</v>
      </c>
      <c r="W257" s="3">
        <f t="shared" si="53"/>
        <v>0</v>
      </c>
      <c r="X257" s="3">
        <f t="shared" si="54"/>
        <v>0</v>
      </c>
      <c r="Y257" s="3">
        <f>0</f>
        <v>0</v>
      </c>
      <c r="Z257" s="3">
        <f t="shared" si="55"/>
        <v>0</v>
      </c>
      <c r="AA257">
        <f>ROUND(IF(FALSE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,0)</f>
        <v>121428</v>
      </c>
    </row>
    <row r="258" spans="1:27">
      <c r="A258" s="30">
        <f>253</f>
        <v>253</v>
      </c>
      <c r="B258" s="31">
        <f>EDATE(入力!$B$6,A258-1)</f>
        <v>53905</v>
      </c>
      <c r="C258" s="32">
        <f t="shared" si="56"/>
        <v>17197383</v>
      </c>
      <c r="D258" s="32">
        <f t="shared" si="57"/>
        <v>0</v>
      </c>
      <c r="E258" s="33">
        <f>IF(AND(T257="",A258&lt;=S257),IF(A258&lt;入力!$B$11,入力!$B$10,入力!$B$12),0)</f>
        <v>2.5000000000000001E-2</v>
      </c>
      <c r="F258" s="32">
        <f t="shared" si="58"/>
        <v>35828</v>
      </c>
      <c r="G258" s="32">
        <f>ROUND(IF(NOT(AND(T257="",A258&lt;=S257)),0,IF(FALSE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),0)</f>
        <v>121428</v>
      </c>
      <c r="H258" s="32">
        <f t="shared" si="59"/>
        <v>121428</v>
      </c>
      <c r="I258" s="32">
        <f t="shared" si="60"/>
        <v>35828</v>
      </c>
      <c r="J258" s="32">
        <f t="shared" si="61"/>
        <v>0</v>
      </c>
      <c r="K258" s="32">
        <f t="shared" si="62"/>
        <v>0</v>
      </c>
      <c r="L258" s="32">
        <f t="shared" si="63"/>
        <v>85600</v>
      </c>
      <c r="M258" s="32">
        <f>0</f>
        <v>0</v>
      </c>
      <c r="N258" s="32">
        <f t="shared" si="64"/>
        <v>17111783</v>
      </c>
      <c r="O258" s="32">
        <f t="shared" si="65"/>
        <v>10949307</v>
      </c>
      <c r="P258" s="34" t="str">
        <f>IF(NOT(AND(T257="",A258&lt;=S257)),"",IF(FALSE,"繰上返済後再計算","")&amp;IF(AND(入力!$B$13="有効",A258&gt;1,MOD(A258-1,60)=0),IF(FALSE,"・","")&amp;"5年見直し","")&amp;IF(AND(A258=入力!$B$11,A258&gt;1),IF(OR(FALSE,AND(入力!$B$13="有効",A258&gt;1,MOD(A258-1,60)=0)),"・","")&amp;"金利変更","")&amp;IF(AND(OR(AND(入力!$B$13="有効",A258&gt;1,MOD(A258-1,60)=0),AND(A258=入力!$B$11,A258&gt;1)),入力!$B$14="有効",IF(E258=0,ROUND(C258/MAX(1,S257-A258+1),0),ROUND(-PMT(E258/12,MAX(1,S257-A258+1),C258),0))&gt;ROUND(G257*1.25,0),NOT(FALSE)),"・上限適用",""))</f>
        <v/>
      </c>
      <c r="Q258" s="35" t="str">
        <f>IF(AND(T257="",A258&lt;=S257),入力!$B$13,"")</f>
        <v>有効</v>
      </c>
      <c r="R258" s="32" t="str">
        <f>IF(AND(AND(T257="",A258&lt;=S257),OR(AND(入力!$B$13="有効",A258&gt;1,MOD(A258-1,60)=0),AND(A258=入力!$B$11,A258&gt;1)),入力!$B$14="有効"),ROUND(G257*1.25,0),"")</f>
        <v/>
      </c>
      <c r="S258" s="36">
        <f t="shared" si="66"/>
        <v>420</v>
      </c>
      <c r="T258" s="35" t="str">
        <f t="shared" si="67"/>
        <v/>
      </c>
      <c r="U258" s="3">
        <f t="shared" si="51"/>
        <v>0</v>
      </c>
      <c r="V258" s="3">
        <f t="shared" si="52"/>
        <v>0</v>
      </c>
      <c r="W258" s="3">
        <f t="shared" si="53"/>
        <v>0</v>
      </c>
      <c r="X258" s="3">
        <f t="shared" si="54"/>
        <v>0</v>
      </c>
      <c r="Y258" s="3">
        <f>0</f>
        <v>0</v>
      </c>
      <c r="Z258" s="3">
        <f t="shared" si="55"/>
        <v>0</v>
      </c>
      <c r="AA258">
        <f>ROUND(IF(FALSE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,0)</f>
        <v>121428</v>
      </c>
    </row>
    <row r="259" spans="1:27">
      <c r="A259" s="30">
        <f>254</f>
        <v>254</v>
      </c>
      <c r="B259" s="31">
        <f>EDATE(入力!$B$6,A259-1)</f>
        <v>53936</v>
      </c>
      <c r="C259" s="32">
        <f t="shared" si="56"/>
        <v>17111783</v>
      </c>
      <c r="D259" s="32">
        <f t="shared" si="57"/>
        <v>0</v>
      </c>
      <c r="E259" s="33">
        <f>IF(AND(T258="",A259&lt;=S258),IF(A259&lt;入力!$B$11,入力!$B$10,入力!$B$12),0)</f>
        <v>2.5000000000000001E-2</v>
      </c>
      <c r="F259" s="32">
        <f t="shared" si="58"/>
        <v>35650</v>
      </c>
      <c r="G259" s="32">
        <f>ROUND(IF(NOT(AND(T258="",A259&lt;=S258)),0,IF(FALSE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),0)</f>
        <v>121428</v>
      </c>
      <c r="H259" s="32">
        <f t="shared" si="59"/>
        <v>121428</v>
      </c>
      <c r="I259" s="32">
        <f t="shared" si="60"/>
        <v>35650</v>
      </c>
      <c r="J259" s="32">
        <f t="shared" si="61"/>
        <v>0</v>
      </c>
      <c r="K259" s="32">
        <f t="shared" si="62"/>
        <v>0</v>
      </c>
      <c r="L259" s="32">
        <f t="shared" si="63"/>
        <v>85778</v>
      </c>
      <c r="M259" s="32">
        <f>0</f>
        <v>0</v>
      </c>
      <c r="N259" s="32">
        <f t="shared" si="64"/>
        <v>17026005</v>
      </c>
      <c r="O259" s="32">
        <f t="shared" si="65"/>
        <v>10984957</v>
      </c>
      <c r="P259" s="34" t="str">
        <f>IF(NOT(AND(T258="",A259&lt;=S258)),"",IF(FALSE,"繰上返済後再計算","")&amp;IF(AND(入力!$B$13="有効",A259&gt;1,MOD(A259-1,60)=0),IF(FALSE,"・","")&amp;"5年見直し","")&amp;IF(AND(A259=入力!$B$11,A259&gt;1),IF(OR(FALSE,AND(入力!$B$13="有効",A259&gt;1,MOD(A259-1,60)=0)),"・","")&amp;"金利変更","")&amp;IF(AND(OR(AND(入力!$B$13="有効",A259&gt;1,MOD(A259-1,60)=0),AND(A259=入力!$B$11,A259&gt;1)),入力!$B$14="有効",IF(E259=0,ROUND(C259/MAX(1,S258-A259+1),0),ROUND(-PMT(E259/12,MAX(1,S258-A259+1),C259),0))&gt;ROUND(G258*1.25,0),NOT(FALSE)),"・上限適用",""))</f>
        <v/>
      </c>
      <c r="Q259" s="35" t="str">
        <f>IF(AND(T258="",A259&lt;=S258),入力!$B$13,"")</f>
        <v>有効</v>
      </c>
      <c r="R259" s="32" t="str">
        <f>IF(AND(AND(T258="",A259&lt;=S258),OR(AND(入力!$B$13="有効",A259&gt;1,MOD(A259-1,60)=0),AND(A259=入力!$B$11,A259&gt;1)),入力!$B$14="有効"),ROUND(G258*1.25,0),"")</f>
        <v/>
      </c>
      <c r="S259" s="36">
        <f t="shared" si="66"/>
        <v>420</v>
      </c>
      <c r="T259" s="35" t="str">
        <f t="shared" si="67"/>
        <v/>
      </c>
      <c r="U259" s="3">
        <f t="shared" si="51"/>
        <v>0</v>
      </c>
      <c r="V259" s="3">
        <f t="shared" si="52"/>
        <v>0</v>
      </c>
      <c r="W259" s="3">
        <f t="shared" si="53"/>
        <v>0</v>
      </c>
      <c r="X259" s="3">
        <f t="shared" si="54"/>
        <v>0</v>
      </c>
      <c r="Y259" s="3">
        <f>0</f>
        <v>0</v>
      </c>
      <c r="Z259" s="3">
        <f t="shared" si="55"/>
        <v>0</v>
      </c>
      <c r="AA259">
        <f>ROUND(IF(FALSE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,0)</f>
        <v>121428</v>
      </c>
    </row>
    <row r="260" spans="1:27">
      <c r="A260" s="30">
        <f>255</f>
        <v>255</v>
      </c>
      <c r="B260" s="31">
        <f>EDATE(入力!$B$6,A260-1)</f>
        <v>53966</v>
      </c>
      <c r="C260" s="32">
        <f t="shared" si="56"/>
        <v>17026005</v>
      </c>
      <c r="D260" s="32">
        <f t="shared" si="57"/>
        <v>0</v>
      </c>
      <c r="E260" s="33">
        <f>IF(AND(T259="",A260&lt;=S259),IF(A260&lt;入力!$B$11,入力!$B$10,入力!$B$12),0)</f>
        <v>2.5000000000000001E-2</v>
      </c>
      <c r="F260" s="32">
        <f t="shared" si="58"/>
        <v>35471</v>
      </c>
      <c r="G260" s="32">
        <f>ROUND(IF(NOT(AND(T259="",A260&lt;=S259)),0,IF(FALSE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),0)</f>
        <v>121428</v>
      </c>
      <c r="H260" s="32">
        <f t="shared" si="59"/>
        <v>121428</v>
      </c>
      <c r="I260" s="32">
        <f t="shared" si="60"/>
        <v>35471</v>
      </c>
      <c r="J260" s="32">
        <f t="shared" si="61"/>
        <v>0</v>
      </c>
      <c r="K260" s="32">
        <f t="shared" si="62"/>
        <v>0</v>
      </c>
      <c r="L260" s="32">
        <f t="shared" si="63"/>
        <v>85957</v>
      </c>
      <c r="M260" s="32">
        <f>0</f>
        <v>0</v>
      </c>
      <c r="N260" s="32">
        <f t="shared" si="64"/>
        <v>16940048</v>
      </c>
      <c r="O260" s="32">
        <f t="shared" si="65"/>
        <v>11020428</v>
      </c>
      <c r="P260" s="34" t="str">
        <f>IF(NOT(AND(T259="",A260&lt;=S259)),"",IF(FALSE,"繰上返済後再計算","")&amp;IF(AND(入力!$B$13="有効",A260&gt;1,MOD(A260-1,60)=0),IF(FALSE,"・","")&amp;"5年見直し","")&amp;IF(AND(A260=入力!$B$11,A260&gt;1),IF(OR(FALSE,AND(入力!$B$13="有効",A260&gt;1,MOD(A260-1,60)=0)),"・","")&amp;"金利変更","")&amp;IF(AND(OR(AND(入力!$B$13="有効",A260&gt;1,MOD(A260-1,60)=0),AND(A260=入力!$B$11,A260&gt;1)),入力!$B$14="有効",IF(E260=0,ROUND(C260/MAX(1,S259-A260+1),0),ROUND(-PMT(E260/12,MAX(1,S259-A260+1),C260),0))&gt;ROUND(G259*1.25,0),NOT(FALSE)),"・上限適用",""))</f>
        <v/>
      </c>
      <c r="Q260" s="35" t="str">
        <f>IF(AND(T259="",A260&lt;=S259),入力!$B$13,"")</f>
        <v>有効</v>
      </c>
      <c r="R260" s="32" t="str">
        <f>IF(AND(AND(T259="",A260&lt;=S259),OR(AND(入力!$B$13="有効",A260&gt;1,MOD(A260-1,60)=0),AND(A260=入力!$B$11,A260&gt;1)),入力!$B$14="有効"),ROUND(G259*1.25,0),"")</f>
        <v/>
      </c>
      <c r="S260" s="36">
        <f t="shared" si="66"/>
        <v>420</v>
      </c>
      <c r="T260" s="35" t="str">
        <f t="shared" si="67"/>
        <v/>
      </c>
      <c r="U260" s="3">
        <f t="shared" si="51"/>
        <v>0</v>
      </c>
      <c r="V260" s="3">
        <f t="shared" si="52"/>
        <v>0</v>
      </c>
      <c r="W260" s="3">
        <f t="shared" si="53"/>
        <v>0</v>
      </c>
      <c r="X260" s="3">
        <f t="shared" si="54"/>
        <v>0</v>
      </c>
      <c r="Y260" s="3">
        <f>0</f>
        <v>0</v>
      </c>
      <c r="Z260" s="3">
        <f t="shared" si="55"/>
        <v>0</v>
      </c>
      <c r="AA260">
        <f>ROUND(IF(FALSE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,0)</f>
        <v>121428</v>
      </c>
    </row>
    <row r="261" spans="1:27">
      <c r="A261" s="30">
        <f>256</f>
        <v>256</v>
      </c>
      <c r="B261" s="31">
        <f>EDATE(入力!$B$6,A261-1)</f>
        <v>53997</v>
      </c>
      <c r="C261" s="32">
        <f t="shared" si="56"/>
        <v>16940048</v>
      </c>
      <c r="D261" s="32">
        <f t="shared" si="57"/>
        <v>0</v>
      </c>
      <c r="E261" s="33">
        <f>IF(AND(T260="",A261&lt;=S260),IF(A261&lt;入力!$B$11,入力!$B$10,入力!$B$12),0)</f>
        <v>2.5000000000000001E-2</v>
      </c>
      <c r="F261" s="32">
        <f t="shared" si="58"/>
        <v>35292</v>
      </c>
      <c r="G261" s="32">
        <f>ROUND(IF(NOT(AND(T260="",A261&lt;=S260)),0,IF(FALSE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),0)</f>
        <v>121428</v>
      </c>
      <c r="H261" s="32">
        <f t="shared" si="59"/>
        <v>121428</v>
      </c>
      <c r="I261" s="32">
        <f t="shared" si="60"/>
        <v>35292</v>
      </c>
      <c r="J261" s="32">
        <f t="shared" si="61"/>
        <v>0</v>
      </c>
      <c r="K261" s="32">
        <f t="shared" si="62"/>
        <v>0</v>
      </c>
      <c r="L261" s="32">
        <f t="shared" si="63"/>
        <v>86136</v>
      </c>
      <c r="M261" s="32">
        <f>0</f>
        <v>0</v>
      </c>
      <c r="N261" s="32">
        <f t="shared" si="64"/>
        <v>16853912</v>
      </c>
      <c r="O261" s="32">
        <f t="shared" si="65"/>
        <v>11055720</v>
      </c>
      <c r="P261" s="34" t="str">
        <f>IF(NOT(AND(T260="",A261&lt;=S260)),"",IF(FALSE,"繰上返済後再計算","")&amp;IF(AND(入力!$B$13="有効",A261&gt;1,MOD(A261-1,60)=0),IF(FALSE,"・","")&amp;"5年見直し","")&amp;IF(AND(A261=入力!$B$11,A261&gt;1),IF(OR(FALSE,AND(入力!$B$13="有効",A261&gt;1,MOD(A261-1,60)=0)),"・","")&amp;"金利変更","")&amp;IF(AND(OR(AND(入力!$B$13="有効",A261&gt;1,MOD(A261-1,60)=0),AND(A261=入力!$B$11,A261&gt;1)),入力!$B$14="有効",IF(E261=0,ROUND(C261/MAX(1,S260-A261+1),0),ROUND(-PMT(E261/12,MAX(1,S260-A261+1),C261),0))&gt;ROUND(G260*1.25,0),NOT(FALSE)),"・上限適用",""))</f>
        <v/>
      </c>
      <c r="Q261" s="35" t="str">
        <f>IF(AND(T260="",A261&lt;=S260),入力!$B$13,"")</f>
        <v>有効</v>
      </c>
      <c r="R261" s="32" t="str">
        <f>IF(AND(AND(T260="",A261&lt;=S260),OR(AND(入力!$B$13="有効",A261&gt;1,MOD(A261-1,60)=0),AND(A261=入力!$B$11,A261&gt;1)),入力!$B$14="有効"),ROUND(G260*1.25,0),"")</f>
        <v/>
      </c>
      <c r="S261" s="36">
        <f t="shared" si="66"/>
        <v>420</v>
      </c>
      <c r="T261" s="35" t="str">
        <f t="shared" si="67"/>
        <v/>
      </c>
      <c r="U261" s="3">
        <f t="shared" si="51"/>
        <v>0</v>
      </c>
      <c r="V261" s="3">
        <f t="shared" si="52"/>
        <v>0</v>
      </c>
      <c r="W261" s="3">
        <f t="shared" si="53"/>
        <v>0</v>
      </c>
      <c r="X261" s="3">
        <f t="shared" si="54"/>
        <v>0</v>
      </c>
      <c r="Y261" s="3">
        <f>0</f>
        <v>0</v>
      </c>
      <c r="Z261" s="3">
        <f t="shared" si="55"/>
        <v>0</v>
      </c>
      <c r="AA261">
        <f>ROUND(IF(FALSE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,0)</f>
        <v>121428</v>
      </c>
    </row>
    <row r="262" spans="1:27">
      <c r="A262" s="30">
        <f>257</f>
        <v>257</v>
      </c>
      <c r="B262" s="31">
        <f>EDATE(入力!$B$6,A262-1)</f>
        <v>54027</v>
      </c>
      <c r="C262" s="32">
        <f t="shared" si="56"/>
        <v>16853912</v>
      </c>
      <c r="D262" s="32">
        <f t="shared" si="57"/>
        <v>0</v>
      </c>
      <c r="E262" s="33">
        <f>IF(AND(T261="",A262&lt;=S261),IF(A262&lt;入力!$B$11,入力!$B$10,入力!$B$12),0)</f>
        <v>2.5000000000000001E-2</v>
      </c>
      <c r="F262" s="32">
        <f t="shared" si="58"/>
        <v>35112</v>
      </c>
      <c r="G262" s="32">
        <f>ROUND(IF(NOT(AND(T261="",A262&lt;=S261)),0,IF(FALSE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),0)</f>
        <v>121428</v>
      </c>
      <c r="H262" s="32">
        <f t="shared" si="59"/>
        <v>121428</v>
      </c>
      <c r="I262" s="32">
        <f t="shared" si="60"/>
        <v>35112</v>
      </c>
      <c r="J262" s="32">
        <f t="shared" si="61"/>
        <v>0</v>
      </c>
      <c r="K262" s="32">
        <f t="shared" si="62"/>
        <v>0</v>
      </c>
      <c r="L262" s="32">
        <f t="shared" si="63"/>
        <v>86316</v>
      </c>
      <c r="M262" s="32">
        <f>0</f>
        <v>0</v>
      </c>
      <c r="N262" s="32">
        <f t="shared" si="64"/>
        <v>16767596</v>
      </c>
      <c r="O262" s="32">
        <f t="shared" si="65"/>
        <v>11090832</v>
      </c>
      <c r="P262" s="34" t="str">
        <f>IF(NOT(AND(T261="",A262&lt;=S261)),"",IF(FALSE,"繰上返済後再計算","")&amp;IF(AND(入力!$B$13="有効",A262&gt;1,MOD(A262-1,60)=0),IF(FALSE,"・","")&amp;"5年見直し","")&amp;IF(AND(A262=入力!$B$11,A262&gt;1),IF(OR(FALSE,AND(入力!$B$13="有効",A262&gt;1,MOD(A262-1,60)=0)),"・","")&amp;"金利変更","")&amp;IF(AND(OR(AND(入力!$B$13="有効",A262&gt;1,MOD(A262-1,60)=0),AND(A262=入力!$B$11,A262&gt;1)),入力!$B$14="有効",IF(E262=0,ROUND(C262/MAX(1,S261-A262+1),0),ROUND(-PMT(E262/12,MAX(1,S261-A262+1),C262),0))&gt;ROUND(G261*1.25,0),NOT(FALSE)),"・上限適用",""))</f>
        <v/>
      </c>
      <c r="Q262" s="35" t="str">
        <f>IF(AND(T261="",A262&lt;=S261),入力!$B$13,"")</f>
        <v>有効</v>
      </c>
      <c r="R262" s="32" t="str">
        <f>IF(AND(AND(T261="",A262&lt;=S261),OR(AND(入力!$B$13="有効",A262&gt;1,MOD(A262-1,60)=0),AND(A262=入力!$B$11,A262&gt;1)),入力!$B$14="有効"),ROUND(G261*1.25,0),"")</f>
        <v/>
      </c>
      <c r="S262" s="36">
        <f t="shared" si="66"/>
        <v>420</v>
      </c>
      <c r="T262" s="35" t="str">
        <f t="shared" si="67"/>
        <v/>
      </c>
      <c r="U262" s="3">
        <f t="shared" ref="U262:U325" si="68">ABS(I262-MIN(H262,D262+F262))</f>
        <v>0</v>
      </c>
      <c r="V262" s="3">
        <f t="shared" ref="V262:V325" si="69">ABS(L262-(H262-I262))</f>
        <v>0</v>
      </c>
      <c r="W262" s="3">
        <f t="shared" ref="W262:W325" si="70">ABS(K262-(D262+J262))</f>
        <v>0</v>
      </c>
      <c r="X262" s="3">
        <f t="shared" ref="X262:X325" si="71">ABS(F262-ROUND(F262,0))+ABS(G262-ROUND(G262,0))+ABS(H262-ROUND(H262,0))+ABS(I262-ROUND(I262,0))+ABS(J262-ROUND(J262,0))+ABS(K262-ROUND(K262,0))+ABS(L262-ROUND(L262,0))+ABS(M262-ROUND(M262,0))+ABS(N262-ROUND(N262,0))+ABS(O262-ROUND(O262,0))</f>
        <v>0</v>
      </c>
      <c r="Y262" s="3">
        <f>0</f>
        <v>0</v>
      </c>
      <c r="Z262" s="3">
        <f t="shared" ref="Z262:Z325" si="72">SUM(--ISERROR(A262),--ISERROR(B262),--ISERROR(C262),--ISERROR(D262),--ISERROR(E262),--ISERROR(F262),--ISERROR(G262),--ISERROR(H262),--ISERROR(I262),--ISERROR(J262),--ISERROR(K262),--ISERROR(L262),--ISERROR(M262),--ISERROR(N262),--ISERROR(O262),--ISERROR(P262),--ISERROR(Q262),--ISERROR(R262),--ISERROR(S262),--ISERROR(T262))</f>
        <v>0</v>
      </c>
      <c r="AA262">
        <f>ROUND(IF(FALSE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,0)</f>
        <v>121428</v>
      </c>
    </row>
    <row r="263" spans="1:27">
      <c r="A263" s="30">
        <f>258</f>
        <v>258</v>
      </c>
      <c r="B263" s="31">
        <f>EDATE(入力!$B$6,A263-1)</f>
        <v>54058</v>
      </c>
      <c r="C263" s="32">
        <f t="shared" ref="C263:C326" si="73">IF(AND(T262="",A263&lt;=S262),N262,0)</f>
        <v>16767596</v>
      </c>
      <c r="D263" s="32">
        <f t="shared" ref="D263:D326" si="74">IF(AND(T262="",A263&lt;=S262),K262,0)</f>
        <v>0</v>
      </c>
      <c r="E263" s="33">
        <f>IF(AND(T262="",A263&lt;=S262),IF(A263&lt;入力!$B$11,入力!$B$10,入力!$B$12),0)</f>
        <v>2.5000000000000001E-2</v>
      </c>
      <c r="F263" s="32">
        <f t="shared" ref="F263:F326" si="75">IF(AND(T262="",A263&lt;=S262),ROUND(C263*E263/12,0),0)</f>
        <v>34932</v>
      </c>
      <c r="G263" s="32">
        <f>ROUND(IF(NOT(AND(T262="",A263&lt;=S262)),0,IF(FALSE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),0)</f>
        <v>121428</v>
      </c>
      <c r="H263" s="32">
        <f t="shared" ref="H263:H326" si="76">IF(AND(T262="",A263&lt;=S262),ROUND(MIN(G263,C263+D263+F263),0),0)</f>
        <v>121428</v>
      </c>
      <c r="I263" s="32">
        <f t="shared" ref="I263:I326" si="77">IF(AND(T262="",A263&lt;=S262),ROUND(MIN(H263,D263+F263),0),0)</f>
        <v>34932</v>
      </c>
      <c r="J263" s="32">
        <f t="shared" ref="J263:J326" si="78">IF(AND(T262="",A263&lt;=S262),ROUND(F263-I263,0),0)</f>
        <v>0</v>
      </c>
      <c r="K263" s="32">
        <f t="shared" ref="K263:K326" si="79">IF(AND(T262="",A263&lt;=S262),ROUND(D263+J263,0),0)</f>
        <v>0</v>
      </c>
      <c r="L263" s="32">
        <f t="shared" ref="L263:L326" si="80">IF(AND(T262="",A263&lt;=S262),ROUND(H263-I263,0),0)</f>
        <v>86496</v>
      </c>
      <c r="M263" s="32">
        <f>0</f>
        <v>0</v>
      </c>
      <c r="N263" s="32">
        <f t="shared" ref="N263:N326" si="81">IF(AND(T262="",A263&lt;=S262),ROUND(MAX(0,C263-L263-M263),0),0)</f>
        <v>16681100</v>
      </c>
      <c r="O263" s="32">
        <f t="shared" ref="O263:O326" si="82">IF(AND(T262="",A263&lt;=S262),ROUND(O262+F263,0),O262)</f>
        <v>11125764</v>
      </c>
      <c r="P263" s="34" t="str">
        <f>IF(NOT(AND(T262="",A263&lt;=S262)),"",IF(FALSE,"繰上返済後再計算","")&amp;IF(AND(入力!$B$13="有効",A263&gt;1,MOD(A263-1,60)=0),IF(FALSE,"・","")&amp;"5年見直し","")&amp;IF(AND(A263=入力!$B$11,A263&gt;1),IF(OR(FALSE,AND(入力!$B$13="有効",A263&gt;1,MOD(A263-1,60)=0)),"・","")&amp;"金利変更","")&amp;IF(AND(OR(AND(入力!$B$13="有効",A263&gt;1,MOD(A263-1,60)=0),AND(A263=入力!$B$11,A263&gt;1)),入力!$B$14="有効",IF(E263=0,ROUND(C263/MAX(1,S262-A263+1),0),ROUND(-PMT(E263/12,MAX(1,S262-A263+1),C263),0))&gt;ROUND(G262*1.25,0),NOT(FALSE)),"・上限適用",""))</f>
        <v/>
      </c>
      <c r="Q263" s="35" t="str">
        <f>IF(AND(T262="",A263&lt;=S262),入力!$B$13,"")</f>
        <v>有効</v>
      </c>
      <c r="R263" s="32" t="str">
        <f>IF(AND(AND(T262="",A263&lt;=S262),OR(AND(入力!$B$13="有効",A263&gt;1,MOD(A263-1,60)=0),AND(A263=入力!$B$11,A263&gt;1)),入力!$B$14="有効"),ROUND(G262*1.25,0),"")</f>
        <v/>
      </c>
      <c r="S263" s="36">
        <f t="shared" ref="S263:S326" si="83">S262</f>
        <v>420</v>
      </c>
      <c r="T263" s="35" t="str">
        <f t="shared" ref="T263:T326" si="84">IF(NOT(AND(T262="",A263&lt;=S262)),"",IF(AND(N263=0,K263=0),"完済",IF(A263=S263,"最終回清算","")))</f>
        <v/>
      </c>
      <c r="U263" s="3">
        <f t="shared" si="68"/>
        <v>0</v>
      </c>
      <c r="V263" s="3">
        <f t="shared" si="69"/>
        <v>0</v>
      </c>
      <c r="W263" s="3">
        <f t="shared" si="70"/>
        <v>0</v>
      </c>
      <c r="X263" s="3">
        <f t="shared" si="71"/>
        <v>0</v>
      </c>
      <c r="Y263" s="3">
        <f>0</f>
        <v>0</v>
      </c>
      <c r="Z263" s="3">
        <f t="shared" si="72"/>
        <v>0</v>
      </c>
      <c r="AA263">
        <f>ROUND(IF(FALSE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,0)</f>
        <v>121428</v>
      </c>
    </row>
    <row r="264" spans="1:27">
      <c r="A264" s="30">
        <f>259</f>
        <v>259</v>
      </c>
      <c r="B264" s="31">
        <f>EDATE(入力!$B$6,A264-1)</f>
        <v>54089</v>
      </c>
      <c r="C264" s="32">
        <f t="shared" si="73"/>
        <v>16681100</v>
      </c>
      <c r="D264" s="32">
        <f t="shared" si="74"/>
        <v>0</v>
      </c>
      <c r="E264" s="33">
        <f>IF(AND(T263="",A264&lt;=S263),IF(A264&lt;入力!$B$11,入力!$B$10,入力!$B$12),0)</f>
        <v>2.5000000000000001E-2</v>
      </c>
      <c r="F264" s="32">
        <f t="shared" si="75"/>
        <v>34752</v>
      </c>
      <c r="G264" s="32">
        <f>ROUND(IF(NOT(AND(T263="",A264&lt;=S263)),0,IF(FALSE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),0)</f>
        <v>121428</v>
      </c>
      <c r="H264" s="32">
        <f t="shared" si="76"/>
        <v>121428</v>
      </c>
      <c r="I264" s="32">
        <f t="shared" si="77"/>
        <v>34752</v>
      </c>
      <c r="J264" s="32">
        <f t="shared" si="78"/>
        <v>0</v>
      </c>
      <c r="K264" s="32">
        <f t="shared" si="79"/>
        <v>0</v>
      </c>
      <c r="L264" s="32">
        <f t="shared" si="80"/>
        <v>86676</v>
      </c>
      <c r="M264" s="32">
        <f>0</f>
        <v>0</v>
      </c>
      <c r="N264" s="32">
        <f t="shared" si="81"/>
        <v>16594424</v>
      </c>
      <c r="O264" s="32">
        <f t="shared" si="82"/>
        <v>11160516</v>
      </c>
      <c r="P264" s="34" t="str">
        <f>IF(NOT(AND(T263="",A264&lt;=S263)),"",IF(FALSE,"繰上返済後再計算","")&amp;IF(AND(入力!$B$13="有効",A264&gt;1,MOD(A264-1,60)=0),IF(FALSE,"・","")&amp;"5年見直し","")&amp;IF(AND(A264=入力!$B$11,A264&gt;1),IF(OR(FALSE,AND(入力!$B$13="有効",A264&gt;1,MOD(A264-1,60)=0)),"・","")&amp;"金利変更","")&amp;IF(AND(OR(AND(入力!$B$13="有効",A264&gt;1,MOD(A264-1,60)=0),AND(A264=入力!$B$11,A264&gt;1)),入力!$B$14="有効",IF(E264=0,ROUND(C264/MAX(1,S263-A264+1),0),ROUND(-PMT(E264/12,MAX(1,S263-A264+1),C264),0))&gt;ROUND(G263*1.25,0),NOT(FALSE)),"・上限適用",""))</f>
        <v/>
      </c>
      <c r="Q264" s="35" t="str">
        <f>IF(AND(T263="",A264&lt;=S263),入力!$B$13,"")</f>
        <v>有効</v>
      </c>
      <c r="R264" s="32" t="str">
        <f>IF(AND(AND(T263="",A264&lt;=S263),OR(AND(入力!$B$13="有効",A264&gt;1,MOD(A264-1,60)=0),AND(A264=入力!$B$11,A264&gt;1)),入力!$B$14="有効"),ROUND(G263*1.25,0),"")</f>
        <v/>
      </c>
      <c r="S264" s="36">
        <f t="shared" si="83"/>
        <v>420</v>
      </c>
      <c r="T264" s="35" t="str">
        <f t="shared" si="84"/>
        <v/>
      </c>
      <c r="U264" s="3">
        <f t="shared" si="68"/>
        <v>0</v>
      </c>
      <c r="V264" s="3">
        <f t="shared" si="69"/>
        <v>0</v>
      </c>
      <c r="W264" s="3">
        <f t="shared" si="70"/>
        <v>0</v>
      </c>
      <c r="X264" s="3">
        <f t="shared" si="71"/>
        <v>0</v>
      </c>
      <c r="Y264" s="3">
        <f>0</f>
        <v>0</v>
      </c>
      <c r="Z264" s="3">
        <f t="shared" si="72"/>
        <v>0</v>
      </c>
      <c r="AA264">
        <f>ROUND(IF(FALSE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,0)</f>
        <v>121428</v>
      </c>
    </row>
    <row r="265" spans="1:27">
      <c r="A265" s="30">
        <f>260</f>
        <v>260</v>
      </c>
      <c r="B265" s="31">
        <f>EDATE(入力!$B$6,A265-1)</f>
        <v>54118</v>
      </c>
      <c r="C265" s="32">
        <f t="shared" si="73"/>
        <v>16594424</v>
      </c>
      <c r="D265" s="32">
        <f t="shared" si="74"/>
        <v>0</v>
      </c>
      <c r="E265" s="33">
        <f>IF(AND(T264="",A265&lt;=S264),IF(A265&lt;入力!$B$11,入力!$B$10,入力!$B$12),0)</f>
        <v>2.5000000000000001E-2</v>
      </c>
      <c r="F265" s="32">
        <f t="shared" si="75"/>
        <v>34572</v>
      </c>
      <c r="G265" s="32">
        <f>ROUND(IF(NOT(AND(T264="",A265&lt;=S264)),0,IF(FALSE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),0)</f>
        <v>121428</v>
      </c>
      <c r="H265" s="32">
        <f t="shared" si="76"/>
        <v>121428</v>
      </c>
      <c r="I265" s="32">
        <f t="shared" si="77"/>
        <v>34572</v>
      </c>
      <c r="J265" s="32">
        <f t="shared" si="78"/>
        <v>0</v>
      </c>
      <c r="K265" s="32">
        <f t="shared" si="79"/>
        <v>0</v>
      </c>
      <c r="L265" s="32">
        <f t="shared" si="80"/>
        <v>86856</v>
      </c>
      <c r="M265" s="32">
        <f>0</f>
        <v>0</v>
      </c>
      <c r="N265" s="32">
        <f t="shared" si="81"/>
        <v>16507568</v>
      </c>
      <c r="O265" s="32">
        <f t="shared" si="82"/>
        <v>11195088</v>
      </c>
      <c r="P265" s="34" t="str">
        <f>IF(NOT(AND(T264="",A265&lt;=S264)),"",IF(FALSE,"繰上返済後再計算","")&amp;IF(AND(入力!$B$13="有効",A265&gt;1,MOD(A265-1,60)=0),IF(FALSE,"・","")&amp;"5年見直し","")&amp;IF(AND(A265=入力!$B$11,A265&gt;1),IF(OR(FALSE,AND(入力!$B$13="有効",A265&gt;1,MOD(A265-1,60)=0)),"・","")&amp;"金利変更","")&amp;IF(AND(OR(AND(入力!$B$13="有効",A265&gt;1,MOD(A265-1,60)=0),AND(A265=入力!$B$11,A265&gt;1)),入力!$B$14="有効",IF(E265=0,ROUND(C265/MAX(1,S264-A265+1),0),ROUND(-PMT(E265/12,MAX(1,S264-A265+1),C265),0))&gt;ROUND(G264*1.25,0),NOT(FALSE)),"・上限適用",""))</f>
        <v/>
      </c>
      <c r="Q265" s="35" t="str">
        <f>IF(AND(T264="",A265&lt;=S264),入力!$B$13,"")</f>
        <v>有効</v>
      </c>
      <c r="R265" s="32" t="str">
        <f>IF(AND(AND(T264="",A265&lt;=S264),OR(AND(入力!$B$13="有効",A265&gt;1,MOD(A265-1,60)=0),AND(A265=入力!$B$11,A265&gt;1)),入力!$B$14="有効"),ROUND(G264*1.25,0),"")</f>
        <v/>
      </c>
      <c r="S265" s="36">
        <f t="shared" si="83"/>
        <v>420</v>
      </c>
      <c r="T265" s="35" t="str">
        <f t="shared" si="84"/>
        <v/>
      </c>
      <c r="U265" s="3">
        <f t="shared" si="68"/>
        <v>0</v>
      </c>
      <c r="V265" s="3">
        <f t="shared" si="69"/>
        <v>0</v>
      </c>
      <c r="W265" s="3">
        <f t="shared" si="70"/>
        <v>0</v>
      </c>
      <c r="X265" s="3">
        <f t="shared" si="71"/>
        <v>0</v>
      </c>
      <c r="Y265" s="3">
        <f>0</f>
        <v>0</v>
      </c>
      <c r="Z265" s="3">
        <f t="shared" si="72"/>
        <v>0</v>
      </c>
      <c r="AA265">
        <f>ROUND(IF(FALSE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,0)</f>
        <v>121428</v>
      </c>
    </row>
    <row r="266" spans="1:27">
      <c r="A266" s="30">
        <f>261</f>
        <v>261</v>
      </c>
      <c r="B266" s="31">
        <f>EDATE(入力!$B$6,A266-1)</f>
        <v>54149</v>
      </c>
      <c r="C266" s="32">
        <f t="shared" si="73"/>
        <v>16507568</v>
      </c>
      <c r="D266" s="32">
        <f t="shared" si="74"/>
        <v>0</v>
      </c>
      <c r="E266" s="33">
        <f>IF(AND(T265="",A266&lt;=S265),IF(A266&lt;入力!$B$11,入力!$B$10,入力!$B$12),0)</f>
        <v>2.5000000000000001E-2</v>
      </c>
      <c r="F266" s="32">
        <f t="shared" si="75"/>
        <v>34391</v>
      </c>
      <c r="G266" s="32">
        <f>ROUND(IF(NOT(AND(T265="",A266&lt;=S265)),0,IF(FALSE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),0)</f>
        <v>121428</v>
      </c>
      <c r="H266" s="32">
        <f t="shared" si="76"/>
        <v>121428</v>
      </c>
      <c r="I266" s="32">
        <f t="shared" si="77"/>
        <v>34391</v>
      </c>
      <c r="J266" s="32">
        <f t="shared" si="78"/>
        <v>0</v>
      </c>
      <c r="K266" s="32">
        <f t="shared" si="79"/>
        <v>0</v>
      </c>
      <c r="L266" s="32">
        <f t="shared" si="80"/>
        <v>87037</v>
      </c>
      <c r="M266" s="32">
        <f>0</f>
        <v>0</v>
      </c>
      <c r="N266" s="32">
        <f t="shared" si="81"/>
        <v>16420531</v>
      </c>
      <c r="O266" s="32">
        <f t="shared" si="82"/>
        <v>11229479</v>
      </c>
      <c r="P266" s="34" t="str">
        <f>IF(NOT(AND(T265="",A266&lt;=S265)),"",IF(FALSE,"繰上返済後再計算","")&amp;IF(AND(入力!$B$13="有効",A266&gt;1,MOD(A266-1,60)=0),IF(FALSE,"・","")&amp;"5年見直し","")&amp;IF(AND(A266=入力!$B$11,A266&gt;1),IF(OR(FALSE,AND(入力!$B$13="有効",A266&gt;1,MOD(A266-1,60)=0)),"・","")&amp;"金利変更","")&amp;IF(AND(OR(AND(入力!$B$13="有効",A266&gt;1,MOD(A266-1,60)=0),AND(A266=入力!$B$11,A266&gt;1)),入力!$B$14="有効",IF(E266=0,ROUND(C266/MAX(1,S265-A266+1),0),ROUND(-PMT(E266/12,MAX(1,S265-A266+1),C266),0))&gt;ROUND(G265*1.25,0),NOT(FALSE)),"・上限適用",""))</f>
        <v/>
      </c>
      <c r="Q266" s="35" t="str">
        <f>IF(AND(T265="",A266&lt;=S265),入力!$B$13,"")</f>
        <v>有効</v>
      </c>
      <c r="R266" s="32" t="str">
        <f>IF(AND(AND(T265="",A266&lt;=S265),OR(AND(入力!$B$13="有効",A266&gt;1,MOD(A266-1,60)=0),AND(A266=入力!$B$11,A266&gt;1)),入力!$B$14="有効"),ROUND(G265*1.25,0),"")</f>
        <v/>
      </c>
      <c r="S266" s="36">
        <f t="shared" si="83"/>
        <v>420</v>
      </c>
      <c r="T266" s="35" t="str">
        <f t="shared" si="84"/>
        <v/>
      </c>
      <c r="U266" s="3">
        <f t="shared" si="68"/>
        <v>0</v>
      </c>
      <c r="V266" s="3">
        <f t="shared" si="69"/>
        <v>0</v>
      </c>
      <c r="W266" s="3">
        <f t="shared" si="70"/>
        <v>0</v>
      </c>
      <c r="X266" s="3">
        <f t="shared" si="71"/>
        <v>0</v>
      </c>
      <c r="Y266" s="3">
        <f>0</f>
        <v>0</v>
      </c>
      <c r="Z266" s="3">
        <f t="shared" si="72"/>
        <v>0</v>
      </c>
      <c r="AA266">
        <f>ROUND(IF(FALSE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,0)</f>
        <v>121428</v>
      </c>
    </row>
    <row r="267" spans="1:27">
      <c r="A267" s="30">
        <f>262</f>
        <v>262</v>
      </c>
      <c r="B267" s="31">
        <f>EDATE(入力!$B$6,A267-1)</f>
        <v>54179</v>
      </c>
      <c r="C267" s="32">
        <f t="shared" si="73"/>
        <v>16420531</v>
      </c>
      <c r="D267" s="32">
        <f t="shared" si="74"/>
        <v>0</v>
      </c>
      <c r="E267" s="33">
        <f>IF(AND(T266="",A267&lt;=S266),IF(A267&lt;入力!$B$11,入力!$B$10,入力!$B$12),0)</f>
        <v>2.5000000000000001E-2</v>
      </c>
      <c r="F267" s="32">
        <f t="shared" si="75"/>
        <v>34209</v>
      </c>
      <c r="G267" s="32">
        <f>ROUND(IF(NOT(AND(T266="",A267&lt;=S266)),0,IF(FALSE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),0)</f>
        <v>121428</v>
      </c>
      <c r="H267" s="32">
        <f t="shared" si="76"/>
        <v>121428</v>
      </c>
      <c r="I267" s="32">
        <f t="shared" si="77"/>
        <v>34209</v>
      </c>
      <c r="J267" s="32">
        <f t="shared" si="78"/>
        <v>0</v>
      </c>
      <c r="K267" s="32">
        <f t="shared" si="79"/>
        <v>0</v>
      </c>
      <c r="L267" s="32">
        <f t="shared" si="80"/>
        <v>87219</v>
      </c>
      <c r="M267" s="32">
        <f>0</f>
        <v>0</v>
      </c>
      <c r="N267" s="32">
        <f t="shared" si="81"/>
        <v>16333312</v>
      </c>
      <c r="O267" s="32">
        <f t="shared" si="82"/>
        <v>11263688</v>
      </c>
      <c r="P267" s="34" t="str">
        <f>IF(NOT(AND(T266="",A267&lt;=S266)),"",IF(FALSE,"繰上返済後再計算","")&amp;IF(AND(入力!$B$13="有効",A267&gt;1,MOD(A267-1,60)=0),IF(FALSE,"・","")&amp;"5年見直し","")&amp;IF(AND(A267=入力!$B$11,A267&gt;1),IF(OR(FALSE,AND(入力!$B$13="有効",A267&gt;1,MOD(A267-1,60)=0)),"・","")&amp;"金利変更","")&amp;IF(AND(OR(AND(入力!$B$13="有効",A267&gt;1,MOD(A267-1,60)=0),AND(A267=入力!$B$11,A267&gt;1)),入力!$B$14="有効",IF(E267=0,ROUND(C267/MAX(1,S266-A267+1),0),ROUND(-PMT(E267/12,MAX(1,S266-A267+1),C267),0))&gt;ROUND(G266*1.25,0),NOT(FALSE)),"・上限適用",""))</f>
        <v/>
      </c>
      <c r="Q267" s="35" t="str">
        <f>IF(AND(T266="",A267&lt;=S266),入力!$B$13,"")</f>
        <v>有効</v>
      </c>
      <c r="R267" s="32" t="str">
        <f>IF(AND(AND(T266="",A267&lt;=S266),OR(AND(入力!$B$13="有効",A267&gt;1,MOD(A267-1,60)=0),AND(A267=入力!$B$11,A267&gt;1)),入力!$B$14="有効"),ROUND(G266*1.25,0),"")</f>
        <v/>
      </c>
      <c r="S267" s="36">
        <f t="shared" si="83"/>
        <v>420</v>
      </c>
      <c r="T267" s="35" t="str">
        <f t="shared" si="84"/>
        <v/>
      </c>
      <c r="U267" s="3">
        <f t="shared" si="68"/>
        <v>0</v>
      </c>
      <c r="V267" s="3">
        <f t="shared" si="69"/>
        <v>0</v>
      </c>
      <c r="W267" s="3">
        <f t="shared" si="70"/>
        <v>0</v>
      </c>
      <c r="X267" s="3">
        <f t="shared" si="71"/>
        <v>0</v>
      </c>
      <c r="Y267" s="3">
        <f>0</f>
        <v>0</v>
      </c>
      <c r="Z267" s="3">
        <f t="shared" si="72"/>
        <v>0</v>
      </c>
      <c r="AA267">
        <f>ROUND(IF(FALSE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,0)</f>
        <v>121428</v>
      </c>
    </row>
    <row r="268" spans="1:27">
      <c r="A268" s="30">
        <f>263</f>
        <v>263</v>
      </c>
      <c r="B268" s="31">
        <f>EDATE(入力!$B$6,A268-1)</f>
        <v>54210</v>
      </c>
      <c r="C268" s="32">
        <f t="shared" si="73"/>
        <v>16333312</v>
      </c>
      <c r="D268" s="32">
        <f t="shared" si="74"/>
        <v>0</v>
      </c>
      <c r="E268" s="33">
        <f>IF(AND(T267="",A268&lt;=S267),IF(A268&lt;入力!$B$11,入力!$B$10,入力!$B$12),0)</f>
        <v>2.5000000000000001E-2</v>
      </c>
      <c r="F268" s="32">
        <f t="shared" si="75"/>
        <v>34028</v>
      </c>
      <c r="G268" s="32">
        <f>ROUND(IF(NOT(AND(T267="",A268&lt;=S267)),0,IF(FALSE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),0)</f>
        <v>121428</v>
      </c>
      <c r="H268" s="32">
        <f t="shared" si="76"/>
        <v>121428</v>
      </c>
      <c r="I268" s="32">
        <f t="shared" si="77"/>
        <v>34028</v>
      </c>
      <c r="J268" s="32">
        <f t="shared" si="78"/>
        <v>0</v>
      </c>
      <c r="K268" s="32">
        <f t="shared" si="79"/>
        <v>0</v>
      </c>
      <c r="L268" s="32">
        <f t="shared" si="80"/>
        <v>87400</v>
      </c>
      <c r="M268" s="32">
        <f>0</f>
        <v>0</v>
      </c>
      <c r="N268" s="32">
        <f t="shared" si="81"/>
        <v>16245912</v>
      </c>
      <c r="O268" s="32">
        <f t="shared" si="82"/>
        <v>11297716</v>
      </c>
      <c r="P268" s="34" t="str">
        <f>IF(NOT(AND(T267="",A268&lt;=S267)),"",IF(FALSE,"繰上返済後再計算","")&amp;IF(AND(入力!$B$13="有効",A268&gt;1,MOD(A268-1,60)=0),IF(FALSE,"・","")&amp;"5年見直し","")&amp;IF(AND(A268=入力!$B$11,A268&gt;1),IF(OR(FALSE,AND(入力!$B$13="有効",A268&gt;1,MOD(A268-1,60)=0)),"・","")&amp;"金利変更","")&amp;IF(AND(OR(AND(入力!$B$13="有効",A268&gt;1,MOD(A268-1,60)=0),AND(A268=入力!$B$11,A268&gt;1)),入力!$B$14="有効",IF(E268=0,ROUND(C268/MAX(1,S267-A268+1),0),ROUND(-PMT(E268/12,MAX(1,S267-A268+1),C268),0))&gt;ROUND(G267*1.25,0),NOT(FALSE)),"・上限適用",""))</f>
        <v/>
      </c>
      <c r="Q268" s="35" t="str">
        <f>IF(AND(T267="",A268&lt;=S267),入力!$B$13,"")</f>
        <v>有効</v>
      </c>
      <c r="R268" s="32" t="str">
        <f>IF(AND(AND(T267="",A268&lt;=S267),OR(AND(入力!$B$13="有効",A268&gt;1,MOD(A268-1,60)=0),AND(A268=入力!$B$11,A268&gt;1)),入力!$B$14="有効"),ROUND(G267*1.25,0),"")</f>
        <v/>
      </c>
      <c r="S268" s="36">
        <f t="shared" si="83"/>
        <v>420</v>
      </c>
      <c r="T268" s="35" t="str">
        <f t="shared" si="84"/>
        <v/>
      </c>
      <c r="U268" s="3">
        <f t="shared" si="68"/>
        <v>0</v>
      </c>
      <c r="V268" s="3">
        <f t="shared" si="69"/>
        <v>0</v>
      </c>
      <c r="W268" s="3">
        <f t="shared" si="70"/>
        <v>0</v>
      </c>
      <c r="X268" s="3">
        <f t="shared" si="71"/>
        <v>0</v>
      </c>
      <c r="Y268" s="3">
        <f>0</f>
        <v>0</v>
      </c>
      <c r="Z268" s="3">
        <f t="shared" si="72"/>
        <v>0</v>
      </c>
      <c r="AA268">
        <f>ROUND(IF(FALSE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,0)</f>
        <v>121428</v>
      </c>
    </row>
    <row r="269" spans="1:27">
      <c r="A269" s="30">
        <f>264</f>
        <v>264</v>
      </c>
      <c r="B269" s="31">
        <f>EDATE(入力!$B$6,A269-1)</f>
        <v>54240</v>
      </c>
      <c r="C269" s="32">
        <f t="shared" si="73"/>
        <v>16245912</v>
      </c>
      <c r="D269" s="32">
        <f t="shared" si="74"/>
        <v>0</v>
      </c>
      <c r="E269" s="33">
        <f>IF(AND(T268="",A269&lt;=S268),IF(A269&lt;入力!$B$11,入力!$B$10,入力!$B$12),0)</f>
        <v>2.5000000000000001E-2</v>
      </c>
      <c r="F269" s="32">
        <f t="shared" si="75"/>
        <v>33846</v>
      </c>
      <c r="G269" s="32">
        <f>ROUND(IF(NOT(AND(T268="",A269&lt;=S268)),0,IF(FALSE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),0)</f>
        <v>121428</v>
      </c>
      <c r="H269" s="32">
        <f t="shared" si="76"/>
        <v>121428</v>
      </c>
      <c r="I269" s="32">
        <f t="shared" si="77"/>
        <v>33846</v>
      </c>
      <c r="J269" s="32">
        <f t="shared" si="78"/>
        <v>0</v>
      </c>
      <c r="K269" s="32">
        <f t="shared" si="79"/>
        <v>0</v>
      </c>
      <c r="L269" s="32">
        <f t="shared" si="80"/>
        <v>87582</v>
      </c>
      <c r="M269" s="32">
        <f>0</f>
        <v>0</v>
      </c>
      <c r="N269" s="32">
        <f t="shared" si="81"/>
        <v>16158330</v>
      </c>
      <c r="O269" s="32">
        <f t="shared" si="82"/>
        <v>11331562</v>
      </c>
      <c r="P269" s="34" t="str">
        <f>IF(NOT(AND(T268="",A269&lt;=S268)),"",IF(FALSE,"繰上返済後再計算","")&amp;IF(AND(入力!$B$13="有効",A269&gt;1,MOD(A269-1,60)=0),IF(FALSE,"・","")&amp;"5年見直し","")&amp;IF(AND(A269=入力!$B$11,A269&gt;1),IF(OR(FALSE,AND(入力!$B$13="有効",A269&gt;1,MOD(A269-1,60)=0)),"・","")&amp;"金利変更","")&amp;IF(AND(OR(AND(入力!$B$13="有効",A269&gt;1,MOD(A269-1,60)=0),AND(A269=入力!$B$11,A269&gt;1)),入力!$B$14="有効",IF(E269=0,ROUND(C269/MAX(1,S268-A269+1),0),ROUND(-PMT(E269/12,MAX(1,S268-A269+1),C269),0))&gt;ROUND(G268*1.25,0),NOT(FALSE)),"・上限適用",""))</f>
        <v/>
      </c>
      <c r="Q269" s="35" t="str">
        <f>IF(AND(T268="",A269&lt;=S268),入力!$B$13,"")</f>
        <v>有効</v>
      </c>
      <c r="R269" s="32" t="str">
        <f>IF(AND(AND(T268="",A269&lt;=S268),OR(AND(入力!$B$13="有効",A269&gt;1,MOD(A269-1,60)=0),AND(A269=入力!$B$11,A269&gt;1)),入力!$B$14="有効"),ROUND(G268*1.25,0),"")</f>
        <v/>
      </c>
      <c r="S269" s="36">
        <f t="shared" si="83"/>
        <v>420</v>
      </c>
      <c r="T269" s="35" t="str">
        <f t="shared" si="84"/>
        <v/>
      </c>
      <c r="U269" s="3">
        <f t="shared" si="68"/>
        <v>0</v>
      </c>
      <c r="V269" s="3">
        <f t="shared" si="69"/>
        <v>0</v>
      </c>
      <c r="W269" s="3">
        <f t="shared" si="70"/>
        <v>0</v>
      </c>
      <c r="X269" s="3">
        <f t="shared" si="71"/>
        <v>0</v>
      </c>
      <c r="Y269" s="3">
        <f>0</f>
        <v>0</v>
      </c>
      <c r="Z269" s="3">
        <f t="shared" si="72"/>
        <v>0</v>
      </c>
      <c r="AA269">
        <f>ROUND(IF(FALSE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,0)</f>
        <v>121428</v>
      </c>
    </row>
    <row r="270" spans="1:27">
      <c r="A270" s="30">
        <f>265</f>
        <v>265</v>
      </c>
      <c r="B270" s="31">
        <f>EDATE(入力!$B$6,A270-1)</f>
        <v>54271</v>
      </c>
      <c r="C270" s="32">
        <f t="shared" si="73"/>
        <v>16158330</v>
      </c>
      <c r="D270" s="32">
        <f t="shared" si="74"/>
        <v>0</v>
      </c>
      <c r="E270" s="33">
        <f>IF(AND(T269="",A270&lt;=S269),IF(A270&lt;入力!$B$11,入力!$B$10,入力!$B$12),0)</f>
        <v>2.5000000000000001E-2</v>
      </c>
      <c r="F270" s="32">
        <f t="shared" si="75"/>
        <v>33663</v>
      </c>
      <c r="G270" s="32">
        <f>ROUND(IF(NOT(AND(T269="",A270&lt;=S269)),0,IF(FALSE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),0)</f>
        <v>121428</v>
      </c>
      <c r="H270" s="32">
        <f t="shared" si="76"/>
        <v>121428</v>
      </c>
      <c r="I270" s="32">
        <f t="shared" si="77"/>
        <v>33663</v>
      </c>
      <c r="J270" s="32">
        <f t="shared" si="78"/>
        <v>0</v>
      </c>
      <c r="K270" s="32">
        <f t="shared" si="79"/>
        <v>0</v>
      </c>
      <c r="L270" s="32">
        <f t="shared" si="80"/>
        <v>87765</v>
      </c>
      <c r="M270" s="32">
        <f>0</f>
        <v>0</v>
      </c>
      <c r="N270" s="32">
        <f t="shared" si="81"/>
        <v>16070565</v>
      </c>
      <c r="O270" s="32">
        <f t="shared" si="82"/>
        <v>11365225</v>
      </c>
      <c r="P270" s="34" t="str">
        <f>IF(NOT(AND(T269="",A270&lt;=S269)),"",IF(FALSE,"繰上返済後再計算","")&amp;IF(AND(入力!$B$13="有効",A270&gt;1,MOD(A270-1,60)=0),IF(FALSE,"・","")&amp;"5年見直し","")&amp;IF(AND(A270=入力!$B$11,A270&gt;1),IF(OR(FALSE,AND(入力!$B$13="有効",A270&gt;1,MOD(A270-1,60)=0)),"・","")&amp;"金利変更","")&amp;IF(AND(OR(AND(入力!$B$13="有効",A270&gt;1,MOD(A270-1,60)=0),AND(A270=入力!$B$11,A270&gt;1)),入力!$B$14="有効",IF(E270=0,ROUND(C270/MAX(1,S269-A270+1),0),ROUND(-PMT(E270/12,MAX(1,S269-A270+1),C270),0))&gt;ROUND(G269*1.25,0),NOT(FALSE)),"・上限適用",""))</f>
        <v/>
      </c>
      <c r="Q270" s="35" t="str">
        <f>IF(AND(T269="",A270&lt;=S269),入力!$B$13,"")</f>
        <v>有効</v>
      </c>
      <c r="R270" s="32" t="str">
        <f>IF(AND(AND(T269="",A270&lt;=S269),OR(AND(入力!$B$13="有効",A270&gt;1,MOD(A270-1,60)=0),AND(A270=入力!$B$11,A270&gt;1)),入力!$B$14="有効"),ROUND(G269*1.25,0),"")</f>
        <v/>
      </c>
      <c r="S270" s="36">
        <f t="shared" si="83"/>
        <v>420</v>
      </c>
      <c r="T270" s="35" t="str">
        <f t="shared" si="84"/>
        <v/>
      </c>
      <c r="U270" s="3">
        <f t="shared" si="68"/>
        <v>0</v>
      </c>
      <c r="V270" s="3">
        <f t="shared" si="69"/>
        <v>0</v>
      </c>
      <c r="W270" s="3">
        <f t="shared" si="70"/>
        <v>0</v>
      </c>
      <c r="X270" s="3">
        <f t="shared" si="71"/>
        <v>0</v>
      </c>
      <c r="Y270" s="3">
        <f>0</f>
        <v>0</v>
      </c>
      <c r="Z270" s="3">
        <f t="shared" si="72"/>
        <v>0</v>
      </c>
      <c r="AA270">
        <f>ROUND(IF(FALSE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,0)</f>
        <v>121428</v>
      </c>
    </row>
    <row r="271" spans="1:27">
      <c r="A271" s="30">
        <f>266</f>
        <v>266</v>
      </c>
      <c r="B271" s="31">
        <f>EDATE(入力!$B$6,A271-1)</f>
        <v>54302</v>
      </c>
      <c r="C271" s="32">
        <f t="shared" si="73"/>
        <v>16070565</v>
      </c>
      <c r="D271" s="32">
        <f t="shared" si="74"/>
        <v>0</v>
      </c>
      <c r="E271" s="33">
        <f>IF(AND(T270="",A271&lt;=S270),IF(A271&lt;入力!$B$11,入力!$B$10,入力!$B$12),0)</f>
        <v>2.5000000000000001E-2</v>
      </c>
      <c r="F271" s="32">
        <f t="shared" si="75"/>
        <v>33480</v>
      </c>
      <c r="G271" s="32">
        <f>ROUND(IF(NOT(AND(T270="",A271&lt;=S270)),0,IF(FALSE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),0)</f>
        <v>121428</v>
      </c>
      <c r="H271" s="32">
        <f t="shared" si="76"/>
        <v>121428</v>
      </c>
      <c r="I271" s="32">
        <f t="shared" si="77"/>
        <v>33480</v>
      </c>
      <c r="J271" s="32">
        <f t="shared" si="78"/>
        <v>0</v>
      </c>
      <c r="K271" s="32">
        <f t="shared" si="79"/>
        <v>0</v>
      </c>
      <c r="L271" s="32">
        <f t="shared" si="80"/>
        <v>87948</v>
      </c>
      <c r="M271" s="32">
        <f>0</f>
        <v>0</v>
      </c>
      <c r="N271" s="32">
        <f t="shared" si="81"/>
        <v>15982617</v>
      </c>
      <c r="O271" s="32">
        <f t="shared" si="82"/>
        <v>11398705</v>
      </c>
      <c r="P271" s="34" t="str">
        <f>IF(NOT(AND(T270="",A271&lt;=S270)),"",IF(FALSE,"繰上返済後再計算","")&amp;IF(AND(入力!$B$13="有効",A271&gt;1,MOD(A271-1,60)=0),IF(FALSE,"・","")&amp;"5年見直し","")&amp;IF(AND(A271=入力!$B$11,A271&gt;1),IF(OR(FALSE,AND(入力!$B$13="有効",A271&gt;1,MOD(A271-1,60)=0)),"・","")&amp;"金利変更","")&amp;IF(AND(OR(AND(入力!$B$13="有効",A271&gt;1,MOD(A271-1,60)=0),AND(A271=入力!$B$11,A271&gt;1)),入力!$B$14="有効",IF(E271=0,ROUND(C271/MAX(1,S270-A271+1),0),ROUND(-PMT(E271/12,MAX(1,S270-A271+1),C271),0))&gt;ROUND(G270*1.25,0),NOT(FALSE)),"・上限適用",""))</f>
        <v/>
      </c>
      <c r="Q271" s="35" t="str">
        <f>IF(AND(T270="",A271&lt;=S270),入力!$B$13,"")</f>
        <v>有効</v>
      </c>
      <c r="R271" s="32" t="str">
        <f>IF(AND(AND(T270="",A271&lt;=S270),OR(AND(入力!$B$13="有効",A271&gt;1,MOD(A271-1,60)=0),AND(A271=入力!$B$11,A271&gt;1)),入力!$B$14="有効"),ROUND(G270*1.25,0),"")</f>
        <v/>
      </c>
      <c r="S271" s="36">
        <f t="shared" si="83"/>
        <v>420</v>
      </c>
      <c r="T271" s="35" t="str">
        <f t="shared" si="84"/>
        <v/>
      </c>
      <c r="U271" s="3">
        <f t="shared" si="68"/>
        <v>0</v>
      </c>
      <c r="V271" s="3">
        <f t="shared" si="69"/>
        <v>0</v>
      </c>
      <c r="W271" s="3">
        <f t="shared" si="70"/>
        <v>0</v>
      </c>
      <c r="X271" s="3">
        <f t="shared" si="71"/>
        <v>0</v>
      </c>
      <c r="Y271" s="3">
        <f>0</f>
        <v>0</v>
      </c>
      <c r="Z271" s="3">
        <f t="shared" si="72"/>
        <v>0</v>
      </c>
      <c r="AA271">
        <f>ROUND(IF(FALSE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,0)</f>
        <v>121428</v>
      </c>
    </row>
    <row r="272" spans="1:27">
      <c r="A272" s="30">
        <f>267</f>
        <v>267</v>
      </c>
      <c r="B272" s="31">
        <f>EDATE(入力!$B$6,A272-1)</f>
        <v>54332</v>
      </c>
      <c r="C272" s="32">
        <f t="shared" si="73"/>
        <v>15982617</v>
      </c>
      <c r="D272" s="32">
        <f t="shared" si="74"/>
        <v>0</v>
      </c>
      <c r="E272" s="33">
        <f>IF(AND(T271="",A272&lt;=S271),IF(A272&lt;入力!$B$11,入力!$B$10,入力!$B$12),0)</f>
        <v>2.5000000000000001E-2</v>
      </c>
      <c r="F272" s="32">
        <f t="shared" si="75"/>
        <v>33297</v>
      </c>
      <c r="G272" s="32">
        <f>ROUND(IF(NOT(AND(T271="",A272&lt;=S271)),0,IF(FALSE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),0)</f>
        <v>121428</v>
      </c>
      <c r="H272" s="32">
        <f t="shared" si="76"/>
        <v>121428</v>
      </c>
      <c r="I272" s="32">
        <f t="shared" si="77"/>
        <v>33297</v>
      </c>
      <c r="J272" s="32">
        <f t="shared" si="78"/>
        <v>0</v>
      </c>
      <c r="K272" s="32">
        <f t="shared" si="79"/>
        <v>0</v>
      </c>
      <c r="L272" s="32">
        <f t="shared" si="80"/>
        <v>88131</v>
      </c>
      <c r="M272" s="32">
        <f>0</f>
        <v>0</v>
      </c>
      <c r="N272" s="32">
        <f t="shared" si="81"/>
        <v>15894486</v>
      </c>
      <c r="O272" s="32">
        <f t="shared" si="82"/>
        <v>11432002</v>
      </c>
      <c r="P272" s="34" t="str">
        <f>IF(NOT(AND(T271="",A272&lt;=S271)),"",IF(FALSE,"繰上返済後再計算","")&amp;IF(AND(入力!$B$13="有効",A272&gt;1,MOD(A272-1,60)=0),IF(FALSE,"・","")&amp;"5年見直し","")&amp;IF(AND(A272=入力!$B$11,A272&gt;1),IF(OR(FALSE,AND(入力!$B$13="有効",A272&gt;1,MOD(A272-1,60)=0)),"・","")&amp;"金利変更","")&amp;IF(AND(OR(AND(入力!$B$13="有効",A272&gt;1,MOD(A272-1,60)=0),AND(A272=入力!$B$11,A272&gt;1)),入力!$B$14="有効",IF(E272=0,ROUND(C272/MAX(1,S271-A272+1),0),ROUND(-PMT(E272/12,MAX(1,S271-A272+1),C272),0))&gt;ROUND(G271*1.25,0),NOT(FALSE)),"・上限適用",""))</f>
        <v/>
      </c>
      <c r="Q272" s="35" t="str">
        <f>IF(AND(T271="",A272&lt;=S271),入力!$B$13,"")</f>
        <v>有効</v>
      </c>
      <c r="R272" s="32" t="str">
        <f>IF(AND(AND(T271="",A272&lt;=S271),OR(AND(入力!$B$13="有効",A272&gt;1,MOD(A272-1,60)=0),AND(A272=入力!$B$11,A272&gt;1)),入力!$B$14="有効"),ROUND(G271*1.25,0),"")</f>
        <v/>
      </c>
      <c r="S272" s="36">
        <f t="shared" si="83"/>
        <v>420</v>
      </c>
      <c r="T272" s="35" t="str">
        <f t="shared" si="84"/>
        <v/>
      </c>
      <c r="U272" s="3">
        <f t="shared" si="68"/>
        <v>0</v>
      </c>
      <c r="V272" s="3">
        <f t="shared" si="69"/>
        <v>0</v>
      </c>
      <c r="W272" s="3">
        <f t="shared" si="70"/>
        <v>0</v>
      </c>
      <c r="X272" s="3">
        <f t="shared" si="71"/>
        <v>0</v>
      </c>
      <c r="Y272" s="3">
        <f>0</f>
        <v>0</v>
      </c>
      <c r="Z272" s="3">
        <f t="shared" si="72"/>
        <v>0</v>
      </c>
      <c r="AA272">
        <f>ROUND(IF(FALSE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,0)</f>
        <v>121428</v>
      </c>
    </row>
    <row r="273" spans="1:27">
      <c r="A273" s="30">
        <f>268</f>
        <v>268</v>
      </c>
      <c r="B273" s="31">
        <f>EDATE(入力!$B$6,A273-1)</f>
        <v>54363</v>
      </c>
      <c r="C273" s="32">
        <f t="shared" si="73"/>
        <v>15894486</v>
      </c>
      <c r="D273" s="32">
        <f t="shared" si="74"/>
        <v>0</v>
      </c>
      <c r="E273" s="33">
        <f>IF(AND(T272="",A273&lt;=S272),IF(A273&lt;入力!$B$11,入力!$B$10,入力!$B$12),0)</f>
        <v>2.5000000000000001E-2</v>
      </c>
      <c r="F273" s="32">
        <f t="shared" si="75"/>
        <v>33114</v>
      </c>
      <c r="G273" s="32">
        <f>ROUND(IF(NOT(AND(T272="",A273&lt;=S272)),0,IF(FALSE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),0)</f>
        <v>121428</v>
      </c>
      <c r="H273" s="32">
        <f t="shared" si="76"/>
        <v>121428</v>
      </c>
      <c r="I273" s="32">
        <f t="shared" si="77"/>
        <v>33114</v>
      </c>
      <c r="J273" s="32">
        <f t="shared" si="78"/>
        <v>0</v>
      </c>
      <c r="K273" s="32">
        <f t="shared" si="79"/>
        <v>0</v>
      </c>
      <c r="L273" s="32">
        <f t="shared" si="80"/>
        <v>88314</v>
      </c>
      <c r="M273" s="32">
        <f>0</f>
        <v>0</v>
      </c>
      <c r="N273" s="32">
        <f t="shared" si="81"/>
        <v>15806172</v>
      </c>
      <c r="O273" s="32">
        <f t="shared" si="82"/>
        <v>11465116</v>
      </c>
      <c r="P273" s="34" t="str">
        <f>IF(NOT(AND(T272="",A273&lt;=S272)),"",IF(FALSE,"繰上返済後再計算","")&amp;IF(AND(入力!$B$13="有効",A273&gt;1,MOD(A273-1,60)=0),IF(FALSE,"・","")&amp;"5年見直し","")&amp;IF(AND(A273=入力!$B$11,A273&gt;1),IF(OR(FALSE,AND(入力!$B$13="有効",A273&gt;1,MOD(A273-1,60)=0)),"・","")&amp;"金利変更","")&amp;IF(AND(OR(AND(入力!$B$13="有効",A273&gt;1,MOD(A273-1,60)=0),AND(A273=入力!$B$11,A273&gt;1)),入力!$B$14="有効",IF(E273=0,ROUND(C273/MAX(1,S272-A273+1),0),ROUND(-PMT(E273/12,MAX(1,S272-A273+1),C273),0))&gt;ROUND(G272*1.25,0),NOT(FALSE)),"・上限適用",""))</f>
        <v/>
      </c>
      <c r="Q273" s="35" t="str">
        <f>IF(AND(T272="",A273&lt;=S272),入力!$B$13,"")</f>
        <v>有効</v>
      </c>
      <c r="R273" s="32" t="str">
        <f>IF(AND(AND(T272="",A273&lt;=S272),OR(AND(入力!$B$13="有効",A273&gt;1,MOD(A273-1,60)=0),AND(A273=入力!$B$11,A273&gt;1)),入力!$B$14="有効"),ROUND(G272*1.25,0),"")</f>
        <v/>
      </c>
      <c r="S273" s="36">
        <f t="shared" si="83"/>
        <v>420</v>
      </c>
      <c r="T273" s="35" t="str">
        <f t="shared" si="84"/>
        <v/>
      </c>
      <c r="U273" s="3">
        <f t="shared" si="68"/>
        <v>0</v>
      </c>
      <c r="V273" s="3">
        <f t="shared" si="69"/>
        <v>0</v>
      </c>
      <c r="W273" s="3">
        <f t="shared" si="70"/>
        <v>0</v>
      </c>
      <c r="X273" s="3">
        <f t="shared" si="71"/>
        <v>0</v>
      </c>
      <c r="Y273" s="3">
        <f>0</f>
        <v>0</v>
      </c>
      <c r="Z273" s="3">
        <f t="shared" si="72"/>
        <v>0</v>
      </c>
      <c r="AA273">
        <f>ROUND(IF(FALSE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,0)</f>
        <v>121428</v>
      </c>
    </row>
    <row r="274" spans="1:27">
      <c r="A274" s="30">
        <f>269</f>
        <v>269</v>
      </c>
      <c r="B274" s="31">
        <f>EDATE(入力!$B$6,A274-1)</f>
        <v>54393</v>
      </c>
      <c r="C274" s="32">
        <f t="shared" si="73"/>
        <v>15806172</v>
      </c>
      <c r="D274" s="32">
        <f t="shared" si="74"/>
        <v>0</v>
      </c>
      <c r="E274" s="33">
        <f>IF(AND(T273="",A274&lt;=S273),IF(A274&lt;入力!$B$11,入力!$B$10,入力!$B$12),0)</f>
        <v>2.5000000000000001E-2</v>
      </c>
      <c r="F274" s="32">
        <f t="shared" si="75"/>
        <v>32930</v>
      </c>
      <c r="G274" s="32">
        <f>ROUND(IF(NOT(AND(T273="",A274&lt;=S273)),0,IF(FALSE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),0)</f>
        <v>121428</v>
      </c>
      <c r="H274" s="32">
        <f t="shared" si="76"/>
        <v>121428</v>
      </c>
      <c r="I274" s="32">
        <f t="shared" si="77"/>
        <v>32930</v>
      </c>
      <c r="J274" s="32">
        <f t="shared" si="78"/>
        <v>0</v>
      </c>
      <c r="K274" s="32">
        <f t="shared" si="79"/>
        <v>0</v>
      </c>
      <c r="L274" s="32">
        <f t="shared" si="80"/>
        <v>88498</v>
      </c>
      <c r="M274" s="32">
        <f>0</f>
        <v>0</v>
      </c>
      <c r="N274" s="32">
        <f t="shared" si="81"/>
        <v>15717674</v>
      </c>
      <c r="O274" s="32">
        <f t="shared" si="82"/>
        <v>11498046</v>
      </c>
      <c r="P274" s="34" t="str">
        <f>IF(NOT(AND(T273="",A274&lt;=S273)),"",IF(FALSE,"繰上返済後再計算","")&amp;IF(AND(入力!$B$13="有効",A274&gt;1,MOD(A274-1,60)=0),IF(FALSE,"・","")&amp;"5年見直し","")&amp;IF(AND(A274=入力!$B$11,A274&gt;1),IF(OR(FALSE,AND(入力!$B$13="有効",A274&gt;1,MOD(A274-1,60)=0)),"・","")&amp;"金利変更","")&amp;IF(AND(OR(AND(入力!$B$13="有効",A274&gt;1,MOD(A274-1,60)=0),AND(A274=入力!$B$11,A274&gt;1)),入力!$B$14="有効",IF(E274=0,ROUND(C274/MAX(1,S273-A274+1),0),ROUND(-PMT(E274/12,MAX(1,S273-A274+1),C274),0))&gt;ROUND(G273*1.25,0),NOT(FALSE)),"・上限適用",""))</f>
        <v/>
      </c>
      <c r="Q274" s="35" t="str">
        <f>IF(AND(T273="",A274&lt;=S273),入力!$B$13,"")</f>
        <v>有効</v>
      </c>
      <c r="R274" s="32" t="str">
        <f>IF(AND(AND(T273="",A274&lt;=S273),OR(AND(入力!$B$13="有効",A274&gt;1,MOD(A274-1,60)=0),AND(A274=入力!$B$11,A274&gt;1)),入力!$B$14="有効"),ROUND(G273*1.25,0),"")</f>
        <v/>
      </c>
      <c r="S274" s="36">
        <f t="shared" si="83"/>
        <v>420</v>
      </c>
      <c r="T274" s="35" t="str">
        <f t="shared" si="84"/>
        <v/>
      </c>
      <c r="U274" s="3">
        <f t="shared" si="68"/>
        <v>0</v>
      </c>
      <c r="V274" s="3">
        <f t="shared" si="69"/>
        <v>0</v>
      </c>
      <c r="W274" s="3">
        <f t="shared" si="70"/>
        <v>0</v>
      </c>
      <c r="X274" s="3">
        <f t="shared" si="71"/>
        <v>0</v>
      </c>
      <c r="Y274" s="3">
        <f>0</f>
        <v>0</v>
      </c>
      <c r="Z274" s="3">
        <f t="shared" si="72"/>
        <v>0</v>
      </c>
      <c r="AA274">
        <f>ROUND(IF(FALSE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,0)</f>
        <v>121428</v>
      </c>
    </row>
    <row r="275" spans="1:27">
      <c r="A275" s="30">
        <f>270</f>
        <v>270</v>
      </c>
      <c r="B275" s="31">
        <f>EDATE(入力!$B$6,A275-1)</f>
        <v>54424</v>
      </c>
      <c r="C275" s="32">
        <f t="shared" si="73"/>
        <v>15717674</v>
      </c>
      <c r="D275" s="32">
        <f t="shared" si="74"/>
        <v>0</v>
      </c>
      <c r="E275" s="33">
        <f>IF(AND(T274="",A275&lt;=S274),IF(A275&lt;入力!$B$11,入力!$B$10,入力!$B$12),0)</f>
        <v>2.5000000000000001E-2</v>
      </c>
      <c r="F275" s="32">
        <f t="shared" si="75"/>
        <v>32745</v>
      </c>
      <c r="G275" s="32">
        <f>ROUND(IF(NOT(AND(T274="",A275&lt;=S274)),0,IF(FALSE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),0)</f>
        <v>121428</v>
      </c>
      <c r="H275" s="32">
        <f t="shared" si="76"/>
        <v>121428</v>
      </c>
      <c r="I275" s="32">
        <f t="shared" si="77"/>
        <v>32745</v>
      </c>
      <c r="J275" s="32">
        <f t="shared" si="78"/>
        <v>0</v>
      </c>
      <c r="K275" s="32">
        <f t="shared" si="79"/>
        <v>0</v>
      </c>
      <c r="L275" s="32">
        <f t="shared" si="80"/>
        <v>88683</v>
      </c>
      <c r="M275" s="32">
        <f>0</f>
        <v>0</v>
      </c>
      <c r="N275" s="32">
        <f t="shared" si="81"/>
        <v>15628991</v>
      </c>
      <c r="O275" s="32">
        <f t="shared" si="82"/>
        <v>11530791</v>
      </c>
      <c r="P275" s="34" t="str">
        <f>IF(NOT(AND(T274="",A275&lt;=S274)),"",IF(FALSE,"繰上返済後再計算","")&amp;IF(AND(入力!$B$13="有効",A275&gt;1,MOD(A275-1,60)=0),IF(FALSE,"・","")&amp;"5年見直し","")&amp;IF(AND(A275=入力!$B$11,A275&gt;1),IF(OR(FALSE,AND(入力!$B$13="有効",A275&gt;1,MOD(A275-1,60)=0)),"・","")&amp;"金利変更","")&amp;IF(AND(OR(AND(入力!$B$13="有効",A275&gt;1,MOD(A275-1,60)=0),AND(A275=入力!$B$11,A275&gt;1)),入力!$B$14="有効",IF(E275=0,ROUND(C275/MAX(1,S274-A275+1),0),ROUND(-PMT(E275/12,MAX(1,S274-A275+1),C275),0))&gt;ROUND(G274*1.25,0),NOT(FALSE)),"・上限適用",""))</f>
        <v/>
      </c>
      <c r="Q275" s="35" t="str">
        <f>IF(AND(T274="",A275&lt;=S274),入力!$B$13,"")</f>
        <v>有効</v>
      </c>
      <c r="R275" s="32" t="str">
        <f>IF(AND(AND(T274="",A275&lt;=S274),OR(AND(入力!$B$13="有効",A275&gt;1,MOD(A275-1,60)=0),AND(A275=入力!$B$11,A275&gt;1)),入力!$B$14="有効"),ROUND(G274*1.25,0),"")</f>
        <v/>
      </c>
      <c r="S275" s="36">
        <f t="shared" si="83"/>
        <v>420</v>
      </c>
      <c r="T275" s="35" t="str">
        <f t="shared" si="84"/>
        <v/>
      </c>
      <c r="U275" s="3">
        <f t="shared" si="68"/>
        <v>0</v>
      </c>
      <c r="V275" s="3">
        <f t="shared" si="69"/>
        <v>0</v>
      </c>
      <c r="W275" s="3">
        <f t="shared" si="70"/>
        <v>0</v>
      </c>
      <c r="X275" s="3">
        <f t="shared" si="71"/>
        <v>0</v>
      </c>
      <c r="Y275" s="3">
        <f>0</f>
        <v>0</v>
      </c>
      <c r="Z275" s="3">
        <f t="shared" si="72"/>
        <v>0</v>
      </c>
      <c r="AA275">
        <f>ROUND(IF(FALSE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,0)</f>
        <v>121428</v>
      </c>
    </row>
    <row r="276" spans="1:27">
      <c r="A276" s="30">
        <f>271</f>
        <v>271</v>
      </c>
      <c r="B276" s="31">
        <f>EDATE(入力!$B$6,A276-1)</f>
        <v>54455</v>
      </c>
      <c r="C276" s="32">
        <f t="shared" si="73"/>
        <v>15628991</v>
      </c>
      <c r="D276" s="32">
        <f t="shared" si="74"/>
        <v>0</v>
      </c>
      <c r="E276" s="33">
        <f>IF(AND(T275="",A276&lt;=S275),IF(A276&lt;入力!$B$11,入力!$B$10,入力!$B$12),0)</f>
        <v>2.5000000000000001E-2</v>
      </c>
      <c r="F276" s="32">
        <f t="shared" si="75"/>
        <v>32560</v>
      </c>
      <c r="G276" s="32">
        <f>ROUND(IF(NOT(AND(T275="",A276&lt;=S275)),0,IF(FALSE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),0)</f>
        <v>121428</v>
      </c>
      <c r="H276" s="32">
        <f t="shared" si="76"/>
        <v>121428</v>
      </c>
      <c r="I276" s="32">
        <f t="shared" si="77"/>
        <v>32560</v>
      </c>
      <c r="J276" s="32">
        <f t="shared" si="78"/>
        <v>0</v>
      </c>
      <c r="K276" s="32">
        <f t="shared" si="79"/>
        <v>0</v>
      </c>
      <c r="L276" s="32">
        <f t="shared" si="80"/>
        <v>88868</v>
      </c>
      <c r="M276" s="32">
        <f>0</f>
        <v>0</v>
      </c>
      <c r="N276" s="32">
        <f t="shared" si="81"/>
        <v>15540123</v>
      </c>
      <c r="O276" s="32">
        <f t="shared" si="82"/>
        <v>11563351</v>
      </c>
      <c r="P276" s="34" t="str">
        <f>IF(NOT(AND(T275="",A276&lt;=S275)),"",IF(FALSE,"繰上返済後再計算","")&amp;IF(AND(入力!$B$13="有効",A276&gt;1,MOD(A276-1,60)=0),IF(FALSE,"・","")&amp;"5年見直し","")&amp;IF(AND(A276=入力!$B$11,A276&gt;1),IF(OR(FALSE,AND(入力!$B$13="有効",A276&gt;1,MOD(A276-1,60)=0)),"・","")&amp;"金利変更","")&amp;IF(AND(OR(AND(入力!$B$13="有効",A276&gt;1,MOD(A276-1,60)=0),AND(A276=入力!$B$11,A276&gt;1)),入力!$B$14="有効",IF(E276=0,ROUND(C276/MAX(1,S275-A276+1),0),ROUND(-PMT(E276/12,MAX(1,S275-A276+1),C276),0))&gt;ROUND(G275*1.25,0),NOT(FALSE)),"・上限適用",""))</f>
        <v/>
      </c>
      <c r="Q276" s="35" t="str">
        <f>IF(AND(T275="",A276&lt;=S275),入力!$B$13,"")</f>
        <v>有効</v>
      </c>
      <c r="R276" s="32" t="str">
        <f>IF(AND(AND(T275="",A276&lt;=S275),OR(AND(入力!$B$13="有効",A276&gt;1,MOD(A276-1,60)=0),AND(A276=入力!$B$11,A276&gt;1)),入力!$B$14="有効"),ROUND(G275*1.25,0),"")</f>
        <v/>
      </c>
      <c r="S276" s="36">
        <f t="shared" si="83"/>
        <v>420</v>
      </c>
      <c r="T276" s="35" t="str">
        <f t="shared" si="84"/>
        <v/>
      </c>
      <c r="U276" s="3">
        <f t="shared" si="68"/>
        <v>0</v>
      </c>
      <c r="V276" s="3">
        <f t="shared" si="69"/>
        <v>0</v>
      </c>
      <c r="W276" s="3">
        <f t="shared" si="70"/>
        <v>0</v>
      </c>
      <c r="X276" s="3">
        <f t="shared" si="71"/>
        <v>0</v>
      </c>
      <c r="Y276" s="3">
        <f>0</f>
        <v>0</v>
      </c>
      <c r="Z276" s="3">
        <f t="shared" si="72"/>
        <v>0</v>
      </c>
      <c r="AA276">
        <f>ROUND(IF(FALSE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,0)</f>
        <v>121428</v>
      </c>
    </row>
    <row r="277" spans="1:27">
      <c r="A277" s="30">
        <f>272</f>
        <v>272</v>
      </c>
      <c r="B277" s="31">
        <f>EDATE(入力!$B$6,A277-1)</f>
        <v>54483</v>
      </c>
      <c r="C277" s="32">
        <f t="shared" si="73"/>
        <v>15540123</v>
      </c>
      <c r="D277" s="32">
        <f t="shared" si="74"/>
        <v>0</v>
      </c>
      <c r="E277" s="33">
        <f>IF(AND(T276="",A277&lt;=S276),IF(A277&lt;入力!$B$11,入力!$B$10,入力!$B$12),0)</f>
        <v>2.5000000000000001E-2</v>
      </c>
      <c r="F277" s="32">
        <f t="shared" si="75"/>
        <v>32375</v>
      </c>
      <c r="G277" s="32">
        <f>ROUND(IF(NOT(AND(T276="",A277&lt;=S276)),0,IF(FALSE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),0)</f>
        <v>121428</v>
      </c>
      <c r="H277" s="32">
        <f t="shared" si="76"/>
        <v>121428</v>
      </c>
      <c r="I277" s="32">
        <f t="shared" si="77"/>
        <v>32375</v>
      </c>
      <c r="J277" s="32">
        <f t="shared" si="78"/>
        <v>0</v>
      </c>
      <c r="K277" s="32">
        <f t="shared" si="79"/>
        <v>0</v>
      </c>
      <c r="L277" s="32">
        <f t="shared" si="80"/>
        <v>89053</v>
      </c>
      <c r="M277" s="32">
        <f>0</f>
        <v>0</v>
      </c>
      <c r="N277" s="32">
        <f t="shared" si="81"/>
        <v>15451070</v>
      </c>
      <c r="O277" s="32">
        <f t="shared" si="82"/>
        <v>11595726</v>
      </c>
      <c r="P277" s="34" t="str">
        <f>IF(NOT(AND(T276="",A277&lt;=S276)),"",IF(FALSE,"繰上返済後再計算","")&amp;IF(AND(入力!$B$13="有効",A277&gt;1,MOD(A277-1,60)=0),IF(FALSE,"・","")&amp;"5年見直し","")&amp;IF(AND(A277=入力!$B$11,A277&gt;1),IF(OR(FALSE,AND(入力!$B$13="有効",A277&gt;1,MOD(A277-1,60)=0)),"・","")&amp;"金利変更","")&amp;IF(AND(OR(AND(入力!$B$13="有効",A277&gt;1,MOD(A277-1,60)=0),AND(A277=入力!$B$11,A277&gt;1)),入力!$B$14="有効",IF(E277=0,ROUND(C277/MAX(1,S276-A277+1),0),ROUND(-PMT(E277/12,MAX(1,S276-A277+1),C277),0))&gt;ROUND(G276*1.25,0),NOT(FALSE)),"・上限適用",""))</f>
        <v/>
      </c>
      <c r="Q277" s="35" t="str">
        <f>IF(AND(T276="",A277&lt;=S276),入力!$B$13,"")</f>
        <v>有効</v>
      </c>
      <c r="R277" s="32" t="str">
        <f>IF(AND(AND(T276="",A277&lt;=S276),OR(AND(入力!$B$13="有効",A277&gt;1,MOD(A277-1,60)=0),AND(A277=入力!$B$11,A277&gt;1)),入力!$B$14="有効"),ROUND(G276*1.25,0),"")</f>
        <v/>
      </c>
      <c r="S277" s="36">
        <f t="shared" si="83"/>
        <v>420</v>
      </c>
      <c r="T277" s="35" t="str">
        <f t="shared" si="84"/>
        <v/>
      </c>
      <c r="U277" s="3">
        <f t="shared" si="68"/>
        <v>0</v>
      </c>
      <c r="V277" s="3">
        <f t="shared" si="69"/>
        <v>0</v>
      </c>
      <c r="W277" s="3">
        <f t="shared" si="70"/>
        <v>0</v>
      </c>
      <c r="X277" s="3">
        <f t="shared" si="71"/>
        <v>0</v>
      </c>
      <c r="Y277" s="3">
        <f>0</f>
        <v>0</v>
      </c>
      <c r="Z277" s="3">
        <f t="shared" si="72"/>
        <v>0</v>
      </c>
      <c r="AA277">
        <f>ROUND(IF(FALSE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,0)</f>
        <v>121428</v>
      </c>
    </row>
    <row r="278" spans="1:27">
      <c r="A278" s="30">
        <f>273</f>
        <v>273</v>
      </c>
      <c r="B278" s="31">
        <f>EDATE(入力!$B$6,A278-1)</f>
        <v>54514</v>
      </c>
      <c r="C278" s="32">
        <f t="shared" si="73"/>
        <v>15451070</v>
      </c>
      <c r="D278" s="32">
        <f t="shared" si="74"/>
        <v>0</v>
      </c>
      <c r="E278" s="33">
        <f>IF(AND(T277="",A278&lt;=S277),IF(A278&lt;入力!$B$11,入力!$B$10,入力!$B$12),0)</f>
        <v>2.5000000000000001E-2</v>
      </c>
      <c r="F278" s="32">
        <f t="shared" si="75"/>
        <v>32190</v>
      </c>
      <c r="G278" s="32">
        <f>ROUND(IF(NOT(AND(T277="",A278&lt;=S277)),0,IF(FALSE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),0)</f>
        <v>121428</v>
      </c>
      <c r="H278" s="32">
        <f t="shared" si="76"/>
        <v>121428</v>
      </c>
      <c r="I278" s="32">
        <f t="shared" si="77"/>
        <v>32190</v>
      </c>
      <c r="J278" s="32">
        <f t="shared" si="78"/>
        <v>0</v>
      </c>
      <c r="K278" s="32">
        <f t="shared" si="79"/>
        <v>0</v>
      </c>
      <c r="L278" s="32">
        <f t="shared" si="80"/>
        <v>89238</v>
      </c>
      <c r="M278" s="32">
        <f>0</f>
        <v>0</v>
      </c>
      <c r="N278" s="32">
        <f t="shared" si="81"/>
        <v>15361832</v>
      </c>
      <c r="O278" s="32">
        <f t="shared" si="82"/>
        <v>11627916</v>
      </c>
      <c r="P278" s="34" t="str">
        <f>IF(NOT(AND(T277="",A278&lt;=S277)),"",IF(FALSE,"繰上返済後再計算","")&amp;IF(AND(入力!$B$13="有効",A278&gt;1,MOD(A278-1,60)=0),IF(FALSE,"・","")&amp;"5年見直し","")&amp;IF(AND(A278=入力!$B$11,A278&gt;1),IF(OR(FALSE,AND(入力!$B$13="有効",A278&gt;1,MOD(A278-1,60)=0)),"・","")&amp;"金利変更","")&amp;IF(AND(OR(AND(入力!$B$13="有効",A278&gt;1,MOD(A278-1,60)=0),AND(A278=入力!$B$11,A278&gt;1)),入力!$B$14="有効",IF(E278=0,ROUND(C278/MAX(1,S277-A278+1),0),ROUND(-PMT(E278/12,MAX(1,S277-A278+1),C278),0))&gt;ROUND(G277*1.25,0),NOT(FALSE)),"・上限適用",""))</f>
        <v/>
      </c>
      <c r="Q278" s="35" t="str">
        <f>IF(AND(T277="",A278&lt;=S277),入力!$B$13,"")</f>
        <v>有効</v>
      </c>
      <c r="R278" s="32" t="str">
        <f>IF(AND(AND(T277="",A278&lt;=S277),OR(AND(入力!$B$13="有効",A278&gt;1,MOD(A278-1,60)=0),AND(A278=入力!$B$11,A278&gt;1)),入力!$B$14="有効"),ROUND(G277*1.25,0),"")</f>
        <v/>
      </c>
      <c r="S278" s="36">
        <f t="shared" si="83"/>
        <v>420</v>
      </c>
      <c r="T278" s="35" t="str">
        <f t="shared" si="84"/>
        <v/>
      </c>
      <c r="U278" s="3">
        <f t="shared" si="68"/>
        <v>0</v>
      </c>
      <c r="V278" s="3">
        <f t="shared" si="69"/>
        <v>0</v>
      </c>
      <c r="W278" s="3">
        <f t="shared" si="70"/>
        <v>0</v>
      </c>
      <c r="X278" s="3">
        <f t="shared" si="71"/>
        <v>0</v>
      </c>
      <c r="Y278" s="3">
        <f>0</f>
        <v>0</v>
      </c>
      <c r="Z278" s="3">
        <f t="shared" si="72"/>
        <v>0</v>
      </c>
      <c r="AA278">
        <f>ROUND(IF(FALSE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,0)</f>
        <v>121428</v>
      </c>
    </row>
    <row r="279" spans="1:27">
      <c r="A279" s="30">
        <f>274</f>
        <v>274</v>
      </c>
      <c r="B279" s="31">
        <f>EDATE(入力!$B$6,A279-1)</f>
        <v>54544</v>
      </c>
      <c r="C279" s="32">
        <f t="shared" si="73"/>
        <v>15361832</v>
      </c>
      <c r="D279" s="32">
        <f t="shared" si="74"/>
        <v>0</v>
      </c>
      <c r="E279" s="33">
        <f>IF(AND(T278="",A279&lt;=S278),IF(A279&lt;入力!$B$11,入力!$B$10,入力!$B$12),0)</f>
        <v>2.5000000000000001E-2</v>
      </c>
      <c r="F279" s="32">
        <f t="shared" si="75"/>
        <v>32004</v>
      </c>
      <c r="G279" s="32">
        <f>ROUND(IF(NOT(AND(T278="",A279&lt;=S278)),0,IF(FALSE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),0)</f>
        <v>121428</v>
      </c>
      <c r="H279" s="32">
        <f t="shared" si="76"/>
        <v>121428</v>
      </c>
      <c r="I279" s="32">
        <f t="shared" si="77"/>
        <v>32004</v>
      </c>
      <c r="J279" s="32">
        <f t="shared" si="78"/>
        <v>0</v>
      </c>
      <c r="K279" s="32">
        <f t="shared" si="79"/>
        <v>0</v>
      </c>
      <c r="L279" s="32">
        <f t="shared" si="80"/>
        <v>89424</v>
      </c>
      <c r="M279" s="32">
        <f>0</f>
        <v>0</v>
      </c>
      <c r="N279" s="32">
        <f t="shared" si="81"/>
        <v>15272408</v>
      </c>
      <c r="O279" s="32">
        <f t="shared" si="82"/>
        <v>11659920</v>
      </c>
      <c r="P279" s="34" t="str">
        <f>IF(NOT(AND(T278="",A279&lt;=S278)),"",IF(FALSE,"繰上返済後再計算","")&amp;IF(AND(入力!$B$13="有効",A279&gt;1,MOD(A279-1,60)=0),IF(FALSE,"・","")&amp;"5年見直し","")&amp;IF(AND(A279=入力!$B$11,A279&gt;1),IF(OR(FALSE,AND(入力!$B$13="有効",A279&gt;1,MOD(A279-1,60)=0)),"・","")&amp;"金利変更","")&amp;IF(AND(OR(AND(入力!$B$13="有効",A279&gt;1,MOD(A279-1,60)=0),AND(A279=入力!$B$11,A279&gt;1)),入力!$B$14="有効",IF(E279=0,ROUND(C279/MAX(1,S278-A279+1),0),ROUND(-PMT(E279/12,MAX(1,S278-A279+1),C279),0))&gt;ROUND(G278*1.25,0),NOT(FALSE)),"・上限適用",""))</f>
        <v/>
      </c>
      <c r="Q279" s="35" t="str">
        <f>IF(AND(T278="",A279&lt;=S278),入力!$B$13,"")</f>
        <v>有効</v>
      </c>
      <c r="R279" s="32" t="str">
        <f>IF(AND(AND(T278="",A279&lt;=S278),OR(AND(入力!$B$13="有効",A279&gt;1,MOD(A279-1,60)=0),AND(A279=入力!$B$11,A279&gt;1)),入力!$B$14="有効"),ROUND(G278*1.25,0),"")</f>
        <v/>
      </c>
      <c r="S279" s="36">
        <f t="shared" si="83"/>
        <v>420</v>
      </c>
      <c r="T279" s="35" t="str">
        <f t="shared" si="84"/>
        <v/>
      </c>
      <c r="U279" s="3">
        <f t="shared" si="68"/>
        <v>0</v>
      </c>
      <c r="V279" s="3">
        <f t="shared" si="69"/>
        <v>0</v>
      </c>
      <c r="W279" s="3">
        <f t="shared" si="70"/>
        <v>0</v>
      </c>
      <c r="X279" s="3">
        <f t="shared" si="71"/>
        <v>0</v>
      </c>
      <c r="Y279" s="3">
        <f>0</f>
        <v>0</v>
      </c>
      <c r="Z279" s="3">
        <f t="shared" si="72"/>
        <v>0</v>
      </c>
      <c r="AA279">
        <f>ROUND(IF(FALSE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,0)</f>
        <v>121428</v>
      </c>
    </row>
    <row r="280" spans="1:27">
      <c r="A280" s="30">
        <f>275</f>
        <v>275</v>
      </c>
      <c r="B280" s="31">
        <f>EDATE(入力!$B$6,A280-1)</f>
        <v>54575</v>
      </c>
      <c r="C280" s="32">
        <f t="shared" si="73"/>
        <v>15272408</v>
      </c>
      <c r="D280" s="32">
        <f t="shared" si="74"/>
        <v>0</v>
      </c>
      <c r="E280" s="33">
        <f>IF(AND(T279="",A280&lt;=S279),IF(A280&lt;入力!$B$11,入力!$B$10,入力!$B$12),0)</f>
        <v>2.5000000000000001E-2</v>
      </c>
      <c r="F280" s="32">
        <f t="shared" si="75"/>
        <v>31818</v>
      </c>
      <c r="G280" s="32">
        <f>ROUND(IF(NOT(AND(T279="",A280&lt;=S279)),0,IF(FALSE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),0)</f>
        <v>121428</v>
      </c>
      <c r="H280" s="32">
        <f t="shared" si="76"/>
        <v>121428</v>
      </c>
      <c r="I280" s="32">
        <f t="shared" si="77"/>
        <v>31818</v>
      </c>
      <c r="J280" s="32">
        <f t="shared" si="78"/>
        <v>0</v>
      </c>
      <c r="K280" s="32">
        <f t="shared" si="79"/>
        <v>0</v>
      </c>
      <c r="L280" s="32">
        <f t="shared" si="80"/>
        <v>89610</v>
      </c>
      <c r="M280" s="32">
        <f>0</f>
        <v>0</v>
      </c>
      <c r="N280" s="32">
        <f t="shared" si="81"/>
        <v>15182798</v>
      </c>
      <c r="O280" s="32">
        <f t="shared" si="82"/>
        <v>11691738</v>
      </c>
      <c r="P280" s="34" t="str">
        <f>IF(NOT(AND(T279="",A280&lt;=S279)),"",IF(FALSE,"繰上返済後再計算","")&amp;IF(AND(入力!$B$13="有効",A280&gt;1,MOD(A280-1,60)=0),IF(FALSE,"・","")&amp;"5年見直し","")&amp;IF(AND(A280=入力!$B$11,A280&gt;1),IF(OR(FALSE,AND(入力!$B$13="有効",A280&gt;1,MOD(A280-1,60)=0)),"・","")&amp;"金利変更","")&amp;IF(AND(OR(AND(入力!$B$13="有効",A280&gt;1,MOD(A280-1,60)=0),AND(A280=入力!$B$11,A280&gt;1)),入力!$B$14="有効",IF(E280=0,ROUND(C280/MAX(1,S279-A280+1),0),ROUND(-PMT(E280/12,MAX(1,S279-A280+1),C280),0))&gt;ROUND(G279*1.25,0),NOT(FALSE)),"・上限適用",""))</f>
        <v/>
      </c>
      <c r="Q280" s="35" t="str">
        <f>IF(AND(T279="",A280&lt;=S279),入力!$B$13,"")</f>
        <v>有効</v>
      </c>
      <c r="R280" s="32" t="str">
        <f>IF(AND(AND(T279="",A280&lt;=S279),OR(AND(入力!$B$13="有効",A280&gt;1,MOD(A280-1,60)=0),AND(A280=入力!$B$11,A280&gt;1)),入力!$B$14="有効"),ROUND(G279*1.25,0),"")</f>
        <v/>
      </c>
      <c r="S280" s="36">
        <f t="shared" si="83"/>
        <v>420</v>
      </c>
      <c r="T280" s="35" t="str">
        <f t="shared" si="84"/>
        <v/>
      </c>
      <c r="U280" s="3">
        <f t="shared" si="68"/>
        <v>0</v>
      </c>
      <c r="V280" s="3">
        <f t="shared" si="69"/>
        <v>0</v>
      </c>
      <c r="W280" s="3">
        <f t="shared" si="70"/>
        <v>0</v>
      </c>
      <c r="X280" s="3">
        <f t="shared" si="71"/>
        <v>0</v>
      </c>
      <c r="Y280" s="3">
        <f>0</f>
        <v>0</v>
      </c>
      <c r="Z280" s="3">
        <f t="shared" si="72"/>
        <v>0</v>
      </c>
      <c r="AA280">
        <f>ROUND(IF(FALSE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,0)</f>
        <v>121428</v>
      </c>
    </row>
    <row r="281" spans="1:27">
      <c r="A281" s="30">
        <f>276</f>
        <v>276</v>
      </c>
      <c r="B281" s="31">
        <f>EDATE(入力!$B$6,A281-1)</f>
        <v>54605</v>
      </c>
      <c r="C281" s="32">
        <f t="shared" si="73"/>
        <v>15182798</v>
      </c>
      <c r="D281" s="32">
        <f t="shared" si="74"/>
        <v>0</v>
      </c>
      <c r="E281" s="33">
        <f>IF(AND(T280="",A281&lt;=S280),IF(A281&lt;入力!$B$11,入力!$B$10,入力!$B$12),0)</f>
        <v>2.5000000000000001E-2</v>
      </c>
      <c r="F281" s="32">
        <f t="shared" si="75"/>
        <v>31631</v>
      </c>
      <c r="G281" s="32">
        <f>ROUND(IF(NOT(AND(T280="",A281&lt;=S280)),0,IF(FALSE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),0)</f>
        <v>121428</v>
      </c>
      <c r="H281" s="32">
        <f t="shared" si="76"/>
        <v>121428</v>
      </c>
      <c r="I281" s="32">
        <f t="shared" si="77"/>
        <v>31631</v>
      </c>
      <c r="J281" s="32">
        <f t="shared" si="78"/>
        <v>0</v>
      </c>
      <c r="K281" s="32">
        <f t="shared" si="79"/>
        <v>0</v>
      </c>
      <c r="L281" s="32">
        <f t="shared" si="80"/>
        <v>89797</v>
      </c>
      <c r="M281" s="32">
        <f>0</f>
        <v>0</v>
      </c>
      <c r="N281" s="32">
        <f t="shared" si="81"/>
        <v>15093001</v>
      </c>
      <c r="O281" s="32">
        <f t="shared" si="82"/>
        <v>11723369</v>
      </c>
      <c r="P281" s="34" t="str">
        <f>IF(NOT(AND(T280="",A281&lt;=S280)),"",IF(FALSE,"繰上返済後再計算","")&amp;IF(AND(入力!$B$13="有効",A281&gt;1,MOD(A281-1,60)=0),IF(FALSE,"・","")&amp;"5年見直し","")&amp;IF(AND(A281=入力!$B$11,A281&gt;1),IF(OR(FALSE,AND(入力!$B$13="有効",A281&gt;1,MOD(A281-1,60)=0)),"・","")&amp;"金利変更","")&amp;IF(AND(OR(AND(入力!$B$13="有効",A281&gt;1,MOD(A281-1,60)=0),AND(A281=入力!$B$11,A281&gt;1)),入力!$B$14="有効",IF(E281=0,ROUND(C281/MAX(1,S280-A281+1),0),ROUND(-PMT(E281/12,MAX(1,S280-A281+1),C281),0))&gt;ROUND(G280*1.25,0),NOT(FALSE)),"・上限適用",""))</f>
        <v/>
      </c>
      <c r="Q281" s="35" t="str">
        <f>IF(AND(T280="",A281&lt;=S280),入力!$B$13,"")</f>
        <v>有効</v>
      </c>
      <c r="R281" s="32" t="str">
        <f>IF(AND(AND(T280="",A281&lt;=S280),OR(AND(入力!$B$13="有効",A281&gt;1,MOD(A281-1,60)=0),AND(A281=入力!$B$11,A281&gt;1)),入力!$B$14="有効"),ROUND(G280*1.25,0),"")</f>
        <v/>
      </c>
      <c r="S281" s="36">
        <f t="shared" si="83"/>
        <v>420</v>
      </c>
      <c r="T281" s="35" t="str">
        <f t="shared" si="84"/>
        <v/>
      </c>
      <c r="U281" s="3">
        <f t="shared" si="68"/>
        <v>0</v>
      </c>
      <c r="V281" s="3">
        <f t="shared" si="69"/>
        <v>0</v>
      </c>
      <c r="W281" s="3">
        <f t="shared" si="70"/>
        <v>0</v>
      </c>
      <c r="X281" s="3">
        <f t="shared" si="71"/>
        <v>0</v>
      </c>
      <c r="Y281" s="3">
        <f>0</f>
        <v>0</v>
      </c>
      <c r="Z281" s="3">
        <f t="shared" si="72"/>
        <v>0</v>
      </c>
      <c r="AA281">
        <f>ROUND(IF(FALSE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,0)</f>
        <v>121428</v>
      </c>
    </row>
    <row r="282" spans="1:27">
      <c r="A282" s="30">
        <f>277</f>
        <v>277</v>
      </c>
      <c r="B282" s="31">
        <f>EDATE(入力!$B$6,A282-1)</f>
        <v>54636</v>
      </c>
      <c r="C282" s="32">
        <f t="shared" si="73"/>
        <v>15093001</v>
      </c>
      <c r="D282" s="32">
        <f t="shared" si="74"/>
        <v>0</v>
      </c>
      <c r="E282" s="33">
        <f>IF(AND(T281="",A282&lt;=S281),IF(A282&lt;入力!$B$11,入力!$B$10,入力!$B$12),0)</f>
        <v>2.5000000000000001E-2</v>
      </c>
      <c r="F282" s="32">
        <f t="shared" si="75"/>
        <v>31444</v>
      </c>
      <c r="G282" s="32">
        <f>ROUND(IF(NOT(AND(T281="",A282&lt;=S281)),0,IF(FALSE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),0)</f>
        <v>121428</v>
      </c>
      <c r="H282" s="32">
        <f t="shared" si="76"/>
        <v>121428</v>
      </c>
      <c r="I282" s="32">
        <f t="shared" si="77"/>
        <v>31444</v>
      </c>
      <c r="J282" s="32">
        <f t="shared" si="78"/>
        <v>0</v>
      </c>
      <c r="K282" s="32">
        <f t="shared" si="79"/>
        <v>0</v>
      </c>
      <c r="L282" s="32">
        <f t="shared" si="80"/>
        <v>89984</v>
      </c>
      <c r="M282" s="32">
        <f>0</f>
        <v>0</v>
      </c>
      <c r="N282" s="32">
        <f t="shared" si="81"/>
        <v>15003017</v>
      </c>
      <c r="O282" s="32">
        <f t="shared" si="82"/>
        <v>11754813</v>
      </c>
      <c r="P282" s="34" t="str">
        <f>IF(NOT(AND(T281="",A282&lt;=S281)),"",IF(FALSE,"繰上返済後再計算","")&amp;IF(AND(入力!$B$13="有効",A282&gt;1,MOD(A282-1,60)=0),IF(FALSE,"・","")&amp;"5年見直し","")&amp;IF(AND(A282=入力!$B$11,A282&gt;1),IF(OR(FALSE,AND(入力!$B$13="有効",A282&gt;1,MOD(A282-1,60)=0)),"・","")&amp;"金利変更","")&amp;IF(AND(OR(AND(入力!$B$13="有効",A282&gt;1,MOD(A282-1,60)=0),AND(A282=入力!$B$11,A282&gt;1)),入力!$B$14="有効",IF(E282=0,ROUND(C282/MAX(1,S281-A282+1),0),ROUND(-PMT(E282/12,MAX(1,S281-A282+1),C282),0))&gt;ROUND(G281*1.25,0),NOT(FALSE)),"・上限適用",""))</f>
        <v/>
      </c>
      <c r="Q282" s="35" t="str">
        <f>IF(AND(T281="",A282&lt;=S281),入力!$B$13,"")</f>
        <v>有効</v>
      </c>
      <c r="R282" s="32" t="str">
        <f>IF(AND(AND(T281="",A282&lt;=S281),OR(AND(入力!$B$13="有効",A282&gt;1,MOD(A282-1,60)=0),AND(A282=入力!$B$11,A282&gt;1)),入力!$B$14="有効"),ROUND(G281*1.25,0),"")</f>
        <v/>
      </c>
      <c r="S282" s="36">
        <f t="shared" si="83"/>
        <v>420</v>
      </c>
      <c r="T282" s="35" t="str">
        <f t="shared" si="84"/>
        <v/>
      </c>
      <c r="U282" s="3">
        <f t="shared" si="68"/>
        <v>0</v>
      </c>
      <c r="V282" s="3">
        <f t="shared" si="69"/>
        <v>0</v>
      </c>
      <c r="W282" s="3">
        <f t="shared" si="70"/>
        <v>0</v>
      </c>
      <c r="X282" s="3">
        <f t="shared" si="71"/>
        <v>0</v>
      </c>
      <c r="Y282" s="3">
        <f>0</f>
        <v>0</v>
      </c>
      <c r="Z282" s="3">
        <f t="shared" si="72"/>
        <v>0</v>
      </c>
      <c r="AA282">
        <f>ROUND(IF(FALSE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,0)</f>
        <v>121428</v>
      </c>
    </row>
    <row r="283" spans="1:27">
      <c r="A283" s="30">
        <f>278</f>
        <v>278</v>
      </c>
      <c r="B283" s="31">
        <f>EDATE(入力!$B$6,A283-1)</f>
        <v>54667</v>
      </c>
      <c r="C283" s="32">
        <f t="shared" si="73"/>
        <v>15003017</v>
      </c>
      <c r="D283" s="32">
        <f t="shared" si="74"/>
        <v>0</v>
      </c>
      <c r="E283" s="33">
        <f>IF(AND(T282="",A283&lt;=S282),IF(A283&lt;入力!$B$11,入力!$B$10,入力!$B$12),0)</f>
        <v>2.5000000000000001E-2</v>
      </c>
      <c r="F283" s="32">
        <f t="shared" si="75"/>
        <v>31256</v>
      </c>
      <c r="G283" s="32">
        <f>ROUND(IF(NOT(AND(T282="",A283&lt;=S282)),0,IF(FALSE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),0)</f>
        <v>121428</v>
      </c>
      <c r="H283" s="32">
        <f t="shared" si="76"/>
        <v>121428</v>
      </c>
      <c r="I283" s="32">
        <f t="shared" si="77"/>
        <v>31256</v>
      </c>
      <c r="J283" s="32">
        <f t="shared" si="78"/>
        <v>0</v>
      </c>
      <c r="K283" s="32">
        <f t="shared" si="79"/>
        <v>0</v>
      </c>
      <c r="L283" s="32">
        <f t="shared" si="80"/>
        <v>90172</v>
      </c>
      <c r="M283" s="32">
        <f>0</f>
        <v>0</v>
      </c>
      <c r="N283" s="32">
        <f t="shared" si="81"/>
        <v>14912845</v>
      </c>
      <c r="O283" s="32">
        <f t="shared" si="82"/>
        <v>11786069</v>
      </c>
      <c r="P283" s="34" t="str">
        <f>IF(NOT(AND(T282="",A283&lt;=S282)),"",IF(FALSE,"繰上返済後再計算","")&amp;IF(AND(入力!$B$13="有効",A283&gt;1,MOD(A283-1,60)=0),IF(FALSE,"・","")&amp;"5年見直し","")&amp;IF(AND(A283=入力!$B$11,A283&gt;1),IF(OR(FALSE,AND(入力!$B$13="有効",A283&gt;1,MOD(A283-1,60)=0)),"・","")&amp;"金利変更","")&amp;IF(AND(OR(AND(入力!$B$13="有効",A283&gt;1,MOD(A283-1,60)=0),AND(A283=入力!$B$11,A283&gt;1)),入力!$B$14="有効",IF(E283=0,ROUND(C283/MAX(1,S282-A283+1),0),ROUND(-PMT(E283/12,MAX(1,S282-A283+1),C283),0))&gt;ROUND(G282*1.25,0),NOT(FALSE)),"・上限適用",""))</f>
        <v/>
      </c>
      <c r="Q283" s="35" t="str">
        <f>IF(AND(T282="",A283&lt;=S282),入力!$B$13,"")</f>
        <v>有効</v>
      </c>
      <c r="R283" s="32" t="str">
        <f>IF(AND(AND(T282="",A283&lt;=S282),OR(AND(入力!$B$13="有効",A283&gt;1,MOD(A283-1,60)=0),AND(A283=入力!$B$11,A283&gt;1)),入力!$B$14="有効"),ROUND(G282*1.25,0),"")</f>
        <v/>
      </c>
      <c r="S283" s="36">
        <f t="shared" si="83"/>
        <v>420</v>
      </c>
      <c r="T283" s="35" t="str">
        <f t="shared" si="84"/>
        <v/>
      </c>
      <c r="U283" s="3">
        <f t="shared" si="68"/>
        <v>0</v>
      </c>
      <c r="V283" s="3">
        <f t="shared" si="69"/>
        <v>0</v>
      </c>
      <c r="W283" s="3">
        <f t="shared" si="70"/>
        <v>0</v>
      </c>
      <c r="X283" s="3">
        <f t="shared" si="71"/>
        <v>0</v>
      </c>
      <c r="Y283" s="3">
        <f>0</f>
        <v>0</v>
      </c>
      <c r="Z283" s="3">
        <f t="shared" si="72"/>
        <v>0</v>
      </c>
      <c r="AA283">
        <f>ROUND(IF(FALSE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,0)</f>
        <v>121428</v>
      </c>
    </row>
    <row r="284" spans="1:27">
      <c r="A284" s="30">
        <f>279</f>
        <v>279</v>
      </c>
      <c r="B284" s="31">
        <f>EDATE(入力!$B$6,A284-1)</f>
        <v>54697</v>
      </c>
      <c r="C284" s="32">
        <f t="shared" si="73"/>
        <v>14912845</v>
      </c>
      <c r="D284" s="32">
        <f t="shared" si="74"/>
        <v>0</v>
      </c>
      <c r="E284" s="33">
        <f>IF(AND(T283="",A284&lt;=S283),IF(A284&lt;入力!$B$11,入力!$B$10,入力!$B$12),0)</f>
        <v>2.5000000000000001E-2</v>
      </c>
      <c r="F284" s="32">
        <f t="shared" si="75"/>
        <v>31068</v>
      </c>
      <c r="G284" s="32">
        <f>ROUND(IF(NOT(AND(T283="",A284&lt;=S283)),0,IF(FALSE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),0)</f>
        <v>121428</v>
      </c>
      <c r="H284" s="32">
        <f t="shared" si="76"/>
        <v>121428</v>
      </c>
      <c r="I284" s="32">
        <f t="shared" si="77"/>
        <v>31068</v>
      </c>
      <c r="J284" s="32">
        <f t="shared" si="78"/>
        <v>0</v>
      </c>
      <c r="K284" s="32">
        <f t="shared" si="79"/>
        <v>0</v>
      </c>
      <c r="L284" s="32">
        <f t="shared" si="80"/>
        <v>90360</v>
      </c>
      <c r="M284" s="32">
        <f>0</f>
        <v>0</v>
      </c>
      <c r="N284" s="32">
        <f t="shared" si="81"/>
        <v>14822485</v>
      </c>
      <c r="O284" s="32">
        <f t="shared" si="82"/>
        <v>11817137</v>
      </c>
      <c r="P284" s="34" t="str">
        <f>IF(NOT(AND(T283="",A284&lt;=S283)),"",IF(FALSE,"繰上返済後再計算","")&amp;IF(AND(入力!$B$13="有効",A284&gt;1,MOD(A284-1,60)=0),IF(FALSE,"・","")&amp;"5年見直し","")&amp;IF(AND(A284=入力!$B$11,A284&gt;1),IF(OR(FALSE,AND(入力!$B$13="有効",A284&gt;1,MOD(A284-1,60)=0)),"・","")&amp;"金利変更","")&amp;IF(AND(OR(AND(入力!$B$13="有効",A284&gt;1,MOD(A284-1,60)=0),AND(A284=入力!$B$11,A284&gt;1)),入力!$B$14="有効",IF(E284=0,ROUND(C284/MAX(1,S283-A284+1),0),ROUND(-PMT(E284/12,MAX(1,S283-A284+1),C284),0))&gt;ROUND(G283*1.25,0),NOT(FALSE)),"・上限適用",""))</f>
        <v/>
      </c>
      <c r="Q284" s="35" t="str">
        <f>IF(AND(T283="",A284&lt;=S283),入力!$B$13,"")</f>
        <v>有効</v>
      </c>
      <c r="R284" s="32" t="str">
        <f>IF(AND(AND(T283="",A284&lt;=S283),OR(AND(入力!$B$13="有効",A284&gt;1,MOD(A284-1,60)=0),AND(A284=入力!$B$11,A284&gt;1)),入力!$B$14="有効"),ROUND(G283*1.25,0),"")</f>
        <v/>
      </c>
      <c r="S284" s="36">
        <f t="shared" si="83"/>
        <v>420</v>
      </c>
      <c r="T284" s="35" t="str">
        <f t="shared" si="84"/>
        <v/>
      </c>
      <c r="U284" s="3">
        <f t="shared" si="68"/>
        <v>0</v>
      </c>
      <c r="V284" s="3">
        <f t="shared" si="69"/>
        <v>0</v>
      </c>
      <c r="W284" s="3">
        <f t="shared" si="70"/>
        <v>0</v>
      </c>
      <c r="X284" s="3">
        <f t="shared" si="71"/>
        <v>0</v>
      </c>
      <c r="Y284" s="3">
        <f>0</f>
        <v>0</v>
      </c>
      <c r="Z284" s="3">
        <f t="shared" si="72"/>
        <v>0</v>
      </c>
      <c r="AA284">
        <f>ROUND(IF(FALSE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,0)</f>
        <v>121428</v>
      </c>
    </row>
    <row r="285" spans="1:27">
      <c r="A285" s="30">
        <f>280</f>
        <v>280</v>
      </c>
      <c r="B285" s="31">
        <f>EDATE(入力!$B$6,A285-1)</f>
        <v>54728</v>
      </c>
      <c r="C285" s="32">
        <f t="shared" si="73"/>
        <v>14822485</v>
      </c>
      <c r="D285" s="32">
        <f t="shared" si="74"/>
        <v>0</v>
      </c>
      <c r="E285" s="33">
        <f>IF(AND(T284="",A285&lt;=S284),IF(A285&lt;入力!$B$11,入力!$B$10,入力!$B$12),0)</f>
        <v>2.5000000000000001E-2</v>
      </c>
      <c r="F285" s="32">
        <f t="shared" si="75"/>
        <v>30880</v>
      </c>
      <c r="G285" s="32">
        <f>ROUND(IF(NOT(AND(T284="",A285&lt;=S284)),0,IF(FALSE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),0)</f>
        <v>121428</v>
      </c>
      <c r="H285" s="32">
        <f t="shared" si="76"/>
        <v>121428</v>
      </c>
      <c r="I285" s="32">
        <f t="shared" si="77"/>
        <v>30880</v>
      </c>
      <c r="J285" s="32">
        <f t="shared" si="78"/>
        <v>0</v>
      </c>
      <c r="K285" s="32">
        <f t="shared" si="79"/>
        <v>0</v>
      </c>
      <c r="L285" s="32">
        <f t="shared" si="80"/>
        <v>90548</v>
      </c>
      <c r="M285" s="32">
        <f>0</f>
        <v>0</v>
      </c>
      <c r="N285" s="32">
        <f t="shared" si="81"/>
        <v>14731937</v>
      </c>
      <c r="O285" s="32">
        <f t="shared" si="82"/>
        <v>11848017</v>
      </c>
      <c r="P285" s="34" t="str">
        <f>IF(NOT(AND(T284="",A285&lt;=S284)),"",IF(FALSE,"繰上返済後再計算","")&amp;IF(AND(入力!$B$13="有効",A285&gt;1,MOD(A285-1,60)=0),IF(FALSE,"・","")&amp;"5年見直し","")&amp;IF(AND(A285=入力!$B$11,A285&gt;1),IF(OR(FALSE,AND(入力!$B$13="有効",A285&gt;1,MOD(A285-1,60)=0)),"・","")&amp;"金利変更","")&amp;IF(AND(OR(AND(入力!$B$13="有効",A285&gt;1,MOD(A285-1,60)=0),AND(A285=入力!$B$11,A285&gt;1)),入力!$B$14="有効",IF(E285=0,ROUND(C285/MAX(1,S284-A285+1),0),ROUND(-PMT(E285/12,MAX(1,S284-A285+1),C285),0))&gt;ROUND(G284*1.25,0),NOT(FALSE)),"・上限適用",""))</f>
        <v/>
      </c>
      <c r="Q285" s="35" t="str">
        <f>IF(AND(T284="",A285&lt;=S284),入力!$B$13,"")</f>
        <v>有効</v>
      </c>
      <c r="R285" s="32" t="str">
        <f>IF(AND(AND(T284="",A285&lt;=S284),OR(AND(入力!$B$13="有効",A285&gt;1,MOD(A285-1,60)=0),AND(A285=入力!$B$11,A285&gt;1)),入力!$B$14="有効"),ROUND(G284*1.25,0),"")</f>
        <v/>
      </c>
      <c r="S285" s="36">
        <f t="shared" si="83"/>
        <v>420</v>
      </c>
      <c r="T285" s="35" t="str">
        <f t="shared" si="84"/>
        <v/>
      </c>
      <c r="U285" s="3">
        <f t="shared" si="68"/>
        <v>0</v>
      </c>
      <c r="V285" s="3">
        <f t="shared" si="69"/>
        <v>0</v>
      </c>
      <c r="W285" s="3">
        <f t="shared" si="70"/>
        <v>0</v>
      </c>
      <c r="X285" s="3">
        <f t="shared" si="71"/>
        <v>0</v>
      </c>
      <c r="Y285" s="3">
        <f>0</f>
        <v>0</v>
      </c>
      <c r="Z285" s="3">
        <f t="shared" si="72"/>
        <v>0</v>
      </c>
      <c r="AA285">
        <f>ROUND(IF(FALSE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,0)</f>
        <v>121428</v>
      </c>
    </row>
    <row r="286" spans="1:27">
      <c r="A286" s="30">
        <f>281</f>
        <v>281</v>
      </c>
      <c r="B286" s="31">
        <f>EDATE(入力!$B$6,A286-1)</f>
        <v>54758</v>
      </c>
      <c r="C286" s="32">
        <f t="shared" si="73"/>
        <v>14731937</v>
      </c>
      <c r="D286" s="32">
        <f t="shared" si="74"/>
        <v>0</v>
      </c>
      <c r="E286" s="33">
        <f>IF(AND(T285="",A286&lt;=S285),IF(A286&lt;入力!$B$11,入力!$B$10,入力!$B$12),0)</f>
        <v>2.5000000000000001E-2</v>
      </c>
      <c r="F286" s="32">
        <f t="shared" si="75"/>
        <v>30692</v>
      </c>
      <c r="G286" s="32">
        <f>ROUND(IF(NOT(AND(T285="",A286&lt;=S285)),0,IF(FALSE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),0)</f>
        <v>121428</v>
      </c>
      <c r="H286" s="32">
        <f t="shared" si="76"/>
        <v>121428</v>
      </c>
      <c r="I286" s="32">
        <f t="shared" si="77"/>
        <v>30692</v>
      </c>
      <c r="J286" s="32">
        <f t="shared" si="78"/>
        <v>0</v>
      </c>
      <c r="K286" s="32">
        <f t="shared" si="79"/>
        <v>0</v>
      </c>
      <c r="L286" s="32">
        <f t="shared" si="80"/>
        <v>90736</v>
      </c>
      <c r="M286" s="32">
        <f>0</f>
        <v>0</v>
      </c>
      <c r="N286" s="32">
        <f t="shared" si="81"/>
        <v>14641201</v>
      </c>
      <c r="O286" s="32">
        <f t="shared" si="82"/>
        <v>11878709</v>
      </c>
      <c r="P286" s="34" t="str">
        <f>IF(NOT(AND(T285="",A286&lt;=S285)),"",IF(FALSE,"繰上返済後再計算","")&amp;IF(AND(入力!$B$13="有効",A286&gt;1,MOD(A286-1,60)=0),IF(FALSE,"・","")&amp;"5年見直し","")&amp;IF(AND(A286=入力!$B$11,A286&gt;1),IF(OR(FALSE,AND(入力!$B$13="有効",A286&gt;1,MOD(A286-1,60)=0)),"・","")&amp;"金利変更","")&amp;IF(AND(OR(AND(入力!$B$13="有効",A286&gt;1,MOD(A286-1,60)=0),AND(A286=入力!$B$11,A286&gt;1)),入力!$B$14="有効",IF(E286=0,ROUND(C286/MAX(1,S285-A286+1),0),ROUND(-PMT(E286/12,MAX(1,S285-A286+1),C286),0))&gt;ROUND(G285*1.25,0),NOT(FALSE)),"・上限適用",""))</f>
        <v/>
      </c>
      <c r="Q286" s="35" t="str">
        <f>IF(AND(T285="",A286&lt;=S285),入力!$B$13,"")</f>
        <v>有効</v>
      </c>
      <c r="R286" s="32" t="str">
        <f>IF(AND(AND(T285="",A286&lt;=S285),OR(AND(入力!$B$13="有効",A286&gt;1,MOD(A286-1,60)=0),AND(A286=入力!$B$11,A286&gt;1)),入力!$B$14="有効"),ROUND(G285*1.25,0),"")</f>
        <v/>
      </c>
      <c r="S286" s="36">
        <f t="shared" si="83"/>
        <v>420</v>
      </c>
      <c r="T286" s="35" t="str">
        <f t="shared" si="84"/>
        <v/>
      </c>
      <c r="U286" s="3">
        <f t="shared" si="68"/>
        <v>0</v>
      </c>
      <c r="V286" s="3">
        <f t="shared" si="69"/>
        <v>0</v>
      </c>
      <c r="W286" s="3">
        <f t="shared" si="70"/>
        <v>0</v>
      </c>
      <c r="X286" s="3">
        <f t="shared" si="71"/>
        <v>0</v>
      </c>
      <c r="Y286" s="3">
        <f>0</f>
        <v>0</v>
      </c>
      <c r="Z286" s="3">
        <f t="shared" si="72"/>
        <v>0</v>
      </c>
      <c r="AA286">
        <f>ROUND(IF(FALSE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,0)</f>
        <v>121428</v>
      </c>
    </row>
    <row r="287" spans="1:27">
      <c r="A287" s="30">
        <f>282</f>
        <v>282</v>
      </c>
      <c r="B287" s="31">
        <f>EDATE(入力!$B$6,A287-1)</f>
        <v>54789</v>
      </c>
      <c r="C287" s="32">
        <f t="shared" si="73"/>
        <v>14641201</v>
      </c>
      <c r="D287" s="32">
        <f t="shared" si="74"/>
        <v>0</v>
      </c>
      <c r="E287" s="33">
        <f>IF(AND(T286="",A287&lt;=S286),IF(A287&lt;入力!$B$11,入力!$B$10,入力!$B$12),0)</f>
        <v>2.5000000000000001E-2</v>
      </c>
      <c r="F287" s="32">
        <f t="shared" si="75"/>
        <v>30503</v>
      </c>
      <c r="G287" s="32">
        <f>ROUND(IF(NOT(AND(T286="",A287&lt;=S286)),0,IF(FALSE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),0)</f>
        <v>121428</v>
      </c>
      <c r="H287" s="32">
        <f t="shared" si="76"/>
        <v>121428</v>
      </c>
      <c r="I287" s="32">
        <f t="shared" si="77"/>
        <v>30503</v>
      </c>
      <c r="J287" s="32">
        <f t="shared" si="78"/>
        <v>0</v>
      </c>
      <c r="K287" s="32">
        <f t="shared" si="79"/>
        <v>0</v>
      </c>
      <c r="L287" s="32">
        <f t="shared" si="80"/>
        <v>90925</v>
      </c>
      <c r="M287" s="32">
        <f>0</f>
        <v>0</v>
      </c>
      <c r="N287" s="32">
        <f t="shared" si="81"/>
        <v>14550276</v>
      </c>
      <c r="O287" s="32">
        <f t="shared" si="82"/>
        <v>11909212</v>
      </c>
      <c r="P287" s="34" t="str">
        <f>IF(NOT(AND(T286="",A287&lt;=S286)),"",IF(FALSE,"繰上返済後再計算","")&amp;IF(AND(入力!$B$13="有効",A287&gt;1,MOD(A287-1,60)=0),IF(FALSE,"・","")&amp;"5年見直し","")&amp;IF(AND(A287=入力!$B$11,A287&gt;1),IF(OR(FALSE,AND(入力!$B$13="有効",A287&gt;1,MOD(A287-1,60)=0)),"・","")&amp;"金利変更","")&amp;IF(AND(OR(AND(入力!$B$13="有効",A287&gt;1,MOD(A287-1,60)=0),AND(A287=入力!$B$11,A287&gt;1)),入力!$B$14="有効",IF(E287=0,ROUND(C287/MAX(1,S286-A287+1),0),ROUND(-PMT(E287/12,MAX(1,S286-A287+1),C287),0))&gt;ROUND(G286*1.25,0),NOT(FALSE)),"・上限適用",""))</f>
        <v/>
      </c>
      <c r="Q287" s="35" t="str">
        <f>IF(AND(T286="",A287&lt;=S286),入力!$B$13,"")</f>
        <v>有効</v>
      </c>
      <c r="R287" s="32" t="str">
        <f>IF(AND(AND(T286="",A287&lt;=S286),OR(AND(入力!$B$13="有効",A287&gt;1,MOD(A287-1,60)=0),AND(A287=入力!$B$11,A287&gt;1)),入力!$B$14="有効"),ROUND(G286*1.25,0),"")</f>
        <v/>
      </c>
      <c r="S287" s="36">
        <f t="shared" si="83"/>
        <v>420</v>
      </c>
      <c r="T287" s="35" t="str">
        <f t="shared" si="84"/>
        <v/>
      </c>
      <c r="U287" s="3">
        <f t="shared" si="68"/>
        <v>0</v>
      </c>
      <c r="V287" s="3">
        <f t="shared" si="69"/>
        <v>0</v>
      </c>
      <c r="W287" s="3">
        <f t="shared" si="70"/>
        <v>0</v>
      </c>
      <c r="X287" s="3">
        <f t="shared" si="71"/>
        <v>0</v>
      </c>
      <c r="Y287" s="3">
        <f>0</f>
        <v>0</v>
      </c>
      <c r="Z287" s="3">
        <f t="shared" si="72"/>
        <v>0</v>
      </c>
      <c r="AA287">
        <f>ROUND(IF(FALSE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,0)</f>
        <v>121428</v>
      </c>
    </row>
    <row r="288" spans="1:27">
      <c r="A288" s="30">
        <f>283</f>
        <v>283</v>
      </c>
      <c r="B288" s="31">
        <f>EDATE(入力!$B$6,A288-1)</f>
        <v>54820</v>
      </c>
      <c r="C288" s="32">
        <f t="shared" si="73"/>
        <v>14550276</v>
      </c>
      <c r="D288" s="32">
        <f t="shared" si="74"/>
        <v>0</v>
      </c>
      <c r="E288" s="33">
        <f>IF(AND(T287="",A288&lt;=S287),IF(A288&lt;入力!$B$11,入力!$B$10,入力!$B$12),0)</f>
        <v>2.5000000000000001E-2</v>
      </c>
      <c r="F288" s="32">
        <f t="shared" si="75"/>
        <v>30313</v>
      </c>
      <c r="G288" s="32">
        <f>ROUND(IF(NOT(AND(T287="",A288&lt;=S287)),0,IF(FALSE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),0)</f>
        <v>121428</v>
      </c>
      <c r="H288" s="32">
        <f t="shared" si="76"/>
        <v>121428</v>
      </c>
      <c r="I288" s="32">
        <f t="shared" si="77"/>
        <v>30313</v>
      </c>
      <c r="J288" s="32">
        <f t="shared" si="78"/>
        <v>0</v>
      </c>
      <c r="K288" s="32">
        <f t="shared" si="79"/>
        <v>0</v>
      </c>
      <c r="L288" s="32">
        <f t="shared" si="80"/>
        <v>91115</v>
      </c>
      <c r="M288" s="32">
        <f>0</f>
        <v>0</v>
      </c>
      <c r="N288" s="32">
        <f t="shared" si="81"/>
        <v>14459161</v>
      </c>
      <c r="O288" s="32">
        <f t="shared" si="82"/>
        <v>11939525</v>
      </c>
      <c r="P288" s="34" t="str">
        <f>IF(NOT(AND(T287="",A288&lt;=S287)),"",IF(FALSE,"繰上返済後再計算","")&amp;IF(AND(入力!$B$13="有効",A288&gt;1,MOD(A288-1,60)=0),IF(FALSE,"・","")&amp;"5年見直し","")&amp;IF(AND(A288=入力!$B$11,A288&gt;1),IF(OR(FALSE,AND(入力!$B$13="有効",A288&gt;1,MOD(A288-1,60)=0)),"・","")&amp;"金利変更","")&amp;IF(AND(OR(AND(入力!$B$13="有効",A288&gt;1,MOD(A288-1,60)=0),AND(A288=入力!$B$11,A288&gt;1)),入力!$B$14="有効",IF(E288=0,ROUND(C288/MAX(1,S287-A288+1),0),ROUND(-PMT(E288/12,MAX(1,S287-A288+1),C288),0))&gt;ROUND(G287*1.25,0),NOT(FALSE)),"・上限適用",""))</f>
        <v/>
      </c>
      <c r="Q288" s="35" t="str">
        <f>IF(AND(T287="",A288&lt;=S287),入力!$B$13,"")</f>
        <v>有効</v>
      </c>
      <c r="R288" s="32" t="str">
        <f>IF(AND(AND(T287="",A288&lt;=S287),OR(AND(入力!$B$13="有効",A288&gt;1,MOD(A288-1,60)=0),AND(A288=入力!$B$11,A288&gt;1)),入力!$B$14="有効"),ROUND(G287*1.25,0),"")</f>
        <v/>
      </c>
      <c r="S288" s="36">
        <f t="shared" si="83"/>
        <v>420</v>
      </c>
      <c r="T288" s="35" t="str">
        <f t="shared" si="84"/>
        <v/>
      </c>
      <c r="U288" s="3">
        <f t="shared" si="68"/>
        <v>0</v>
      </c>
      <c r="V288" s="3">
        <f t="shared" si="69"/>
        <v>0</v>
      </c>
      <c r="W288" s="3">
        <f t="shared" si="70"/>
        <v>0</v>
      </c>
      <c r="X288" s="3">
        <f t="shared" si="71"/>
        <v>0</v>
      </c>
      <c r="Y288" s="3">
        <f>0</f>
        <v>0</v>
      </c>
      <c r="Z288" s="3">
        <f t="shared" si="72"/>
        <v>0</v>
      </c>
      <c r="AA288">
        <f>ROUND(IF(FALSE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,0)</f>
        <v>121428</v>
      </c>
    </row>
    <row r="289" spans="1:27">
      <c r="A289" s="30">
        <f>284</f>
        <v>284</v>
      </c>
      <c r="B289" s="31">
        <f>EDATE(入力!$B$6,A289-1)</f>
        <v>54848</v>
      </c>
      <c r="C289" s="32">
        <f t="shared" si="73"/>
        <v>14459161</v>
      </c>
      <c r="D289" s="32">
        <f t="shared" si="74"/>
        <v>0</v>
      </c>
      <c r="E289" s="33">
        <f>IF(AND(T288="",A289&lt;=S288),IF(A289&lt;入力!$B$11,入力!$B$10,入力!$B$12),0)</f>
        <v>2.5000000000000001E-2</v>
      </c>
      <c r="F289" s="32">
        <f t="shared" si="75"/>
        <v>30123</v>
      </c>
      <c r="G289" s="32">
        <f>ROUND(IF(NOT(AND(T288="",A289&lt;=S288)),0,IF(FALSE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),0)</f>
        <v>121428</v>
      </c>
      <c r="H289" s="32">
        <f t="shared" si="76"/>
        <v>121428</v>
      </c>
      <c r="I289" s="32">
        <f t="shared" si="77"/>
        <v>30123</v>
      </c>
      <c r="J289" s="32">
        <f t="shared" si="78"/>
        <v>0</v>
      </c>
      <c r="K289" s="32">
        <f t="shared" si="79"/>
        <v>0</v>
      </c>
      <c r="L289" s="32">
        <f t="shared" si="80"/>
        <v>91305</v>
      </c>
      <c r="M289" s="32">
        <f>0</f>
        <v>0</v>
      </c>
      <c r="N289" s="32">
        <f t="shared" si="81"/>
        <v>14367856</v>
      </c>
      <c r="O289" s="32">
        <f t="shared" si="82"/>
        <v>11969648</v>
      </c>
      <c r="P289" s="34" t="str">
        <f>IF(NOT(AND(T288="",A289&lt;=S288)),"",IF(FALSE,"繰上返済後再計算","")&amp;IF(AND(入力!$B$13="有効",A289&gt;1,MOD(A289-1,60)=0),IF(FALSE,"・","")&amp;"5年見直し","")&amp;IF(AND(A289=入力!$B$11,A289&gt;1),IF(OR(FALSE,AND(入力!$B$13="有効",A289&gt;1,MOD(A289-1,60)=0)),"・","")&amp;"金利変更","")&amp;IF(AND(OR(AND(入力!$B$13="有効",A289&gt;1,MOD(A289-1,60)=0),AND(A289=入力!$B$11,A289&gt;1)),入力!$B$14="有効",IF(E289=0,ROUND(C289/MAX(1,S288-A289+1),0),ROUND(-PMT(E289/12,MAX(1,S288-A289+1),C289),0))&gt;ROUND(G288*1.25,0),NOT(FALSE)),"・上限適用",""))</f>
        <v/>
      </c>
      <c r="Q289" s="35" t="str">
        <f>IF(AND(T288="",A289&lt;=S288),入力!$B$13,"")</f>
        <v>有効</v>
      </c>
      <c r="R289" s="32" t="str">
        <f>IF(AND(AND(T288="",A289&lt;=S288),OR(AND(入力!$B$13="有効",A289&gt;1,MOD(A289-1,60)=0),AND(A289=入力!$B$11,A289&gt;1)),入力!$B$14="有効"),ROUND(G288*1.25,0),"")</f>
        <v/>
      </c>
      <c r="S289" s="36">
        <f t="shared" si="83"/>
        <v>420</v>
      </c>
      <c r="T289" s="35" t="str">
        <f t="shared" si="84"/>
        <v/>
      </c>
      <c r="U289" s="3">
        <f t="shared" si="68"/>
        <v>0</v>
      </c>
      <c r="V289" s="3">
        <f t="shared" si="69"/>
        <v>0</v>
      </c>
      <c r="W289" s="3">
        <f t="shared" si="70"/>
        <v>0</v>
      </c>
      <c r="X289" s="3">
        <f t="shared" si="71"/>
        <v>0</v>
      </c>
      <c r="Y289" s="3">
        <f>0</f>
        <v>0</v>
      </c>
      <c r="Z289" s="3">
        <f t="shared" si="72"/>
        <v>0</v>
      </c>
      <c r="AA289">
        <f>ROUND(IF(FALSE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,0)</f>
        <v>121428</v>
      </c>
    </row>
    <row r="290" spans="1:27">
      <c r="A290" s="30">
        <f>285</f>
        <v>285</v>
      </c>
      <c r="B290" s="31">
        <f>EDATE(入力!$B$6,A290-1)</f>
        <v>54879</v>
      </c>
      <c r="C290" s="32">
        <f t="shared" si="73"/>
        <v>14367856</v>
      </c>
      <c r="D290" s="32">
        <f t="shared" si="74"/>
        <v>0</v>
      </c>
      <c r="E290" s="33">
        <f>IF(AND(T289="",A290&lt;=S289),IF(A290&lt;入力!$B$11,入力!$B$10,入力!$B$12),0)</f>
        <v>2.5000000000000001E-2</v>
      </c>
      <c r="F290" s="32">
        <f t="shared" si="75"/>
        <v>29933</v>
      </c>
      <c r="G290" s="32">
        <f>ROUND(IF(NOT(AND(T289="",A290&lt;=S289)),0,IF(FALSE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),0)</f>
        <v>121428</v>
      </c>
      <c r="H290" s="32">
        <f t="shared" si="76"/>
        <v>121428</v>
      </c>
      <c r="I290" s="32">
        <f t="shared" si="77"/>
        <v>29933</v>
      </c>
      <c r="J290" s="32">
        <f t="shared" si="78"/>
        <v>0</v>
      </c>
      <c r="K290" s="32">
        <f t="shared" si="79"/>
        <v>0</v>
      </c>
      <c r="L290" s="32">
        <f t="shared" si="80"/>
        <v>91495</v>
      </c>
      <c r="M290" s="32">
        <f>0</f>
        <v>0</v>
      </c>
      <c r="N290" s="32">
        <f t="shared" si="81"/>
        <v>14276361</v>
      </c>
      <c r="O290" s="32">
        <f t="shared" si="82"/>
        <v>11999581</v>
      </c>
      <c r="P290" s="34" t="str">
        <f>IF(NOT(AND(T289="",A290&lt;=S289)),"",IF(FALSE,"繰上返済後再計算","")&amp;IF(AND(入力!$B$13="有効",A290&gt;1,MOD(A290-1,60)=0),IF(FALSE,"・","")&amp;"5年見直し","")&amp;IF(AND(A290=入力!$B$11,A290&gt;1),IF(OR(FALSE,AND(入力!$B$13="有効",A290&gt;1,MOD(A290-1,60)=0)),"・","")&amp;"金利変更","")&amp;IF(AND(OR(AND(入力!$B$13="有効",A290&gt;1,MOD(A290-1,60)=0),AND(A290=入力!$B$11,A290&gt;1)),入力!$B$14="有効",IF(E290=0,ROUND(C290/MAX(1,S289-A290+1),0),ROUND(-PMT(E290/12,MAX(1,S289-A290+1),C290),0))&gt;ROUND(G289*1.25,0),NOT(FALSE)),"・上限適用",""))</f>
        <v/>
      </c>
      <c r="Q290" s="35" t="str">
        <f>IF(AND(T289="",A290&lt;=S289),入力!$B$13,"")</f>
        <v>有効</v>
      </c>
      <c r="R290" s="32" t="str">
        <f>IF(AND(AND(T289="",A290&lt;=S289),OR(AND(入力!$B$13="有効",A290&gt;1,MOD(A290-1,60)=0),AND(A290=入力!$B$11,A290&gt;1)),入力!$B$14="有効"),ROUND(G289*1.25,0),"")</f>
        <v/>
      </c>
      <c r="S290" s="36">
        <f t="shared" si="83"/>
        <v>420</v>
      </c>
      <c r="T290" s="35" t="str">
        <f t="shared" si="84"/>
        <v/>
      </c>
      <c r="U290" s="3">
        <f t="shared" si="68"/>
        <v>0</v>
      </c>
      <c r="V290" s="3">
        <f t="shared" si="69"/>
        <v>0</v>
      </c>
      <c r="W290" s="3">
        <f t="shared" si="70"/>
        <v>0</v>
      </c>
      <c r="X290" s="3">
        <f t="shared" si="71"/>
        <v>0</v>
      </c>
      <c r="Y290" s="3">
        <f>0</f>
        <v>0</v>
      </c>
      <c r="Z290" s="3">
        <f t="shared" si="72"/>
        <v>0</v>
      </c>
      <c r="AA290">
        <f>ROUND(IF(FALSE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,0)</f>
        <v>121428</v>
      </c>
    </row>
    <row r="291" spans="1:27">
      <c r="A291" s="30">
        <f>286</f>
        <v>286</v>
      </c>
      <c r="B291" s="31">
        <f>EDATE(入力!$B$6,A291-1)</f>
        <v>54909</v>
      </c>
      <c r="C291" s="32">
        <f t="shared" si="73"/>
        <v>14276361</v>
      </c>
      <c r="D291" s="32">
        <f t="shared" si="74"/>
        <v>0</v>
      </c>
      <c r="E291" s="33">
        <f>IF(AND(T290="",A291&lt;=S290),IF(A291&lt;入力!$B$11,入力!$B$10,入力!$B$12),0)</f>
        <v>2.5000000000000001E-2</v>
      </c>
      <c r="F291" s="32">
        <f t="shared" si="75"/>
        <v>29742</v>
      </c>
      <c r="G291" s="32">
        <f>ROUND(IF(NOT(AND(T290="",A291&lt;=S290)),0,IF(FALSE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),0)</f>
        <v>121428</v>
      </c>
      <c r="H291" s="32">
        <f t="shared" si="76"/>
        <v>121428</v>
      </c>
      <c r="I291" s="32">
        <f t="shared" si="77"/>
        <v>29742</v>
      </c>
      <c r="J291" s="32">
        <f t="shared" si="78"/>
        <v>0</v>
      </c>
      <c r="K291" s="32">
        <f t="shared" si="79"/>
        <v>0</v>
      </c>
      <c r="L291" s="32">
        <f t="shared" si="80"/>
        <v>91686</v>
      </c>
      <c r="M291" s="32">
        <f>0</f>
        <v>0</v>
      </c>
      <c r="N291" s="32">
        <f t="shared" si="81"/>
        <v>14184675</v>
      </c>
      <c r="O291" s="32">
        <f t="shared" si="82"/>
        <v>12029323</v>
      </c>
      <c r="P291" s="34" t="str">
        <f>IF(NOT(AND(T290="",A291&lt;=S290)),"",IF(FALSE,"繰上返済後再計算","")&amp;IF(AND(入力!$B$13="有効",A291&gt;1,MOD(A291-1,60)=0),IF(FALSE,"・","")&amp;"5年見直し","")&amp;IF(AND(A291=入力!$B$11,A291&gt;1),IF(OR(FALSE,AND(入力!$B$13="有効",A291&gt;1,MOD(A291-1,60)=0)),"・","")&amp;"金利変更","")&amp;IF(AND(OR(AND(入力!$B$13="有効",A291&gt;1,MOD(A291-1,60)=0),AND(A291=入力!$B$11,A291&gt;1)),入力!$B$14="有効",IF(E291=0,ROUND(C291/MAX(1,S290-A291+1),0),ROUND(-PMT(E291/12,MAX(1,S290-A291+1),C291),0))&gt;ROUND(G290*1.25,0),NOT(FALSE)),"・上限適用",""))</f>
        <v/>
      </c>
      <c r="Q291" s="35" t="str">
        <f>IF(AND(T290="",A291&lt;=S290),入力!$B$13,"")</f>
        <v>有効</v>
      </c>
      <c r="R291" s="32" t="str">
        <f>IF(AND(AND(T290="",A291&lt;=S290),OR(AND(入力!$B$13="有効",A291&gt;1,MOD(A291-1,60)=0),AND(A291=入力!$B$11,A291&gt;1)),入力!$B$14="有効"),ROUND(G290*1.25,0),"")</f>
        <v/>
      </c>
      <c r="S291" s="36">
        <f t="shared" si="83"/>
        <v>420</v>
      </c>
      <c r="T291" s="35" t="str">
        <f t="shared" si="84"/>
        <v/>
      </c>
      <c r="U291" s="3">
        <f t="shared" si="68"/>
        <v>0</v>
      </c>
      <c r="V291" s="3">
        <f t="shared" si="69"/>
        <v>0</v>
      </c>
      <c r="W291" s="3">
        <f t="shared" si="70"/>
        <v>0</v>
      </c>
      <c r="X291" s="3">
        <f t="shared" si="71"/>
        <v>0</v>
      </c>
      <c r="Y291" s="3">
        <f>0</f>
        <v>0</v>
      </c>
      <c r="Z291" s="3">
        <f t="shared" si="72"/>
        <v>0</v>
      </c>
      <c r="AA291">
        <f>ROUND(IF(FALSE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,0)</f>
        <v>121428</v>
      </c>
    </row>
    <row r="292" spans="1:27">
      <c r="A292" s="30">
        <f>287</f>
        <v>287</v>
      </c>
      <c r="B292" s="31">
        <f>EDATE(入力!$B$6,A292-1)</f>
        <v>54940</v>
      </c>
      <c r="C292" s="32">
        <f t="shared" si="73"/>
        <v>14184675</v>
      </c>
      <c r="D292" s="32">
        <f t="shared" si="74"/>
        <v>0</v>
      </c>
      <c r="E292" s="33">
        <f>IF(AND(T291="",A292&lt;=S291),IF(A292&lt;入力!$B$11,入力!$B$10,入力!$B$12),0)</f>
        <v>2.5000000000000001E-2</v>
      </c>
      <c r="F292" s="32">
        <f t="shared" si="75"/>
        <v>29551</v>
      </c>
      <c r="G292" s="32">
        <f>ROUND(IF(NOT(AND(T291="",A292&lt;=S291)),0,IF(FALSE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),0)</f>
        <v>121428</v>
      </c>
      <c r="H292" s="32">
        <f t="shared" si="76"/>
        <v>121428</v>
      </c>
      <c r="I292" s="32">
        <f t="shared" si="77"/>
        <v>29551</v>
      </c>
      <c r="J292" s="32">
        <f t="shared" si="78"/>
        <v>0</v>
      </c>
      <c r="K292" s="32">
        <f t="shared" si="79"/>
        <v>0</v>
      </c>
      <c r="L292" s="32">
        <f t="shared" si="80"/>
        <v>91877</v>
      </c>
      <c r="M292" s="32">
        <f>0</f>
        <v>0</v>
      </c>
      <c r="N292" s="32">
        <f t="shared" si="81"/>
        <v>14092798</v>
      </c>
      <c r="O292" s="32">
        <f t="shared" si="82"/>
        <v>12058874</v>
      </c>
      <c r="P292" s="34" t="str">
        <f>IF(NOT(AND(T291="",A292&lt;=S291)),"",IF(FALSE,"繰上返済後再計算","")&amp;IF(AND(入力!$B$13="有効",A292&gt;1,MOD(A292-1,60)=0),IF(FALSE,"・","")&amp;"5年見直し","")&amp;IF(AND(A292=入力!$B$11,A292&gt;1),IF(OR(FALSE,AND(入力!$B$13="有効",A292&gt;1,MOD(A292-1,60)=0)),"・","")&amp;"金利変更","")&amp;IF(AND(OR(AND(入力!$B$13="有効",A292&gt;1,MOD(A292-1,60)=0),AND(A292=入力!$B$11,A292&gt;1)),入力!$B$14="有効",IF(E292=0,ROUND(C292/MAX(1,S291-A292+1),0),ROUND(-PMT(E292/12,MAX(1,S291-A292+1),C292),0))&gt;ROUND(G291*1.25,0),NOT(FALSE)),"・上限適用",""))</f>
        <v/>
      </c>
      <c r="Q292" s="35" t="str">
        <f>IF(AND(T291="",A292&lt;=S291),入力!$B$13,"")</f>
        <v>有効</v>
      </c>
      <c r="R292" s="32" t="str">
        <f>IF(AND(AND(T291="",A292&lt;=S291),OR(AND(入力!$B$13="有効",A292&gt;1,MOD(A292-1,60)=0),AND(A292=入力!$B$11,A292&gt;1)),入力!$B$14="有効"),ROUND(G291*1.25,0),"")</f>
        <v/>
      </c>
      <c r="S292" s="36">
        <f t="shared" si="83"/>
        <v>420</v>
      </c>
      <c r="T292" s="35" t="str">
        <f t="shared" si="84"/>
        <v/>
      </c>
      <c r="U292" s="3">
        <f t="shared" si="68"/>
        <v>0</v>
      </c>
      <c r="V292" s="3">
        <f t="shared" si="69"/>
        <v>0</v>
      </c>
      <c r="W292" s="3">
        <f t="shared" si="70"/>
        <v>0</v>
      </c>
      <c r="X292" s="3">
        <f t="shared" si="71"/>
        <v>0</v>
      </c>
      <c r="Y292" s="3">
        <f>0</f>
        <v>0</v>
      </c>
      <c r="Z292" s="3">
        <f t="shared" si="72"/>
        <v>0</v>
      </c>
      <c r="AA292">
        <f>ROUND(IF(FALSE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,0)</f>
        <v>121428</v>
      </c>
    </row>
    <row r="293" spans="1:27">
      <c r="A293" s="30">
        <f>288</f>
        <v>288</v>
      </c>
      <c r="B293" s="31">
        <f>EDATE(入力!$B$6,A293-1)</f>
        <v>54970</v>
      </c>
      <c r="C293" s="32">
        <f t="shared" si="73"/>
        <v>14092798</v>
      </c>
      <c r="D293" s="32">
        <f t="shared" si="74"/>
        <v>0</v>
      </c>
      <c r="E293" s="33">
        <f>IF(AND(T292="",A293&lt;=S292),IF(A293&lt;入力!$B$11,入力!$B$10,入力!$B$12),0)</f>
        <v>2.5000000000000001E-2</v>
      </c>
      <c r="F293" s="32">
        <f t="shared" si="75"/>
        <v>29360</v>
      </c>
      <c r="G293" s="32">
        <f>ROUND(IF(NOT(AND(T292="",A293&lt;=S292)),0,IF(FALSE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),0)</f>
        <v>121428</v>
      </c>
      <c r="H293" s="32">
        <f t="shared" si="76"/>
        <v>121428</v>
      </c>
      <c r="I293" s="32">
        <f t="shared" si="77"/>
        <v>29360</v>
      </c>
      <c r="J293" s="32">
        <f t="shared" si="78"/>
        <v>0</v>
      </c>
      <c r="K293" s="32">
        <f t="shared" si="79"/>
        <v>0</v>
      </c>
      <c r="L293" s="32">
        <f t="shared" si="80"/>
        <v>92068</v>
      </c>
      <c r="M293" s="32">
        <f>0</f>
        <v>0</v>
      </c>
      <c r="N293" s="32">
        <f t="shared" si="81"/>
        <v>14000730</v>
      </c>
      <c r="O293" s="32">
        <f t="shared" si="82"/>
        <v>12088234</v>
      </c>
      <c r="P293" s="34" t="str">
        <f>IF(NOT(AND(T292="",A293&lt;=S292)),"",IF(FALSE,"繰上返済後再計算","")&amp;IF(AND(入力!$B$13="有効",A293&gt;1,MOD(A293-1,60)=0),IF(FALSE,"・","")&amp;"5年見直し","")&amp;IF(AND(A293=入力!$B$11,A293&gt;1),IF(OR(FALSE,AND(入力!$B$13="有効",A293&gt;1,MOD(A293-1,60)=0)),"・","")&amp;"金利変更","")&amp;IF(AND(OR(AND(入力!$B$13="有効",A293&gt;1,MOD(A293-1,60)=0),AND(A293=入力!$B$11,A293&gt;1)),入力!$B$14="有効",IF(E293=0,ROUND(C293/MAX(1,S292-A293+1),0),ROUND(-PMT(E293/12,MAX(1,S292-A293+1),C293),0))&gt;ROUND(G292*1.25,0),NOT(FALSE)),"・上限適用",""))</f>
        <v/>
      </c>
      <c r="Q293" s="35" t="str">
        <f>IF(AND(T292="",A293&lt;=S292),入力!$B$13,"")</f>
        <v>有効</v>
      </c>
      <c r="R293" s="32" t="str">
        <f>IF(AND(AND(T292="",A293&lt;=S292),OR(AND(入力!$B$13="有効",A293&gt;1,MOD(A293-1,60)=0),AND(A293=入力!$B$11,A293&gt;1)),入力!$B$14="有効"),ROUND(G292*1.25,0),"")</f>
        <v/>
      </c>
      <c r="S293" s="36">
        <f t="shared" si="83"/>
        <v>420</v>
      </c>
      <c r="T293" s="35" t="str">
        <f t="shared" si="84"/>
        <v/>
      </c>
      <c r="U293" s="3">
        <f t="shared" si="68"/>
        <v>0</v>
      </c>
      <c r="V293" s="3">
        <f t="shared" si="69"/>
        <v>0</v>
      </c>
      <c r="W293" s="3">
        <f t="shared" si="70"/>
        <v>0</v>
      </c>
      <c r="X293" s="3">
        <f t="shared" si="71"/>
        <v>0</v>
      </c>
      <c r="Y293" s="3">
        <f>0</f>
        <v>0</v>
      </c>
      <c r="Z293" s="3">
        <f t="shared" si="72"/>
        <v>0</v>
      </c>
      <c r="AA293">
        <f>ROUND(IF(FALSE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,0)</f>
        <v>121428</v>
      </c>
    </row>
    <row r="294" spans="1:27">
      <c r="A294" s="30">
        <f>289</f>
        <v>289</v>
      </c>
      <c r="B294" s="31">
        <f>EDATE(入力!$B$6,A294-1)</f>
        <v>55001</v>
      </c>
      <c r="C294" s="32">
        <f t="shared" si="73"/>
        <v>14000730</v>
      </c>
      <c r="D294" s="32">
        <f t="shared" si="74"/>
        <v>0</v>
      </c>
      <c r="E294" s="33">
        <f>IF(AND(T293="",A294&lt;=S293),IF(A294&lt;入力!$B$11,入力!$B$10,入力!$B$12),0)</f>
        <v>2.5000000000000001E-2</v>
      </c>
      <c r="F294" s="32">
        <f t="shared" si="75"/>
        <v>29168</v>
      </c>
      <c r="G294" s="32">
        <f>ROUND(IF(NOT(AND(T293="",A294&lt;=S293)),0,IF(FALSE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),0)</f>
        <v>121428</v>
      </c>
      <c r="H294" s="32">
        <f t="shared" si="76"/>
        <v>121428</v>
      </c>
      <c r="I294" s="32">
        <f t="shared" si="77"/>
        <v>29168</v>
      </c>
      <c r="J294" s="32">
        <f t="shared" si="78"/>
        <v>0</v>
      </c>
      <c r="K294" s="32">
        <f t="shared" si="79"/>
        <v>0</v>
      </c>
      <c r="L294" s="32">
        <f t="shared" si="80"/>
        <v>92260</v>
      </c>
      <c r="M294" s="32">
        <f>0</f>
        <v>0</v>
      </c>
      <c r="N294" s="32">
        <f t="shared" si="81"/>
        <v>13908470</v>
      </c>
      <c r="O294" s="32">
        <f t="shared" si="82"/>
        <v>12117402</v>
      </c>
      <c r="P294" s="34" t="str">
        <f>IF(NOT(AND(T293="",A294&lt;=S293)),"",IF(FALSE,"繰上返済後再計算","")&amp;IF(AND(入力!$B$13="有効",A294&gt;1,MOD(A294-1,60)=0),IF(FALSE,"・","")&amp;"5年見直し","")&amp;IF(AND(A294=入力!$B$11,A294&gt;1),IF(OR(FALSE,AND(入力!$B$13="有効",A294&gt;1,MOD(A294-1,60)=0)),"・","")&amp;"金利変更","")&amp;IF(AND(OR(AND(入力!$B$13="有効",A294&gt;1,MOD(A294-1,60)=0),AND(A294=入力!$B$11,A294&gt;1)),入力!$B$14="有効",IF(E294=0,ROUND(C294/MAX(1,S293-A294+1),0),ROUND(-PMT(E294/12,MAX(1,S293-A294+1),C294),0))&gt;ROUND(G293*1.25,0),NOT(FALSE)),"・上限適用",""))</f>
        <v/>
      </c>
      <c r="Q294" s="35" t="str">
        <f>IF(AND(T293="",A294&lt;=S293),入力!$B$13,"")</f>
        <v>有効</v>
      </c>
      <c r="R294" s="32" t="str">
        <f>IF(AND(AND(T293="",A294&lt;=S293),OR(AND(入力!$B$13="有効",A294&gt;1,MOD(A294-1,60)=0),AND(A294=入力!$B$11,A294&gt;1)),入力!$B$14="有効"),ROUND(G293*1.25,0),"")</f>
        <v/>
      </c>
      <c r="S294" s="36">
        <f t="shared" si="83"/>
        <v>420</v>
      </c>
      <c r="T294" s="35" t="str">
        <f t="shared" si="84"/>
        <v/>
      </c>
      <c r="U294" s="3">
        <f t="shared" si="68"/>
        <v>0</v>
      </c>
      <c r="V294" s="3">
        <f t="shared" si="69"/>
        <v>0</v>
      </c>
      <c r="W294" s="3">
        <f t="shared" si="70"/>
        <v>0</v>
      </c>
      <c r="X294" s="3">
        <f t="shared" si="71"/>
        <v>0</v>
      </c>
      <c r="Y294" s="3">
        <f>0</f>
        <v>0</v>
      </c>
      <c r="Z294" s="3">
        <f t="shared" si="72"/>
        <v>0</v>
      </c>
      <c r="AA294">
        <f>ROUND(IF(FALSE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,0)</f>
        <v>121428</v>
      </c>
    </row>
    <row r="295" spans="1:27">
      <c r="A295" s="30">
        <f>290</f>
        <v>290</v>
      </c>
      <c r="B295" s="31">
        <f>EDATE(入力!$B$6,A295-1)</f>
        <v>55032</v>
      </c>
      <c r="C295" s="32">
        <f t="shared" si="73"/>
        <v>13908470</v>
      </c>
      <c r="D295" s="32">
        <f t="shared" si="74"/>
        <v>0</v>
      </c>
      <c r="E295" s="33">
        <f>IF(AND(T294="",A295&lt;=S294),IF(A295&lt;入力!$B$11,入力!$B$10,入力!$B$12),0)</f>
        <v>2.5000000000000001E-2</v>
      </c>
      <c r="F295" s="32">
        <f t="shared" si="75"/>
        <v>28976</v>
      </c>
      <c r="G295" s="32">
        <f>ROUND(IF(NOT(AND(T294="",A295&lt;=S294)),0,IF(FALSE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),0)</f>
        <v>121428</v>
      </c>
      <c r="H295" s="32">
        <f t="shared" si="76"/>
        <v>121428</v>
      </c>
      <c r="I295" s="32">
        <f t="shared" si="77"/>
        <v>28976</v>
      </c>
      <c r="J295" s="32">
        <f t="shared" si="78"/>
        <v>0</v>
      </c>
      <c r="K295" s="32">
        <f t="shared" si="79"/>
        <v>0</v>
      </c>
      <c r="L295" s="32">
        <f t="shared" si="80"/>
        <v>92452</v>
      </c>
      <c r="M295" s="32">
        <f>0</f>
        <v>0</v>
      </c>
      <c r="N295" s="32">
        <f t="shared" si="81"/>
        <v>13816018</v>
      </c>
      <c r="O295" s="32">
        <f t="shared" si="82"/>
        <v>12146378</v>
      </c>
      <c r="P295" s="34" t="str">
        <f>IF(NOT(AND(T294="",A295&lt;=S294)),"",IF(FALSE,"繰上返済後再計算","")&amp;IF(AND(入力!$B$13="有効",A295&gt;1,MOD(A295-1,60)=0),IF(FALSE,"・","")&amp;"5年見直し","")&amp;IF(AND(A295=入力!$B$11,A295&gt;1),IF(OR(FALSE,AND(入力!$B$13="有効",A295&gt;1,MOD(A295-1,60)=0)),"・","")&amp;"金利変更","")&amp;IF(AND(OR(AND(入力!$B$13="有効",A295&gt;1,MOD(A295-1,60)=0),AND(A295=入力!$B$11,A295&gt;1)),入力!$B$14="有効",IF(E295=0,ROUND(C295/MAX(1,S294-A295+1),0),ROUND(-PMT(E295/12,MAX(1,S294-A295+1),C295),0))&gt;ROUND(G294*1.25,0),NOT(FALSE)),"・上限適用",""))</f>
        <v/>
      </c>
      <c r="Q295" s="35" t="str">
        <f>IF(AND(T294="",A295&lt;=S294),入力!$B$13,"")</f>
        <v>有効</v>
      </c>
      <c r="R295" s="32" t="str">
        <f>IF(AND(AND(T294="",A295&lt;=S294),OR(AND(入力!$B$13="有効",A295&gt;1,MOD(A295-1,60)=0),AND(A295=入力!$B$11,A295&gt;1)),入力!$B$14="有効"),ROUND(G294*1.25,0),"")</f>
        <v/>
      </c>
      <c r="S295" s="36">
        <f t="shared" si="83"/>
        <v>420</v>
      </c>
      <c r="T295" s="35" t="str">
        <f t="shared" si="84"/>
        <v/>
      </c>
      <c r="U295" s="3">
        <f t="shared" si="68"/>
        <v>0</v>
      </c>
      <c r="V295" s="3">
        <f t="shared" si="69"/>
        <v>0</v>
      </c>
      <c r="W295" s="3">
        <f t="shared" si="70"/>
        <v>0</v>
      </c>
      <c r="X295" s="3">
        <f t="shared" si="71"/>
        <v>0</v>
      </c>
      <c r="Y295" s="3">
        <f>0</f>
        <v>0</v>
      </c>
      <c r="Z295" s="3">
        <f t="shared" si="72"/>
        <v>0</v>
      </c>
      <c r="AA295">
        <f>ROUND(IF(FALSE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,0)</f>
        <v>121428</v>
      </c>
    </row>
    <row r="296" spans="1:27">
      <c r="A296" s="30">
        <f>291</f>
        <v>291</v>
      </c>
      <c r="B296" s="31">
        <f>EDATE(入力!$B$6,A296-1)</f>
        <v>55062</v>
      </c>
      <c r="C296" s="32">
        <f t="shared" si="73"/>
        <v>13816018</v>
      </c>
      <c r="D296" s="32">
        <f t="shared" si="74"/>
        <v>0</v>
      </c>
      <c r="E296" s="33">
        <f>IF(AND(T295="",A296&lt;=S295),IF(A296&lt;入力!$B$11,入力!$B$10,入力!$B$12),0)</f>
        <v>2.5000000000000001E-2</v>
      </c>
      <c r="F296" s="32">
        <f t="shared" si="75"/>
        <v>28783</v>
      </c>
      <c r="G296" s="32">
        <f>ROUND(IF(NOT(AND(T295="",A296&lt;=S295)),0,IF(FALSE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),0)</f>
        <v>121428</v>
      </c>
      <c r="H296" s="32">
        <f t="shared" si="76"/>
        <v>121428</v>
      </c>
      <c r="I296" s="32">
        <f t="shared" si="77"/>
        <v>28783</v>
      </c>
      <c r="J296" s="32">
        <f t="shared" si="78"/>
        <v>0</v>
      </c>
      <c r="K296" s="32">
        <f t="shared" si="79"/>
        <v>0</v>
      </c>
      <c r="L296" s="32">
        <f t="shared" si="80"/>
        <v>92645</v>
      </c>
      <c r="M296" s="32">
        <f>0</f>
        <v>0</v>
      </c>
      <c r="N296" s="32">
        <f t="shared" si="81"/>
        <v>13723373</v>
      </c>
      <c r="O296" s="32">
        <f t="shared" si="82"/>
        <v>12175161</v>
      </c>
      <c r="P296" s="34" t="str">
        <f>IF(NOT(AND(T295="",A296&lt;=S295)),"",IF(FALSE,"繰上返済後再計算","")&amp;IF(AND(入力!$B$13="有効",A296&gt;1,MOD(A296-1,60)=0),IF(FALSE,"・","")&amp;"5年見直し","")&amp;IF(AND(A296=入力!$B$11,A296&gt;1),IF(OR(FALSE,AND(入力!$B$13="有効",A296&gt;1,MOD(A296-1,60)=0)),"・","")&amp;"金利変更","")&amp;IF(AND(OR(AND(入力!$B$13="有効",A296&gt;1,MOD(A296-1,60)=0),AND(A296=入力!$B$11,A296&gt;1)),入力!$B$14="有効",IF(E296=0,ROUND(C296/MAX(1,S295-A296+1),0),ROUND(-PMT(E296/12,MAX(1,S295-A296+1),C296),0))&gt;ROUND(G295*1.25,0),NOT(FALSE)),"・上限適用",""))</f>
        <v/>
      </c>
      <c r="Q296" s="35" t="str">
        <f>IF(AND(T295="",A296&lt;=S295),入力!$B$13,"")</f>
        <v>有効</v>
      </c>
      <c r="R296" s="32" t="str">
        <f>IF(AND(AND(T295="",A296&lt;=S295),OR(AND(入力!$B$13="有効",A296&gt;1,MOD(A296-1,60)=0),AND(A296=入力!$B$11,A296&gt;1)),入力!$B$14="有効"),ROUND(G295*1.25,0),"")</f>
        <v/>
      </c>
      <c r="S296" s="36">
        <f t="shared" si="83"/>
        <v>420</v>
      </c>
      <c r="T296" s="35" t="str">
        <f t="shared" si="84"/>
        <v/>
      </c>
      <c r="U296" s="3">
        <f t="shared" si="68"/>
        <v>0</v>
      </c>
      <c r="V296" s="3">
        <f t="shared" si="69"/>
        <v>0</v>
      </c>
      <c r="W296" s="3">
        <f t="shared" si="70"/>
        <v>0</v>
      </c>
      <c r="X296" s="3">
        <f t="shared" si="71"/>
        <v>0</v>
      </c>
      <c r="Y296" s="3">
        <f>0</f>
        <v>0</v>
      </c>
      <c r="Z296" s="3">
        <f t="shared" si="72"/>
        <v>0</v>
      </c>
      <c r="AA296">
        <f>ROUND(IF(FALSE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,0)</f>
        <v>121428</v>
      </c>
    </row>
    <row r="297" spans="1:27">
      <c r="A297" s="30">
        <f>292</f>
        <v>292</v>
      </c>
      <c r="B297" s="31">
        <f>EDATE(入力!$B$6,A297-1)</f>
        <v>55093</v>
      </c>
      <c r="C297" s="32">
        <f t="shared" si="73"/>
        <v>13723373</v>
      </c>
      <c r="D297" s="32">
        <f t="shared" si="74"/>
        <v>0</v>
      </c>
      <c r="E297" s="33">
        <f>IF(AND(T296="",A297&lt;=S296),IF(A297&lt;入力!$B$11,入力!$B$10,入力!$B$12),0)</f>
        <v>2.5000000000000001E-2</v>
      </c>
      <c r="F297" s="32">
        <f t="shared" si="75"/>
        <v>28590</v>
      </c>
      <c r="G297" s="32">
        <f>ROUND(IF(NOT(AND(T296="",A297&lt;=S296)),0,IF(FALSE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),0)</f>
        <v>121428</v>
      </c>
      <c r="H297" s="32">
        <f t="shared" si="76"/>
        <v>121428</v>
      </c>
      <c r="I297" s="32">
        <f t="shared" si="77"/>
        <v>28590</v>
      </c>
      <c r="J297" s="32">
        <f t="shared" si="78"/>
        <v>0</v>
      </c>
      <c r="K297" s="32">
        <f t="shared" si="79"/>
        <v>0</v>
      </c>
      <c r="L297" s="32">
        <f t="shared" si="80"/>
        <v>92838</v>
      </c>
      <c r="M297" s="32">
        <f>0</f>
        <v>0</v>
      </c>
      <c r="N297" s="32">
        <f t="shared" si="81"/>
        <v>13630535</v>
      </c>
      <c r="O297" s="32">
        <f t="shared" si="82"/>
        <v>12203751</v>
      </c>
      <c r="P297" s="34" t="str">
        <f>IF(NOT(AND(T296="",A297&lt;=S296)),"",IF(FALSE,"繰上返済後再計算","")&amp;IF(AND(入力!$B$13="有効",A297&gt;1,MOD(A297-1,60)=0),IF(FALSE,"・","")&amp;"5年見直し","")&amp;IF(AND(A297=入力!$B$11,A297&gt;1),IF(OR(FALSE,AND(入力!$B$13="有効",A297&gt;1,MOD(A297-1,60)=0)),"・","")&amp;"金利変更","")&amp;IF(AND(OR(AND(入力!$B$13="有効",A297&gt;1,MOD(A297-1,60)=0),AND(A297=入力!$B$11,A297&gt;1)),入力!$B$14="有効",IF(E297=0,ROUND(C297/MAX(1,S296-A297+1),0),ROUND(-PMT(E297/12,MAX(1,S296-A297+1),C297),0))&gt;ROUND(G296*1.25,0),NOT(FALSE)),"・上限適用",""))</f>
        <v/>
      </c>
      <c r="Q297" s="35" t="str">
        <f>IF(AND(T296="",A297&lt;=S296),入力!$B$13,"")</f>
        <v>有効</v>
      </c>
      <c r="R297" s="32" t="str">
        <f>IF(AND(AND(T296="",A297&lt;=S296),OR(AND(入力!$B$13="有効",A297&gt;1,MOD(A297-1,60)=0),AND(A297=入力!$B$11,A297&gt;1)),入力!$B$14="有効"),ROUND(G296*1.25,0),"")</f>
        <v/>
      </c>
      <c r="S297" s="36">
        <f t="shared" si="83"/>
        <v>420</v>
      </c>
      <c r="T297" s="35" t="str">
        <f t="shared" si="84"/>
        <v/>
      </c>
      <c r="U297" s="3">
        <f t="shared" si="68"/>
        <v>0</v>
      </c>
      <c r="V297" s="3">
        <f t="shared" si="69"/>
        <v>0</v>
      </c>
      <c r="W297" s="3">
        <f t="shared" si="70"/>
        <v>0</v>
      </c>
      <c r="X297" s="3">
        <f t="shared" si="71"/>
        <v>0</v>
      </c>
      <c r="Y297" s="3">
        <f>0</f>
        <v>0</v>
      </c>
      <c r="Z297" s="3">
        <f t="shared" si="72"/>
        <v>0</v>
      </c>
      <c r="AA297">
        <f>ROUND(IF(FALSE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,0)</f>
        <v>121428</v>
      </c>
    </row>
    <row r="298" spans="1:27">
      <c r="A298" s="30">
        <f>293</f>
        <v>293</v>
      </c>
      <c r="B298" s="31">
        <f>EDATE(入力!$B$6,A298-1)</f>
        <v>55123</v>
      </c>
      <c r="C298" s="32">
        <f t="shared" si="73"/>
        <v>13630535</v>
      </c>
      <c r="D298" s="32">
        <f t="shared" si="74"/>
        <v>0</v>
      </c>
      <c r="E298" s="33">
        <f>IF(AND(T297="",A298&lt;=S297),IF(A298&lt;入力!$B$11,入力!$B$10,入力!$B$12),0)</f>
        <v>2.5000000000000001E-2</v>
      </c>
      <c r="F298" s="32">
        <f t="shared" si="75"/>
        <v>28397</v>
      </c>
      <c r="G298" s="32">
        <f>ROUND(IF(NOT(AND(T297="",A298&lt;=S297)),0,IF(FALSE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),0)</f>
        <v>121428</v>
      </c>
      <c r="H298" s="32">
        <f t="shared" si="76"/>
        <v>121428</v>
      </c>
      <c r="I298" s="32">
        <f t="shared" si="77"/>
        <v>28397</v>
      </c>
      <c r="J298" s="32">
        <f t="shared" si="78"/>
        <v>0</v>
      </c>
      <c r="K298" s="32">
        <f t="shared" si="79"/>
        <v>0</v>
      </c>
      <c r="L298" s="32">
        <f t="shared" si="80"/>
        <v>93031</v>
      </c>
      <c r="M298" s="32">
        <f>0</f>
        <v>0</v>
      </c>
      <c r="N298" s="32">
        <f t="shared" si="81"/>
        <v>13537504</v>
      </c>
      <c r="O298" s="32">
        <f t="shared" si="82"/>
        <v>12232148</v>
      </c>
      <c r="P298" s="34" t="str">
        <f>IF(NOT(AND(T297="",A298&lt;=S297)),"",IF(FALSE,"繰上返済後再計算","")&amp;IF(AND(入力!$B$13="有効",A298&gt;1,MOD(A298-1,60)=0),IF(FALSE,"・","")&amp;"5年見直し","")&amp;IF(AND(A298=入力!$B$11,A298&gt;1),IF(OR(FALSE,AND(入力!$B$13="有効",A298&gt;1,MOD(A298-1,60)=0)),"・","")&amp;"金利変更","")&amp;IF(AND(OR(AND(入力!$B$13="有効",A298&gt;1,MOD(A298-1,60)=0),AND(A298=入力!$B$11,A298&gt;1)),入力!$B$14="有効",IF(E298=0,ROUND(C298/MAX(1,S297-A298+1),0),ROUND(-PMT(E298/12,MAX(1,S297-A298+1),C298),0))&gt;ROUND(G297*1.25,0),NOT(FALSE)),"・上限適用",""))</f>
        <v/>
      </c>
      <c r="Q298" s="35" t="str">
        <f>IF(AND(T297="",A298&lt;=S297),入力!$B$13,"")</f>
        <v>有効</v>
      </c>
      <c r="R298" s="32" t="str">
        <f>IF(AND(AND(T297="",A298&lt;=S297),OR(AND(入力!$B$13="有効",A298&gt;1,MOD(A298-1,60)=0),AND(A298=入力!$B$11,A298&gt;1)),入力!$B$14="有効"),ROUND(G297*1.25,0),"")</f>
        <v/>
      </c>
      <c r="S298" s="36">
        <f t="shared" si="83"/>
        <v>420</v>
      </c>
      <c r="T298" s="35" t="str">
        <f t="shared" si="84"/>
        <v/>
      </c>
      <c r="U298" s="3">
        <f t="shared" si="68"/>
        <v>0</v>
      </c>
      <c r="V298" s="3">
        <f t="shared" si="69"/>
        <v>0</v>
      </c>
      <c r="W298" s="3">
        <f t="shared" si="70"/>
        <v>0</v>
      </c>
      <c r="X298" s="3">
        <f t="shared" si="71"/>
        <v>0</v>
      </c>
      <c r="Y298" s="3">
        <f>0</f>
        <v>0</v>
      </c>
      <c r="Z298" s="3">
        <f t="shared" si="72"/>
        <v>0</v>
      </c>
      <c r="AA298">
        <f>ROUND(IF(FALSE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,0)</f>
        <v>121428</v>
      </c>
    </row>
    <row r="299" spans="1:27">
      <c r="A299" s="30">
        <f>294</f>
        <v>294</v>
      </c>
      <c r="B299" s="31">
        <f>EDATE(入力!$B$6,A299-1)</f>
        <v>55154</v>
      </c>
      <c r="C299" s="32">
        <f t="shared" si="73"/>
        <v>13537504</v>
      </c>
      <c r="D299" s="32">
        <f t="shared" si="74"/>
        <v>0</v>
      </c>
      <c r="E299" s="33">
        <f>IF(AND(T298="",A299&lt;=S298),IF(A299&lt;入力!$B$11,入力!$B$10,入力!$B$12),0)</f>
        <v>2.5000000000000001E-2</v>
      </c>
      <c r="F299" s="32">
        <f t="shared" si="75"/>
        <v>28203</v>
      </c>
      <c r="G299" s="32">
        <f>ROUND(IF(NOT(AND(T298="",A299&lt;=S298)),0,IF(FALSE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),0)</f>
        <v>121428</v>
      </c>
      <c r="H299" s="32">
        <f t="shared" si="76"/>
        <v>121428</v>
      </c>
      <c r="I299" s="32">
        <f t="shared" si="77"/>
        <v>28203</v>
      </c>
      <c r="J299" s="32">
        <f t="shared" si="78"/>
        <v>0</v>
      </c>
      <c r="K299" s="32">
        <f t="shared" si="79"/>
        <v>0</v>
      </c>
      <c r="L299" s="32">
        <f t="shared" si="80"/>
        <v>93225</v>
      </c>
      <c r="M299" s="32">
        <f>0</f>
        <v>0</v>
      </c>
      <c r="N299" s="32">
        <f t="shared" si="81"/>
        <v>13444279</v>
      </c>
      <c r="O299" s="32">
        <f t="shared" si="82"/>
        <v>12260351</v>
      </c>
      <c r="P299" s="34" t="str">
        <f>IF(NOT(AND(T298="",A299&lt;=S298)),"",IF(FALSE,"繰上返済後再計算","")&amp;IF(AND(入力!$B$13="有効",A299&gt;1,MOD(A299-1,60)=0),IF(FALSE,"・","")&amp;"5年見直し","")&amp;IF(AND(A299=入力!$B$11,A299&gt;1),IF(OR(FALSE,AND(入力!$B$13="有効",A299&gt;1,MOD(A299-1,60)=0)),"・","")&amp;"金利変更","")&amp;IF(AND(OR(AND(入力!$B$13="有効",A299&gt;1,MOD(A299-1,60)=0),AND(A299=入力!$B$11,A299&gt;1)),入力!$B$14="有効",IF(E299=0,ROUND(C299/MAX(1,S298-A299+1),0),ROUND(-PMT(E299/12,MAX(1,S298-A299+1),C299),0))&gt;ROUND(G298*1.25,0),NOT(FALSE)),"・上限適用",""))</f>
        <v/>
      </c>
      <c r="Q299" s="35" t="str">
        <f>IF(AND(T298="",A299&lt;=S298),入力!$B$13,"")</f>
        <v>有効</v>
      </c>
      <c r="R299" s="32" t="str">
        <f>IF(AND(AND(T298="",A299&lt;=S298),OR(AND(入力!$B$13="有効",A299&gt;1,MOD(A299-1,60)=0),AND(A299=入力!$B$11,A299&gt;1)),入力!$B$14="有効"),ROUND(G298*1.25,0),"")</f>
        <v/>
      </c>
      <c r="S299" s="36">
        <f t="shared" si="83"/>
        <v>420</v>
      </c>
      <c r="T299" s="35" t="str">
        <f t="shared" si="84"/>
        <v/>
      </c>
      <c r="U299" s="3">
        <f t="shared" si="68"/>
        <v>0</v>
      </c>
      <c r="V299" s="3">
        <f t="shared" si="69"/>
        <v>0</v>
      </c>
      <c r="W299" s="3">
        <f t="shared" si="70"/>
        <v>0</v>
      </c>
      <c r="X299" s="3">
        <f t="shared" si="71"/>
        <v>0</v>
      </c>
      <c r="Y299" s="3">
        <f>0</f>
        <v>0</v>
      </c>
      <c r="Z299" s="3">
        <f t="shared" si="72"/>
        <v>0</v>
      </c>
      <c r="AA299">
        <f>ROUND(IF(FALSE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,0)</f>
        <v>121428</v>
      </c>
    </row>
    <row r="300" spans="1:27">
      <c r="A300" s="30">
        <f>295</f>
        <v>295</v>
      </c>
      <c r="B300" s="31">
        <f>EDATE(入力!$B$6,A300-1)</f>
        <v>55185</v>
      </c>
      <c r="C300" s="32">
        <f t="shared" si="73"/>
        <v>13444279</v>
      </c>
      <c r="D300" s="32">
        <f t="shared" si="74"/>
        <v>0</v>
      </c>
      <c r="E300" s="33">
        <f>IF(AND(T299="",A300&lt;=S299),IF(A300&lt;入力!$B$11,入力!$B$10,入力!$B$12),0)</f>
        <v>2.5000000000000001E-2</v>
      </c>
      <c r="F300" s="32">
        <f t="shared" si="75"/>
        <v>28009</v>
      </c>
      <c r="G300" s="32">
        <f>ROUND(IF(NOT(AND(T299="",A300&lt;=S299)),0,IF(FALSE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),0)</f>
        <v>121428</v>
      </c>
      <c r="H300" s="32">
        <f t="shared" si="76"/>
        <v>121428</v>
      </c>
      <c r="I300" s="32">
        <f t="shared" si="77"/>
        <v>28009</v>
      </c>
      <c r="J300" s="32">
        <f t="shared" si="78"/>
        <v>0</v>
      </c>
      <c r="K300" s="32">
        <f t="shared" si="79"/>
        <v>0</v>
      </c>
      <c r="L300" s="32">
        <f t="shared" si="80"/>
        <v>93419</v>
      </c>
      <c r="M300" s="32">
        <f>0</f>
        <v>0</v>
      </c>
      <c r="N300" s="32">
        <f t="shared" si="81"/>
        <v>13350860</v>
      </c>
      <c r="O300" s="32">
        <f t="shared" si="82"/>
        <v>12288360</v>
      </c>
      <c r="P300" s="34" t="str">
        <f>IF(NOT(AND(T299="",A300&lt;=S299)),"",IF(FALSE,"繰上返済後再計算","")&amp;IF(AND(入力!$B$13="有効",A300&gt;1,MOD(A300-1,60)=0),IF(FALSE,"・","")&amp;"5年見直し","")&amp;IF(AND(A300=入力!$B$11,A300&gt;1),IF(OR(FALSE,AND(入力!$B$13="有効",A300&gt;1,MOD(A300-1,60)=0)),"・","")&amp;"金利変更","")&amp;IF(AND(OR(AND(入力!$B$13="有効",A300&gt;1,MOD(A300-1,60)=0),AND(A300=入力!$B$11,A300&gt;1)),入力!$B$14="有効",IF(E300=0,ROUND(C300/MAX(1,S299-A300+1),0),ROUND(-PMT(E300/12,MAX(1,S299-A300+1),C300),0))&gt;ROUND(G299*1.25,0),NOT(FALSE)),"・上限適用",""))</f>
        <v/>
      </c>
      <c r="Q300" s="35" t="str">
        <f>IF(AND(T299="",A300&lt;=S299),入力!$B$13,"")</f>
        <v>有効</v>
      </c>
      <c r="R300" s="32" t="str">
        <f>IF(AND(AND(T299="",A300&lt;=S299),OR(AND(入力!$B$13="有効",A300&gt;1,MOD(A300-1,60)=0),AND(A300=入力!$B$11,A300&gt;1)),入力!$B$14="有効"),ROUND(G299*1.25,0),"")</f>
        <v/>
      </c>
      <c r="S300" s="36">
        <f t="shared" si="83"/>
        <v>420</v>
      </c>
      <c r="T300" s="35" t="str">
        <f t="shared" si="84"/>
        <v/>
      </c>
      <c r="U300" s="3">
        <f t="shared" si="68"/>
        <v>0</v>
      </c>
      <c r="V300" s="3">
        <f t="shared" si="69"/>
        <v>0</v>
      </c>
      <c r="W300" s="3">
        <f t="shared" si="70"/>
        <v>0</v>
      </c>
      <c r="X300" s="3">
        <f t="shared" si="71"/>
        <v>0</v>
      </c>
      <c r="Y300" s="3">
        <f>0</f>
        <v>0</v>
      </c>
      <c r="Z300" s="3">
        <f t="shared" si="72"/>
        <v>0</v>
      </c>
      <c r="AA300">
        <f>ROUND(IF(FALSE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,0)</f>
        <v>121428</v>
      </c>
    </row>
    <row r="301" spans="1:27">
      <c r="A301" s="30">
        <f>296</f>
        <v>296</v>
      </c>
      <c r="B301" s="31">
        <f>EDATE(入力!$B$6,A301-1)</f>
        <v>55213</v>
      </c>
      <c r="C301" s="32">
        <f t="shared" si="73"/>
        <v>13350860</v>
      </c>
      <c r="D301" s="32">
        <f t="shared" si="74"/>
        <v>0</v>
      </c>
      <c r="E301" s="33">
        <f>IF(AND(T300="",A301&lt;=S300),IF(A301&lt;入力!$B$11,入力!$B$10,入力!$B$12),0)</f>
        <v>2.5000000000000001E-2</v>
      </c>
      <c r="F301" s="32">
        <f t="shared" si="75"/>
        <v>27814</v>
      </c>
      <c r="G301" s="32">
        <f>ROUND(IF(NOT(AND(T300="",A301&lt;=S300)),0,IF(FALSE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),0)</f>
        <v>121428</v>
      </c>
      <c r="H301" s="32">
        <f t="shared" si="76"/>
        <v>121428</v>
      </c>
      <c r="I301" s="32">
        <f t="shared" si="77"/>
        <v>27814</v>
      </c>
      <c r="J301" s="32">
        <f t="shared" si="78"/>
        <v>0</v>
      </c>
      <c r="K301" s="32">
        <f t="shared" si="79"/>
        <v>0</v>
      </c>
      <c r="L301" s="32">
        <f t="shared" si="80"/>
        <v>93614</v>
      </c>
      <c r="M301" s="32">
        <f>0</f>
        <v>0</v>
      </c>
      <c r="N301" s="32">
        <f t="shared" si="81"/>
        <v>13257246</v>
      </c>
      <c r="O301" s="32">
        <f t="shared" si="82"/>
        <v>12316174</v>
      </c>
      <c r="P301" s="34" t="str">
        <f>IF(NOT(AND(T300="",A301&lt;=S300)),"",IF(FALSE,"繰上返済後再計算","")&amp;IF(AND(入力!$B$13="有効",A301&gt;1,MOD(A301-1,60)=0),IF(FALSE,"・","")&amp;"5年見直し","")&amp;IF(AND(A301=入力!$B$11,A301&gt;1),IF(OR(FALSE,AND(入力!$B$13="有効",A301&gt;1,MOD(A301-1,60)=0)),"・","")&amp;"金利変更","")&amp;IF(AND(OR(AND(入力!$B$13="有効",A301&gt;1,MOD(A301-1,60)=0),AND(A301=入力!$B$11,A301&gt;1)),入力!$B$14="有効",IF(E301=0,ROUND(C301/MAX(1,S300-A301+1),0),ROUND(-PMT(E301/12,MAX(1,S300-A301+1),C301),0))&gt;ROUND(G300*1.25,0),NOT(FALSE)),"・上限適用",""))</f>
        <v/>
      </c>
      <c r="Q301" s="35" t="str">
        <f>IF(AND(T300="",A301&lt;=S300),入力!$B$13,"")</f>
        <v>有効</v>
      </c>
      <c r="R301" s="32" t="str">
        <f>IF(AND(AND(T300="",A301&lt;=S300),OR(AND(入力!$B$13="有効",A301&gt;1,MOD(A301-1,60)=0),AND(A301=入力!$B$11,A301&gt;1)),入力!$B$14="有効"),ROUND(G300*1.25,0),"")</f>
        <v/>
      </c>
      <c r="S301" s="36">
        <f t="shared" si="83"/>
        <v>420</v>
      </c>
      <c r="T301" s="35" t="str">
        <f t="shared" si="84"/>
        <v/>
      </c>
      <c r="U301" s="3">
        <f t="shared" si="68"/>
        <v>0</v>
      </c>
      <c r="V301" s="3">
        <f t="shared" si="69"/>
        <v>0</v>
      </c>
      <c r="W301" s="3">
        <f t="shared" si="70"/>
        <v>0</v>
      </c>
      <c r="X301" s="3">
        <f t="shared" si="71"/>
        <v>0</v>
      </c>
      <c r="Y301" s="3">
        <f>0</f>
        <v>0</v>
      </c>
      <c r="Z301" s="3">
        <f t="shared" si="72"/>
        <v>0</v>
      </c>
      <c r="AA301">
        <f>ROUND(IF(FALSE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,0)</f>
        <v>121428</v>
      </c>
    </row>
    <row r="302" spans="1:27">
      <c r="A302" s="30">
        <f>297</f>
        <v>297</v>
      </c>
      <c r="B302" s="31">
        <f>EDATE(入力!$B$6,A302-1)</f>
        <v>55244</v>
      </c>
      <c r="C302" s="32">
        <f t="shared" si="73"/>
        <v>13257246</v>
      </c>
      <c r="D302" s="32">
        <f t="shared" si="74"/>
        <v>0</v>
      </c>
      <c r="E302" s="33">
        <f>IF(AND(T301="",A302&lt;=S301),IF(A302&lt;入力!$B$11,入力!$B$10,入力!$B$12),0)</f>
        <v>2.5000000000000001E-2</v>
      </c>
      <c r="F302" s="32">
        <f t="shared" si="75"/>
        <v>27619</v>
      </c>
      <c r="G302" s="32">
        <f>ROUND(IF(NOT(AND(T301="",A302&lt;=S301)),0,IF(FALSE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),0)</f>
        <v>121428</v>
      </c>
      <c r="H302" s="32">
        <f t="shared" si="76"/>
        <v>121428</v>
      </c>
      <c r="I302" s="32">
        <f t="shared" si="77"/>
        <v>27619</v>
      </c>
      <c r="J302" s="32">
        <f t="shared" si="78"/>
        <v>0</v>
      </c>
      <c r="K302" s="32">
        <f t="shared" si="79"/>
        <v>0</v>
      </c>
      <c r="L302" s="32">
        <f t="shared" si="80"/>
        <v>93809</v>
      </c>
      <c r="M302" s="32">
        <f>0</f>
        <v>0</v>
      </c>
      <c r="N302" s="32">
        <f t="shared" si="81"/>
        <v>13163437</v>
      </c>
      <c r="O302" s="32">
        <f t="shared" si="82"/>
        <v>12343793</v>
      </c>
      <c r="P302" s="34" t="str">
        <f>IF(NOT(AND(T301="",A302&lt;=S301)),"",IF(FALSE,"繰上返済後再計算","")&amp;IF(AND(入力!$B$13="有効",A302&gt;1,MOD(A302-1,60)=0),IF(FALSE,"・","")&amp;"5年見直し","")&amp;IF(AND(A302=入力!$B$11,A302&gt;1),IF(OR(FALSE,AND(入力!$B$13="有効",A302&gt;1,MOD(A302-1,60)=0)),"・","")&amp;"金利変更","")&amp;IF(AND(OR(AND(入力!$B$13="有効",A302&gt;1,MOD(A302-1,60)=0),AND(A302=入力!$B$11,A302&gt;1)),入力!$B$14="有効",IF(E302=0,ROUND(C302/MAX(1,S301-A302+1),0),ROUND(-PMT(E302/12,MAX(1,S301-A302+1),C302),0))&gt;ROUND(G301*1.25,0),NOT(FALSE)),"・上限適用",""))</f>
        <v/>
      </c>
      <c r="Q302" s="35" t="str">
        <f>IF(AND(T301="",A302&lt;=S301),入力!$B$13,"")</f>
        <v>有効</v>
      </c>
      <c r="R302" s="32" t="str">
        <f>IF(AND(AND(T301="",A302&lt;=S301),OR(AND(入力!$B$13="有効",A302&gt;1,MOD(A302-1,60)=0),AND(A302=入力!$B$11,A302&gt;1)),入力!$B$14="有効"),ROUND(G301*1.25,0),"")</f>
        <v/>
      </c>
      <c r="S302" s="36">
        <f t="shared" si="83"/>
        <v>420</v>
      </c>
      <c r="T302" s="35" t="str">
        <f t="shared" si="84"/>
        <v/>
      </c>
      <c r="U302" s="3">
        <f t="shared" si="68"/>
        <v>0</v>
      </c>
      <c r="V302" s="3">
        <f t="shared" si="69"/>
        <v>0</v>
      </c>
      <c r="W302" s="3">
        <f t="shared" si="70"/>
        <v>0</v>
      </c>
      <c r="X302" s="3">
        <f t="shared" si="71"/>
        <v>0</v>
      </c>
      <c r="Y302" s="3">
        <f>0</f>
        <v>0</v>
      </c>
      <c r="Z302" s="3">
        <f t="shared" si="72"/>
        <v>0</v>
      </c>
      <c r="AA302">
        <f>ROUND(IF(FALSE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,0)</f>
        <v>121428</v>
      </c>
    </row>
    <row r="303" spans="1:27">
      <c r="A303" s="30">
        <f>298</f>
        <v>298</v>
      </c>
      <c r="B303" s="31">
        <f>EDATE(入力!$B$6,A303-1)</f>
        <v>55274</v>
      </c>
      <c r="C303" s="32">
        <f t="shared" si="73"/>
        <v>13163437</v>
      </c>
      <c r="D303" s="32">
        <f t="shared" si="74"/>
        <v>0</v>
      </c>
      <c r="E303" s="33">
        <f>IF(AND(T302="",A303&lt;=S302),IF(A303&lt;入力!$B$11,入力!$B$10,入力!$B$12),0)</f>
        <v>2.5000000000000001E-2</v>
      </c>
      <c r="F303" s="32">
        <f t="shared" si="75"/>
        <v>27424</v>
      </c>
      <c r="G303" s="32">
        <f>ROUND(IF(NOT(AND(T302="",A303&lt;=S302)),0,IF(FALSE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),0)</f>
        <v>121428</v>
      </c>
      <c r="H303" s="32">
        <f t="shared" si="76"/>
        <v>121428</v>
      </c>
      <c r="I303" s="32">
        <f t="shared" si="77"/>
        <v>27424</v>
      </c>
      <c r="J303" s="32">
        <f t="shared" si="78"/>
        <v>0</v>
      </c>
      <c r="K303" s="32">
        <f t="shared" si="79"/>
        <v>0</v>
      </c>
      <c r="L303" s="32">
        <f t="shared" si="80"/>
        <v>94004</v>
      </c>
      <c r="M303" s="32">
        <f>0</f>
        <v>0</v>
      </c>
      <c r="N303" s="32">
        <f t="shared" si="81"/>
        <v>13069433</v>
      </c>
      <c r="O303" s="32">
        <f t="shared" si="82"/>
        <v>12371217</v>
      </c>
      <c r="P303" s="34" t="str">
        <f>IF(NOT(AND(T302="",A303&lt;=S302)),"",IF(FALSE,"繰上返済後再計算","")&amp;IF(AND(入力!$B$13="有効",A303&gt;1,MOD(A303-1,60)=0),IF(FALSE,"・","")&amp;"5年見直し","")&amp;IF(AND(A303=入力!$B$11,A303&gt;1),IF(OR(FALSE,AND(入力!$B$13="有効",A303&gt;1,MOD(A303-1,60)=0)),"・","")&amp;"金利変更","")&amp;IF(AND(OR(AND(入力!$B$13="有効",A303&gt;1,MOD(A303-1,60)=0),AND(A303=入力!$B$11,A303&gt;1)),入力!$B$14="有効",IF(E303=0,ROUND(C303/MAX(1,S302-A303+1),0),ROUND(-PMT(E303/12,MAX(1,S302-A303+1),C303),0))&gt;ROUND(G302*1.25,0),NOT(FALSE)),"・上限適用",""))</f>
        <v/>
      </c>
      <c r="Q303" s="35" t="str">
        <f>IF(AND(T302="",A303&lt;=S302),入力!$B$13,"")</f>
        <v>有効</v>
      </c>
      <c r="R303" s="32" t="str">
        <f>IF(AND(AND(T302="",A303&lt;=S302),OR(AND(入力!$B$13="有効",A303&gt;1,MOD(A303-1,60)=0),AND(A303=入力!$B$11,A303&gt;1)),入力!$B$14="有効"),ROUND(G302*1.25,0),"")</f>
        <v/>
      </c>
      <c r="S303" s="36">
        <f t="shared" si="83"/>
        <v>420</v>
      </c>
      <c r="T303" s="35" t="str">
        <f t="shared" si="84"/>
        <v/>
      </c>
      <c r="U303" s="3">
        <f t="shared" si="68"/>
        <v>0</v>
      </c>
      <c r="V303" s="3">
        <f t="shared" si="69"/>
        <v>0</v>
      </c>
      <c r="W303" s="3">
        <f t="shared" si="70"/>
        <v>0</v>
      </c>
      <c r="X303" s="3">
        <f t="shared" si="71"/>
        <v>0</v>
      </c>
      <c r="Y303" s="3">
        <f>0</f>
        <v>0</v>
      </c>
      <c r="Z303" s="3">
        <f t="shared" si="72"/>
        <v>0</v>
      </c>
      <c r="AA303">
        <f>ROUND(IF(FALSE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,0)</f>
        <v>121428</v>
      </c>
    </row>
    <row r="304" spans="1:27">
      <c r="A304" s="30">
        <f>299</f>
        <v>299</v>
      </c>
      <c r="B304" s="31">
        <f>EDATE(入力!$B$6,A304-1)</f>
        <v>55305</v>
      </c>
      <c r="C304" s="32">
        <f t="shared" si="73"/>
        <v>13069433</v>
      </c>
      <c r="D304" s="32">
        <f t="shared" si="74"/>
        <v>0</v>
      </c>
      <c r="E304" s="33">
        <f>IF(AND(T303="",A304&lt;=S303),IF(A304&lt;入力!$B$11,入力!$B$10,入力!$B$12),0)</f>
        <v>2.5000000000000001E-2</v>
      </c>
      <c r="F304" s="32">
        <f t="shared" si="75"/>
        <v>27228</v>
      </c>
      <c r="G304" s="32">
        <f>ROUND(IF(NOT(AND(T303="",A304&lt;=S303)),0,IF(FALSE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),0)</f>
        <v>121428</v>
      </c>
      <c r="H304" s="32">
        <f t="shared" si="76"/>
        <v>121428</v>
      </c>
      <c r="I304" s="32">
        <f t="shared" si="77"/>
        <v>27228</v>
      </c>
      <c r="J304" s="32">
        <f t="shared" si="78"/>
        <v>0</v>
      </c>
      <c r="K304" s="32">
        <f t="shared" si="79"/>
        <v>0</v>
      </c>
      <c r="L304" s="32">
        <f t="shared" si="80"/>
        <v>94200</v>
      </c>
      <c r="M304" s="32">
        <f>0</f>
        <v>0</v>
      </c>
      <c r="N304" s="32">
        <f t="shared" si="81"/>
        <v>12975233</v>
      </c>
      <c r="O304" s="32">
        <f t="shared" si="82"/>
        <v>12398445</v>
      </c>
      <c r="P304" s="34" t="str">
        <f>IF(NOT(AND(T303="",A304&lt;=S303)),"",IF(FALSE,"繰上返済後再計算","")&amp;IF(AND(入力!$B$13="有効",A304&gt;1,MOD(A304-1,60)=0),IF(FALSE,"・","")&amp;"5年見直し","")&amp;IF(AND(A304=入力!$B$11,A304&gt;1),IF(OR(FALSE,AND(入力!$B$13="有効",A304&gt;1,MOD(A304-1,60)=0)),"・","")&amp;"金利変更","")&amp;IF(AND(OR(AND(入力!$B$13="有効",A304&gt;1,MOD(A304-1,60)=0),AND(A304=入力!$B$11,A304&gt;1)),入力!$B$14="有効",IF(E304=0,ROUND(C304/MAX(1,S303-A304+1),0),ROUND(-PMT(E304/12,MAX(1,S303-A304+1),C304),0))&gt;ROUND(G303*1.25,0),NOT(FALSE)),"・上限適用",""))</f>
        <v/>
      </c>
      <c r="Q304" s="35" t="str">
        <f>IF(AND(T303="",A304&lt;=S303),入力!$B$13,"")</f>
        <v>有効</v>
      </c>
      <c r="R304" s="32" t="str">
        <f>IF(AND(AND(T303="",A304&lt;=S303),OR(AND(入力!$B$13="有効",A304&gt;1,MOD(A304-1,60)=0),AND(A304=入力!$B$11,A304&gt;1)),入力!$B$14="有効"),ROUND(G303*1.25,0),"")</f>
        <v/>
      </c>
      <c r="S304" s="36">
        <f t="shared" si="83"/>
        <v>420</v>
      </c>
      <c r="T304" s="35" t="str">
        <f t="shared" si="84"/>
        <v/>
      </c>
      <c r="U304" s="3">
        <f t="shared" si="68"/>
        <v>0</v>
      </c>
      <c r="V304" s="3">
        <f t="shared" si="69"/>
        <v>0</v>
      </c>
      <c r="W304" s="3">
        <f t="shared" si="70"/>
        <v>0</v>
      </c>
      <c r="X304" s="3">
        <f t="shared" si="71"/>
        <v>0</v>
      </c>
      <c r="Y304" s="3">
        <f>0</f>
        <v>0</v>
      </c>
      <c r="Z304" s="3">
        <f t="shared" si="72"/>
        <v>0</v>
      </c>
      <c r="AA304">
        <f>ROUND(IF(FALSE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,0)</f>
        <v>121428</v>
      </c>
    </row>
    <row r="305" spans="1:27">
      <c r="A305" s="30">
        <f>300</f>
        <v>300</v>
      </c>
      <c r="B305" s="31">
        <f>EDATE(入力!$B$6,A305-1)</f>
        <v>55335</v>
      </c>
      <c r="C305" s="32">
        <f t="shared" si="73"/>
        <v>12975233</v>
      </c>
      <c r="D305" s="32">
        <f t="shared" si="74"/>
        <v>0</v>
      </c>
      <c r="E305" s="33">
        <f>IF(AND(T304="",A305&lt;=S304),IF(A305&lt;入力!$B$11,入力!$B$10,入力!$B$12),0)</f>
        <v>2.5000000000000001E-2</v>
      </c>
      <c r="F305" s="32">
        <f t="shared" si="75"/>
        <v>27032</v>
      </c>
      <c r="G305" s="32">
        <f>ROUND(IF(NOT(AND(T304="",A305&lt;=S304)),0,IF(FALSE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),0)</f>
        <v>121428</v>
      </c>
      <c r="H305" s="32">
        <f t="shared" si="76"/>
        <v>121428</v>
      </c>
      <c r="I305" s="32">
        <f t="shared" si="77"/>
        <v>27032</v>
      </c>
      <c r="J305" s="32">
        <f t="shared" si="78"/>
        <v>0</v>
      </c>
      <c r="K305" s="32">
        <f t="shared" si="79"/>
        <v>0</v>
      </c>
      <c r="L305" s="32">
        <f t="shared" si="80"/>
        <v>94396</v>
      </c>
      <c r="M305" s="32">
        <f>0</f>
        <v>0</v>
      </c>
      <c r="N305" s="32">
        <f t="shared" si="81"/>
        <v>12880837</v>
      </c>
      <c r="O305" s="32">
        <f t="shared" si="82"/>
        <v>12425477</v>
      </c>
      <c r="P305" s="34" t="str">
        <f>IF(NOT(AND(T304="",A305&lt;=S304)),"",IF(FALSE,"繰上返済後再計算","")&amp;IF(AND(入力!$B$13="有効",A305&gt;1,MOD(A305-1,60)=0),IF(FALSE,"・","")&amp;"5年見直し","")&amp;IF(AND(A305=入力!$B$11,A305&gt;1),IF(OR(FALSE,AND(入力!$B$13="有効",A305&gt;1,MOD(A305-1,60)=0)),"・","")&amp;"金利変更","")&amp;IF(AND(OR(AND(入力!$B$13="有効",A305&gt;1,MOD(A305-1,60)=0),AND(A305=入力!$B$11,A305&gt;1)),入力!$B$14="有効",IF(E305=0,ROUND(C305/MAX(1,S304-A305+1),0),ROUND(-PMT(E305/12,MAX(1,S304-A305+1),C305),0))&gt;ROUND(G304*1.25,0),NOT(FALSE)),"・上限適用",""))</f>
        <v/>
      </c>
      <c r="Q305" s="35" t="str">
        <f>IF(AND(T304="",A305&lt;=S304),入力!$B$13,"")</f>
        <v>有効</v>
      </c>
      <c r="R305" s="32" t="str">
        <f>IF(AND(AND(T304="",A305&lt;=S304),OR(AND(入力!$B$13="有効",A305&gt;1,MOD(A305-1,60)=0),AND(A305=入力!$B$11,A305&gt;1)),入力!$B$14="有効"),ROUND(G304*1.25,0),"")</f>
        <v/>
      </c>
      <c r="S305" s="36">
        <f t="shared" si="83"/>
        <v>420</v>
      </c>
      <c r="T305" s="35" t="str">
        <f t="shared" si="84"/>
        <v/>
      </c>
      <c r="U305" s="3">
        <f t="shared" si="68"/>
        <v>0</v>
      </c>
      <c r="V305" s="3">
        <f t="shared" si="69"/>
        <v>0</v>
      </c>
      <c r="W305" s="3">
        <f t="shared" si="70"/>
        <v>0</v>
      </c>
      <c r="X305" s="3">
        <f t="shared" si="71"/>
        <v>0</v>
      </c>
      <c r="Y305" s="3">
        <f>0</f>
        <v>0</v>
      </c>
      <c r="Z305" s="3">
        <f t="shared" si="72"/>
        <v>0</v>
      </c>
      <c r="AA305">
        <f>ROUND(IF(FALSE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,0)</f>
        <v>121428</v>
      </c>
    </row>
    <row r="306" spans="1:27">
      <c r="A306" s="30">
        <f>301</f>
        <v>301</v>
      </c>
      <c r="B306" s="31">
        <f>EDATE(入力!$B$6,A306-1)</f>
        <v>55366</v>
      </c>
      <c r="C306" s="32">
        <f t="shared" si="73"/>
        <v>12880837</v>
      </c>
      <c r="D306" s="32">
        <f t="shared" si="74"/>
        <v>0</v>
      </c>
      <c r="E306" s="33">
        <f>IF(AND(T305="",A306&lt;=S305),IF(A306&lt;入力!$B$11,入力!$B$10,入力!$B$12),0)</f>
        <v>2.5000000000000001E-2</v>
      </c>
      <c r="F306" s="32">
        <f t="shared" si="75"/>
        <v>26835</v>
      </c>
      <c r="G306" s="32">
        <f>ROUND(IF(NOT(AND(T305="",A306&lt;=S305)),0,IF(FALSE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),0)</f>
        <v>121428</v>
      </c>
      <c r="H306" s="32">
        <f t="shared" si="76"/>
        <v>121428</v>
      </c>
      <c r="I306" s="32">
        <f t="shared" si="77"/>
        <v>26835</v>
      </c>
      <c r="J306" s="32">
        <f t="shared" si="78"/>
        <v>0</v>
      </c>
      <c r="K306" s="32">
        <f t="shared" si="79"/>
        <v>0</v>
      </c>
      <c r="L306" s="32">
        <f t="shared" si="80"/>
        <v>94593</v>
      </c>
      <c r="M306" s="32">
        <f>0</f>
        <v>0</v>
      </c>
      <c r="N306" s="32">
        <f t="shared" si="81"/>
        <v>12786244</v>
      </c>
      <c r="O306" s="32">
        <f t="shared" si="82"/>
        <v>12452312</v>
      </c>
      <c r="P306" s="34" t="str">
        <f>IF(NOT(AND(T305="",A306&lt;=S305)),"",IF(FALSE,"繰上返済後再計算","")&amp;IF(AND(入力!$B$13="有効",A306&gt;1,MOD(A306-1,60)=0),IF(FALSE,"・","")&amp;"5年見直し","")&amp;IF(AND(A306=入力!$B$11,A306&gt;1),IF(OR(FALSE,AND(入力!$B$13="有効",A306&gt;1,MOD(A306-1,60)=0)),"・","")&amp;"金利変更","")&amp;IF(AND(OR(AND(入力!$B$13="有効",A306&gt;1,MOD(A306-1,60)=0),AND(A306=入力!$B$11,A306&gt;1)),入力!$B$14="有効",IF(E306=0,ROUND(C306/MAX(1,S305-A306+1),0),ROUND(-PMT(E306/12,MAX(1,S305-A306+1),C306),0))&gt;ROUND(G305*1.25,0),NOT(FALSE)),"・上限適用",""))</f>
        <v>5年見直し</v>
      </c>
      <c r="Q306" s="35" t="str">
        <f>IF(AND(T305="",A306&lt;=S305),入力!$B$13,"")</f>
        <v>有効</v>
      </c>
      <c r="R306" s="32">
        <f>IF(AND(AND(T305="",A306&lt;=S305),OR(AND(入力!$B$13="有効",A306&gt;1,MOD(A306-1,60)=0),AND(A306=入力!$B$11,A306&gt;1)),入力!$B$14="有効"),ROUND(G305*1.25,0),"")</f>
        <v>151785</v>
      </c>
      <c r="S306" s="36">
        <f t="shared" si="83"/>
        <v>420</v>
      </c>
      <c r="T306" s="35" t="str">
        <f t="shared" si="84"/>
        <v/>
      </c>
      <c r="U306" s="3">
        <f t="shared" si="68"/>
        <v>0</v>
      </c>
      <c r="V306" s="3">
        <f t="shared" si="69"/>
        <v>0</v>
      </c>
      <c r="W306" s="3">
        <f t="shared" si="70"/>
        <v>0</v>
      </c>
      <c r="X306" s="3">
        <f t="shared" si="71"/>
        <v>0</v>
      </c>
      <c r="Y306" s="3">
        <f>0</f>
        <v>0</v>
      </c>
      <c r="Z306" s="3">
        <f t="shared" si="72"/>
        <v>0</v>
      </c>
      <c r="AA306">
        <f>ROUND(IF(FALSE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,0)</f>
        <v>121428</v>
      </c>
    </row>
    <row r="307" spans="1:27">
      <c r="A307" s="30">
        <f>302</f>
        <v>302</v>
      </c>
      <c r="B307" s="31">
        <f>EDATE(入力!$B$6,A307-1)</f>
        <v>55397</v>
      </c>
      <c r="C307" s="32">
        <f t="shared" si="73"/>
        <v>12786244</v>
      </c>
      <c r="D307" s="32">
        <f t="shared" si="74"/>
        <v>0</v>
      </c>
      <c r="E307" s="33">
        <f>IF(AND(T306="",A307&lt;=S306),IF(A307&lt;入力!$B$11,入力!$B$10,入力!$B$12),0)</f>
        <v>2.5000000000000001E-2</v>
      </c>
      <c r="F307" s="32">
        <f t="shared" si="75"/>
        <v>26638</v>
      </c>
      <c r="G307" s="32">
        <f>ROUND(IF(NOT(AND(T306="",A307&lt;=S306)),0,IF(FALSE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),0)</f>
        <v>121428</v>
      </c>
      <c r="H307" s="32">
        <f t="shared" si="76"/>
        <v>121428</v>
      </c>
      <c r="I307" s="32">
        <f t="shared" si="77"/>
        <v>26638</v>
      </c>
      <c r="J307" s="32">
        <f t="shared" si="78"/>
        <v>0</v>
      </c>
      <c r="K307" s="32">
        <f t="shared" si="79"/>
        <v>0</v>
      </c>
      <c r="L307" s="32">
        <f t="shared" si="80"/>
        <v>94790</v>
      </c>
      <c r="M307" s="32">
        <f>0</f>
        <v>0</v>
      </c>
      <c r="N307" s="32">
        <f t="shared" si="81"/>
        <v>12691454</v>
      </c>
      <c r="O307" s="32">
        <f t="shared" si="82"/>
        <v>12478950</v>
      </c>
      <c r="P307" s="34" t="str">
        <f>IF(NOT(AND(T306="",A307&lt;=S306)),"",IF(FALSE,"繰上返済後再計算","")&amp;IF(AND(入力!$B$13="有効",A307&gt;1,MOD(A307-1,60)=0),IF(FALSE,"・","")&amp;"5年見直し","")&amp;IF(AND(A307=入力!$B$11,A307&gt;1),IF(OR(FALSE,AND(入力!$B$13="有効",A307&gt;1,MOD(A307-1,60)=0)),"・","")&amp;"金利変更","")&amp;IF(AND(OR(AND(入力!$B$13="有効",A307&gt;1,MOD(A307-1,60)=0),AND(A307=入力!$B$11,A307&gt;1)),入力!$B$14="有効",IF(E307=0,ROUND(C307/MAX(1,S306-A307+1),0),ROUND(-PMT(E307/12,MAX(1,S306-A307+1),C307),0))&gt;ROUND(G306*1.25,0),NOT(FALSE)),"・上限適用",""))</f>
        <v/>
      </c>
      <c r="Q307" s="35" t="str">
        <f>IF(AND(T306="",A307&lt;=S306),入力!$B$13,"")</f>
        <v>有効</v>
      </c>
      <c r="R307" s="32" t="str">
        <f>IF(AND(AND(T306="",A307&lt;=S306),OR(AND(入力!$B$13="有効",A307&gt;1,MOD(A307-1,60)=0),AND(A307=入力!$B$11,A307&gt;1)),入力!$B$14="有効"),ROUND(G306*1.25,0),"")</f>
        <v/>
      </c>
      <c r="S307" s="36">
        <f t="shared" si="83"/>
        <v>420</v>
      </c>
      <c r="T307" s="35" t="str">
        <f t="shared" si="84"/>
        <v/>
      </c>
      <c r="U307" s="3">
        <f t="shared" si="68"/>
        <v>0</v>
      </c>
      <c r="V307" s="3">
        <f t="shared" si="69"/>
        <v>0</v>
      </c>
      <c r="W307" s="3">
        <f t="shared" si="70"/>
        <v>0</v>
      </c>
      <c r="X307" s="3">
        <f t="shared" si="71"/>
        <v>0</v>
      </c>
      <c r="Y307" s="3">
        <f>0</f>
        <v>0</v>
      </c>
      <c r="Z307" s="3">
        <f t="shared" si="72"/>
        <v>0</v>
      </c>
      <c r="AA307">
        <f>ROUND(IF(FALSE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,0)</f>
        <v>121428</v>
      </c>
    </row>
    <row r="308" spans="1:27">
      <c r="A308" s="30">
        <f>303</f>
        <v>303</v>
      </c>
      <c r="B308" s="31">
        <f>EDATE(入力!$B$6,A308-1)</f>
        <v>55427</v>
      </c>
      <c r="C308" s="32">
        <f t="shared" si="73"/>
        <v>12691454</v>
      </c>
      <c r="D308" s="32">
        <f t="shared" si="74"/>
        <v>0</v>
      </c>
      <c r="E308" s="33">
        <f>IF(AND(T307="",A308&lt;=S307),IF(A308&lt;入力!$B$11,入力!$B$10,入力!$B$12),0)</f>
        <v>2.5000000000000001E-2</v>
      </c>
      <c r="F308" s="32">
        <f t="shared" si="75"/>
        <v>26441</v>
      </c>
      <c r="G308" s="32">
        <f>ROUND(IF(NOT(AND(T307="",A308&lt;=S307)),0,IF(FALSE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),0)</f>
        <v>121428</v>
      </c>
      <c r="H308" s="32">
        <f t="shared" si="76"/>
        <v>121428</v>
      </c>
      <c r="I308" s="32">
        <f t="shared" si="77"/>
        <v>26441</v>
      </c>
      <c r="J308" s="32">
        <f t="shared" si="78"/>
        <v>0</v>
      </c>
      <c r="K308" s="32">
        <f t="shared" si="79"/>
        <v>0</v>
      </c>
      <c r="L308" s="32">
        <f t="shared" si="80"/>
        <v>94987</v>
      </c>
      <c r="M308" s="32">
        <f>0</f>
        <v>0</v>
      </c>
      <c r="N308" s="32">
        <f t="shared" si="81"/>
        <v>12596467</v>
      </c>
      <c r="O308" s="32">
        <f t="shared" si="82"/>
        <v>12505391</v>
      </c>
      <c r="P308" s="34" t="str">
        <f>IF(NOT(AND(T307="",A308&lt;=S307)),"",IF(FALSE,"繰上返済後再計算","")&amp;IF(AND(入力!$B$13="有効",A308&gt;1,MOD(A308-1,60)=0),IF(FALSE,"・","")&amp;"5年見直し","")&amp;IF(AND(A308=入力!$B$11,A308&gt;1),IF(OR(FALSE,AND(入力!$B$13="有効",A308&gt;1,MOD(A308-1,60)=0)),"・","")&amp;"金利変更","")&amp;IF(AND(OR(AND(入力!$B$13="有効",A308&gt;1,MOD(A308-1,60)=0),AND(A308=入力!$B$11,A308&gt;1)),入力!$B$14="有効",IF(E308=0,ROUND(C308/MAX(1,S307-A308+1),0),ROUND(-PMT(E308/12,MAX(1,S307-A308+1),C308),0))&gt;ROUND(G307*1.25,0),NOT(FALSE)),"・上限適用",""))</f>
        <v/>
      </c>
      <c r="Q308" s="35" t="str">
        <f>IF(AND(T307="",A308&lt;=S307),入力!$B$13,"")</f>
        <v>有効</v>
      </c>
      <c r="R308" s="32" t="str">
        <f>IF(AND(AND(T307="",A308&lt;=S307),OR(AND(入力!$B$13="有効",A308&gt;1,MOD(A308-1,60)=0),AND(A308=入力!$B$11,A308&gt;1)),入力!$B$14="有効"),ROUND(G307*1.25,0),"")</f>
        <v/>
      </c>
      <c r="S308" s="36">
        <f t="shared" si="83"/>
        <v>420</v>
      </c>
      <c r="T308" s="35" t="str">
        <f t="shared" si="84"/>
        <v/>
      </c>
      <c r="U308" s="3">
        <f t="shared" si="68"/>
        <v>0</v>
      </c>
      <c r="V308" s="3">
        <f t="shared" si="69"/>
        <v>0</v>
      </c>
      <c r="W308" s="3">
        <f t="shared" si="70"/>
        <v>0</v>
      </c>
      <c r="X308" s="3">
        <f t="shared" si="71"/>
        <v>0</v>
      </c>
      <c r="Y308" s="3">
        <f>0</f>
        <v>0</v>
      </c>
      <c r="Z308" s="3">
        <f t="shared" si="72"/>
        <v>0</v>
      </c>
      <c r="AA308">
        <f>ROUND(IF(FALSE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,0)</f>
        <v>121428</v>
      </c>
    </row>
    <row r="309" spans="1:27">
      <c r="A309" s="30">
        <f>304</f>
        <v>304</v>
      </c>
      <c r="B309" s="31">
        <f>EDATE(入力!$B$6,A309-1)</f>
        <v>55458</v>
      </c>
      <c r="C309" s="32">
        <f t="shared" si="73"/>
        <v>12596467</v>
      </c>
      <c r="D309" s="32">
        <f t="shared" si="74"/>
        <v>0</v>
      </c>
      <c r="E309" s="33">
        <f>IF(AND(T308="",A309&lt;=S308),IF(A309&lt;入力!$B$11,入力!$B$10,入力!$B$12),0)</f>
        <v>2.5000000000000001E-2</v>
      </c>
      <c r="F309" s="32">
        <f t="shared" si="75"/>
        <v>26243</v>
      </c>
      <c r="G309" s="32">
        <f>ROUND(IF(NOT(AND(T308="",A309&lt;=S308)),0,IF(FALSE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),0)</f>
        <v>121428</v>
      </c>
      <c r="H309" s="32">
        <f t="shared" si="76"/>
        <v>121428</v>
      </c>
      <c r="I309" s="32">
        <f t="shared" si="77"/>
        <v>26243</v>
      </c>
      <c r="J309" s="32">
        <f t="shared" si="78"/>
        <v>0</v>
      </c>
      <c r="K309" s="32">
        <f t="shared" si="79"/>
        <v>0</v>
      </c>
      <c r="L309" s="32">
        <f t="shared" si="80"/>
        <v>95185</v>
      </c>
      <c r="M309" s="32">
        <f>0</f>
        <v>0</v>
      </c>
      <c r="N309" s="32">
        <f t="shared" si="81"/>
        <v>12501282</v>
      </c>
      <c r="O309" s="32">
        <f t="shared" si="82"/>
        <v>12531634</v>
      </c>
      <c r="P309" s="34" t="str">
        <f>IF(NOT(AND(T308="",A309&lt;=S308)),"",IF(FALSE,"繰上返済後再計算","")&amp;IF(AND(入力!$B$13="有効",A309&gt;1,MOD(A309-1,60)=0),IF(FALSE,"・","")&amp;"5年見直し","")&amp;IF(AND(A309=入力!$B$11,A309&gt;1),IF(OR(FALSE,AND(入力!$B$13="有効",A309&gt;1,MOD(A309-1,60)=0)),"・","")&amp;"金利変更","")&amp;IF(AND(OR(AND(入力!$B$13="有効",A309&gt;1,MOD(A309-1,60)=0),AND(A309=入力!$B$11,A309&gt;1)),入力!$B$14="有効",IF(E309=0,ROUND(C309/MAX(1,S308-A309+1),0),ROUND(-PMT(E309/12,MAX(1,S308-A309+1),C309),0))&gt;ROUND(G308*1.25,0),NOT(FALSE)),"・上限適用",""))</f>
        <v/>
      </c>
      <c r="Q309" s="35" t="str">
        <f>IF(AND(T308="",A309&lt;=S308),入力!$B$13,"")</f>
        <v>有効</v>
      </c>
      <c r="R309" s="32" t="str">
        <f>IF(AND(AND(T308="",A309&lt;=S308),OR(AND(入力!$B$13="有効",A309&gt;1,MOD(A309-1,60)=0),AND(A309=入力!$B$11,A309&gt;1)),入力!$B$14="有効"),ROUND(G308*1.25,0),"")</f>
        <v/>
      </c>
      <c r="S309" s="36">
        <f t="shared" si="83"/>
        <v>420</v>
      </c>
      <c r="T309" s="35" t="str">
        <f t="shared" si="84"/>
        <v/>
      </c>
      <c r="U309" s="3">
        <f t="shared" si="68"/>
        <v>0</v>
      </c>
      <c r="V309" s="3">
        <f t="shared" si="69"/>
        <v>0</v>
      </c>
      <c r="W309" s="3">
        <f t="shared" si="70"/>
        <v>0</v>
      </c>
      <c r="X309" s="3">
        <f t="shared" si="71"/>
        <v>0</v>
      </c>
      <c r="Y309" s="3">
        <f>0</f>
        <v>0</v>
      </c>
      <c r="Z309" s="3">
        <f t="shared" si="72"/>
        <v>0</v>
      </c>
      <c r="AA309">
        <f>ROUND(IF(FALSE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,0)</f>
        <v>121428</v>
      </c>
    </row>
    <row r="310" spans="1:27">
      <c r="A310" s="30">
        <f>305</f>
        <v>305</v>
      </c>
      <c r="B310" s="31">
        <f>EDATE(入力!$B$6,A310-1)</f>
        <v>55488</v>
      </c>
      <c r="C310" s="32">
        <f t="shared" si="73"/>
        <v>12501282</v>
      </c>
      <c r="D310" s="32">
        <f t="shared" si="74"/>
        <v>0</v>
      </c>
      <c r="E310" s="33">
        <f>IF(AND(T309="",A310&lt;=S309),IF(A310&lt;入力!$B$11,入力!$B$10,入力!$B$12),0)</f>
        <v>2.5000000000000001E-2</v>
      </c>
      <c r="F310" s="32">
        <f t="shared" si="75"/>
        <v>26044</v>
      </c>
      <c r="G310" s="32">
        <f>ROUND(IF(NOT(AND(T309="",A310&lt;=S309)),0,IF(FALSE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),0)</f>
        <v>121428</v>
      </c>
      <c r="H310" s="32">
        <f t="shared" si="76"/>
        <v>121428</v>
      </c>
      <c r="I310" s="32">
        <f t="shared" si="77"/>
        <v>26044</v>
      </c>
      <c r="J310" s="32">
        <f t="shared" si="78"/>
        <v>0</v>
      </c>
      <c r="K310" s="32">
        <f t="shared" si="79"/>
        <v>0</v>
      </c>
      <c r="L310" s="32">
        <f t="shared" si="80"/>
        <v>95384</v>
      </c>
      <c r="M310" s="32">
        <f>0</f>
        <v>0</v>
      </c>
      <c r="N310" s="32">
        <f t="shared" si="81"/>
        <v>12405898</v>
      </c>
      <c r="O310" s="32">
        <f t="shared" si="82"/>
        <v>12557678</v>
      </c>
      <c r="P310" s="34" t="str">
        <f>IF(NOT(AND(T309="",A310&lt;=S309)),"",IF(FALSE,"繰上返済後再計算","")&amp;IF(AND(入力!$B$13="有効",A310&gt;1,MOD(A310-1,60)=0),IF(FALSE,"・","")&amp;"5年見直し","")&amp;IF(AND(A310=入力!$B$11,A310&gt;1),IF(OR(FALSE,AND(入力!$B$13="有効",A310&gt;1,MOD(A310-1,60)=0)),"・","")&amp;"金利変更","")&amp;IF(AND(OR(AND(入力!$B$13="有効",A310&gt;1,MOD(A310-1,60)=0),AND(A310=入力!$B$11,A310&gt;1)),入力!$B$14="有効",IF(E310=0,ROUND(C310/MAX(1,S309-A310+1),0),ROUND(-PMT(E310/12,MAX(1,S309-A310+1),C310),0))&gt;ROUND(G309*1.25,0),NOT(FALSE)),"・上限適用",""))</f>
        <v/>
      </c>
      <c r="Q310" s="35" t="str">
        <f>IF(AND(T309="",A310&lt;=S309),入力!$B$13,"")</f>
        <v>有効</v>
      </c>
      <c r="R310" s="32" t="str">
        <f>IF(AND(AND(T309="",A310&lt;=S309),OR(AND(入力!$B$13="有効",A310&gt;1,MOD(A310-1,60)=0),AND(A310=入力!$B$11,A310&gt;1)),入力!$B$14="有効"),ROUND(G309*1.25,0),"")</f>
        <v/>
      </c>
      <c r="S310" s="36">
        <f t="shared" si="83"/>
        <v>420</v>
      </c>
      <c r="T310" s="35" t="str">
        <f t="shared" si="84"/>
        <v/>
      </c>
      <c r="U310" s="3">
        <f t="shared" si="68"/>
        <v>0</v>
      </c>
      <c r="V310" s="3">
        <f t="shared" si="69"/>
        <v>0</v>
      </c>
      <c r="W310" s="3">
        <f t="shared" si="70"/>
        <v>0</v>
      </c>
      <c r="X310" s="3">
        <f t="shared" si="71"/>
        <v>0</v>
      </c>
      <c r="Y310" s="3">
        <f>0</f>
        <v>0</v>
      </c>
      <c r="Z310" s="3">
        <f t="shared" si="72"/>
        <v>0</v>
      </c>
      <c r="AA310">
        <f>ROUND(IF(FALSE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,0)</f>
        <v>121428</v>
      </c>
    </row>
    <row r="311" spans="1:27">
      <c r="A311" s="30">
        <f>306</f>
        <v>306</v>
      </c>
      <c r="B311" s="31">
        <f>EDATE(入力!$B$6,A311-1)</f>
        <v>55519</v>
      </c>
      <c r="C311" s="32">
        <f t="shared" si="73"/>
        <v>12405898</v>
      </c>
      <c r="D311" s="32">
        <f t="shared" si="74"/>
        <v>0</v>
      </c>
      <c r="E311" s="33">
        <f>IF(AND(T310="",A311&lt;=S310),IF(A311&lt;入力!$B$11,入力!$B$10,入力!$B$12),0)</f>
        <v>2.5000000000000001E-2</v>
      </c>
      <c r="F311" s="32">
        <f t="shared" si="75"/>
        <v>25846</v>
      </c>
      <c r="G311" s="32">
        <f>ROUND(IF(NOT(AND(T310="",A311&lt;=S310)),0,IF(FALSE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),0)</f>
        <v>121428</v>
      </c>
      <c r="H311" s="32">
        <f t="shared" si="76"/>
        <v>121428</v>
      </c>
      <c r="I311" s="32">
        <f t="shared" si="77"/>
        <v>25846</v>
      </c>
      <c r="J311" s="32">
        <f t="shared" si="78"/>
        <v>0</v>
      </c>
      <c r="K311" s="32">
        <f t="shared" si="79"/>
        <v>0</v>
      </c>
      <c r="L311" s="32">
        <f t="shared" si="80"/>
        <v>95582</v>
      </c>
      <c r="M311" s="32">
        <f>0</f>
        <v>0</v>
      </c>
      <c r="N311" s="32">
        <f t="shared" si="81"/>
        <v>12310316</v>
      </c>
      <c r="O311" s="32">
        <f t="shared" si="82"/>
        <v>12583524</v>
      </c>
      <c r="P311" s="34" t="str">
        <f>IF(NOT(AND(T310="",A311&lt;=S310)),"",IF(FALSE,"繰上返済後再計算","")&amp;IF(AND(入力!$B$13="有効",A311&gt;1,MOD(A311-1,60)=0),IF(FALSE,"・","")&amp;"5年見直し","")&amp;IF(AND(A311=入力!$B$11,A311&gt;1),IF(OR(FALSE,AND(入力!$B$13="有効",A311&gt;1,MOD(A311-1,60)=0)),"・","")&amp;"金利変更","")&amp;IF(AND(OR(AND(入力!$B$13="有効",A311&gt;1,MOD(A311-1,60)=0),AND(A311=入力!$B$11,A311&gt;1)),入力!$B$14="有効",IF(E311=0,ROUND(C311/MAX(1,S310-A311+1),0),ROUND(-PMT(E311/12,MAX(1,S310-A311+1),C311),0))&gt;ROUND(G310*1.25,0),NOT(FALSE)),"・上限適用",""))</f>
        <v/>
      </c>
      <c r="Q311" s="35" t="str">
        <f>IF(AND(T310="",A311&lt;=S310),入力!$B$13,"")</f>
        <v>有効</v>
      </c>
      <c r="R311" s="32" t="str">
        <f>IF(AND(AND(T310="",A311&lt;=S310),OR(AND(入力!$B$13="有効",A311&gt;1,MOD(A311-1,60)=0),AND(A311=入力!$B$11,A311&gt;1)),入力!$B$14="有効"),ROUND(G310*1.25,0),"")</f>
        <v/>
      </c>
      <c r="S311" s="36">
        <f t="shared" si="83"/>
        <v>420</v>
      </c>
      <c r="T311" s="35" t="str">
        <f t="shared" si="84"/>
        <v/>
      </c>
      <c r="U311" s="3">
        <f t="shared" si="68"/>
        <v>0</v>
      </c>
      <c r="V311" s="3">
        <f t="shared" si="69"/>
        <v>0</v>
      </c>
      <c r="W311" s="3">
        <f t="shared" si="70"/>
        <v>0</v>
      </c>
      <c r="X311" s="3">
        <f t="shared" si="71"/>
        <v>0</v>
      </c>
      <c r="Y311" s="3">
        <f>0</f>
        <v>0</v>
      </c>
      <c r="Z311" s="3">
        <f t="shared" si="72"/>
        <v>0</v>
      </c>
      <c r="AA311">
        <f>ROUND(IF(FALSE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,0)</f>
        <v>121428</v>
      </c>
    </row>
    <row r="312" spans="1:27">
      <c r="A312" s="30">
        <f>307</f>
        <v>307</v>
      </c>
      <c r="B312" s="31">
        <f>EDATE(入力!$B$6,A312-1)</f>
        <v>55550</v>
      </c>
      <c r="C312" s="32">
        <f t="shared" si="73"/>
        <v>12310316</v>
      </c>
      <c r="D312" s="32">
        <f t="shared" si="74"/>
        <v>0</v>
      </c>
      <c r="E312" s="33">
        <f>IF(AND(T311="",A312&lt;=S311),IF(A312&lt;入力!$B$11,入力!$B$10,入力!$B$12),0)</f>
        <v>2.5000000000000001E-2</v>
      </c>
      <c r="F312" s="32">
        <f t="shared" si="75"/>
        <v>25646</v>
      </c>
      <c r="G312" s="32">
        <f>ROUND(IF(NOT(AND(T311="",A312&lt;=S311)),0,IF(FALSE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),0)</f>
        <v>121428</v>
      </c>
      <c r="H312" s="32">
        <f t="shared" si="76"/>
        <v>121428</v>
      </c>
      <c r="I312" s="32">
        <f t="shared" si="77"/>
        <v>25646</v>
      </c>
      <c r="J312" s="32">
        <f t="shared" si="78"/>
        <v>0</v>
      </c>
      <c r="K312" s="32">
        <f t="shared" si="79"/>
        <v>0</v>
      </c>
      <c r="L312" s="32">
        <f t="shared" si="80"/>
        <v>95782</v>
      </c>
      <c r="M312" s="32">
        <f>0</f>
        <v>0</v>
      </c>
      <c r="N312" s="32">
        <f t="shared" si="81"/>
        <v>12214534</v>
      </c>
      <c r="O312" s="32">
        <f t="shared" si="82"/>
        <v>12609170</v>
      </c>
      <c r="P312" s="34" t="str">
        <f>IF(NOT(AND(T311="",A312&lt;=S311)),"",IF(FALSE,"繰上返済後再計算","")&amp;IF(AND(入力!$B$13="有効",A312&gt;1,MOD(A312-1,60)=0),IF(FALSE,"・","")&amp;"5年見直し","")&amp;IF(AND(A312=入力!$B$11,A312&gt;1),IF(OR(FALSE,AND(入力!$B$13="有効",A312&gt;1,MOD(A312-1,60)=0)),"・","")&amp;"金利変更","")&amp;IF(AND(OR(AND(入力!$B$13="有効",A312&gt;1,MOD(A312-1,60)=0),AND(A312=入力!$B$11,A312&gt;1)),入力!$B$14="有効",IF(E312=0,ROUND(C312/MAX(1,S311-A312+1),0),ROUND(-PMT(E312/12,MAX(1,S311-A312+1),C312),0))&gt;ROUND(G311*1.25,0),NOT(FALSE)),"・上限適用",""))</f>
        <v/>
      </c>
      <c r="Q312" s="35" t="str">
        <f>IF(AND(T311="",A312&lt;=S311),入力!$B$13,"")</f>
        <v>有効</v>
      </c>
      <c r="R312" s="32" t="str">
        <f>IF(AND(AND(T311="",A312&lt;=S311),OR(AND(入力!$B$13="有効",A312&gt;1,MOD(A312-1,60)=0),AND(A312=入力!$B$11,A312&gt;1)),入力!$B$14="有効"),ROUND(G311*1.25,0),"")</f>
        <v/>
      </c>
      <c r="S312" s="36">
        <f t="shared" si="83"/>
        <v>420</v>
      </c>
      <c r="T312" s="35" t="str">
        <f t="shared" si="84"/>
        <v/>
      </c>
      <c r="U312" s="3">
        <f t="shared" si="68"/>
        <v>0</v>
      </c>
      <c r="V312" s="3">
        <f t="shared" si="69"/>
        <v>0</v>
      </c>
      <c r="W312" s="3">
        <f t="shared" si="70"/>
        <v>0</v>
      </c>
      <c r="X312" s="3">
        <f t="shared" si="71"/>
        <v>0</v>
      </c>
      <c r="Y312" s="3">
        <f>0</f>
        <v>0</v>
      </c>
      <c r="Z312" s="3">
        <f t="shared" si="72"/>
        <v>0</v>
      </c>
      <c r="AA312">
        <f>ROUND(IF(FALSE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,0)</f>
        <v>121428</v>
      </c>
    </row>
    <row r="313" spans="1:27">
      <c r="A313" s="30">
        <f>308</f>
        <v>308</v>
      </c>
      <c r="B313" s="31">
        <f>EDATE(入力!$B$6,A313-1)</f>
        <v>55579</v>
      </c>
      <c r="C313" s="32">
        <f t="shared" si="73"/>
        <v>12214534</v>
      </c>
      <c r="D313" s="32">
        <f t="shared" si="74"/>
        <v>0</v>
      </c>
      <c r="E313" s="33">
        <f>IF(AND(T312="",A313&lt;=S312),IF(A313&lt;入力!$B$11,入力!$B$10,入力!$B$12),0)</f>
        <v>2.5000000000000001E-2</v>
      </c>
      <c r="F313" s="32">
        <f t="shared" si="75"/>
        <v>25447</v>
      </c>
      <c r="G313" s="32">
        <f>ROUND(IF(NOT(AND(T312="",A313&lt;=S312)),0,IF(FALSE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),0)</f>
        <v>121428</v>
      </c>
      <c r="H313" s="32">
        <f t="shared" si="76"/>
        <v>121428</v>
      </c>
      <c r="I313" s="32">
        <f t="shared" si="77"/>
        <v>25447</v>
      </c>
      <c r="J313" s="32">
        <f t="shared" si="78"/>
        <v>0</v>
      </c>
      <c r="K313" s="32">
        <f t="shared" si="79"/>
        <v>0</v>
      </c>
      <c r="L313" s="32">
        <f t="shared" si="80"/>
        <v>95981</v>
      </c>
      <c r="M313" s="32">
        <f>0</f>
        <v>0</v>
      </c>
      <c r="N313" s="32">
        <f t="shared" si="81"/>
        <v>12118553</v>
      </c>
      <c r="O313" s="32">
        <f t="shared" si="82"/>
        <v>12634617</v>
      </c>
      <c r="P313" s="34" t="str">
        <f>IF(NOT(AND(T312="",A313&lt;=S312)),"",IF(FALSE,"繰上返済後再計算","")&amp;IF(AND(入力!$B$13="有効",A313&gt;1,MOD(A313-1,60)=0),IF(FALSE,"・","")&amp;"5年見直し","")&amp;IF(AND(A313=入力!$B$11,A313&gt;1),IF(OR(FALSE,AND(入力!$B$13="有効",A313&gt;1,MOD(A313-1,60)=0)),"・","")&amp;"金利変更","")&amp;IF(AND(OR(AND(入力!$B$13="有効",A313&gt;1,MOD(A313-1,60)=0),AND(A313=入力!$B$11,A313&gt;1)),入力!$B$14="有効",IF(E313=0,ROUND(C313/MAX(1,S312-A313+1),0),ROUND(-PMT(E313/12,MAX(1,S312-A313+1),C313),0))&gt;ROUND(G312*1.25,0),NOT(FALSE)),"・上限適用",""))</f>
        <v/>
      </c>
      <c r="Q313" s="35" t="str">
        <f>IF(AND(T312="",A313&lt;=S312),入力!$B$13,"")</f>
        <v>有効</v>
      </c>
      <c r="R313" s="32" t="str">
        <f>IF(AND(AND(T312="",A313&lt;=S312),OR(AND(入力!$B$13="有効",A313&gt;1,MOD(A313-1,60)=0),AND(A313=入力!$B$11,A313&gt;1)),入力!$B$14="有効"),ROUND(G312*1.25,0),"")</f>
        <v/>
      </c>
      <c r="S313" s="36">
        <f t="shared" si="83"/>
        <v>420</v>
      </c>
      <c r="T313" s="35" t="str">
        <f t="shared" si="84"/>
        <v/>
      </c>
      <c r="U313" s="3">
        <f t="shared" si="68"/>
        <v>0</v>
      </c>
      <c r="V313" s="3">
        <f t="shared" si="69"/>
        <v>0</v>
      </c>
      <c r="W313" s="3">
        <f t="shared" si="70"/>
        <v>0</v>
      </c>
      <c r="X313" s="3">
        <f t="shared" si="71"/>
        <v>0</v>
      </c>
      <c r="Y313" s="3">
        <f>0</f>
        <v>0</v>
      </c>
      <c r="Z313" s="3">
        <f t="shared" si="72"/>
        <v>0</v>
      </c>
      <c r="AA313">
        <f>ROUND(IF(FALSE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,0)</f>
        <v>121428</v>
      </c>
    </row>
    <row r="314" spans="1:27">
      <c r="A314" s="30">
        <f>309</f>
        <v>309</v>
      </c>
      <c r="B314" s="31">
        <f>EDATE(入力!$B$6,A314-1)</f>
        <v>55610</v>
      </c>
      <c r="C314" s="32">
        <f t="shared" si="73"/>
        <v>12118553</v>
      </c>
      <c r="D314" s="32">
        <f t="shared" si="74"/>
        <v>0</v>
      </c>
      <c r="E314" s="33">
        <f>IF(AND(T313="",A314&lt;=S313),IF(A314&lt;入力!$B$11,入力!$B$10,入力!$B$12),0)</f>
        <v>2.5000000000000001E-2</v>
      </c>
      <c r="F314" s="32">
        <f t="shared" si="75"/>
        <v>25247</v>
      </c>
      <c r="G314" s="32">
        <f>ROUND(IF(NOT(AND(T313="",A314&lt;=S313)),0,IF(FALSE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),0)</f>
        <v>121428</v>
      </c>
      <c r="H314" s="32">
        <f t="shared" si="76"/>
        <v>121428</v>
      </c>
      <c r="I314" s="32">
        <f t="shared" si="77"/>
        <v>25247</v>
      </c>
      <c r="J314" s="32">
        <f t="shared" si="78"/>
        <v>0</v>
      </c>
      <c r="K314" s="32">
        <f t="shared" si="79"/>
        <v>0</v>
      </c>
      <c r="L314" s="32">
        <f t="shared" si="80"/>
        <v>96181</v>
      </c>
      <c r="M314" s="32">
        <f>0</f>
        <v>0</v>
      </c>
      <c r="N314" s="32">
        <f t="shared" si="81"/>
        <v>12022372</v>
      </c>
      <c r="O314" s="32">
        <f t="shared" si="82"/>
        <v>12659864</v>
      </c>
      <c r="P314" s="34" t="str">
        <f>IF(NOT(AND(T313="",A314&lt;=S313)),"",IF(FALSE,"繰上返済後再計算","")&amp;IF(AND(入力!$B$13="有効",A314&gt;1,MOD(A314-1,60)=0),IF(FALSE,"・","")&amp;"5年見直し","")&amp;IF(AND(A314=入力!$B$11,A314&gt;1),IF(OR(FALSE,AND(入力!$B$13="有効",A314&gt;1,MOD(A314-1,60)=0)),"・","")&amp;"金利変更","")&amp;IF(AND(OR(AND(入力!$B$13="有効",A314&gt;1,MOD(A314-1,60)=0),AND(A314=入力!$B$11,A314&gt;1)),入力!$B$14="有効",IF(E314=0,ROUND(C314/MAX(1,S313-A314+1),0),ROUND(-PMT(E314/12,MAX(1,S313-A314+1),C314),0))&gt;ROUND(G313*1.25,0),NOT(FALSE)),"・上限適用",""))</f>
        <v/>
      </c>
      <c r="Q314" s="35" t="str">
        <f>IF(AND(T313="",A314&lt;=S313),入力!$B$13,"")</f>
        <v>有効</v>
      </c>
      <c r="R314" s="32" t="str">
        <f>IF(AND(AND(T313="",A314&lt;=S313),OR(AND(入力!$B$13="有効",A314&gt;1,MOD(A314-1,60)=0),AND(A314=入力!$B$11,A314&gt;1)),入力!$B$14="有効"),ROUND(G313*1.25,0),"")</f>
        <v/>
      </c>
      <c r="S314" s="36">
        <f t="shared" si="83"/>
        <v>420</v>
      </c>
      <c r="T314" s="35" t="str">
        <f t="shared" si="84"/>
        <v/>
      </c>
      <c r="U314" s="3">
        <f t="shared" si="68"/>
        <v>0</v>
      </c>
      <c r="V314" s="3">
        <f t="shared" si="69"/>
        <v>0</v>
      </c>
      <c r="W314" s="3">
        <f t="shared" si="70"/>
        <v>0</v>
      </c>
      <c r="X314" s="3">
        <f t="shared" si="71"/>
        <v>0</v>
      </c>
      <c r="Y314" s="3">
        <f>0</f>
        <v>0</v>
      </c>
      <c r="Z314" s="3">
        <f t="shared" si="72"/>
        <v>0</v>
      </c>
      <c r="AA314">
        <f>ROUND(IF(FALSE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,0)</f>
        <v>121428</v>
      </c>
    </row>
    <row r="315" spans="1:27">
      <c r="A315" s="30">
        <f>310</f>
        <v>310</v>
      </c>
      <c r="B315" s="31">
        <f>EDATE(入力!$B$6,A315-1)</f>
        <v>55640</v>
      </c>
      <c r="C315" s="32">
        <f t="shared" si="73"/>
        <v>12022372</v>
      </c>
      <c r="D315" s="32">
        <f t="shared" si="74"/>
        <v>0</v>
      </c>
      <c r="E315" s="33">
        <f>IF(AND(T314="",A315&lt;=S314),IF(A315&lt;入力!$B$11,入力!$B$10,入力!$B$12),0)</f>
        <v>2.5000000000000001E-2</v>
      </c>
      <c r="F315" s="32">
        <f t="shared" si="75"/>
        <v>25047</v>
      </c>
      <c r="G315" s="32">
        <f>ROUND(IF(NOT(AND(T314="",A315&lt;=S314)),0,IF(FALSE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),0)</f>
        <v>121428</v>
      </c>
      <c r="H315" s="32">
        <f t="shared" si="76"/>
        <v>121428</v>
      </c>
      <c r="I315" s="32">
        <f t="shared" si="77"/>
        <v>25047</v>
      </c>
      <c r="J315" s="32">
        <f t="shared" si="78"/>
        <v>0</v>
      </c>
      <c r="K315" s="32">
        <f t="shared" si="79"/>
        <v>0</v>
      </c>
      <c r="L315" s="32">
        <f t="shared" si="80"/>
        <v>96381</v>
      </c>
      <c r="M315" s="32">
        <f>0</f>
        <v>0</v>
      </c>
      <c r="N315" s="32">
        <f t="shared" si="81"/>
        <v>11925991</v>
      </c>
      <c r="O315" s="32">
        <f t="shared" si="82"/>
        <v>12684911</v>
      </c>
      <c r="P315" s="34" t="str">
        <f>IF(NOT(AND(T314="",A315&lt;=S314)),"",IF(FALSE,"繰上返済後再計算","")&amp;IF(AND(入力!$B$13="有効",A315&gt;1,MOD(A315-1,60)=0),IF(FALSE,"・","")&amp;"5年見直し","")&amp;IF(AND(A315=入力!$B$11,A315&gt;1),IF(OR(FALSE,AND(入力!$B$13="有効",A315&gt;1,MOD(A315-1,60)=0)),"・","")&amp;"金利変更","")&amp;IF(AND(OR(AND(入力!$B$13="有効",A315&gt;1,MOD(A315-1,60)=0),AND(A315=入力!$B$11,A315&gt;1)),入力!$B$14="有効",IF(E315=0,ROUND(C315/MAX(1,S314-A315+1),0),ROUND(-PMT(E315/12,MAX(1,S314-A315+1),C315),0))&gt;ROUND(G314*1.25,0),NOT(FALSE)),"・上限適用",""))</f>
        <v/>
      </c>
      <c r="Q315" s="35" t="str">
        <f>IF(AND(T314="",A315&lt;=S314),入力!$B$13,"")</f>
        <v>有効</v>
      </c>
      <c r="R315" s="32" t="str">
        <f>IF(AND(AND(T314="",A315&lt;=S314),OR(AND(入力!$B$13="有効",A315&gt;1,MOD(A315-1,60)=0),AND(A315=入力!$B$11,A315&gt;1)),入力!$B$14="有効"),ROUND(G314*1.25,0),"")</f>
        <v/>
      </c>
      <c r="S315" s="36">
        <f t="shared" si="83"/>
        <v>420</v>
      </c>
      <c r="T315" s="35" t="str">
        <f t="shared" si="84"/>
        <v/>
      </c>
      <c r="U315" s="3">
        <f t="shared" si="68"/>
        <v>0</v>
      </c>
      <c r="V315" s="3">
        <f t="shared" si="69"/>
        <v>0</v>
      </c>
      <c r="W315" s="3">
        <f t="shared" si="70"/>
        <v>0</v>
      </c>
      <c r="X315" s="3">
        <f t="shared" si="71"/>
        <v>0</v>
      </c>
      <c r="Y315" s="3">
        <f>0</f>
        <v>0</v>
      </c>
      <c r="Z315" s="3">
        <f t="shared" si="72"/>
        <v>0</v>
      </c>
      <c r="AA315">
        <f>ROUND(IF(FALSE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,0)</f>
        <v>121428</v>
      </c>
    </row>
    <row r="316" spans="1:27">
      <c r="A316" s="30">
        <f>311</f>
        <v>311</v>
      </c>
      <c r="B316" s="31">
        <f>EDATE(入力!$B$6,A316-1)</f>
        <v>55671</v>
      </c>
      <c r="C316" s="32">
        <f t="shared" si="73"/>
        <v>11925991</v>
      </c>
      <c r="D316" s="32">
        <f t="shared" si="74"/>
        <v>0</v>
      </c>
      <c r="E316" s="33">
        <f>IF(AND(T315="",A316&lt;=S315),IF(A316&lt;入力!$B$11,入力!$B$10,入力!$B$12),0)</f>
        <v>2.5000000000000001E-2</v>
      </c>
      <c r="F316" s="32">
        <f t="shared" si="75"/>
        <v>24846</v>
      </c>
      <c r="G316" s="32">
        <f>ROUND(IF(NOT(AND(T315="",A316&lt;=S315)),0,IF(FALSE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),0)</f>
        <v>121428</v>
      </c>
      <c r="H316" s="32">
        <f t="shared" si="76"/>
        <v>121428</v>
      </c>
      <c r="I316" s="32">
        <f t="shared" si="77"/>
        <v>24846</v>
      </c>
      <c r="J316" s="32">
        <f t="shared" si="78"/>
        <v>0</v>
      </c>
      <c r="K316" s="32">
        <f t="shared" si="79"/>
        <v>0</v>
      </c>
      <c r="L316" s="32">
        <f t="shared" si="80"/>
        <v>96582</v>
      </c>
      <c r="M316" s="32">
        <f>0</f>
        <v>0</v>
      </c>
      <c r="N316" s="32">
        <f t="shared" si="81"/>
        <v>11829409</v>
      </c>
      <c r="O316" s="32">
        <f t="shared" si="82"/>
        <v>12709757</v>
      </c>
      <c r="P316" s="34" t="str">
        <f>IF(NOT(AND(T315="",A316&lt;=S315)),"",IF(FALSE,"繰上返済後再計算","")&amp;IF(AND(入力!$B$13="有効",A316&gt;1,MOD(A316-1,60)=0),IF(FALSE,"・","")&amp;"5年見直し","")&amp;IF(AND(A316=入力!$B$11,A316&gt;1),IF(OR(FALSE,AND(入力!$B$13="有効",A316&gt;1,MOD(A316-1,60)=0)),"・","")&amp;"金利変更","")&amp;IF(AND(OR(AND(入力!$B$13="有効",A316&gt;1,MOD(A316-1,60)=0),AND(A316=入力!$B$11,A316&gt;1)),入力!$B$14="有効",IF(E316=0,ROUND(C316/MAX(1,S315-A316+1),0),ROUND(-PMT(E316/12,MAX(1,S315-A316+1),C316),0))&gt;ROUND(G315*1.25,0),NOT(FALSE)),"・上限適用",""))</f>
        <v/>
      </c>
      <c r="Q316" s="35" t="str">
        <f>IF(AND(T315="",A316&lt;=S315),入力!$B$13,"")</f>
        <v>有効</v>
      </c>
      <c r="R316" s="32" t="str">
        <f>IF(AND(AND(T315="",A316&lt;=S315),OR(AND(入力!$B$13="有効",A316&gt;1,MOD(A316-1,60)=0),AND(A316=入力!$B$11,A316&gt;1)),入力!$B$14="有効"),ROUND(G315*1.25,0),"")</f>
        <v/>
      </c>
      <c r="S316" s="36">
        <f t="shared" si="83"/>
        <v>420</v>
      </c>
      <c r="T316" s="35" t="str">
        <f t="shared" si="84"/>
        <v/>
      </c>
      <c r="U316" s="3">
        <f t="shared" si="68"/>
        <v>0</v>
      </c>
      <c r="V316" s="3">
        <f t="shared" si="69"/>
        <v>0</v>
      </c>
      <c r="W316" s="3">
        <f t="shared" si="70"/>
        <v>0</v>
      </c>
      <c r="X316" s="3">
        <f t="shared" si="71"/>
        <v>0</v>
      </c>
      <c r="Y316" s="3">
        <f>0</f>
        <v>0</v>
      </c>
      <c r="Z316" s="3">
        <f t="shared" si="72"/>
        <v>0</v>
      </c>
      <c r="AA316">
        <f>ROUND(IF(FALSE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,0)</f>
        <v>121428</v>
      </c>
    </row>
    <row r="317" spans="1:27">
      <c r="A317" s="30">
        <f>312</f>
        <v>312</v>
      </c>
      <c r="B317" s="31">
        <f>EDATE(入力!$B$6,A317-1)</f>
        <v>55701</v>
      </c>
      <c r="C317" s="32">
        <f t="shared" si="73"/>
        <v>11829409</v>
      </c>
      <c r="D317" s="32">
        <f t="shared" si="74"/>
        <v>0</v>
      </c>
      <c r="E317" s="33">
        <f>IF(AND(T316="",A317&lt;=S316),IF(A317&lt;入力!$B$11,入力!$B$10,入力!$B$12),0)</f>
        <v>2.5000000000000001E-2</v>
      </c>
      <c r="F317" s="32">
        <f t="shared" si="75"/>
        <v>24645</v>
      </c>
      <c r="G317" s="32">
        <f>ROUND(IF(NOT(AND(T316="",A317&lt;=S316)),0,IF(FALSE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),0)</f>
        <v>121428</v>
      </c>
      <c r="H317" s="32">
        <f t="shared" si="76"/>
        <v>121428</v>
      </c>
      <c r="I317" s="32">
        <f t="shared" si="77"/>
        <v>24645</v>
      </c>
      <c r="J317" s="32">
        <f t="shared" si="78"/>
        <v>0</v>
      </c>
      <c r="K317" s="32">
        <f t="shared" si="79"/>
        <v>0</v>
      </c>
      <c r="L317" s="32">
        <f t="shared" si="80"/>
        <v>96783</v>
      </c>
      <c r="M317" s="32">
        <f>0</f>
        <v>0</v>
      </c>
      <c r="N317" s="32">
        <f t="shared" si="81"/>
        <v>11732626</v>
      </c>
      <c r="O317" s="32">
        <f t="shared" si="82"/>
        <v>12734402</v>
      </c>
      <c r="P317" s="34" t="str">
        <f>IF(NOT(AND(T316="",A317&lt;=S316)),"",IF(FALSE,"繰上返済後再計算","")&amp;IF(AND(入力!$B$13="有効",A317&gt;1,MOD(A317-1,60)=0),IF(FALSE,"・","")&amp;"5年見直し","")&amp;IF(AND(A317=入力!$B$11,A317&gt;1),IF(OR(FALSE,AND(入力!$B$13="有効",A317&gt;1,MOD(A317-1,60)=0)),"・","")&amp;"金利変更","")&amp;IF(AND(OR(AND(入力!$B$13="有効",A317&gt;1,MOD(A317-1,60)=0),AND(A317=入力!$B$11,A317&gt;1)),入力!$B$14="有効",IF(E317=0,ROUND(C317/MAX(1,S316-A317+1),0),ROUND(-PMT(E317/12,MAX(1,S316-A317+1),C317),0))&gt;ROUND(G316*1.25,0),NOT(FALSE)),"・上限適用",""))</f>
        <v/>
      </c>
      <c r="Q317" s="35" t="str">
        <f>IF(AND(T316="",A317&lt;=S316),入力!$B$13,"")</f>
        <v>有効</v>
      </c>
      <c r="R317" s="32" t="str">
        <f>IF(AND(AND(T316="",A317&lt;=S316),OR(AND(入力!$B$13="有効",A317&gt;1,MOD(A317-1,60)=0),AND(A317=入力!$B$11,A317&gt;1)),入力!$B$14="有効"),ROUND(G316*1.25,0),"")</f>
        <v/>
      </c>
      <c r="S317" s="36">
        <f t="shared" si="83"/>
        <v>420</v>
      </c>
      <c r="T317" s="35" t="str">
        <f t="shared" si="84"/>
        <v/>
      </c>
      <c r="U317" s="3">
        <f t="shared" si="68"/>
        <v>0</v>
      </c>
      <c r="V317" s="3">
        <f t="shared" si="69"/>
        <v>0</v>
      </c>
      <c r="W317" s="3">
        <f t="shared" si="70"/>
        <v>0</v>
      </c>
      <c r="X317" s="3">
        <f t="shared" si="71"/>
        <v>0</v>
      </c>
      <c r="Y317" s="3">
        <f>0</f>
        <v>0</v>
      </c>
      <c r="Z317" s="3">
        <f t="shared" si="72"/>
        <v>0</v>
      </c>
      <c r="AA317">
        <f>ROUND(IF(FALSE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,0)</f>
        <v>121428</v>
      </c>
    </row>
    <row r="318" spans="1:27">
      <c r="A318" s="30">
        <f>313</f>
        <v>313</v>
      </c>
      <c r="B318" s="31">
        <f>EDATE(入力!$B$6,A318-1)</f>
        <v>55732</v>
      </c>
      <c r="C318" s="32">
        <f t="shared" si="73"/>
        <v>11732626</v>
      </c>
      <c r="D318" s="32">
        <f t="shared" si="74"/>
        <v>0</v>
      </c>
      <c r="E318" s="33">
        <f>IF(AND(T317="",A318&lt;=S317),IF(A318&lt;入力!$B$11,入力!$B$10,入力!$B$12),0)</f>
        <v>2.5000000000000001E-2</v>
      </c>
      <c r="F318" s="32">
        <f t="shared" si="75"/>
        <v>24443</v>
      </c>
      <c r="G318" s="32">
        <f>ROUND(IF(NOT(AND(T317="",A318&lt;=S317)),0,IF(FALSE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),0)</f>
        <v>121428</v>
      </c>
      <c r="H318" s="32">
        <f t="shared" si="76"/>
        <v>121428</v>
      </c>
      <c r="I318" s="32">
        <f t="shared" si="77"/>
        <v>24443</v>
      </c>
      <c r="J318" s="32">
        <f t="shared" si="78"/>
        <v>0</v>
      </c>
      <c r="K318" s="32">
        <f t="shared" si="79"/>
        <v>0</v>
      </c>
      <c r="L318" s="32">
        <f t="shared" si="80"/>
        <v>96985</v>
      </c>
      <c r="M318" s="32">
        <f>0</f>
        <v>0</v>
      </c>
      <c r="N318" s="32">
        <f t="shared" si="81"/>
        <v>11635641</v>
      </c>
      <c r="O318" s="32">
        <f t="shared" si="82"/>
        <v>12758845</v>
      </c>
      <c r="P318" s="34" t="str">
        <f>IF(NOT(AND(T317="",A318&lt;=S317)),"",IF(FALSE,"繰上返済後再計算","")&amp;IF(AND(入力!$B$13="有効",A318&gt;1,MOD(A318-1,60)=0),IF(FALSE,"・","")&amp;"5年見直し","")&amp;IF(AND(A318=入力!$B$11,A318&gt;1),IF(OR(FALSE,AND(入力!$B$13="有効",A318&gt;1,MOD(A318-1,60)=0)),"・","")&amp;"金利変更","")&amp;IF(AND(OR(AND(入力!$B$13="有効",A318&gt;1,MOD(A318-1,60)=0),AND(A318=入力!$B$11,A318&gt;1)),入力!$B$14="有効",IF(E318=0,ROUND(C318/MAX(1,S317-A318+1),0),ROUND(-PMT(E318/12,MAX(1,S317-A318+1),C318),0))&gt;ROUND(G317*1.25,0),NOT(FALSE)),"・上限適用",""))</f>
        <v/>
      </c>
      <c r="Q318" s="35" t="str">
        <f>IF(AND(T317="",A318&lt;=S317),入力!$B$13,"")</f>
        <v>有効</v>
      </c>
      <c r="R318" s="32" t="str">
        <f>IF(AND(AND(T317="",A318&lt;=S317),OR(AND(入力!$B$13="有効",A318&gt;1,MOD(A318-1,60)=0),AND(A318=入力!$B$11,A318&gt;1)),入力!$B$14="有効"),ROUND(G317*1.25,0),"")</f>
        <v/>
      </c>
      <c r="S318" s="36">
        <f t="shared" si="83"/>
        <v>420</v>
      </c>
      <c r="T318" s="35" t="str">
        <f t="shared" si="84"/>
        <v/>
      </c>
      <c r="U318" s="3">
        <f t="shared" si="68"/>
        <v>0</v>
      </c>
      <c r="V318" s="3">
        <f t="shared" si="69"/>
        <v>0</v>
      </c>
      <c r="W318" s="3">
        <f t="shared" si="70"/>
        <v>0</v>
      </c>
      <c r="X318" s="3">
        <f t="shared" si="71"/>
        <v>0</v>
      </c>
      <c r="Y318" s="3">
        <f>0</f>
        <v>0</v>
      </c>
      <c r="Z318" s="3">
        <f t="shared" si="72"/>
        <v>0</v>
      </c>
      <c r="AA318">
        <f>ROUND(IF(FALSE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,0)</f>
        <v>121428</v>
      </c>
    </row>
    <row r="319" spans="1:27">
      <c r="A319" s="30">
        <f>314</f>
        <v>314</v>
      </c>
      <c r="B319" s="31">
        <f>EDATE(入力!$B$6,A319-1)</f>
        <v>55763</v>
      </c>
      <c r="C319" s="32">
        <f t="shared" si="73"/>
        <v>11635641</v>
      </c>
      <c r="D319" s="32">
        <f t="shared" si="74"/>
        <v>0</v>
      </c>
      <c r="E319" s="33">
        <f>IF(AND(T318="",A319&lt;=S318),IF(A319&lt;入力!$B$11,入力!$B$10,入力!$B$12),0)</f>
        <v>2.5000000000000001E-2</v>
      </c>
      <c r="F319" s="32">
        <f t="shared" si="75"/>
        <v>24241</v>
      </c>
      <c r="G319" s="32">
        <f>ROUND(IF(NOT(AND(T318="",A319&lt;=S318)),0,IF(FALSE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),0)</f>
        <v>121428</v>
      </c>
      <c r="H319" s="32">
        <f t="shared" si="76"/>
        <v>121428</v>
      </c>
      <c r="I319" s="32">
        <f t="shared" si="77"/>
        <v>24241</v>
      </c>
      <c r="J319" s="32">
        <f t="shared" si="78"/>
        <v>0</v>
      </c>
      <c r="K319" s="32">
        <f t="shared" si="79"/>
        <v>0</v>
      </c>
      <c r="L319" s="32">
        <f t="shared" si="80"/>
        <v>97187</v>
      </c>
      <c r="M319" s="32">
        <f>0</f>
        <v>0</v>
      </c>
      <c r="N319" s="32">
        <f t="shared" si="81"/>
        <v>11538454</v>
      </c>
      <c r="O319" s="32">
        <f t="shared" si="82"/>
        <v>12783086</v>
      </c>
      <c r="P319" s="34" t="str">
        <f>IF(NOT(AND(T318="",A319&lt;=S318)),"",IF(FALSE,"繰上返済後再計算","")&amp;IF(AND(入力!$B$13="有効",A319&gt;1,MOD(A319-1,60)=0),IF(FALSE,"・","")&amp;"5年見直し","")&amp;IF(AND(A319=入力!$B$11,A319&gt;1),IF(OR(FALSE,AND(入力!$B$13="有効",A319&gt;1,MOD(A319-1,60)=0)),"・","")&amp;"金利変更","")&amp;IF(AND(OR(AND(入力!$B$13="有効",A319&gt;1,MOD(A319-1,60)=0),AND(A319=入力!$B$11,A319&gt;1)),入力!$B$14="有効",IF(E319=0,ROUND(C319/MAX(1,S318-A319+1),0),ROUND(-PMT(E319/12,MAX(1,S318-A319+1),C319),0))&gt;ROUND(G318*1.25,0),NOT(FALSE)),"・上限適用",""))</f>
        <v/>
      </c>
      <c r="Q319" s="35" t="str">
        <f>IF(AND(T318="",A319&lt;=S318),入力!$B$13,"")</f>
        <v>有効</v>
      </c>
      <c r="R319" s="32" t="str">
        <f>IF(AND(AND(T318="",A319&lt;=S318),OR(AND(入力!$B$13="有効",A319&gt;1,MOD(A319-1,60)=0),AND(A319=入力!$B$11,A319&gt;1)),入力!$B$14="有効"),ROUND(G318*1.25,0),"")</f>
        <v/>
      </c>
      <c r="S319" s="36">
        <f t="shared" si="83"/>
        <v>420</v>
      </c>
      <c r="T319" s="35" t="str">
        <f t="shared" si="84"/>
        <v/>
      </c>
      <c r="U319" s="3">
        <f t="shared" si="68"/>
        <v>0</v>
      </c>
      <c r="V319" s="3">
        <f t="shared" si="69"/>
        <v>0</v>
      </c>
      <c r="W319" s="3">
        <f t="shared" si="70"/>
        <v>0</v>
      </c>
      <c r="X319" s="3">
        <f t="shared" si="71"/>
        <v>0</v>
      </c>
      <c r="Y319" s="3">
        <f>0</f>
        <v>0</v>
      </c>
      <c r="Z319" s="3">
        <f t="shared" si="72"/>
        <v>0</v>
      </c>
      <c r="AA319">
        <f>ROUND(IF(FALSE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,0)</f>
        <v>121428</v>
      </c>
    </row>
    <row r="320" spans="1:27">
      <c r="A320" s="30">
        <f>315</f>
        <v>315</v>
      </c>
      <c r="B320" s="31">
        <f>EDATE(入力!$B$6,A320-1)</f>
        <v>55793</v>
      </c>
      <c r="C320" s="32">
        <f t="shared" si="73"/>
        <v>11538454</v>
      </c>
      <c r="D320" s="32">
        <f t="shared" si="74"/>
        <v>0</v>
      </c>
      <c r="E320" s="33">
        <f>IF(AND(T319="",A320&lt;=S319),IF(A320&lt;入力!$B$11,入力!$B$10,入力!$B$12),0)</f>
        <v>2.5000000000000001E-2</v>
      </c>
      <c r="F320" s="32">
        <f t="shared" si="75"/>
        <v>24038</v>
      </c>
      <c r="G320" s="32">
        <f>ROUND(IF(NOT(AND(T319="",A320&lt;=S319)),0,IF(FALSE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),0)</f>
        <v>121428</v>
      </c>
      <c r="H320" s="32">
        <f t="shared" si="76"/>
        <v>121428</v>
      </c>
      <c r="I320" s="32">
        <f t="shared" si="77"/>
        <v>24038</v>
      </c>
      <c r="J320" s="32">
        <f t="shared" si="78"/>
        <v>0</v>
      </c>
      <c r="K320" s="32">
        <f t="shared" si="79"/>
        <v>0</v>
      </c>
      <c r="L320" s="32">
        <f t="shared" si="80"/>
        <v>97390</v>
      </c>
      <c r="M320" s="32">
        <f>0</f>
        <v>0</v>
      </c>
      <c r="N320" s="32">
        <f t="shared" si="81"/>
        <v>11441064</v>
      </c>
      <c r="O320" s="32">
        <f t="shared" si="82"/>
        <v>12807124</v>
      </c>
      <c r="P320" s="34" t="str">
        <f>IF(NOT(AND(T319="",A320&lt;=S319)),"",IF(FALSE,"繰上返済後再計算","")&amp;IF(AND(入力!$B$13="有効",A320&gt;1,MOD(A320-1,60)=0),IF(FALSE,"・","")&amp;"5年見直し","")&amp;IF(AND(A320=入力!$B$11,A320&gt;1),IF(OR(FALSE,AND(入力!$B$13="有効",A320&gt;1,MOD(A320-1,60)=0)),"・","")&amp;"金利変更","")&amp;IF(AND(OR(AND(入力!$B$13="有効",A320&gt;1,MOD(A320-1,60)=0),AND(A320=入力!$B$11,A320&gt;1)),入力!$B$14="有効",IF(E320=0,ROUND(C320/MAX(1,S319-A320+1),0),ROUND(-PMT(E320/12,MAX(1,S319-A320+1),C320),0))&gt;ROUND(G319*1.25,0),NOT(FALSE)),"・上限適用",""))</f>
        <v/>
      </c>
      <c r="Q320" s="35" t="str">
        <f>IF(AND(T319="",A320&lt;=S319),入力!$B$13,"")</f>
        <v>有効</v>
      </c>
      <c r="R320" s="32" t="str">
        <f>IF(AND(AND(T319="",A320&lt;=S319),OR(AND(入力!$B$13="有効",A320&gt;1,MOD(A320-1,60)=0),AND(A320=入力!$B$11,A320&gt;1)),入力!$B$14="有効"),ROUND(G319*1.25,0),"")</f>
        <v/>
      </c>
      <c r="S320" s="36">
        <f t="shared" si="83"/>
        <v>420</v>
      </c>
      <c r="T320" s="35" t="str">
        <f t="shared" si="84"/>
        <v/>
      </c>
      <c r="U320" s="3">
        <f t="shared" si="68"/>
        <v>0</v>
      </c>
      <c r="V320" s="3">
        <f t="shared" si="69"/>
        <v>0</v>
      </c>
      <c r="W320" s="3">
        <f t="shared" si="70"/>
        <v>0</v>
      </c>
      <c r="X320" s="3">
        <f t="shared" si="71"/>
        <v>0</v>
      </c>
      <c r="Y320" s="3">
        <f>0</f>
        <v>0</v>
      </c>
      <c r="Z320" s="3">
        <f t="shared" si="72"/>
        <v>0</v>
      </c>
      <c r="AA320">
        <f>ROUND(IF(FALSE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,0)</f>
        <v>121428</v>
      </c>
    </row>
    <row r="321" spans="1:27">
      <c r="A321" s="30">
        <f>316</f>
        <v>316</v>
      </c>
      <c r="B321" s="31">
        <f>EDATE(入力!$B$6,A321-1)</f>
        <v>55824</v>
      </c>
      <c r="C321" s="32">
        <f t="shared" si="73"/>
        <v>11441064</v>
      </c>
      <c r="D321" s="32">
        <f t="shared" si="74"/>
        <v>0</v>
      </c>
      <c r="E321" s="33">
        <f>IF(AND(T320="",A321&lt;=S320),IF(A321&lt;入力!$B$11,入力!$B$10,入力!$B$12),0)</f>
        <v>2.5000000000000001E-2</v>
      </c>
      <c r="F321" s="32">
        <f t="shared" si="75"/>
        <v>23836</v>
      </c>
      <c r="G321" s="32">
        <f>ROUND(IF(NOT(AND(T320="",A321&lt;=S320)),0,IF(FALSE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),0)</f>
        <v>121428</v>
      </c>
      <c r="H321" s="32">
        <f t="shared" si="76"/>
        <v>121428</v>
      </c>
      <c r="I321" s="32">
        <f t="shared" si="77"/>
        <v>23836</v>
      </c>
      <c r="J321" s="32">
        <f t="shared" si="78"/>
        <v>0</v>
      </c>
      <c r="K321" s="32">
        <f t="shared" si="79"/>
        <v>0</v>
      </c>
      <c r="L321" s="32">
        <f t="shared" si="80"/>
        <v>97592</v>
      </c>
      <c r="M321" s="32">
        <f>0</f>
        <v>0</v>
      </c>
      <c r="N321" s="32">
        <f t="shared" si="81"/>
        <v>11343472</v>
      </c>
      <c r="O321" s="32">
        <f t="shared" si="82"/>
        <v>12830960</v>
      </c>
      <c r="P321" s="34" t="str">
        <f>IF(NOT(AND(T320="",A321&lt;=S320)),"",IF(FALSE,"繰上返済後再計算","")&amp;IF(AND(入力!$B$13="有効",A321&gt;1,MOD(A321-1,60)=0),IF(FALSE,"・","")&amp;"5年見直し","")&amp;IF(AND(A321=入力!$B$11,A321&gt;1),IF(OR(FALSE,AND(入力!$B$13="有効",A321&gt;1,MOD(A321-1,60)=0)),"・","")&amp;"金利変更","")&amp;IF(AND(OR(AND(入力!$B$13="有効",A321&gt;1,MOD(A321-1,60)=0),AND(A321=入力!$B$11,A321&gt;1)),入力!$B$14="有効",IF(E321=0,ROUND(C321/MAX(1,S320-A321+1),0),ROUND(-PMT(E321/12,MAX(1,S320-A321+1),C321),0))&gt;ROUND(G320*1.25,0),NOT(FALSE)),"・上限適用",""))</f>
        <v/>
      </c>
      <c r="Q321" s="35" t="str">
        <f>IF(AND(T320="",A321&lt;=S320),入力!$B$13,"")</f>
        <v>有効</v>
      </c>
      <c r="R321" s="32" t="str">
        <f>IF(AND(AND(T320="",A321&lt;=S320),OR(AND(入力!$B$13="有効",A321&gt;1,MOD(A321-1,60)=0),AND(A321=入力!$B$11,A321&gt;1)),入力!$B$14="有効"),ROUND(G320*1.25,0),"")</f>
        <v/>
      </c>
      <c r="S321" s="36">
        <f t="shared" si="83"/>
        <v>420</v>
      </c>
      <c r="T321" s="35" t="str">
        <f t="shared" si="84"/>
        <v/>
      </c>
      <c r="U321" s="3">
        <f t="shared" si="68"/>
        <v>0</v>
      </c>
      <c r="V321" s="3">
        <f t="shared" si="69"/>
        <v>0</v>
      </c>
      <c r="W321" s="3">
        <f t="shared" si="70"/>
        <v>0</v>
      </c>
      <c r="X321" s="3">
        <f t="shared" si="71"/>
        <v>0</v>
      </c>
      <c r="Y321" s="3">
        <f>0</f>
        <v>0</v>
      </c>
      <c r="Z321" s="3">
        <f t="shared" si="72"/>
        <v>0</v>
      </c>
      <c r="AA321">
        <f>ROUND(IF(FALSE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,0)</f>
        <v>121428</v>
      </c>
    </row>
    <row r="322" spans="1:27">
      <c r="A322" s="30">
        <f>317</f>
        <v>317</v>
      </c>
      <c r="B322" s="31">
        <f>EDATE(入力!$B$6,A322-1)</f>
        <v>55854</v>
      </c>
      <c r="C322" s="32">
        <f t="shared" si="73"/>
        <v>11343472</v>
      </c>
      <c r="D322" s="32">
        <f t="shared" si="74"/>
        <v>0</v>
      </c>
      <c r="E322" s="33">
        <f>IF(AND(T321="",A322&lt;=S321),IF(A322&lt;入力!$B$11,入力!$B$10,入力!$B$12),0)</f>
        <v>2.5000000000000001E-2</v>
      </c>
      <c r="F322" s="32">
        <f t="shared" si="75"/>
        <v>23632</v>
      </c>
      <c r="G322" s="32">
        <f>ROUND(IF(NOT(AND(T321="",A322&lt;=S321)),0,IF(FALSE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),0)</f>
        <v>121428</v>
      </c>
      <c r="H322" s="32">
        <f t="shared" si="76"/>
        <v>121428</v>
      </c>
      <c r="I322" s="32">
        <f t="shared" si="77"/>
        <v>23632</v>
      </c>
      <c r="J322" s="32">
        <f t="shared" si="78"/>
        <v>0</v>
      </c>
      <c r="K322" s="32">
        <f t="shared" si="79"/>
        <v>0</v>
      </c>
      <c r="L322" s="32">
        <f t="shared" si="80"/>
        <v>97796</v>
      </c>
      <c r="M322" s="32">
        <f>0</f>
        <v>0</v>
      </c>
      <c r="N322" s="32">
        <f t="shared" si="81"/>
        <v>11245676</v>
      </c>
      <c r="O322" s="32">
        <f t="shared" si="82"/>
        <v>12854592</v>
      </c>
      <c r="P322" s="34" t="str">
        <f>IF(NOT(AND(T321="",A322&lt;=S321)),"",IF(FALSE,"繰上返済後再計算","")&amp;IF(AND(入力!$B$13="有効",A322&gt;1,MOD(A322-1,60)=0),IF(FALSE,"・","")&amp;"5年見直し","")&amp;IF(AND(A322=入力!$B$11,A322&gt;1),IF(OR(FALSE,AND(入力!$B$13="有効",A322&gt;1,MOD(A322-1,60)=0)),"・","")&amp;"金利変更","")&amp;IF(AND(OR(AND(入力!$B$13="有効",A322&gt;1,MOD(A322-1,60)=0),AND(A322=入力!$B$11,A322&gt;1)),入力!$B$14="有効",IF(E322=0,ROUND(C322/MAX(1,S321-A322+1),0),ROUND(-PMT(E322/12,MAX(1,S321-A322+1),C322),0))&gt;ROUND(G321*1.25,0),NOT(FALSE)),"・上限適用",""))</f>
        <v/>
      </c>
      <c r="Q322" s="35" t="str">
        <f>IF(AND(T321="",A322&lt;=S321),入力!$B$13,"")</f>
        <v>有効</v>
      </c>
      <c r="R322" s="32" t="str">
        <f>IF(AND(AND(T321="",A322&lt;=S321),OR(AND(入力!$B$13="有効",A322&gt;1,MOD(A322-1,60)=0),AND(A322=入力!$B$11,A322&gt;1)),入力!$B$14="有効"),ROUND(G321*1.25,0),"")</f>
        <v/>
      </c>
      <c r="S322" s="36">
        <f t="shared" si="83"/>
        <v>420</v>
      </c>
      <c r="T322" s="35" t="str">
        <f t="shared" si="84"/>
        <v/>
      </c>
      <c r="U322" s="3">
        <f t="shared" si="68"/>
        <v>0</v>
      </c>
      <c r="V322" s="3">
        <f t="shared" si="69"/>
        <v>0</v>
      </c>
      <c r="W322" s="3">
        <f t="shared" si="70"/>
        <v>0</v>
      </c>
      <c r="X322" s="3">
        <f t="shared" si="71"/>
        <v>0</v>
      </c>
      <c r="Y322" s="3">
        <f>0</f>
        <v>0</v>
      </c>
      <c r="Z322" s="3">
        <f t="shared" si="72"/>
        <v>0</v>
      </c>
      <c r="AA322">
        <f>ROUND(IF(FALSE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,0)</f>
        <v>121428</v>
      </c>
    </row>
    <row r="323" spans="1:27">
      <c r="A323" s="30">
        <f>318</f>
        <v>318</v>
      </c>
      <c r="B323" s="31">
        <f>EDATE(入力!$B$6,A323-1)</f>
        <v>55885</v>
      </c>
      <c r="C323" s="32">
        <f t="shared" si="73"/>
        <v>11245676</v>
      </c>
      <c r="D323" s="32">
        <f t="shared" si="74"/>
        <v>0</v>
      </c>
      <c r="E323" s="33">
        <f>IF(AND(T322="",A323&lt;=S322),IF(A323&lt;入力!$B$11,入力!$B$10,入力!$B$12),0)</f>
        <v>2.5000000000000001E-2</v>
      </c>
      <c r="F323" s="32">
        <f t="shared" si="75"/>
        <v>23428</v>
      </c>
      <c r="G323" s="32">
        <f>ROUND(IF(NOT(AND(T322="",A323&lt;=S322)),0,IF(FALSE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),0)</f>
        <v>121428</v>
      </c>
      <c r="H323" s="32">
        <f t="shared" si="76"/>
        <v>121428</v>
      </c>
      <c r="I323" s="32">
        <f t="shared" si="77"/>
        <v>23428</v>
      </c>
      <c r="J323" s="32">
        <f t="shared" si="78"/>
        <v>0</v>
      </c>
      <c r="K323" s="32">
        <f t="shared" si="79"/>
        <v>0</v>
      </c>
      <c r="L323" s="32">
        <f t="shared" si="80"/>
        <v>98000</v>
      </c>
      <c r="M323" s="32">
        <f>0</f>
        <v>0</v>
      </c>
      <c r="N323" s="32">
        <f t="shared" si="81"/>
        <v>11147676</v>
      </c>
      <c r="O323" s="32">
        <f t="shared" si="82"/>
        <v>12878020</v>
      </c>
      <c r="P323" s="34" t="str">
        <f>IF(NOT(AND(T322="",A323&lt;=S322)),"",IF(FALSE,"繰上返済後再計算","")&amp;IF(AND(入力!$B$13="有効",A323&gt;1,MOD(A323-1,60)=0),IF(FALSE,"・","")&amp;"5年見直し","")&amp;IF(AND(A323=入力!$B$11,A323&gt;1),IF(OR(FALSE,AND(入力!$B$13="有効",A323&gt;1,MOD(A323-1,60)=0)),"・","")&amp;"金利変更","")&amp;IF(AND(OR(AND(入力!$B$13="有効",A323&gt;1,MOD(A323-1,60)=0),AND(A323=入力!$B$11,A323&gt;1)),入力!$B$14="有効",IF(E323=0,ROUND(C323/MAX(1,S322-A323+1),0),ROUND(-PMT(E323/12,MAX(1,S322-A323+1),C323),0))&gt;ROUND(G322*1.25,0),NOT(FALSE)),"・上限適用",""))</f>
        <v/>
      </c>
      <c r="Q323" s="35" t="str">
        <f>IF(AND(T322="",A323&lt;=S322),入力!$B$13,"")</f>
        <v>有効</v>
      </c>
      <c r="R323" s="32" t="str">
        <f>IF(AND(AND(T322="",A323&lt;=S322),OR(AND(入力!$B$13="有効",A323&gt;1,MOD(A323-1,60)=0),AND(A323=入力!$B$11,A323&gt;1)),入力!$B$14="有効"),ROUND(G322*1.25,0),"")</f>
        <v/>
      </c>
      <c r="S323" s="36">
        <f t="shared" si="83"/>
        <v>420</v>
      </c>
      <c r="T323" s="35" t="str">
        <f t="shared" si="84"/>
        <v/>
      </c>
      <c r="U323" s="3">
        <f t="shared" si="68"/>
        <v>0</v>
      </c>
      <c r="V323" s="3">
        <f t="shared" si="69"/>
        <v>0</v>
      </c>
      <c r="W323" s="3">
        <f t="shared" si="70"/>
        <v>0</v>
      </c>
      <c r="X323" s="3">
        <f t="shared" si="71"/>
        <v>0</v>
      </c>
      <c r="Y323" s="3">
        <f>0</f>
        <v>0</v>
      </c>
      <c r="Z323" s="3">
        <f t="shared" si="72"/>
        <v>0</v>
      </c>
      <c r="AA323">
        <f>ROUND(IF(FALSE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,0)</f>
        <v>121428</v>
      </c>
    </row>
    <row r="324" spans="1:27">
      <c r="A324" s="30">
        <f>319</f>
        <v>319</v>
      </c>
      <c r="B324" s="31">
        <f>EDATE(入力!$B$6,A324-1)</f>
        <v>55916</v>
      </c>
      <c r="C324" s="32">
        <f t="shared" si="73"/>
        <v>11147676</v>
      </c>
      <c r="D324" s="32">
        <f t="shared" si="74"/>
        <v>0</v>
      </c>
      <c r="E324" s="33">
        <f>IF(AND(T323="",A324&lt;=S323),IF(A324&lt;入力!$B$11,入力!$B$10,入力!$B$12),0)</f>
        <v>2.5000000000000001E-2</v>
      </c>
      <c r="F324" s="32">
        <f t="shared" si="75"/>
        <v>23224</v>
      </c>
      <c r="G324" s="32">
        <f>ROUND(IF(NOT(AND(T323="",A324&lt;=S323)),0,IF(FALSE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),0)</f>
        <v>121428</v>
      </c>
      <c r="H324" s="32">
        <f t="shared" si="76"/>
        <v>121428</v>
      </c>
      <c r="I324" s="32">
        <f t="shared" si="77"/>
        <v>23224</v>
      </c>
      <c r="J324" s="32">
        <f t="shared" si="78"/>
        <v>0</v>
      </c>
      <c r="K324" s="32">
        <f t="shared" si="79"/>
        <v>0</v>
      </c>
      <c r="L324" s="32">
        <f t="shared" si="80"/>
        <v>98204</v>
      </c>
      <c r="M324" s="32">
        <f>0</f>
        <v>0</v>
      </c>
      <c r="N324" s="32">
        <f t="shared" si="81"/>
        <v>11049472</v>
      </c>
      <c r="O324" s="32">
        <f t="shared" si="82"/>
        <v>12901244</v>
      </c>
      <c r="P324" s="34" t="str">
        <f>IF(NOT(AND(T323="",A324&lt;=S323)),"",IF(FALSE,"繰上返済後再計算","")&amp;IF(AND(入力!$B$13="有効",A324&gt;1,MOD(A324-1,60)=0),IF(FALSE,"・","")&amp;"5年見直し","")&amp;IF(AND(A324=入力!$B$11,A324&gt;1),IF(OR(FALSE,AND(入力!$B$13="有効",A324&gt;1,MOD(A324-1,60)=0)),"・","")&amp;"金利変更","")&amp;IF(AND(OR(AND(入力!$B$13="有効",A324&gt;1,MOD(A324-1,60)=0),AND(A324=入力!$B$11,A324&gt;1)),入力!$B$14="有効",IF(E324=0,ROUND(C324/MAX(1,S323-A324+1),0),ROUND(-PMT(E324/12,MAX(1,S323-A324+1),C324),0))&gt;ROUND(G323*1.25,0),NOT(FALSE)),"・上限適用",""))</f>
        <v/>
      </c>
      <c r="Q324" s="35" t="str">
        <f>IF(AND(T323="",A324&lt;=S323),入力!$B$13,"")</f>
        <v>有効</v>
      </c>
      <c r="R324" s="32" t="str">
        <f>IF(AND(AND(T323="",A324&lt;=S323),OR(AND(入力!$B$13="有効",A324&gt;1,MOD(A324-1,60)=0),AND(A324=入力!$B$11,A324&gt;1)),入力!$B$14="有効"),ROUND(G323*1.25,0),"")</f>
        <v/>
      </c>
      <c r="S324" s="36">
        <f t="shared" si="83"/>
        <v>420</v>
      </c>
      <c r="T324" s="35" t="str">
        <f t="shared" si="84"/>
        <v/>
      </c>
      <c r="U324" s="3">
        <f t="shared" si="68"/>
        <v>0</v>
      </c>
      <c r="V324" s="3">
        <f t="shared" si="69"/>
        <v>0</v>
      </c>
      <c r="W324" s="3">
        <f t="shared" si="70"/>
        <v>0</v>
      </c>
      <c r="X324" s="3">
        <f t="shared" si="71"/>
        <v>0</v>
      </c>
      <c r="Y324" s="3">
        <f>0</f>
        <v>0</v>
      </c>
      <c r="Z324" s="3">
        <f t="shared" si="72"/>
        <v>0</v>
      </c>
      <c r="AA324">
        <f>ROUND(IF(FALSE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,0)</f>
        <v>121428</v>
      </c>
    </row>
    <row r="325" spans="1:27">
      <c r="A325" s="30">
        <f>320</f>
        <v>320</v>
      </c>
      <c r="B325" s="31">
        <f>EDATE(入力!$B$6,A325-1)</f>
        <v>55944</v>
      </c>
      <c r="C325" s="32">
        <f t="shared" si="73"/>
        <v>11049472</v>
      </c>
      <c r="D325" s="32">
        <f t="shared" si="74"/>
        <v>0</v>
      </c>
      <c r="E325" s="33">
        <f>IF(AND(T324="",A325&lt;=S324),IF(A325&lt;入力!$B$11,入力!$B$10,入力!$B$12),0)</f>
        <v>2.5000000000000001E-2</v>
      </c>
      <c r="F325" s="32">
        <f t="shared" si="75"/>
        <v>23020</v>
      </c>
      <c r="G325" s="32">
        <f>ROUND(IF(NOT(AND(T324="",A325&lt;=S324)),0,IF(FALSE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),0)</f>
        <v>121428</v>
      </c>
      <c r="H325" s="32">
        <f t="shared" si="76"/>
        <v>121428</v>
      </c>
      <c r="I325" s="32">
        <f t="shared" si="77"/>
        <v>23020</v>
      </c>
      <c r="J325" s="32">
        <f t="shared" si="78"/>
        <v>0</v>
      </c>
      <c r="K325" s="32">
        <f t="shared" si="79"/>
        <v>0</v>
      </c>
      <c r="L325" s="32">
        <f t="shared" si="80"/>
        <v>98408</v>
      </c>
      <c r="M325" s="32">
        <f>0</f>
        <v>0</v>
      </c>
      <c r="N325" s="32">
        <f t="shared" si="81"/>
        <v>10951064</v>
      </c>
      <c r="O325" s="32">
        <f t="shared" si="82"/>
        <v>12924264</v>
      </c>
      <c r="P325" s="34" t="str">
        <f>IF(NOT(AND(T324="",A325&lt;=S324)),"",IF(FALSE,"繰上返済後再計算","")&amp;IF(AND(入力!$B$13="有効",A325&gt;1,MOD(A325-1,60)=0),IF(FALSE,"・","")&amp;"5年見直し","")&amp;IF(AND(A325=入力!$B$11,A325&gt;1),IF(OR(FALSE,AND(入力!$B$13="有効",A325&gt;1,MOD(A325-1,60)=0)),"・","")&amp;"金利変更","")&amp;IF(AND(OR(AND(入力!$B$13="有効",A325&gt;1,MOD(A325-1,60)=0),AND(A325=入力!$B$11,A325&gt;1)),入力!$B$14="有効",IF(E325=0,ROUND(C325/MAX(1,S324-A325+1),0),ROUND(-PMT(E325/12,MAX(1,S324-A325+1),C325),0))&gt;ROUND(G324*1.25,0),NOT(FALSE)),"・上限適用",""))</f>
        <v/>
      </c>
      <c r="Q325" s="35" t="str">
        <f>IF(AND(T324="",A325&lt;=S324),入力!$B$13,"")</f>
        <v>有効</v>
      </c>
      <c r="R325" s="32" t="str">
        <f>IF(AND(AND(T324="",A325&lt;=S324),OR(AND(入力!$B$13="有効",A325&gt;1,MOD(A325-1,60)=0),AND(A325=入力!$B$11,A325&gt;1)),入力!$B$14="有効"),ROUND(G324*1.25,0),"")</f>
        <v/>
      </c>
      <c r="S325" s="36">
        <f t="shared" si="83"/>
        <v>420</v>
      </c>
      <c r="T325" s="35" t="str">
        <f t="shared" si="84"/>
        <v/>
      </c>
      <c r="U325" s="3">
        <f t="shared" si="68"/>
        <v>0</v>
      </c>
      <c r="V325" s="3">
        <f t="shared" si="69"/>
        <v>0</v>
      </c>
      <c r="W325" s="3">
        <f t="shared" si="70"/>
        <v>0</v>
      </c>
      <c r="X325" s="3">
        <f t="shared" si="71"/>
        <v>0</v>
      </c>
      <c r="Y325" s="3">
        <f>0</f>
        <v>0</v>
      </c>
      <c r="Z325" s="3">
        <f t="shared" si="72"/>
        <v>0</v>
      </c>
      <c r="AA325">
        <f>ROUND(IF(FALSE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,0)</f>
        <v>121428</v>
      </c>
    </row>
    <row r="326" spans="1:27">
      <c r="A326" s="30">
        <f>321</f>
        <v>321</v>
      </c>
      <c r="B326" s="31">
        <f>EDATE(入力!$B$6,A326-1)</f>
        <v>55975</v>
      </c>
      <c r="C326" s="32">
        <f t="shared" si="73"/>
        <v>10951064</v>
      </c>
      <c r="D326" s="32">
        <f t="shared" si="74"/>
        <v>0</v>
      </c>
      <c r="E326" s="33">
        <f>IF(AND(T325="",A326&lt;=S325),IF(A326&lt;入力!$B$11,入力!$B$10,入力!$B$12),0)</f>
        <v>2.5000000000000001E-2</v>
      </c>
      <c r="F326" s="32">
        <f t="shared" si="75"/>
        <v>22815</v>
      </c>
      <c r="G326" s="32">
        <f>ROUND(IF(NOT(AND(T325="",A326&lt;=S325)),0,IF(FALSE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),0)</f>
        <v>121428</v>
      </c>
      <c r="H326" s="32">
        <f t="shared" si="76"/>
        <v>121428</v>
      </c>
      <c r="I326" s="32">
        <f t="shared" si="77"/>
        <v>22815</v>
      </c>
      <c r="J326" s="32">
        <f t="shared" si="78"/>
        <v>0</v>
      </c>
      <c r="K326" s="32">
        <f t="shared" si="79"/>
        <v>0</v>
      </c>
      <c r="L326" s="32">
        <f t="shared" si="80"/>
        <v>98613</v>
      </c>
      <c r="M326" s="32">
        <f>0</f>
        <v>0</v>
      </c>
      <c r="N326" s="32">
        <f t="shared" si="81"/>
        <v>10852451</v>
      </c>
      <c r="O326" s="32">
        <f t="shared" si="82"/>
        <v>12947079</v>
      </c>
      <c r="P326" s="34" t="str">
        <f>IF(NOT(AND(T325="",A326&lt;=S325)),"",IF(FALSE,"繰上返済後再計算","")&amp;IF(AND(入力!$B$13="有効",A326&gt;1,MOD(A326-1,60)=0),IF(FALSE,"・","")&amp;"5年見直し","")&amp;IF(AND(A326=入力!$B$11,A326&gt;1),IF(OR(FALSE,AND(入力!$B$13="有効",A326&gt;1,MOD(A326-1,60)=0)),"・","")&amp;"金利変更","")&amp;IF(AND(OR(AND(入力!$B$13="有効",A326&gt;1,MOD(A326-1,60)=0),AND(A326=入力!$B$11,A326&gt;1)),入力!$B$14="有効",IF(E326=0,ROUND(C326/MAX(1,S325-A326+1),0),ROUND(-PMT(E326/12,MAX(1,S325-A326+1),C326),0))&gt;ROUND(G325*1.25,0),NOT(FALSE)),"・上限適用",""))</f>
        <v/>
      </c>
      <c r="Q326" s="35" t="str">
        <f>IF(AND(T325="",A326&lt;=S325),入力!$B$13,"")</f>
        <v>有効</v>
      </c>
      <c r="R326" s="32" t="str">
        <f>IF(AND(AND(T325="",A326&lt;=S325),OR(AND(入力!$B$13="有効",A326&gt;1,MOD(A326-1,60)=0),AND(A326=入力!$B$11,A326&gt;1)),入力!$B$14="有効"),ROUND(G325*1.25,0),"")</f>
        <v/>
      </c>
      <c r="S326" s="36">
        <f t="shared" si="83"/>
        <v>420</v>
      </c>
      <c r="T326" s="35" t="str">
        <f t="shared" si="84"/>
        <v/>
      </c>
      <c r="U326" s="3">
        <f t="shared" ref="U326:U389" si="85">ABS(I326-MIN(H326,D326+F326))</f>
        <v>0</v>
      </c>
      <c r="V326" s="3">
        <f t="shared" ref="V326:V389" si="86">ABS(L326-(H326-I326))</f>
        <v>0</v>
      </c>
      <c r="W326" s="3">
        <f t="shared" ref="W326:W389" si="87">ABS(K326-(D326+J326))</f>
        <v>0</v>
      </c>
      <c r="X326" s="3">
        <f t="shared" ref="X326:X389" si="88">ABS(F326-ROUND(F326,0))+ABS(G326-ROUND(G326,0))+ABS(H326-ROUND(H326,0))+ABS(I326-ROUND(I326,0))+ABS(J326-ROUND(J326,0))+ABS(K326-ROUND(K326,0))+ABS(L326-ROUND(L326,0))+ABS(M326-ROUND(M326,0))+ABS(N326-ROUND(N326,0))+ABS(O326-ROUND(O326,0))</f>
        <v>0</v>
      </c>
      <c r="Y326" s="3">
        <f>0</f>
        <v>0</v>
      </c>
      <c r="Z326" s="3">
        <f t="shared" ref="Z326:Z389" si="89">SUM(--ISERROR(A326),--ISERROR(B326),--ISERROR(C326),--ISERROR(D326),--ISERROR(E326),--ISERROR(F326),--ISERROR(G326),--ISERROR(H326),--ISERROR(I326),--ISERROR(J326),--ISERROR(K326),--ISERROR(L326),--ISERROR(M326),--ISERROR(N326),--ISERROR(O326),--ISERROR(P326),--ISERROR(Q326),--ISERROR(R326),--ISERROR(S326),--ISERROR(T326))</f>
        <v>0</v>
      </c>
      <c r="AA326">
        <f>ROUND(IF(FALSE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,0)</f>
        <v>121428</v>
      </c>
    </row>
    <row r="327" spans="1:27">
      <c r="A327" s="30">
        <f>322</f>
        <v>322</v>
      </c>
      <c r="B327" s="31">
        <f>EDATE(入力!$B$6,A327-1)</f>
        <v>56005</v>
      </c>
      <c r="C327" s="32">
        <f t="shared" ref="C327:C390" si="90">IF(AND(T326="",A327&lt;=S326),N326,0)</f>
        <v>10852451</v>
      </c>
      <c r="D327" s="32">
        <f t="shared" ref="D327:D390" si="91">IF(AND(T326="",A327&lt;=S326),K326,0)</f>
        <v>0</v>
      </c>
      <c r="E327" s="33">
        <f>IF(AND(T326="",A327&lt;=S326),IF(A327&lt;入力!$B$11,入力!$B$10,入力!$B$12),0)</f>
        <v>2.5000000000000001E-2</v>
      </c>
      <c r="F327" s="32">
        <f t="shared" ref="F327:F390" si="92">IF(AND(T326="",A327&lt;=S326),ROUND(C327*E327/12,0),0)</f>
        <v>22609</v>
      </c>
      <c r="G327" s="32">
        <f>ROUND(IF(NOT(AND(T326="",A327&lt;=S326)),0,IF(FALSE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),0)</f>
        <v>121428</v>
      </c>
      <c r="H327" s="32">
        <f t="shared" ref="H327:H390" si="93">IF(AND(T326="",A327&lt;=S326),ROUND(MIN(G327,C327+D327+F327),0),0)</f>
        <v>121428</v>
      </c>
      <c r="I327" s="32">
        <f t="shared" ref="I327:I390" si="94">IF(AND(T326="",A327&lt;=S326),ROUND(MIN(H327,D327+F327),0),0)</f>
        <v>22609</v>
      </c>
      <c r="J327" s="32">
        <f t="shared" ref="J327:J390" si="95">IF(AND(T326="",A327&lt;=S326),ROUND(F327-I327,0),0)</f>
        <v>0</v>
      </c>
      <c r="K327" s="32">
        <f t="shared" ref="K327:K390" si="96">IF(AND(T326="",A327&lt;=S326),ROUND(D327+J327,0),0)</f>
        <v>0</v>
      </c>
      <c r="L327" s="32">
        <f t="shared" ref="L327:L390" si="97">IF(AND(T326="",A327&lt;=S326),ROUND(H327-I327,0),0)</f>
        <v>98819</v>
      </c>
      <c r="M327" s="32">
        <f>0</f>
        <v>0</v>
      </c>
      <c r="N327" s="32">
        <f t="shared" ref="N327:N390" si="98">IF(AND(T326="",A327&lt;=S326),ROUND(MAX(0,C327-L327-M327),0),0)</f>
        <v>10753632</v>
      </c>
      <c r="O327" s="32">
        <f t="shared" ref="O327:O390" si="99">IF(AND(T326="",A327&lt;=S326),ROUND(O326+F327,0),O326)</f>
        <v>12969688</v>
      </c>
      <c r="P327" s="34" t="str">
        <f>IF(NOT(AND(T326="",A327&lt;=S326)),"",IF(FALSE,"繰上返済後再計算","")&amp;IF(AND(入力!$B$13="有効",A327&gt;1,MOD(A327-1,60)=0),IF(FALSE,"・","")&amp;"5年見直し","")&amp;IF(AND(A327=入力!$B$11,A327&gt;1),IF(OR(FALSE,AND(入力!$B$13="有効",A327&gt;1,MOD(A327-1,60)=0)),"・","")&amp;"金利変更","")&amp;IF(AND(OR(AND(入力!$B$13="有効",A327&gt;1,MOD(A327-1,60)=0),AND(A327=入力!$B$11,A327&gt;1)),入力!$B$14="有効",IF(E327=0,ROUND(C327/MAX(1,S326-A327+1),0),ROUND(-PMT(E327/12,MAX(1,S326-A327+1),C327),0))&gt;ROUND(G326*1.25,0),NOT(FALSE)),"・上限適用",""))</f>
        <v/>
      </c>
      <c r="Q327" s="35" t="str">
        <f>IF(AND(T326="",A327&lt;=S326),入力!$B$13,"")</f>
        <v>有効</v>
      </c>
      <c r="R327" s="32" t="str">
        <f>IF(AND(AND(T326="",A327&lt;=S326),OR(AND(入力!$B$13="有効",A327&gt;1,MOD(A327-1,60)=0),AND(A327=入力!$B$11,A327&gt;1)),入力!$B$14="有効"),ROUND(G326*1.25,0),"")</f>
        <v/>
      </c>
      <c r="S327" s="36">
        <f t="shared" ref="S327:S390" si="100">S326</f>
        <v>420</v>
      </c>
      <c r="T327" s="35" t="str">
        <f t="shared" ref="T327:T390" si="101">IF(NOT(AND(T326="",A327&lt;=S326)),"",IF(AND(N327=0,K327=0),"完済",IF(A327=S327,"最終回清算","")))</f>
        <v/>
      </c>
      <c r="U327" s="3">
        <f t="shared" si="85"/>
        <v>0</v>
      </c>
      <c r="V327" s="3">
        <f t="shared" si="86"/>
        <v>0</v>
      </c>
      <c r="W327" s="3">
        <f t="shared" si="87"/>
        <v>0</v>
      </c>
      <c r="X327" s="3">
        <f t="shared" si="88"/>
        <v>0</v>
      </c>
      <c r="Y327" s="3">
        <f>0</f>
        <v>0</v>
      </c>
      <c r="Z327" s="3">
        <f t="shared" si="89"/>
        <v>0</v>
      </c>
      <c r="AA327">
        <f>ROUND(IF(FALSE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,0)</f>
        <v>121428</v>
      </c>
    </row>
    <row r="328" spans="1:27">
      <c r="A328" s="30">
        <f>323</f>
        <v>323</v>
      </c>
      <c r="B328" s="31">
        <f>EDATE(入力!$B$6,A328-1)</f>
        <v>56036</v>
      </c>
      <c r="C328" s="32">
        <f t="shared" si="90"/>
        <v>10753632</v>
      </c>
      <c r="D328" s="32">
        <f t="shared" si="91"/>
        <v>0</v>
      </c>
      <c r="E328" s="33">
        <f>IF(AND(T327="",A328&lt;=S327),IF(A328&lt;入力!$B$11,入力!$B$10,入力!$B$12),0)</f>
        <v>2.5000000000000001E-2</v>
      </c>
      <c r="F328" s="32">
        <f t="shared" si="92"/>
        <v>22403</v>
      </c>
      <c r="G328" s="32">
        <f>ROUND(IF(NOT(AND(T327="",A328&lt;=S327)),0,IF(FALSE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),0)</f>
        <v>121428</v>
      </c>
      <c r="H328" s="32">
        <f t="shared" si="93"/>
        <v>121428</v>
      </c>
      <c r="I328" s="32">
        <f t="shared" si="94"/>
        <v>22403</v>
      </c>
      <c r="J328" s="32">
        <f t="shared" si="95"/>
        <v>0</v>
      </c>
      <c r="K328" s="32">
        <f t="shared" si="96"/>
        <v>0</v>
      </c>
      <c r="L328" s="32">
        <f t="shared" si="97"/>
        <v>99025</v>
      </c>
      <c r="M328" s="32">
        <f>0</f>
        <v>0</v>
      </c>
      <c r="N328" s="32">
        <f t="shared" si="98"/>
        <v>10654607</v>
      </c>
      <c r="O328" s="32">
        <f t="shared" si="99"/>
        <v>12992091</v>
      </c>
      <c r="P328" s="34" t="str">
        <f>IF(NOT(AND(T327="",A328&lt;=S327)),"",IF(FALSE,"繰上返済後再計算","")&amp;IF(AND(入力!$B$13="有効",A328&gt;1,MOD(A328-1,60)=0),IF(FALSE,"・","")&amp;"5年見直し","")&amp;IF(AND(A328=入力!$B$11,A328&gt;1),IF(OR(FALSE,AND(入力!$B$13="有効",A328&gt;1,MOD(A328-1,60)=0)),"・","")&amp;"金利変更","")&amp;IF(AND(OR(AND(入力!$B$13="有効",A328&gt;1,MOD(A328-1,60)=0),AND(A328=入力!$B$11,A328&gt;1)),入力!$B$14="有効",IF(E328=0,ROUND(C328/MAX(1,S327-A328+1),0),ROUND(-PMT(E328/12,MAX(1,S327-A328+1),C328),0))&gt;ROUND(G327*1.25,0),NOT(FALSE)),"・上限適用",""))</f>
        <v/>
      </c>
      <c r="Q328" s="35" t="str">
        <f>IF(AND(T327="",A328&lt;=S327),入力!$B$13,"")</f>
        <v>有効</v>
      </c>
      <c r="R328" s="32" t="str">
        <f>IF(AND(AND(T327="",A328&lt;=S327),OR(AND(入力!$B$13="有効",A328&gt;1,MOD(A328-1,60)=0),AND(A328=入力!$B$11,A328&gt;1)),入力!$B$14="有効"),ROUND(G327*1.25,0),"")</f>
        <v/>
      </c>
      <c r="S328" s="36">
        <f t="shared" si="100"/>
        <v>420</v>
      </c>
      <c r="T328" s="35" t="str">
        <f t="shared" si="101"/>
        <v/>
      </c>
      <c r="U328" s="3">
        <f t="shared" si="85"/>
        <v>0</v>
      </c>
      <c r="V328" s="3">
        <f t="shared" si="86"/>
        <v>0</v>
      </c>
      <c r="W328" s="3">
        <f t="shared" si="87"/>
        <v>0</v>
      </c>
      <c r="X328" s="3">
        <f t="shared" si="88"/>
        <v>0</v>
      </c>
      <c r="Y328" s="3">
        <f>0</f>
        <v>0</v>
      </c>
      <c r="Z328" s="3">
        <f t="shared" si="89"/>
        <v>0</v>
      </c>
      <c r="AA328">
        <f>ROUND(IF(FALSE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,0)</f>
        <v>121428</v>
      </c>
    </row>
    <row r="329" spans="1:27">
      <c r="A329" s="30">
        <f>324</f>
        <v>324</v>
      </c>
      <c r="B329" s="31">
        <f>EDATE(入力!$B$6,A329-1)</f>
        <v>56066</v>
      </c>
      <c r="C329" s="32">
        <f t="shared" si="90"/>
        <v>10654607</v>
      </c>
      <c r="D329" s="32">
        <f t="shared" si="91"/>
        <v>0</v>
      </c>
      <c r="E329" s="33">
        <f>IF(AND(T328="",A329&lt;=S328),IF(A329&lt;入力!$B$11,入力!$B$10,入力!$B$12),0)</f>
        <v>2.5000000000000001E-2</v>
      </c>
      <c r="F329" s="32">
        <f t="shared" si="92"/>
        <v>22197</v>
      </c>
      <c r="G329" s="32">
        <f>ROUND(IF(NOT(AND(T328="",A329&lt;=S328)),0,IF(FALSE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),0)</f>
        <v>121428</v>
      </c>
      <c r="H329" s="32">
        <f t="shared" si="93"/>
        <v>121428</v>
      </c>
      <c r="I329" s="32">
        <f t="shared" si="94"/>
        <v>22197</v>
      </c>
      <c r="J329" s="32">
        <f t="shared" si="95"/>
        <v>0</v>
      </c>
      <c r="K329" s="32">
        <f t="shared" si="96"/>
        <v>0</v>
      </c>
      <c r="L329" s="32">
        <f t="shared" si="97"/>
        <v>99231</v>
      </c>
      <c r="M329" s="32">
        <f>0</f>
        <v>0</v>
      </c>
      <c r="N329" s="32">
        <f t="shared" si="98"/>
        <v>10555376</v>
      </c>
      <c r="O329" s="32">
        <f t="shared" si="99"/>
        <v>13014288</v>
      </c>
      <c r="P329" s="34" t="str">
        <f>IF(NOT(AND(T328="",A329&lt;=S328)),"",IF(FALSE,"繰上返済後再計算","")&amp;IF(AND(入力!$B$13="有効",A329&gt;1,MOD(A329-1,60)=0),IF(FALSE,"・","")&amp;"5年見直し","")&amp;IF(AND(A329=入力!$B$11,A329&gt;1),IF(OR(FALSE,AND(入力!$B$13="有効",A329&gt;1,MOD(A329-1,60)=0)),"・","")&amp;"金利変更","")&amp;IF(AND(OR(AND(入力!$B$13="有効",A329&gt;1,MOD(A329-1,60)=0),AND(A329=入力!$B$11,A329&gt;1)),入力!$B$14="有効",IF(E329=0,ROUND(C329/MAX(1,S328-A329+1),0),ROUND(-PMT(E329/12,MAX(1,S328-A329+1),C329),0))&gt;ROUND(G328*1.25,0),NOT(FALSE)),"・上限適用",""))</f>
        <v/>
      </c>
      <c r="Q329" s="35" t="str">
        <f>IF(AND(T328="",A329&lt;=S328),入力!$B$13,"")</f>
        <v>有効</v>
      </c>
      <c r="R329" s="32" t="str">
        <f>IF(AND(AND(T328="",A329&lt;=S328),OR(AND(入力!$B$13="有効",A329&gt;1,MOD(A329-1,60)=0),AND(A329=入力!$B$11,A329&gt;1)),入力!$B$14="有効"),ROUND(G328*1.25,0),"")</f>
        <v/>
      </c>
      <c r="S329" s="36">
        <f t="shared" si="100"/>
        <v>420</v>
      </c>
      <c r="T329" s="35" t="str">
        <f t="shared" si="101"/>
        <v/>
      </c>
      <c r="U329" s="3">
        <f t="shared" si="85"/>
        <v>0</v>
      </c>
      <c r="V329" s="3">
        <f t="shared" si="86"/>
        <v>0</v>
      </c>
      <c r="W329" s="3">
        <f t="shared" si="87"/>
        <v>0</v>
      </c>
      <c r="X329" s="3">
        <f t="shared" si="88"/>
        <v>0</v>
      </c>
      <c r="Y329" s="3">
        <f>0</f>
        <v>0</v>
      </c>
      <c r="Z329" s="3">
        <f t="shared" si="89"/>
        <v>0</v>
      </c>
      <c r="AA329">
        <f>ROUND(IF(FALSE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,0)</f>
        <v>121428</v>
      </c>
    </row>
    <row r="330" spans="1:27">
      <c r="A330" s="30">
        <f>325</f>
        <v>325</v>
      </c>
      <c r="B330" s="31">
        <f>EDATE(入力!$B$6,A330-1)</f>
        <v>56097</v>
      </c>
      <c r="C330" s="32">
        <f t="shared" si="90"/>
        <v>10555376</v>
      </c>
      <c r="D330" s="32">
        <f t="shared" si="91"/>
        <v>0</v>
      </c>
      <c r="E330" s="33">
        <f>IF(AND(T329="",A330&lt;=S329),IF(A330&lt;入力!$B$11,入力!$B$10,入力!$B$12),0)</f>
        <v>2.5000000000000001E-2</v>
      </c>
      <c r="F330" s="32">
        <f t="shared" si="92"/>
        <v>21990</v>
      </c>
      <c r="G330" s="32">
        <f>ROUND(IF(NOT(AND(T329="",A330&lt;=S329)),0,IF(FALSE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),0)</f>
        <v>121428</v>
      </c>
      <c r="H330" s="32">
        <f t="shared" si="93"/>
        <v>121428</v>
      </c>
      <c r="I330" s="32">
        <f t="shared" si="94"/>
        <v>21990</v>
      </c>
      <c r="J330" s="32">
        <f t="shared" si="95"/>
        <v>0</v>
      </c>
      <c r="K330" s="32">
        <f t="shared" si="96"/>
        <v>0</v>
      </c>
      <c r="L330" s="32">
        <f t="shared" si="97"/>
        <v>99438</v>
      </c>
      <c r="M330" s="32">
        <f>0</f>
        <v>0</v>
      </c>
      <c r="N330" s="32">
        <f t="shared" si="98"/>
        <v>10455938</v>
      </c>
      <c r="O330" s="32">
        <f t="shared" si="99"/>
        <v>13036278</v>
      </c>
      <c r="P330" s="34" t="str">
        <f>IF(NOT(AND(T329="",A330&lt;=S329)),"",IF(FALSE,"繰上返済後再計算","")&amp;IF(AND(入力!$B$13="有効",A330&gt;1,MOD(A330-1,60)=0),IF(FALSE,"・","")&amp;"5年見直し","")&amp;IF(AND(A330=入力!$B$11,A330&gt;1),IF(OR(FALSE,AND(入力!$B$13="有効",A330&gt;1,MOD(A330-1,60)=0)),"・","")&amp;"金利変更","")&amp;IF(AND(OR(AND(入力!$B$13="有効",A330&gt;1,MOD(A330-1,60)=0),AND(A330=入力!$B$11,A330&gt;1)),入力!$B$14="有効",IF(E330=0,ROUND(C330/MAX(1,S329-A330+1),0),ROUND(-PMT(E330/12,MAX(1,S329-A330+1),C330),0))&gt;ROUND(G329*1.25,0),NOT(FALSE)),"・上限適用",""))</f>
        <v/>
      </c>
      <c r="Q330" s="35" t="str">
        <f>IF(AND(T329="",A330&lt;=S329),入力!$B$13,"")</f>
        <v>有効</v>
      </c>
      <c r="R330" s="32" t="str">
        <f>IF(AND(AND(T329="",A330&lt;=S329),OR(AND(入力!$B$13="有効",A330&gt;1,MOD(A330-1,60)=0),AND(A330=入力!$B$11,A330&gt;1)),入力!$B$14="有効"),ROUND(G329*1.25,0),"")</f>
        <v/>
      </c>
      <c r="S330" s="36">
        <f t="shared" si="100"/>
        <v>420</v>
      </c>
      <c r="T330" s="35" t="str">
        <f t="shared" si="101"/>
        <v/>
      </c>
      <c r="U330" s="3">
        <f t="shared" si="85"/>
        <v>0</v>
      </c>
      <c r="V330" s="3">
        <f t="shared" si="86"/>
        <v>0</v>
      </c>
      <c r="W330" s="3">
        <f t="shared" si="87"/>
        <v>0</v>
      </c>
      <c r="X330" s="3">
        <f t="shared" si="88"/>
        <v>0</v>
      </c>
      <c r="Y330" s="3">
        <f>0</f>
        <v>0</v>
      </c>
      <c r="Z330" s="3">
        <f t="shared" si="89"/>
        <v>0</v>
      </c>
      <c r="AA330">
        <f>ROUND(IF(FALSE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,0)</f>
        <v>121428</v>
      </c>
    </row>
    <row r="331" spans="1:27">
      <c r="A331" s="30">
        <f>326</f>
        <v>326</v>
      </c>
      <c r="B331" s="31">
        <f>EDATE(入力!$B$6,A331-1)</f>
        <v>56128</v>
      </c>
      <c r="C331" s="32">
        <f t="shared" si="90"/>
        <v>10455938</v>
      </c>
      <c r="D331" s="32">
        <f t="shared" si="91"/>
        <v>0</v>
      </c>
      <c r="E331" s="33">
        <f>IF(AND(T330="",A331&lt;=S330),IF(A331&lt;入力!$B$11,入力!$B$10,入力!$B$12),0)</f>
        <v>2.5000000000000001E-2</v>
      </c>
      <c r="F331" s="32">
        <f t="shared" si="92"/>
        <v>21783</v>
      </c>
      <c r="G331" s="32">
        <f>ROUND(IF(NOT(AND(T330="",A331&lt;=S330)),0,IF(FALSE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),0)</f>
        <v>121428</v>
      </c>
      <c r="H331" s="32">
        <f t="shared" si="93"/>
        <v>121428</v>
      </c>
      <c r="I331" s="32">
        <f t="shared" si="94"/>
        <v>21783</v>
      </c>
      <c r="J331" s="32">
        <f t="shared" si="95"/>
        <v>0</v>
      </c>
      <c r="K331" s="32">
        <f t="shared" si="96"/>
        <v>0</v>
      </c>
      <c r="L331" s="32">
        <f t="shared" si="97"/>
        <v>99645</v>
      </c>
      <c r="M331" s="32">
        <f>0</f>
        <v>0</v>
      </c>
      <c r="N331" s="32">
        <f t="shared" si="98"/>
        <v>10356293</v>
      </c>
      <c r="O331" s="32">
        <f t="shared" si="99"/>
        <v>13058061</v>
      </c>
      <c r="P331" s="34" t="str">
        <f>IF(NOT(AND(T330="",A331&lt;=S330)),"",IF(FALSE,"繰上返済後再計算","")&amp;IF(AND(入力!$B$13="有効",A331&gt;1,MOD(A331-1,60)=0),IF(FALSE,"・","")&amp;"5年見直し","")&amp;IF(AND(A331=入力!$B$11,A331&gt;1),IF(OR(FALSE,AND(入力!$B$13="有効",A331&gt;1,MOD(A331-1,60)=0)),"・","")&amp;"金利変更","")&amp;IF(AND(OR(AND(入力!$B$13="有効",A331&gt;1,MOD(A331-1,60)=0),AND(A331=入力!$B$11,A331&gt;1)),入力!$B$14="有効",IF(E331=0,ROUND(C331/MAX(1,S330-A331+1),0),ROUND(-PMT(E331/12,MAX(1,S330-A331+1),C331),0))&gt;ROUND(G330*1.25,0),NOT(FALSE)),"・上限適用",""))</f>
        <v/>
      </c>
      <c r="Q331" s="35" t="str">
        <f>IF(AND(T330="",A331&lt;=S330),入力!$B$13,"")</f>
        <v>有効</v>
      </c>
      <c r="R331" s="32" t="str">
        <f>IF(AND(AND(T330="",A331&lt;=S330),OR(AND(入力!$B$13="有効",A331&gt;1,MOD(A331-1,60)=0),AND(A331=入力!$B$11,A331&gt;1)),入力!$B$14="有効"),ROUND(G330*1.25,0),"")</f>
        <v/>
      </c>
      <c r="S331" s="36">
        <f t="shared" si="100"/>
        <v>420</v>
      </c>
      <c r="T331" s="35" t="str">
        <f t="shared" si="101"/>
        <v/>
      </c>
      <c r="U331" s="3">
        <f t="shared" si="85"/>
        <v>0</v>
      </c>
      <c r="V331" s="3">
        <f t="shared" si="86"/>
        <v>0</v>
      </c>
      <c r="W331" s="3">
        <f t="shared" si="87"/>
        <v>0</v>
      </c>
      <c r="X331" s="3">
        <f t="shared" si="88"/>
        <v>0</v>
      </c>
      <c r="Y331" s="3">
        <f>0</f>
        <v>0</v>
      </c>
      <c r="Z331" s="3">
        <f t="shared" si="89"/>
        <v>0</v>
      </c>
      <c r="AA331">
        <f>ROUND(IF(FALSE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,0)</f>
        <v>121428</v>
      </c>
    </row>
    <row r="332" spans="1:27">
      <c r="A332" s="30">
        <f>327</f>
        <v>327</v>
      </c>
      <c r="B332" s="31">
        <f>EDATE(入力!$B$6,A332-1)</f>
        <v>56158</v>
      </c>
      <c r="C332" s="32">
        <f t="shared" si="90"/>
        <v>10356293</v>
      </c>
      <c r="D332" s="32">
        <f t="shared" si="91"/>
        <v>0</v>
      </c>
      <c r="E332" s="33">
        <f>IF(AND(T331="",A332&lt;=S331),IF(A332&lt;入力!$B$11,入力!$B$10,入力!$B$12),0)</f>
        <v>2.5000000000000001E-2</v>
      </c>
      <c r="F332" s="32">
        <f t="shared" si="92"/>
        <v>21576</v>
      </c>
      <c r="G332" s="32">
        <f>ROUND(IF(NOT(AND(T331="",A332&lt;=S331)),0,IF(FALSE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),0)</f>
        <v>121428</v>
      </c>
      <c r="H332" s="32">
        <f t="shared" si="93"/>
        <v>121428</v>
      </c>
      <c r="I332" s="32">
        <f t="shared" si="94"/>
        <v>21576</v>
      </c>
      <c r="J332" s="32">
        <f t="shared" si="95"/>
        <v>0</v>
      </c>
      <c r="K332" s="32">
        <f t="shared" si="96"/>
        <v>0</v>
      </c>
      <c r="L332" s="32">
        <f t="shared" si="97"/>
        <v>99852</v>
      </c>
      <c r="M332" s="32">
        <f>0</f>
        <v>0</v>
      </c>
      <c r="N332" s="32">
        <f t="shared" si="98"/>
        <v>10256441</v>
      </c>
      <c r="O332" s="32">
        <f t="shared" si="99"/>
        <v>13079637</v>
      </c>
      <c r="P332" s="34" t="str">
        <f>IF(NOT(AND(T331="",A332&lt;=S331)),"",IF(FALSE,"繰上返済後再計算","")&amp;IF(AND(入力!$B$13="有効",A332&gt;1,MOD(A332-1,60)=0),IF(FALSE,"・","")&amp;"5年見直し","")&amp;IF(AND(A332=入力!$B$11,A332&gt;1),IF(OR(FALSE,AND(入力!$B$13="有効",A332&gt;1,MOD(A332-1,60)=0)),"・","")&amp;"金利変更","")&amp;IF(AND(OR(AND(入力!$B$13="有効",A332&gt;1,MOD(A332-1,60)=0),AND(A332=入力!$B$11,A332&gt;1)),入力!$B$14="有効",IF(E332=0,ROUND(C332/MAX(1,S331-A332+1),0),ROUND(-PMT(E332/12,MAX(1,S331-A332+1),C332),0))&gt;ROUND(G331*1.25,0),NOT(FALSE)),"・上限適用",""))</f>
        <v/>
      </c>
      <c r="Q332" s="35" t="str">
        <f>IF(AND(T331="",A332&lt;=S331),入力!$B$13,"")</f>
        <v>有効</v>
      </c>
      <c r="R332" s="32" t="str">
        <f>IF(AND(AND(T331="",A332&lt;=S331),OR(AND(入力!$B$13="有効",A332&gt;1,MOD(A332-1,60)=0),AND(A332=入力!$B$11,A332&gt;1)),入力!$B$14="有効"),ROUND(G331*1.25,0),"")</f>
        <v/>
      </c>
      <c r="S332" s="36">
        <f t="shared" si="100"/>
        <v>420</v>
      </c>
      <c r="T332" s="35" t="str">
        <f t="shared" si="101"/>
        <v/>
      </c>
      <c r="U332" s="3">
        <f t="shared" si="85"/>
        <v>0</v>
      </c>
      <c r="V332" s="3">
        <f t="shared" si="86"/>
        <v>0</v>
      </c>
      <c r="W332" s="3">
        <f t="shared" si="87"/>
        <v>0</v>
      </c>
      <c r="X332" s="3">
        <f t="shared" si="88"/>
        <v>0</v>
      </c>
      <c r="Y332" s="3">
        <f>0</f>
        <v>0</v>
      </c>
      <c r="Z332" s="3">
        <f t="shared" si="89"/>
        <v>0</v>
      </c>
      <c r="AA332">
        <f>ROUND(IF(FALSE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,0)</f>
        <v>121428</v>
      </c>
    </row>
    <row r="333" spans="1:27">
      <c r="A333" s="30">
        <f>328</f>
        <v>328</v>
      </c>
      <c r="B333" s="31">
        <f>EDATE(入力!$B$6,A333-1)</f>
        <v>56189</v>
      </c>
      <c r="C333" s="32">
        <f t="shared" si="90"/>
        <v>10256441</v>
      </c>
      <c r="D333" s="32">
        <f t="shared" si="91"/>
        <v>0</v>
      </c>
      <c r="E333" s="33">
        <f>IF(AND(T332="",A333&lt;=S332),IF(A333&lt;入力!$B$11,入力!$B$10,入力!$B$12),0)</f>
        <v>2.5000000000000001E-2</v>
      </c>
      <c r="F333" s="32">
        <f t="shared" si="92"/>
        <v>21368</v>
      </c>
      <c r="G333" s="32">
        <f>ROUND(IF(NOT(AND(T332="",A333&lt;=S332)),0,IF(FALSE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),0)</f>
        <v>121428</v>
      </c>
      <c r="H333" s="32">
        <f t="shared" si="93"/>
        <v>121428</v>
      </c>
      <c r="I333" s="32">
        <f t="shared" si="94"/>
        <v>21368</v>
      </c>
      <c r="J333" s="32">
        <f t="shared" si="95"/>
        <v>0</v>
      </c>
      <c r="K333" s="32">
        <f t="shared" si="96"/>
        <v>0</v>
      </c>
      <c r="L333" s="32">
        <f t="shared" si="97"/>
        <v>100060</v>
      </c>
      <c r="M333" s="32">
        <f>0</f>
        <v>0</v>
      </c>
      <c r="N333" s="32">
        <f t="shared" si="98"/>
        <v>10156381</v>
      </c>
      <c r="O333" s="32">
        <f t="shared" si="99"/>
        <v>13101005</v>
      </c>
      <c r="P333" s="34" t="str">
        <f>IF(NOT(AND(T332="",A333&lt;=S332)),"",IF(FALSE,"繰上返済後再計算","")&amp;IF(AND(入力!$B$13="有効",A333&gt;1,MOD(A333-1,60)=0),IF(FALSE,"・","")&amp;"5年見直し","")&amp;IF(AND(A333=入力!$B$11,A333&gt;1),IF(OR(FALSE,AND(入力!$B$13="有効",A333&gt;1,MOD(A333-1,60)=0)),"・","")&amp;"金利変更","")&amp;IF(AND(OR(AND(入力!$B$13="有効",A333&gt;1,MOD(A333-1,60)=0),AND(A333=入力!$B$11,A333&gt;1)),入力!$B$14="有効",IF(E333=0,ROUND(C333/MAX(1,S332-A333+1),0),ROUND(-PMT(E333/12,MAX(1,S332-A333+1),C333),0))&gt;ROUND(G332*1.25,0),NOT(FALSE)),"・上限適用",""))</f>
        <v/>
      </c>
      <c r="Q333" s="35" t="str">
        <f>IF(AND(T332="",A333&lt;=S332),入力!$B$13,"")</f>
        <v>有効</v>
      </c>
      <c r="R333" s="32" t="str">
        <f>IF(AND(AND(T332="",A333&lt;=S332),OR(AND(入力!$B$13="有効",A333&gt;1,MOD(A333-1,60)=0),AND(A333=入力!$B$11,A333&gt;1)),入力!$B$14="有効"),ROUND(G332*1.25,0),"")</f>
        <v/>
      </c>
      <c r="S333" s="36">
        <f t="shared" si="100"/>
        <v>420</v>
      </c>
      <c r="T333" s="35" t="str">
        <f t="shared" si="101"/>
        <v/>
      </c>
      <c r="U333" s="3">
        <f t="shared" si="85"/>
        <v>0</v>
      </c>
      <c r="V333" s="3">
        <f t="shared" si="86"/>
        <v>0</v>
      </c>
      <c r="W333" s="3">
        <f t="shared" si="87"/>
        <v>0</v>
      </c>
      <c r="X333" s="3">
        <f t="shared" si="88"/>
        <v>0</v>
      </c>
      <c r="Y333" s="3">
        <f>0</f>
        <v>0</v>
      </c>
      <c r="Z333" s="3">
        <f t="shared" si="89"/>
        <v>0</v>
      </c>
      <c r="AA333">
        <f>ROUND(IF(FALSE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,0)</f>
        <v>121428</v>
      </c>
    </row>
    <row r="334" spans="1:27">
      <c r="A334" s="30">
        <f>329</f>
        <v>329</v>
      </c>
      <c r="B334" s="31">
        <f>EDATE(入力!$B$6,A334-1)</f>
        <v>56219</v>
      </c>
      <c r="C334" s="32">
        <f t="shared" si="90"/>
        <v>10156381</v>
      </c>
      <c r="D334" s="32">
        <f t="shared" si="91"/>
        <v>0</v>
      </c>
      <c r="E334" s="33">
        <f>IF(AND(T333="",A334&lt;=S333),IF(A334&lt;入力!$B$11,入力!$B$10,入力!$B$12),0)</f>
        <v>2.5000000000000001E-2</v>
      </c>
      <c r="F334" s="32">
        <f t="shared" si="92"/>
        <v>21159</v>
      </c>
      <c r="G334" s="32">
        <f>ROUND(IF(NOT(AND(T333="",A334&lt;=S333)),0,IF(FALSE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),0)</f>
        <v>121428</v>
      </c>
      <c r="H334" s="32">
        <f t="shared" si="93"/>
        <v>121428</v>
      </c>
      <c r="I334" s="32">
        <f t="shared" si="94"/>
        <v>21159</v>
      </c>
      <c r="J334" s="32">
        <f t="shared" si="95"/>
        <v>0</v>
      </c>
      <c r="K334" s="32">
        <f t="shared" si="96"/>
        <v>0</v>
      </c>
      <c r="L334" s="32">
        <f t="shared" si="97"/>
        <v>100269</v>
      </c>
      <c r="M334" s="32">
        <f>0</f>
        <v>0</v>
      </c>
      <c r="N334" s="32">
        <f t="shared" si="98"/>
        <v>10056112</v>
      </c>
      <c r="O334" s="32">
        <f t="shared" si="99"/>
        <v>13122164</v>
      </c>
      <c r="P334" s="34" t="str">
        <f>IF(NOT(AND(T333="",A334&lt;=S333)),"",IF(FALSE,"繰上返済後再計算","")&amp;IF(AND(入力!$B$13="有効",A334&gt;1,MOD(A334-1,60)=0),IF(FALSE,"・","")&amp;"5年見直し","")&amp;IF(AND(A334=入力!$B$11,A334&gt;1),IF(OR(FALSE,AND(入力!$B$13="有効",A334&gt;1,MOD(A334-1,60)=0)),"・","")&amp;"金利変更","")&amp;IF(AND(OR(AND(入力!$B$13="有効",A334&gt;1,MOD(A334-1,60)=0),AND(A334=入力!$B$11,A334&gt;1)),入力!$B$14="有効",IF(E334=0,ROUND(C334/MAX(1,S333-A334+1),0),ROUND(-PMT(E334/12,MAX(1,S333-A334+1),C334),0))&gt;ROUND(G333*1.25,0),NOT(FALSE)),"・上限適用",""))</f>
        <v/>
      </c>
      <c r="Q334" s="35" t="str">
        <f>IF(AND(T333="",A334&lt;=S333),入力!$B$13,"")</f>
        <v>有効</v>
      </c>
      <c r="R334" s="32" t="str">
        <f>IF(AND(AND(T333="",A334&lt;=S333),OR(AND(入力!$B$13="有効",A334&gt;1,MOD(A334-1,60)=0),AND(A334=入力!$B$11,A334&gt;1)),入力!$B$14="有効"),ROUND(G333*1.25,0),"")</f>
        <v/>
      </c>
      <c r="S334" s="36">
        <f t="shared" si="100"/>
        <v>420</v>
      </c>
      <c r="T334" s="35" t="str">
        <f t="shared" si="101"/>
        <v/>
      </c>
      <c r="U334" s="3">
        <f t="shared" si="85"/>
        <v>0</v>
      </c>
      <c r="V334" s="3">
        <f t="shared" si="86"/>
        <v>0</v>
      </c>
      <c r="W334" s="3">
        <f t="shared" si="87"/>
        <v>0</v>
      </c>
      <c r="X334" s="3">
        <f t="shared" si="88"/>
        <v>0</v>
      </c>
      <c r="Y334" s="3">
        <f>0</f>
        <v>0</v>
      </c>
      <c r="Z334" s="3">
        <f t="shared" si="89"/>
        <v>0</v>
      </c>
      <c r="AA334">
        <f>ROUND(IF(FALSE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,0)</f>
        <v>121428</v>
      </c>
    </row>
    <row r="335" spans="1:27">
      <c r="A335" s="30">
        <f>330</f>
        <v>330</v>
      </c>
      <c r="B335" s="31">
        <f>EDATE(入力!$B$6,A335-1)</f>
        <v>56250</v>
      </c>
      <c r="C335" s="32">
        <f t="shared" si="90"/>
        <v>10056112</v>
      </c>
      <c r="D335" s="32">
        <f t="shared" si="91"/>
        <v>0</v>
      </c>
      <c r="E335" s="33">
        <f>IF(AND(T334="",A335&lt;=S334),IF(A335&lt;入力!$B$11,入力!$B$10,入力!$B$12),0)</f>
        <v>2.5000000000000001E-2</v>
      </c>
      <c r="F335" s="32">
        <f t="shared" si="92"/>
        <v>20950</v>
      </c>
      <c r="G335" s="32">
        <f>ROUND(IF(NOT(AND(T334="",A335&lt;=S334)),0,IF(FALSE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),0)</f>
        <v>121428</v>
      </c>
      <c r="H335" s="32">
        <f t="shared" si="93"/>
        <v>121428</v>
      </c>
      <c r="I335" s="32">
        <f t="shared" si="94"/>
        <v>20950</v>
      </c>
      <c r="J335" s="32">
        <f t="shared" si="95"/>
        <v>0</v>
      </c>
      <c r="K335" s="32">
        <f t="shared" si="96"/>
        <v>0</v>
      </c>
      <c r="L335" s="32">
        <f t="shared" si="97"/>
        <v>100478</v>
      </c>
      <c r="M335" s="32">
        <f>0</f>
        <v>0</v>
      </c>
      <c r="N335" s="32">
        <f t="shared" si="98"/>
        <v>9955634</v>
      </c>
      <c r="O335" s="32">
        <f t="shared" si="99"/>
        <v>13143114</v>
      </c>
      <c r="P335" s="34" t="str">
        <f>IF(NOT(AND(T334="",A335&lt;=S334)),"",IF(FALSE,"繰上返済後再計算","")&amp;IF(AND(入力!$B$13="有効",A335&gt;1,MOD(A335-1,60)=0),IF(FALSE,"・","")&amp;"5年見直し","")&amp;IF(AND(A335=入力!$B$11,A335&gt;1),IF(OR(FALSE,AND(入力!$B$13="有効",A335&gt;1,MOD(A335-1,60)=0)),"・","")&amp;"金利変更","")&amp;IF(AND(OR(AND(入力!$B$13="有効",A335&gt;1,MOD(A335-1,60)=0),AND(A335=入力!$B$11,A335&gt;1)),入力!$B$14="有効",IF(E335=0,ROUND(C335/MAX(1,S334-A335+1),0),ROUND(-PMT(E335/12,MAX(1,S334-A335+1),C335),0))&gt;ROUND(G334*1.25,0),NOT(FALSE)),"・上限適用",""))</f>
        <v/>
      </c>
      <c r="Q335" s="35" t="str">
        <f>IF(AND(T334="",A335&lt;=S334),入力!$B$13,"")</f>
        <v>有効</v>
      </c>
      <c r="R335" s="32" t="str">
        <f>IF(AND(AND(T334="",A335&lt;=S334),OR(AND(入力!$B$13="有効",A335&gt;1,MOD(A335-1,60)=0),AND(A335=入力!$B$11,A335&gt;1)),入力!$B$14="有効"),ROUND(G334*1.25,0),"")</f>
        <v/>
      </c>
      <c r="S335" s="36">
        <f t="shared" si="100"/>
        <v>420</v>
      </c>
      <c r="T335" s="35" t="str">
        <f t="shared" si="101"/>
        <v/>
      </c>
      <c r="U335" s="3">
        <f t="shared" si="85"/>
        <v>0</v>
      </c>
      <c r="V335" s="3">
        <f t="shared" si="86"/>
        <v>0</v>
      </c>
      <c r="W335" s="3">
        <f t="shared" si="87"/>
        <v>0</v>
      </c>
      <c r="X335" s="3">
        <f t="shared" si="88"/>
        <v>0</v>
      </c>
      <c r="Y335" s="3">
        <f>0</f>
        <v>0</v>
      </c>
      <c r="Z335" s="3">
        <f t="shared" si="89"/>
        <v>0</v>
      </c>
      <c r="AA335">
        <f>ROUND(IF(FALSE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,0)</f>
        <v>121428</v>
      </c>
    </row>
    <row r="336" spans="1:27">
      <c r="A336" s="30">
        <f>331</f>
        <v>331</v>
      </c>
      <c r="B336" s="31">
        <f>EDATE(入力!$B$6,A336-1)</f>
        <v>56281</v>
      </c>
      <c r="C336" s="32">
        <f t="shared" si="90"/>
        <v>9955634</v>
      </c>
      <c r="D336" s="32">
        <f t="shared" si="91"/>
        <v>0</v>
      </c>
      <c r="E336" s="33">
        <f>IF(AND(T335="",A336&lt;=S335),IF(A336&lt;入力!$B$11,入力!$B$10,入力!$B$12),0)</f>
        <v>2.5000000000000001E-2</v>
      </c>
      <c r="F336" s="32">
        <f t="shared" si="92"/>
        <v>20741</v>
      </c>
      <c r="G336" s="32">
        <f>ROUND(IF(NOT(AND(T335="",A336&lt;=S335)),0,IF(FALSE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),0)</f>
        <v>121428</v>
      </c>
      <c r="H336" s="32">
        <f t="shared" si="93"/>
        <v>121428</v>
      </c>
      <c r="I336" s="32">
        <f t="shared" si="94"/>
        <v>20741</v>
      </c>
      <c r="J336" s="32">
        <f t="shared" si="95"/>
        <v>0</v>
      </c>
      <c r="K336" s="32">
        <f t="shared" si="96"/>
        <v>0</v>
      </c>
      <c r="L336" s="32">
        <f t="shared" si="97"/>
        <v>100687</v>
      </c>
      <c r="M336" s="32">
        <f>0</f>
        <v>0</v>
      </c>
      <c r="N336" s="32">
        <f t="shared" si="98"/>
        <v>9854947</v>
      </c>
      <c r="O336" s="32">
        <f t="shared" si="99"/>
        <v>13163855</v>
      </c>
      <c r="P336" s="34" t="str">
        <f>IF(NOT(AND(T335="",A336&lt;=S335)),"",IF(FALSE,"繰上返済後再計算","")&amp;IF(AND(入力!$B$13="有効",A336&gt;1,MOD(A336-1,60)=0),IF(FALSE,"・","")&amp;"5年見直し","")&amp;IF(AND(A336=入力!$B$11,A336&gt;1),IF(OR(FALSE,AND(入力!$B$13="有効",A336&gt;1,MOD(A336-1,60)=0)),"・","")&amp;"金利変更","")&amp;IF(AND(OR(AND(入力!$B$13="有効",A336&gt;1,MOD(A336-1,60)=0),AND(A336=入力!$B$11,A336&gt;1)),入力!$B$14="有効",IF(E336=0,ROUND(C336/MAX(1,S335-A336+1),0),ROUND(-PMT(E336/12,MAX(1,S335-A336+1),C336),0))&gt;ROUND(G335*1.25,0),NOT(FALSE)),"・上限適用",""))</f>
        <v/>
      </c>
      <c r="Q336" s="35" t="str">
        <f>IF(AND(T335="",A336&lt;=S335),入力!$B$13,"")</f>
        <v>有効</v>
      </c>
      <c r="R336" s="32" t="str">
        <f>IF(AND(AND(T335="",A336&lt;=S335),OR(AND(入力!$B$13="有効",A336&gt;1,MOD(A336-1,60)=0),AND(A336=入力!$B$11,A336&gt;1)),入力!$B$14="有効"),ROUND(G335*1.25,0),"")</f>
        <v/>
      </c>
      <c r="S336" s="36">
        <f t="shared" si="100"/>
        <v>420</v>
      </c>
      <c r="T336" s="35" t="str">
        <f t="shared" si="101"/>
        <v/>
      </c>
      <c r="U336" s="3">
        <f t="shared" si="85"/>
        <v>0</v>
      </c>
      <c r="V336" s="3">
        <f t="shared" si="86"/>
        <v>0</v>
      </c>
      <c r="W336" s="3">
        <f t="shared" si="87"/>
        <v>0</v>
      </c>
      <c r="X336" s="3">
        <f t="shared" si="88"/>
        <v>0</v>
      </c>
      <c r="Y336" s="3">
        <f>0</f>
        <v>0</v>
      </c>
      <c r="Z336" s="3">
        <f t="shared" si="89"/>
        <v>0</v>
      </c>
      <c r="AA336">
        <f>ROUND(IF(FALSE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,0)</f>
        <v>121428</v>
      </c>
    </row>
    <row r="337" spans="1:27">
      <c r="A337" s="30">
        <f>332</f>
        <v>332</v>
      </c>
      <c r="B337" s="31">
        <f>EDATE(入力!$B$6,A337-1)</f>
        <v>56309</v>
      </c>
      <c r="C337" s="32">
        <f t="shared" si="90"/>
        <v>9854947</v>
      </c>
      <c r="D337" s="32">
        <f t="shared" si="91"/>
        <v>0</v>
      </c>
      <c r="E337" s="33">
        <f>IF(AND(T336="",A337&lt;=S336),IF(A337&lt;入力!$B$11,入力!$B$10,入力!$B$12),0)</f>
        <v>2.5000000000000001E-2</v>
      </c>
      <c r="F337" s="32">
        <f t="shared" si="92"/>
        <v>20531</v>
      </c>
      <c r="G337" s="32">
        <f>ROUND(IF(NOT(AND(T336="",A337&lt;=S336)),0,IF(FALSE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),0)</f>
        <v>121428</v>
      </c>
      <c r="H337" s="32">
        <f t="shared" si="93"/>
        <v>121428</v>
      </c>
      <c r="I337" s="32">
        <f t="shared" si="94"/>
        <v>20531</v>
      </c>
      <c r="J337" s="32">
        <f t="shared" si="95"/>
        <v>0</v>
      </c>
      <c r="K337" s="32">
        <f t="shared" si="96"/>
        <v>0</v>
      </c>
      <c r="L337" s="32">
        <f t="shared" si="97"/>
        <v>100897</v>
      </c>
      <c r="M337" s="32">
        <f>0</f>
        <v>0</v>
      </c>
      <c r="N337" s="32">
        <f t="shared" si="98"/>
        <v>9754050</v>
      </c>
      <c r="O337" s="32">
        <f t="shared" si="99"/>
        <v>13184386</v>
      </c>
      <c r="P337" s="34" t="str">
        <f>IF(NOT(AND(T336="",A337&lt;=S336)),"",IF(FALSE,"繰上返済後再計算","")&amp;IF(AND(入力!$B$13="有効",A337&gt;1,MOD(A337-1,60)=0),IF(FALSE,"・","")&amp;"5年見直し","")&amp;IF(AND(A337=入力!$B$11,A337&gt;1),IF(OR(FALSE,AND(入力!$B$13="有効",A337&gt;1,MOD(A337-1,60)=0)),"・","")&amp;"金利変更","")&amp;IF(AND(OR(AND(入力!$B$13="有効",A337&gt;1,MOD(A337-1,60)=0),AND(A337=入力!$B$11,A337&gt;1)),入力!$B$14="有効",IF(E337=0,ROUND(C337/MAX(1,S336-A337+1),0),ROUND(-PMT(E337/12,MAX(1,S336-A337+1),C337),0))&gt;ROUND(G336*1.25,0),NOT(FALSE)),"・上限適用",""))</f>
        <v/>
      </c>
      <c r="Q337" s="35" t="str">
        <f>IF(AND(T336="",A337&lt;=S336),入力!$B$13,"")</f>
        <v>有効</v>
      </c>
      <c r="R337" s="32" t="str">
        <f>IF(AND(AND(T336="",A337&lt;=S336),OR(AND(入力!$B$13="有効",A337&gt;1,MOD(A337-1,60)=0),AND(A337=入力!$B$11,A337&gt;1)),入力!$B$14="有効"),ROUND(G336*1.25,0),"")</f>
        <v/>
      </c>
      <c r="S337" s="36">
        <f t="shared" si="100"/>
        <v>420</v>
      </c>
      <c r="T337" s="35" t="str">
        <f t="shared" si="101"/>
        <v/>
      </c>
      <c r="U337" s="3">
        <f t="shared" si="85"/>
        <v>0</v>
      </c>
      <c r="V337" s="3">
        <f t="shared" si="86"/>
        <v>0</v>
      </c>
      <c r="W337" s="3">
        <f t="shared" si="87"/>
        <v>0</v>
      </c>
      <c r="X337" s="3">
        <f t="shared" si="88"/>
        <v>0</v>
      </c>
      <c r="Y337" s="3">
        <f>0</f>
        <v>0</v>
      </c>
      <c r="Z337" s="3">
        <f t="shared" si="89"/>
        <v>0</v>
      </c>
      <c r="AA337">
        <f>ROUND(IF(FALSE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,0)</f>
        <v>121428</v>
      </c>
    </row>
    <row r="338" spans="1:27">
      <c r="A338" s="30">
        <f>333</f>
        <v>333</v>
      </c>
      <c r="B338" s="31">
        <f>EDATE(入力!$B$6,A338-1)</f>
        <v>56340</v>
      </c>
      <c r="C338" s="32">
        <f t="shared" si="90"/>
        <v>9754050</v>
      </c>
      <c r="D338" s="32">
        <f t="shared" si="91"/>
        <v>0</v>
      </c>
      <c r="E338" s="33">
        <f>IF(AND(T337="",A338&lt;=S337),IF(A338&lt;入力!$B$11,入力!$B$10,入力!$B$12),0)</f>
        <v>2.5000000000000001E-2</v>
      </c>
      <c r="F338" s="32">
        <f t="shared" si="92"/>
        <v>20321</v>
      </c>
      <c r="G338" s="32">
        <f>ROUND(IF(NOT(AND(T337="",A338&lt;=S337)),0,IF(FALSE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),0)</f>
        <v>121428</v>
      </c>
      <c r="H338" s="32">
        <f t="shared" si="93"/>
        <v>121428</v>
      </c>
      <c r="I338" s="32">
        <f t="shared" si="94"/>
        <v>20321</v>
      </c>
      <c r="J338" s="32">
        <f t="shared" si="95"/>
        <v>0</v>
      </c>
      <c r="K338" s="32">
        <f t="shared" si="96"/>
        <v>0</v>
      </c>
      <c r="L338" s="32">
        <f t="shared" si="97"/>
        <v>101107</v>
      </c>
      <c r="M338" s="32">
        <f>0</f>
        <v>0</v>
      </c>
      <c r="N338" s="32">
        <f t="shared" si="98"/>
        <v>9652943</v>
      </c>
      <c r="O338" s="32">
        <f t="shared" si="99"/>
        <v>13204707</v>
      </c>
      <c r="P338" s="34" t="str">
        <f>IF(NOT(AND(T337="",A338&lt;=S337)),"",IF(FALSE,"繰上返済後再計算","")&amp;IF(AND(入力!$B$13="有効",A338&gt;1,MOD(A338-1,60)=0),IF(FALSE,"・","")&amp;"5年見直し","")&amp;IF(AND(A338=入力!$B$11,A338&gt;1),IF(OR(FALSE,AND(入力!$B$13="有効",A338&gt;1,MOD(A338-1,60)=0)),"・","")&amp;"金利変更","")&amp;IF(AND(OR(AND(入力!$B$13="有効",A338&gt;1,MOD(A338-1,60)=0),AND(A338=入力!$B$11,A338&gt;1)),入力!$B$14="有効",IF(E338=0,ROUND(C338/MAX(1,S337-A338+1),0),ROUND(-PMT(E338/12,MAX(1,S337-A338+1),C338),0))&gt;ROUND(G337*1.25,0),NOT(FALSE)),"・上限適用",""))</f>
        <v/>
      </c>
      <c r="Q338" s="35" t="str">
        <f>IF(AND(T337="",A338&lt;=S337),入力!$B$13,"")</f>
        <v>有効</v>
      </c>
      <c r="R338" s="32" t="str">
        <f>IF(AND(AND(T337="",A338&lt;=S337),OR(AND(入力!$B$13="有効",A338&gt;1,MOD(A338-1,60)=0),AND(A338=入力!$B$11,A338&gt;1)),入力!$B$14="有効"),ROUND(G337*1.25,0),"")</f>
        <v/>
      </c>
      <c r="S338" s="36">
        <f t="shared" si="100"/>
        <v>420</v>
      </c>
      <c r="T338" s="35" t="str">
        <f t="shared" si="101"/>
        <v/>
      </c>
      <c r="U338" s="3">
        <f t="shared" si="85"/>
        <v>0</v>
      </c>
      <c r="V338" s="3">
        <f t="shared" si="86"/>
        <v>0</v>
      </c>
      <c r="W338" s="3">
        <f t="shared" si="87"/>
        <v>0</v>
      </c>
      <c r="X338" s="3">
        <f t="shared" si="88"/>
        <v>0</v>
      </c>
      <c r="Y338" s="3">
        <f>0</f>
        <v>0</v>
      </c>
      <c r="Z338" s="3">
        <f t="shared" si="89"/>
        <v>0</v>
      </c>
      <c r="AA338">
        <f>ROUND(IF(FALSE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,0)</f>
        <v>121428</v>
      </c>
    </row>
    <row r="339" spans="1:27">
      <c r="A339" s="30">
        <f>334</f>
        <v>334</v>
      </c>
      <c r="B339" s="31">
        <f>EDATE(入力!$B$6,A339-1)</f>
        <v>56370</v>
      </c>
      <c r="C339" s="32">
        <f t="shared" si="90"/>
        <v>9652943</v>
      </c>
      <c r="D339" s="32">
        <f t="shared" si="91"/>
        <v>0</v>
      </c>
      <c r="E339" s="33">
        <f>IF(AND(T338="",A339&lt;=S338),IF(A339&lt;入力!$B$11,入力!$B$10,入力!$B$12),0)</f>
        <v>2.5000000000000001E-2</v>
      </c>
      <c r="F339" s="32">
        <f t="shared" si="92"/>
        <v>20110</v>
      </c>
      <c r="G339" s="32">
        <f>ROUND(IF(NOT(AND(T338="",A339&lt;=S338)),0,IF(FALSE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),0)</f>
        <v>121428</v>
      </c>
      <c r="H339" s="32">
        <f t="shared" si="93"/>
        <v>121428</v>
      </c>
      <c r="I339" s="32">
        <f t="shared" si="94"/>
        <v>20110</v>
      </c>
      <c r="J339" s="32">
        <f t="shared" si="95"/>
        <v>0</v>
      </c>
      <c r="K339" s="32">
        <f t="shared" si="96"/>
        <v>0</v>
      </c>
      <c r="L339" s="32">
        <f t="shared" si="97"/>
        <v>101318</v>
      </c>
      <c r="M339" s="32">
        <f>0</f>
        <v>0</v>
      </c>
      <c r="N339" s="32">
        <f t="shared" si="98"/>
        <v>9551625</v>
      </c>
      <c r="O339" s="32">
        <f t="shared" si="99"/>
        <v>13224817</v>
      </c>
      <c r="P339" s="34" t="str">
        <f>IF(NOT(AND(T338="",A339&lt;=S338)),"",IF(FALSE,"繰上返済後再計算","")&amp;IF(AND(入力!$B$13="有効",A339&gt;1,MOD(A339-1,60)=0),IF(FALSE,"・","")&amp;"5年見直し","")&amp;IF(AND(A339=入力!$B$11,A339&gt;1),IF(OR(FALSE,AND(入力!$B$13="有効",A339&gt;1,MOD(A339-1,60)=0)),"・","")&amp;"金利変更","")&amp;IF(AND(OR(AND(入力!$B$13="有効",A339&gt;1,MOD(A339-1,60)=0),AND(A339=入力!$B$11,A339&gt;1)),入力!$B$14="有効",IF(E339=0,ROUND(C339/MAX(1,S338-A339+1),0),ROUND(-PMT(E339/12,MAX(1,S338-A339+1),C339),0))&gt;ROUND(G338*1.25,0),NOT(FALSE)),"・上限適用",""))</f>
        <v/>
      </c>
      <c r="Q339" s="35" t="str">
        <f>IF(AND(T338="",A339&lt;=S338),入力!$B$13,"")</f>
        <v>有効</v>
      </c>
      <c r="R339" s="32" t="str">
        <f>IF(AND(AND(T338="",A339&lt;=S338),OR(AND(入力!$B$13="有効",A339&gt;1,MOD(A339-1,60)=0),AND(A339=入力!$B$11,A339&gt;1)),入力!$B$14="有効"),ROUND(G338*1.25,0),"")</f>
        <v/>
      </c>
      <c r="S339" s="36">
        <f t="shared" si="100"/>
        <v>420</v>
      </c>
      <c r="T339" s="35" t="str">
        <f t="shared" si="101"/>
        <v/>
      </c>
      <c r="U339" s="3">
        <f t="shared" si="85"/>
        <v>0</v>
      </c>
      <c r="V339" s="3">
        <f t="shared" si="86"/>
        <v>0</v>
      </c>
      <c r="W339" s="3">
        <f t="shared" si="87"/>
        <v>0</v>
      </c>
      <c r="X339" s="3">
        <f t="shared" si="88"/>
        <v>0</v>
      </c>
      <c r="Y339" s="3">
        <f>0</f>
        <v>0</v>
      </c>
      <c r="Z339" s="3">
        <f t="shared" si="89"/>
        <v>0</v>
      </c>
      <c r="AA339">
        <f>ROUND(IF(FALSE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,0)</f>
        <v>121428</v>
      </c>
    </row>
    <row r="340" spans="1:27">
      <c r="A340" s="30">
        <f>335</f>
        <v>335</v>
      </c>
      <c r="B340" s="31">
        <f>EDATE(入力!$B$6,A340-1)</f>
        <v>56401</v>
      </c>
      <c r="C340" s="32">
        <f t="shared" si="90"/>
        <v>9551625</v>
      </c>
      <c r="D340" s="32">
        <f t="shared" si="91"/>
        <v>0</v>
      </c>
      <c r="E340" s="33">
        <f>IF(AND(T339="",A340&lt;=S339),IF(A340&lt;入力!$B$11,入力!$B$10,入力!$B$12),0)</f>
        <v>2.5000000000000001E-2</v>
      </c>
      <c r="F340" s="32">
        <f t="shared" si="92"/>
        <v>19899</v>
      </c>
      <c r="G340" s="32">
        <f>ROUND(IF(NOT(AND(T339="",A340&lt;=S339)),0,IF(FALSE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),0)</f>
        <v>121428</v>
      </c>
      <c r="H340" s="32">
        <f t="shared" si="93"/>
        <v>121428</v>
      </c>
      <c r="I340" s="32">
        <f t="shared" si="94"/>
        <v>19899</v>
      </c>
      <c r="J340" s="32">
        <f t="shared" si="95"/>
        <v>0</v>
      </c>
      <c r="K340" s="32">
        <f t="shared" si="96"/>
        <v>0</v>
      </c>
      <c r="L340" s="32">
        <f t="shared" si="97"/>
        <v>101529</v>
      </c>
      <c r="M340" s="32">
        <f>0</f>
        <v>0</v>
      </c>
      <c r="N340" s="32">
        <f t="shared" si="98"/>
        <v>9450096</v>
      </c>
      <c r="O340" s="32">
        <f t="shared" si="99"/>
        <v>13244716</v>
      </c>
      <c r="P340" s="34" t="str">
        <f>IF(NOT(AND(T339="",A340&lt;=S339)),"",IF(FALSE,"繰上返済後再計算","")&amp;IF(AND(入力!$B$13="有効",A340&gt;1,MOD(A340-1,60)=0),IF(FALSE,"・","")&amp;"5年見直し","")&amp;IF(AND(A340=入力!$B$11,A340&gt;1),IF(OR(FALSE,AND(入力!$B$13="有効",A340&gt;1,MOD(A340-1,60)=0)),"・","")&amp;"金利変更","")&amp;IF(AND(OR(AND(入力!$B$13="有効",A340&gt;1,MOD(A340-1,60)=0),AND(A340=入力!$B$11,A340&gt;1)),入力!$B$14="有効",IF(E340=0,ROUND(C340/MAX(1,S339-A340+1),0),ROUND(-PMT(E340/12,MAX(1,S339-A340+1),C340),0))&gt;ROUND(G339*1.25,0),NOT(FALSE)),"・上限適用",""))</f>
        <v/>
      </c>
      <c r="Q340" s="35" t="str">
        <f>IF(AND(T339="",A340&lt;=S339),入力!$B$13,"")</f>
        <v>有効</v>
      </c>
      <c r="R340" s="32" t="str">
        <f>IF(AND(AND(T339="",A340&lt;=S339),OR(AND(入力!$B$13="有効",A340&gt;1,MOD(A340-1,60)=0),AND(A340=入力!$B$11,A340&gt;1)),入力!$B$14="有効"),ROUND(G339*1.25,0),"")</f>
        <v/>
      </c>
      <c r="S340" s="36">
        <f t="shared" si="100"/>
        <v>420</v>
      </c>
      <c r="T340" s="35" t="str">
        <f t="shared" si="101"/>
        <v/>
      </c>
      <c r="U340" s="3">
        <f t="shared" si="85"/>
        <v>0</v>
      </c>
      <c r="V340" s="3">
        <f t="shared" si="86"/>
        <v>0</v>
      </c>
      <c r="W340" s="3">
        <f t="shared" si="87"/>
        <v>0</v>
      </c>
      <c r="X340" s="3">
        <f t="shared" si="88"/>
        <v>0</v>
      </c>
      <c r="Y340" s="3">
        <f>0</f>
        <v>0</v>
      </c>
      <c r="Z340" s="3">
        <f t="shared" si="89"/>
        <v>0</v>
      </c>
      <c r="AA340">
        <f>ROUND(IF(FALSE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,0)</f>
        <v>121428</v>
      </c>
    </row>
    <row r="341" spans="1:27">
      <c r="A341" s="30">
        <f>336</f>
        <v>336</v>
      </c>
      <c r="B341" s="31">
        <f>EDATE(入力!$B$6,A341-1)</f>
        <v>56431</v>
      </c>
      <c r="C341" s="32">
        <f t="shared" si="90"/>
        <v>9450096</v>
      </c>
      <c r="D341" s="32">
        <f t="shared" si="91"/>
        <v>0</v>
      </c>
      <c r="E341" s="33">
        <f>IF(AND(T340="",A341&lt;=S340),IF(A341&lt;入力!$B$11,入力!$B$10,入力!$B$12),0)</f>
        <v>2.5000000000000001E-2</v>
      </c>
      <c r="F341" s="32">
        <f t="shared" si="92"/>
        <v>19688</v>
      </c>
      <c r="G341" s="32">
        <f>ROUND(IF(NOT(AND(T340="",A341&lt;=S340)),0,IF(FALSE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),0)</f>
        <v>121428</v>
      </c>
      <c r="H341" s="32">
        <f t="shared" si="93"/>
        <v>121428</v>
      </c>
      <c r="I341" s="32">
        <f t="shared" si="94"/>
        <v>19688</v>
      </c>
      <c r="J341" s="32">
        <f t="shared" si="95"/>
        <v>0</v>
      </c>
      <c r="K341" s="32">
        <f t="shared" si="96"/>
        <v>0</v>
      </c>
      <c r="L341" s="32">
        <f t="shared" si="97"/>
        <v>101740</v>
      </c>
      <c r="M341" s="32">
        <f>0</f>
        <v>0</v>
      </c>
      <c r="N341" s="32">
        <f t="shared" si="98"/>
        <v>9348356</v>
      </c>
      <c r="O341" s="32">
        <f t="shared" si="99"/>
        <v>13264404</v>
      </c>
      <c r="P341" s="34" t="str">
        <f>IF(NOT(AND(T340="",A341&lt;=S340)),"",IF(FALSE,"繰上返済後再計算","")&amp;IF(AND(入力!$B$13="有効",A341&gt;1,MOD(A341-1,60)=0),IF(FALSE,"・","")&amp;"5年見直し","")&amp;IF(AND(A341=入力!$B$11,A341&gt;1),IF(OR(FALSE,AND(入力!$B$13="有効",A341&gt;1,MOD(A341-1,60)=0)),"・","")&amp;"金利変更","")&amp;IF(AND(OR(AND(入力!$B$13="有効",A341&gt;1,MOD(A341-1,60)=0),AND(A341=入力!$B$11,A341&gt;1)),入力!$B$14="有効",IF(E341=0,ROUND(C341/MAX(1,S340-A341+1),0),ROUND(-PMT(E341/12,MAX(1,S340-A341+1),C341),0))&gt;ROUND(G340*1.25,0),NOT(FALSE)),"・上限適用",""))</f>
        <v/>
      </c>
      <c r="Q341" s="35" t="str">
        <f>IF(AND(T340="",A341&lt;=S340),入力!$B$13,"")</f>
        <v>有効</v>
      </c>
      <c r="R341" s="32" t="str">
        <f>IF(AND(AND(T340="",A341&lt;=S340),OR(AND(入力!$B$13="有効",A341&gt;1,MOD(A341-1,60)=0),AND(A341=入力!$B$11,A341&gt;1)),入力!$B$14="有効"),ROUND(G340*1.25,0),"")</f>
        <v/>
      </c>
      <c r="S341" s="36">
        <f t="shared" si="100"/>
        <v>420</v>
      </c>
      <c r="T341" s="35" t="str">
        <f t="shared" si="101"/>
        <v/>
      </c>
      <c r="U341" s="3">
        <f t="shared" si="85"/>
        <v>0</v>
      </c>
      <c r="V341" s="3">
        <f t="shared" si="86"/>
        <v>0</v>
      </c>
      <c r="W341" s="3">
        <f t="shared" si="87"/>
        <v>0</v>
      </c>
      <c r="X341" s="3">
        <f t="shared" si="88"/>
        <v>0</v>
      </c>
      <c r="Y341" s="3">
        <f>0</f>
        <v>0</v>
      </c>
      <c r="Z341" s="3">
        <f t="shared" si="89"/>
        <v>0</v>
      </c>
      <c r="AA341">
        <f>ROUND(IF(FALSE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,0)</f>
        <v>121428</v>
      </c>
    </row>
    <row r="342" spans="1:27">
      <c r="A342" s="30">
        <f>337</f>
        <v>337</v>
      </c>
      <c r="B342" s="31">
        <f>EDATE(入力!$B$6,A342-1)</f>
        <v>56462</v>
      </c>
      <c r="C342" s="32">
        <f t="shared" si="90"/>
        <v>9348356</v>
      </c>
      <c r="D342" s="32">
        <f t="shared" si="91"/>
        <v>0</v>
      </c>
      <c r="E342" s="33">
        <f>IF(AND(T341="",A342&lt;=S341),IF(A342&lt;入力!$B$11,入力!$B$10,入力!$B$12),0)</f>
        <v>2.5000000000000001E-2</v>
      </c>
      <c r="F342" s="32">
        <f t="shared" si="92"/>
        <v>19476</v>
      </c>
      <c r="G342" s="32">
        <f>ROUND(IF(NOT(AND(T341="",A342&lt;=S341)),0,IF(FALSE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),0)</f>
        <v>121428</v>
      </c>
      <c r="H342" s="32">
        <f t="shared" si="93"/>
        <v>121428</v>
      </c>
      <c r="I342" s="32">
        <f t="shared" si="94"/>
        <v>19476</v>
      </c>
      <c r="J342" s="32">
        <f t="shared" si="95"/>
        <v>0</v>
      </c>
      <c r="K342" s="32">
        <f t="shared" si="96"/>
        <v>0</v>
      </c>
      <c r="L342" s="32">
        <f t="shared" si="97"/>
        <v>101952</v>
      </c>
      <c r="M342" s="32">
        <f>0</f>
        <v>0</v>
      </c>
      <c r="N342" s="32">
        <f t="shared" si="98"/>
        <v>9246404</v>
      </c>
      <c r="O342" s="32">
        <f t="shared" si="99"/>
        <v>13283880</v>
      </c>
      <c r="P342" s="34" t="str">
        <f>IF(NOT(AND(T341="",A342&lt;=S341)),"",IF(FALSE,"繰上返済後再計算","")&amp;IF(AND(入力!$B$13="有効",A342&gt;1,MOD(A342-1,60)=0),IF(FALSE,"・","")&amp;"5年見直し","")&amp;IF(AND(A342=入力!$B$11,A342&gt;1),IF(OR(FALSE,AND(入力!$B$13="有効",A342&gt;1,MOD(A342-1,60)=0)),"・","")&amp;"金利変更","")&amp;IF(AND(OR(AND(入力!$B$13="有効",A342&gt;1,MOD(A342-1,60)=0),AND(A342=入力!$B$11,A342&gt;1)),入力!$B$14="有効",IF(E342=0,ROUND(C342/MAX(1,S341-A342+1),0),ROUND(-PMT(E342/12,MAX(1,S341-A342+1),C342),0))&gt;ROUND(G341*1.25,0),NOT(FALSE)),"・上限適用",""))</f>
        <v/>
      </c>
      <c r="Q342" s="35" t="str">
        <f>IF(AND(T341="",A342&lt;=S341),入力!$B$13,"")</f>
        <v>有効</v>
      </c>
      <c r="R342" s="32" t="str">
        <f>IF(AND(AND(T341="",A342&lt;=S341),OR(AND(入力!$B$13="有効",A342&gt;1,MOD(A342-1,60)=0),AND(A342=入力!$B$11,A342&gt;1)),入力!$B$14="有効"),ROUND(G341*1.25,0),"")</f>
        <v/>
      </c>
      <c r="S342" s="36">
        <f t="shared" si="100"/>
        <v>420</v>
      </c>
      <c r="T342" s="35" t="str">
        <f t="shared" si="101"/>
        <v/>
      </c>
      <c r="U342" s="3">
        <f t="shared" si="85"/>
        <v>0</v>
      </c>
      <c r="V342" s="3">
        <f t="shared" si="86"/>
        <v>0</v>
      </c>
      <c r="W342" s="3">
        <f t="shared" si="87"/>
        <v>0</v>
      </c>
      <c r="X342" s="3">
        <f t="shared" si="88"/>
        <v>0</v>
      </c>
      <c r="Y342" s="3">
        <f>0</f>
        <v>0</v>
      </c>
      <c r="Z342" s="3">
        <f t="shared" si="89"/>
        <v>0</v>
      </c>
      <c r="AA342">
        <f>ROUND(IF(FALSE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,0)</f>
        <v>121428</v>
      </c>
    </row>
    <row r="343" spans="1:27">
      <c r="A343" s="30">
        <f>338</f>
        <v>338</v>
      </c>
      <c r="B343" s="31">
        <f>EDATE(入力!$B$6,A343-1)</f>
        <v>56493</v>
      </c>
      <c r="C343" s="32">
        <f t="shared" si="90"/>
        <v>9246404</v>
      </c>
      <c r="D343" s="32">
        <f t="shared" si="91"/>
        <v>0</v>
      </c>
      <c r="E343" s="33">
        <f>IF(AND(T342="",A343&lt;=S342),IF(A343&lt;入力!$B$11,入力!$B$10,入力!$B$12),0)</f>
        <v>2.5000000000000001E-2</v>
      </c>
      <c r="F343" s="32">
        <f t="shared" si="92"/>
        <v>19263</v>
      </c>
      <c r="G343" s="32">
        <f>ROUND(IF(NOT(AND(T342="",A343&lt;=S342)),0,IF(FALSE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),0)</f>
        <v>121428</v>
      </c>
      <c r="H343" s="32">
        <f t="shared" si="93"/>
        <v>121428</v>
      </c>
      <c r="I343" s="32">
        <f t="shared" si="94"/>
        <v>19263</v>
      </c>
      <c r="J343" s="32">
        <f t="shared" si="95"/>
        <v>0</v>
      </c>
      <c r="K343" s="32">
        <f t="shared" si="96"/>
        <v>0</v>
      </c>
      <c r="L343" s="32">
        <f t="shared" si="97"/>
        <v>102165</v>
      </c>
      <c r="M343" s="32">
        <f>0</f>
        <v>0</v>
      </c>
      <c r="N343" s="32">
        <f t="shared" si="98"/>
        <v>9144239</v>
      </c>
      <c r="O343" s="32">
        <f t="shared" si="99"/>
        <v>13303143</v>
      </c>
      <c r="P343" s="34" t="str">
        <f>IF(NOT(AND(T342="",A343&lt;=S342)),"",IF(FALSE,"繰上返済後再計算","")&amp;IF(AND(入力!$B$13="有効",A343&gt;1,MOD(A343-1,60)=0),IF(FALSE,"・","")&amp;"5年見直し","")&amp;IF(AND(A343=入力!$B$11,A343&gt;1),IF(OR(FALSE,AND(入力!$B$13="有効",A343&gt;1,MOD(A343-1,60)=0)),"・","")&amp;"金利変更","")&amp;IF(AND(OR(AND(入力!$B$13="有効",A343&gt;1,MOD(A343-1,60)=0),AND(A343=入力!$B$11,A343&gt;1)),入力!$B$14="有効",IF(E343=0,ROUND(C343/MAX(1,S342-A343+1),0),ROUND(-PMT(E343/12,MAX(1,S342-A343+1),C343),0))&gt;ROUND(G342*1.25,0),NOT(FALSE)),"・上限適用",""))</f>
        <v/>
      </c>
      <c r="Q343" s="35" t="str">
        <f>IF(AND(T342="",A343&lt;=S342),入力!$B$13,"")</f>
        <v>有効</v>
      </c>
      <c r="R343" s="32" t="str">
        <f>IF(AND(AND(T342="",A343&lt;=S342),OR(AND(入力!$B$13="有効",A343&gt;1,MOD(A343-1,60)=0),AND(A343=入力!$B$11,A343&gt;1)),入力!$B$14="有効"),ROUND(G342*1.25,0),"")</f>
        <v/>
      </c>
      <c r="S343" s="36">
        <f t="shared" si="100"/>
        <v>420</v>
      </c>
      <c r="T343" s="35" t="str">
        <f t="shared" si="101"/>
        <v/>
      </c>
      <c r="U343" s="3">
        <f t="shared" si="85"/>
        <v>0</v>
      </c>
      <c r="V343" s="3">
        <f t="shared" si="86"/>
        <v>0</v>
      </c>
      <c r="W343" s="3">
        <f t="shared" si="87"/>
        <v>0</v>
      </c>
      <c r="X343" s="3">
        <f t="shared" si="88"/>
        <v>0</v>
      </c>
      <c r="Y343" s="3">
        <f>0</f>
        <v>0</v>
      </c>
      <c r="Z343" s="3">
        <f t="shared" si="89"/>
        <v>0</v>
      </c>
      <c r="AA343">
        <f>ROUND(IF(FALSE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,0)</f>
        <v>121428</v>
      </c>
    </row>
    <row r="344" spans="1:27">
      <c r="A344" s="30">
        <f>339</f>
        <v>339</v>
      </c>
      <c r="B344" s="31">
        <f>EDATE(入力!$B$6,A344-1)</f>
        <v>56523</v>
      </c>
      <c r="C344" s="32">
        <f t="shared" si="90"/>
        <v>9144239</v>
      </c>
      <c r="D344" s="32">
        <f t="shared" si="91"/>
        <v>0</v>
      </c>
      <c r="E344" s="33">
        <f>IF(AND(T343="",A344&lt;=S343),IF(A344&lt;入力!$B$11,入力!$B$10,入力!$B$12),0)</f>
        <v>2.5000000000000001E-2</v>
      </c>
      <c r="F344" s="32">
        <f t="shared" si="92"/>
        <v>19050</v>
      </c>
      <c r="G344" s="32">
        <f>ROUND(IF(NOT(AND(T343="",A344&lt;=S343)),0,IF(FALSE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),0)</f>
        <v>121428</v>
      </c>
      <c r="H344" s="32">
        <f t="shared" si="93"/>
        <v>121428</v>
      </c>
      <c r="I344" s="32">
        <f t="shared" si="94"/>
        <v>19050</v>
      </c>
      <c r="J344" s="32">
        <f t="shared" si="95"/>
        <v>0</v>
      </c>
      <c r="K344" s="32">
        <f t="shared" si="96"/>
        <v>0</v>
      </c>
      <c r="L344" s="32">
        <f t="shared" si="97"/>
        <v>102378</v>
      </c>
      <c r="M344" s="32">
        <f>0</f>
        <v>0</v>
      </c>
      <c r="N344" s="32">
        <f t="shared" si="98"/>
        <v>9041861</v>
      </c>
      <c r="O344" s="32">
        <f t="shared" si="99"/>
        <v>13322193</v>
      </c>
      <c r="P344" s="34" t="str">
        <f>IF(NOT(AND(T343="",A344&lt;=S343)),"",IF(FALSE,"繰上返済後再計算","")&amp;IF(AND(入力!$B$13="有効",A344&gt;1,MOD(A344-1,60)=0),IF(FALSE,"・","")&amp;"5年見直し","")&amp;IF(AND(A344=入力!$B$11,A344&gt;1),IF(OR(FALSE,AND(入力!$B$13="有効",A344&gt;1,MOD(A344-1,60)=0)),"・","")&amp;"金利変更","")&amp;IF(AND(OR(AND(入力!$B$13="有効",A344&gt;1,MOD(A344-1,60)=0),AND(A344=入力!$B$11,A344&gt;1)),入力!$B$14="有効",IF(E344=0,ROUND(C344/MAX(1,S343-A344+1),0),ROUND(-PMT(E344/12,MAX(1,S343-A344+1),C344),0))&gt;ROUND(G343*1.25,0),NOT(FALSE)),"・上限適用",""))</f>
        <v/>
      </c>
      <c r="Q344" s="35" t="str">
        <f>IF(AND(T343="",A344&lt;=S343),入力!$B$13,"")</f>
        <v>有効</v>
      </c>
      <c r="R344" s="32" t="str">
        <f>IF(AND(AND(T343="",A344&lt;=S343),OR(AND(入力!$B$13="有効",A344&gt;1,MOD(A344-1,60)=0),AND(A344=入力!$B$11,A344&gt;1)),入力!$B$14="有効"),ROUND(G343*1.25,0),"")</f>
        <v/>
      </c>
      <c r="S344" s="36">
        <f t="shared" si="100"/>
        <v>420</v>
      </c>
      <c r="T344" s="35" t="str">
        <f t="shared" si="101"/>
        <v/>
      </c>
      <c r="U344" s="3">
        <f t="shared" si="85"/>
        <v>0</v>
      </c>
      <c r="V344" s="3">
        <f t="shared" si="86"/>
        <v>0</v>
      </c>
      <c r="W344" s="3">
        <f t="shared" si="87"/>
        <v>0</v>
      </c>
      <c r="X344" s="3">
        <f t="shared" si="88"/>
        <v>0</v>
      </c>
      <c r="Y344" s="3">
        <f>0</f>
        <v>0</v>
      </c>
      <c r="Z344" s="3">
        <f t="shared" si="89"/>
        <v>0</v>
      </c>
      <c r="AA344">
        <f>ROUND(IF(FALSE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,0)</f>
        <v>121428</v>
      </c>
    </row>
    <row r="345" spans="1:27">
      <c r="A345" s="30">
        <f>340</f>
        <v>340</v>
      </c>
      <c r="B345" s="31">
        <f>EDATE(入力!$B$6,A345-1)</f>
        <v>56554</v>
      </c>
      <c r="C345" s="32">
        <f t="shared" si="90"/>
        <v>9041861</v>
      </c>
      <c r="D345" s="32">
        <f t="shared" si="91"/>
        <v>0</v>
      </c>
      <c r="E345" s="33">
        <f>IF(AND(T344="",A345&lt;=S344),IF(A345&lt;入力!$B$11,入力!$B$10,入力!$B$12),0)</f>
        <v>2.5000000000000001E-2</v>
      </c>
      <c r="F345" s="32">
        <f t="shared" si="92"/>
        <v>18837</v>
      </c>
      <c r="G345" s="32">
        <f>ROUND(IF(NOT(AND(T344="",A345&lt;=S344)),0,IF(FALSE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),0)</f>
        <v>121428</v>
      </c>
      <c r="H345" s="32">
        <f t="shared" si="93"/>
        <v>121428</v>
      </c>
      <c r="I345" s="32">
        <f t="shared" si="94"/>
        <v>18837</v>
      </c>
      <c r="J345" s="32">
        <f t="shared" si="95"/>
        <v>0</v>
      </c>
      <c r="K345" s="32">
        <f t="shared" si="96"/>
        <v>0</v>
      </c>
      <c r="L345" s="32">
        <f t="shared" si="97"/>
        <v>102591</v>
      </c>
      <c r="M345" s="32">
        <f>0</f>
        <v>0</v>
      </c>
      <c r="N345" s="32">
        <f t="shared" si="98"/>
        <v>8939270</v>
      </c>
      <c r="O345" s="32">
        <f t="shared" si="99"/>
        <v>13341030</v>
      </c>
      <c r="P345" s="34" t="str">
        <f>IF(NOT(AND(T344="",A345&lt;=S344)),"",IF(FALSE,"繰上返済後再計算","")&amp;IF(AND(入力!$B$13="有効",A345&gt;1,MOD(A345-1,60)=0),IF(FALSE,"・","")&amp;"5年見直し","")&amp;IF(AND(A345=入力!$B$11,A345&gt;1),IF(OR(FALSE,AND(入力!$B$13="有効",A345&gt;1,MOD(A345-1,60)=0)),"・","")&amp;"金利変更","")&amp;IF(AND(OR(AND(入力!$B$13="有効",A345&gt;1,MOD(A345-1,60)=0),AND(A345=入力!$B$11,A345&gt;1)),入力!$B$14="有効",IF(E345=0,ROUND(C345/MAX(1,S344-A345+1),0),ROUND(-PMT(E345/12,MAX(1,S344-A345+1),C345),0))&gt;ROUND(G344*1.25,0),NOT(FALSE)),"・上限適用",""))</f>
        <v/>
      </c>
      <c r="Q345" s="35" t="str">
        <f>IF(AND(T344="",A345&lt;=S344),入力!$B$13,"")</f>
        <v>有効</v>
      </c>
      <c r="R345" s="32" t="str">
        <f>IF(AND(AND(T344="",A345&lt;=S344),OR(AND(入力!$B$13="有効",A345&gt;1,MOD(A345-1,60)=0),AND(A345=入力!$B$11,A345&gt;1)),入力!$B$14="有効"),ROUND(G344*1.25,0),"")</f>
        <v/>
      </c>
      <c r="S345" s="36">
        <f t="shared" si="100"/>
        <v>420</v>
      </c>
      <c r="T345" s="35" t="str">
        <f t="shared" si="101"/>
        <v/>
      </c>
      <c r="U345" s="3">
        <f t="shared" si="85"/>
        <v>0</v>
      </c>
      <c r="V345" s="3">
        <f t="shared" si="86"/>
        <v>0</v>
      </c>
      <c r="W345" s="3">
        <f t="shared" si="87"/>
        <v>0</v>
      </c>
      <c r="X345" s="3">
        <f t="shared" si="88"/>
        <v>0</v>
      </c>
      <c r="Y345" s="3">
        <f>0</f>
        <v>0</v>
      </c>
      <c r="Z345" s="3">
        <f t="shared" si="89"/>
        <v>0</v>
      </c>
      <c r="AA345">
        <f>ROUND(IF(FALSE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,0)</f>
        <v>121428</v>
      </c>
    </row>
    <row r="346" spans="1:27">
      <c r="A346" s="30">
        <f>341</f>
        <v>341</v>
      </c>
      <c r="B346" s="31">
        <f>EDATE(入力!$B$6,A346-1)</f>
        <v>56584</v>
      </c>
      <c r="C346" s="32">
        <f t="shared" si="90"/>
        <v>8939270</v>
      </c>
      <c r="D346" s="32">
        <f t="shared" si="91"/>
        <v>0</v>
      </c>
      <c r="E346" s="33">
        <f>IF(AND(T345="",A346&lt;=S345),IF(A346&lt;入力!$B$11,入力!$B$10,入力!$B$12),0)</f>
        <v>2.5000000000000001E-2</v>
      </c>
      <c r="F346" s="32">
        <f t="shared" si="92"/>
        <v>18623</v>
      </c>
      <c r="G346" s="32">
        <f>ROUND(IF(NOT(AND(T345="",A346&lt;=S345)),0,IF(FALSE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),0)</f>
        <v>121428</v>
      </c>
      <c r="H346" s="32">
        <f t="shared" si="93"/>
        <v>121428</v>
      </c>
      <c r="I346" s="32">
        <f t="shared" si="94"/>
        <v>18623</v>
      </c>
      <c r="J346" s="32">
        <f t="shared" si="95"/>
        <v>0</v>
      </c>
      <c r="K346" s="32">
        <f t="shared" si="96"/>
        <v>0</v>
      </c>
      <c r="L346" s="32">
        <f t="shared" si="97"/>
        <v>102805</v>
      </c>
      <c r="M346" s="32">
        <f>0</f>
        <v>0</v>
      </c>
      <c r="N346" s="32">
        <f t="shared" si="98"/>
        <v>8836465</v>
      </c>
      <c r="O346" s="32">
        <f t="shared" si="99"/>
        <v>13359653</v>
      </c>
      <c r="P346" s="34" t="str">
        <f>IF(NOT(AND(T345="",A346&lt;=S345)),"",IF(FALSE,"繰上返済後再計算","")&amp;IF(AND(入力!$B$13="有効",A346&gt;1,MOD(A346-1,60)=0),IF(FALSE,"・","")&amp;"5年見直し","")&amp;IF(AND(A346=入力!$B$11,A346&gt;1),IF(OR(FALSE,AND(入力!$B$13="有効",A346&gt;1,MOD(A346-1,60)=0)),"・","")&amp;"金利変更","")&amp;IF(AND(OR(AND(入力!$B$13="有効",A346&gt;1,MOD(A346-1,60)=0),AND(A346=入力!$B$11,A346&gt;1)),入力!$B$14="有効",IF(E346=0,ROUND(C346/MAX(1,S345-A346+1),0),ROUND(-PMT(E346/12,MAX(1,S345-A346+1),C346),0))&gt;ROUND(G345*1.25,0),NOT(FALSE)),"・上限適用",""))</f>
        <v/>
      </c>
      <c r="Q346" s="35" t="str">
        <f>IF(AND(T345="",A346&lt;=S345),入力!$B$13,"")</f>
        <v>有効</v>
      </c>
      <c r="R346" s="32" t="str">
        <f>IF(AND(AND(T345="",A346&lt;=S345),OR(AND(入力!$B$13="有効",A346&gt;1,MOD(A346-1,60)=0),AND(A346=入力!$B$11,A346&gt;1)),入力!$B$14="有効"),ROUND(G345*1.25,0),"")</f>
        <v/>
      </c>
      <c r="S346" s="36">
        <f t="shared" si="100"/>
        <v>420</v>
      </c>
      <c r="T346" s="35" t="str">
        <f t="shared" si="101"/>
        <v/>
      </c>
      <c r="U346" s="3">
        <f t="shared" si="85"/>
        <v>0</v>
      </c>
      <c r="V346" s="3">
        <f t="shared" si="86"/>
        <v>0</v>
      </c>
      <c r="W346" s="3">
        <f t="shared" si="87"/>
        <v>0</v>
      </c>
      <c r="X346" s="3">
        <f t="shared" si="88"/>
        <v>0</v>
      </c>
      <c r="Y346" s="3">
        <f>0</f>
        <v>0</v>
      </c>
      <c r="Z346" s="3">
        <f t="shared" si="89"/>
        <v>0</v>
      </c>
      <c r="AA346">
        <f>ROUND(IF(FALSE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,0)</f>
        <v>121428</v>
      </c>
    </row>
    <row r="347" spans="1:27">
      <c r="A347" s="30">
        <f>342</f>
        <v>342</v>
      </c>
      <c r="B347" s="31">
        <f>EDATE(入力!$B$6,A347-1)</f>
        <v>56615</v>
      </c>
      <c r="C347" s="32">
        <f t="shared" si="90"/>
        <v>8836465</v>
      </c>
      <c r="D347" s="32">
        <f t="shared" si="91"/>
        <v>0</v>
      </c>
      <c r="E347" s="33">
        <f>IF(AND(T346="",A347&lt;=S346),IF(A347&lt;入力!$B$11,入力!$B$10,入力!$B$12),0)</f>
        <v>2.5000000000000001E-2</v>
      </c>
      <c r="F347" s="32">
        <f t="shared" si="92"/>
        <v>18409</v>
      </c>
      <c r="G347" s="32">
        <f>ROUND(IF(NOT(AND(T346="",A347&lt;=S346)),0,IF(FALSE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),0)</f>
        <v>121428</v>
      </c>
      <c r="H347" s="32">
        <f t="shared" si="93"/>
        <v>121428</v>
      </c>
      <c r="I347" s="32">
        <f t="shared" si="94"/>
        <v>18409</v>
      </c>
      <c r="J347" s="32">
        <f t="shared" si="95"/>
        <v>0</v>
      </c>
      <c r="K347" s="32">
        <f t="shared" si="96"/>
        <v>0</v>
      </c>
      <c r="L347" s="32">
        <f t="shared" si="97"/>
        <v>103019</v>
      </c>
      <c r="M347" s="32">
        <f>0</f>
        <v>0</v>
      </c>
      <c r="N347" s="32">
        <f t="shared" si="98"/>
        <v>8733446</v>
      </c>
      <c r="O347" s="32">
        <f t="shared" si="99"/>
        <v>13378062</v>
      </c>
      <c r="P347" s="34" t="str">
        <f>IF(NOT(AND(T346="",A347&lt;=S346)),"",IF(FALSE,"繰上返済後再計算","")&amp;IF(AND(入力!$B$13="有効",A347&gt;1,MOD(A347-1,60)=0),IF(FALSE,"・","")&amp;"5年見直し","")&amp;IF(AND(A347=入力!$B$11,A347&gt;1),IF(OR(FALSE,AND(入力!$B$13="有効",A347&gt;1,MOD(A347-1,60)=0)),"・","")&amp;"金利変更","")&amp;IF(AND(OR(AND(入力!$B$13="有効",A347&gt;1,MOD(A347-1,60)=0),AND(A347=入力!$B$11,A347&gt;1)),入力!$B$14="有効",IF(E347=0,ROUND(C347/MAX(1,S346-A347+1),0),ROUND(-PMT(E347/12,MAX(1,S346-A347+1),C347),0))&gt;ROUND(G346*1.25,0),NOT(FALSE)),"・上限適用",""))</f>
        <v/>
      </c>
      <c r="Q347" s="35" t="str">
        <f>IF(AND(T346="",A347&lt;=S346),入力!$B$13,"")</f>
        <v>有効</v>
      </c>
      <c r="R347" s="32" t="str">
        <f>IF(AND(AND(T346="",A347&lt;=S346),OR(AND(入力!$B$13="有効",A347&gt;1,MOD(A347-1,60)=0),AND(A347=入力!$B$11,A347&gt;1)),入力!$B$14="有効"),ROUND(G346*1.25,0),"")</f>
        <v/>
      </c>
      <c r="S347" s="36">
        <f t="shared" si="100"/>
        <v>420</v>
      </c>
      <c r="T347" s="35" t="str">
        <f t="shared" si="101"/>
        <v/>
      </c>
      <c r="U347" s="3">
        <f t="shared" si="85"/>
        <v>0</v>
      </c>
      <c r="V347" s="3">
        <f t="shared" si="86"/>
        <v>0</v>
      </c>
      <c r="W347" s="3">
        <f t="shared" si="87"/>
        <v>0</v>
      </c>
      <c r="X347" s="3">
        <f t="shared" si="88"/>
        <v>0</v>
      </c>
      <c r="Y347" s="3">
        <f>0</f>
        <v>0</v>
      </c>
      <c r="Z347" s="3">
        <f t="shared" si="89"/>
        <v>0</v>
      </c>
      <c r="AA347">
        <f>ROUND(IF(FALSE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,0)</f>
        <v>121428</v>
      </c>
    </row>
    <row r="348" spans="1:27">
      <c r="A348" s="30">
        <f>343</f>
        <v>343</v>
      </c>
      <c r="B348" s="31">
        <f>EDATE(入力!$B$6,A348-1)</f>
        <v>56646</v>
      </c>
      <c r="C348" s="32">
        <f t="shared" si="90"/>
        <v>8733446</v>
      </c>
      <c r="D348" s="32">
        <f t="shared" si="91"/>
        <v>0</v>
      </c>
      <c r="E348" s="33">
        <f>IF(AND(T347="",A348&lt;=S347),IF(A348&lt;入力!$B$11,入力!$B$10,入力!$B$12),0)</f>
        <v>2.5000000000000001E-2</v>
      </c>
      <c r="F348" s="32">
        <f t="shared" si="92"/>
        <v>18195</v>
      </c>
      <c r="G348" s="32">
        <f>ROUND(IF(NOT(AND(T347="",A348&lt;=S347)),0,IF(FALSE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),0)</f>
        <v>121428</v>
      </c>
      <c r="H348" s="32">
        <f t="shared" si="93"/>
        <v>121428</v>
      </c>
      <c r="I348" s="32">
        <f t="shared" si="94"/>
        <v>18195</v>
      </c>
      <c r="J348" s="32">
        <f t="shared" si="95"/>
        <v>0</v>
      </c>
      <c r="K348" s="32">
        <f t="shared" si="96"/>
        <v>0</v>
      </c>
      <c r="L348" s="32">
        <f t="shared" si="97"/>
        <v>103233</v>
      </c>
      <c r="M348" s="32">
        <f>0</f>
        <v>0</v>
      </c>
      <c r="N348" s="32">
        <f t="shared" si="98"/>
        <v>8630213</v>
      </c>
      <c r="O348" s="32">
        <f t="shared" si="99"/>
        <v>13396257</v>
      </c>
      <c r="P348" s="34" t="str">
        <f>IF(NOT(AND(T347="",A348&lt;=S347)),"",IF(FALSE,"繰上返済後再計算","")&amp;IF(AND(入力!$B$13="有効",A348&gt;1,MOD(A348-1,60)=0),IF(FALSE,"・","")&amp;"5年見直し","")&amp;IF(AND(A348=入力!$B$11,A348&gt;1),IF(OR(FALSE,AND(入力!$B$13="有効",A348&gt;1,MOD(A348-1,60)=0)),"・","")&amp;"金利変更","")&amp;IF(AND(OR(AND(入力!$B$13="有効",A348&gt;1,MOD(A348-1,60)=0),AND(A348=入力!$B$11,A348&gt;1)),入力!$B$14="有効",IF(E348=0,ROUND(C348/MAX(1,S347-A348+1),0),ROUND(-PMT(E348/12,MAX(1,S347-A348+1),C348),0))&gt;ROUND(G347*1.25,0),NOT(FALSE)),"・上限適用",""))</f>
        <v/>
      </c>
      <c r="Q348" s="35" t="str">
        <f>IF(AND(T347="",A348&lt;=S347),入力!$B$13,"")</f>
        <v>有効</v>
      </c>
      <c r="R348" s="32" t="str">
        <f>IF(AND(AND(T347="",A348&lt;=S347),OR(AND(入力!$B$13="有効",A348&gt;1,MOD(A348-1,60)=0),AND(A348=入力!$B$11,A348&gt;1)),入力!$B$14="有効"),ROUND(G347*1.25,0),"")</f>
        <v/>
      </c>
      <c r="S348" s="36">
        <f t="shared" si="100"/>
        <v>420</v>
      </c>
      <c r="T348" s="35" t="str">
        <f t="shared" si="101"/>
        <v/>
      </c>
      <c r="U348" s="3">
        <f t="shared" si="85"/>
        <v>0</v>
      </c>
      <c r="V348" s="3">
        <f t="shared" si="86"/>
        <v>0</v>
      </c>
      <c r="W348" s="3">
        <f t="shared" si="87"/>
        <v>0</v>
      </c>
      <c r="X348" s="3">
        <f t="shared" si="88"/>
        <v>0</v>
      </c>
      <c r="Y348" s="3">
        <f>0</f>
        <v>0</v>
      </c>
      <c r="Z348" s="3">
        <f t="shared" si="89"/>
        <v>0</v>
      </c>
      <c r="AA348">
        <f>ROUND(IF(FALSE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,0)</f>
        <v>121428</v>
      </c>
    </row>
    <row r="349" spans="1:27">
      <c r="A349" s="30">
        <f>344</f>
        <v>344</v>
      </c>
      <c r="B349" s="31">
        <f>EDATE(入力!$B$6,A349-1)</f>
        <v>56674</v>
      </c>
      <c r="C349" s="32">
        <f t="shared" si="90"/>
        <v>8630213</v>
      </c>
      <c r="D349" s="32">
        <f t="shared" si="91"/>
        <v>0</v>
      </c>
      <c r="E349" s="33">
        <f>IF(AND(T348="",A349&lt;=S348),IF(A349&lt;入力!$B$11,入力!$B$10,入力!$B$12),0)</f>
        <v>2.5000000000000001E-2</v>
      </c>
      <c r="F349" s="32">
        <f t="shared" si="92"/>
        <v>17980</v>
      </c>
      <c r="G349" s="32">
        <f>ROUND(IF(NOT(AND(T348="",A349&lt;=S348)),0,IF(FALSE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),0)</f>
        <v>121428</v>
      </c>
      <c r="H349" s="32">
        <f t="shared" si="93"/>
        <v>121428</v>
      </c>
      <c r="I349" s="32">
        <f t="shared" si="94"/>
        <v>17980</v>
      </c>
      <c r="J349" s="32">
        <f t="shared" si="95"/>
        <v>0</v>
      </c>
      <c r="K349" s="32">
        <f t="shared" si="96"/>
        <v>0</v>
      </c>
      <c r="L349" s="32">
        <f t="shared" si="97"/>
        <v>103448</v>
      </c>
      <c r="M349" s="32">
        <f>0</f>
        <v>0</v>
      </c>
      <c r="N349" s="32">
        <f t="shared" si="98"/>
        <v>8526765</v>
      </c>
      <c r="O349" s="32">
        <f t="shared" si="99"/>
        <v>13414237</v>
      </c>
      <c r="P349" s="34" t="str">
        <f>IF(NOT(AND(T348="",A349&lt;=S348)),"",IF(FALSE,"繰上返済後再計算","")&amp;IF(AND(入力!$B$13="有効",A349&gt;1,MOD(A349-1,60)=0),IF(FALSE,"・","")&amp;"5年見直し","")&amp;IF(AND(A349=入力!$B$11,A349&gt;1),IF(OR(FALSE,AND(入力!$B$13="有効",A349&gt;1,MOD(A349-1,60)=0)),"・","")&amp;"金利変更","")&amp;IF(AND(OR(AND(入力!$B$13="有効",A349&gt;1,MOD(A349-1,60)=0),AND(A349=入力!$B$11,A349&gt;1)),入力!$B$14="有効",IF(E349=0,ROUND(C349/MAX(1,S348-A349+1),0),ROUND(-PMT(E349/12,MAX(1,S348-A349+1),C349),0))&gt;ROUND(G348*1.25,0),NOT(FALSE)),"・上限適用",""))</f>
        <v/>
      </c>
      <c r="Q349" s="35" t="str">
        <f>IF(AND(T348="",A349&lt;=S348),入力!$B$13,"")</f>
        <v>有効</v>
      </c>
      <c r="R349" s="32" t="str">
        <f>IF(AND(AND(T348="",A349&lt;=S348),OR(AND(入力!$B$13="有効",A349&gt;1,MOD(A349-1,60)=0),AND(A349=入力!$B$11,A349&gt;1)),入力!$B$14="有効"),ROUND(G348*1.25,0),"")</f>
        <v/>
      </c>
      <c r="S349" s="36">
        <f t="shared" si="100"/>
        <v>420</v>
      </c>
      <c r="T349" s="35" t="str">
        <f t="shared" si="101"/>
        <v/>
      </c>
      <c r="U349" s="3">
        <f t="shared" si="85"/>
        <v>0</v>
      </c>
      <c r="V349" s="3">
        <f t="shared" si="86"/>
        <v>0</v>
      </c>
      <c r="W349" s="3">
        <f t="shared" si="87"/>
        <v>0</v>
      </c>
      <c r="X349" s="3">
        <f t="shared" si="88"/>
        <v>0</v>
      </c>
      <c r="Y349" s="3">
        <f>0</f>
        <v>0</v>
      </c>
      <c r="Z349" s="3">
        <f t="shared" si="89"/>
        <v>0</v>
      </c>
      <c r="AA349">
        <f>ROUND(IF(FALSE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,0)</f>
        <v>121428</v>
      </c>
    </row>
    <row r="350" spans="1:27">
      <c r="A350" s="30">
        <f>345</f>
        <v>345</v>
      </c>
      <c r="B350" s="31">
        <f>EDATE(入力!$B$6,A350-1)</f>
        <v>56705</v>
      </c>
      <c r="C350" s="32">
        <f t="shared" si="90"/>
        <v>8526765</v>
      </c>
      <c r="D350" s="32">
        <f t="shared" si="91"/>
        <v>0</v>
      </c>
      <c r="E350" s="33">
        <f>IF(AND(T349="",A350&lt;=S349),IF(A350&lt;入力!$B$11,入力!$B$10,入力!$B$12),0)</f>
        <v>2.5000000000000001E-2</v>
      </c>
      <c r="F350" s="32">
        <f t="shared" si="92"/>
        <v>17764</v>
      </c>
      <c r="G350" s="32">
        <f>ROUND(IF(NOT(AND(T349="",A350&lt;=S349)),0,IF(FALSE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),0)</f>
        <v>121428</v>
      </c>
      <c r="H350" s="32">
        <f t="shared" si="93"/>
        <v>121428</v>
      </c>
      <c r="I350" s="32">
        <f t="shared" si="94"/>
        <v>17764</v>
      </c>
      <c r="J350" s="32">
        <f t="shared" si="95"/>
        <v>0</v>
      </c>
      <c r="K350" s="32">
        <f t="shared" si="96"/>
        <v>0</v>
      </c>
      <c r="L350" s="32">
        <f t="shared" si="97"/>
        <v>103664</v>
      </c>
      <c r="M350" s="32">
        <f>0</f>
        <v>0</v>
      </c>
      <c r="N350" s="32">
        <f t="shared" si="98"/>
        <v>8423101</v>
      </c>
      <c r="O350" s="32">
        <f t="shared" si="99"/>
        <v>13432001</v>
      </c>
      <c r="P350" s="34" t="str">
        <f>IF(NOT(AND(T349="",A350&lt;=S349)),"",IF(FALSE,"繰上返済後再計算","")&amp;IF(AND(入力!$B$13="有効",A350&gt;1,MOD(A350-1,60)=0),IF(FALSE,"・","")&amp;"5年見直し","")&amp;IF(AND(A350=入力!$B$11,A350&gt;1),IF(OR(FALSE,AND(入力!$B$13="有効",A350&gt;1,MOD(A350-1,60)=0)),"・","")&amp;"金利変更","")&amp;IF(AND(OR(AND(入力!$B$13="有効",A350&gt;1,MOD(A350-1,60)=0),AND(A350=入力!$B$11,A350&gt;1)),入力!$B$14="有効",IF(E350=0,ROUND(C350/MAX(1,S349-A350+1),0),ROUND(-PMT(E350/12,MAX(1,S349-A350+1),C350),0))&gt;ROUND(G349*1.25,0),NOT(FALSE)),"・上限適用",""))</f>
        <v/>
      </c>
      <c r="Q350" s="35" t="str">
        <f>IF(AND(T349="",A350&lt;=S349),入力!$B$13,"")</f>
        <v>有効</v>
      </c>
      <c r="R350" s="32" t="str">
        <f>IF(AND(AND(T349="",A350&lt;=S349),OR(AND(入力!$B$13="有効",A350&gt;1,MOD(A350-1,60)=0),AND(A350=入力!$B$11,A350&gt;1)),入力!$B$14="有効"),ROUND(G349*1.25,0),"")</f>
        <v/>
      </c>
      <c r="S350" s="36">
        <f t="shared" si="100"/>
        <v>420</v>
      </c>
      <c r="T350" s="35" t="str">
        <f t="shared" si="101"/>
        <v/>
      </c>
      <c r="U350" s="3">
        <f t="shared" si="85"/>
        <v>0</v>
      </c>
      <c r="V350" s="3">
        <f t="shared" si="86"/>
        <v>0</v>
      </c>
      <c r="W350" s="3">
        <f t="shared" si="87"/>
        <v>0</v>
      </c>
      <c r="X350" s="3">
        <f t="shared" si="88"/>
        <v>0</v>
      </c>
      <c r="Y350" s="3">
        <f>0</f>
        <v>0</v>
      </c>
      <c r="Z350" s="3">
        <f t="shared" si="89"/>
        <v>0</v>
      </c>
      <c r="AA350">
        <f>ROUND(IF(FALSE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,0)</f>
        <v>121428</v>
      </c>
    </row>
    <row r="351" spans="1:27">
      <c r="A351" s="30">
        <f>346</f>
        <v>346</v>
      </c>
      <c r="B351" s="31">
        <f>EDATE(入力!$B$6,A351-1)</f>
        <v>56735</v>
      </c>
      <c r="C351" s="32">
        <f t="shared" si="90"/>
        <v>8423101</v>
      </c>
      <c r="D351" s="32">
        <f t="shared" si="91"/>
        <v>0</v>
      </c>
      <c r="E351" s="33">
        <f>IF(AND(T350="",A351&lt;=S350),IF(A351&lt;入力!$B$11,入力!$B$10,入力!$B$12),0)</f>
        <v>2.5000000000000001E-2</v>
      </c>
      <c r="F351" s="32">
        <f t="shared" si="92"/>
        <v>17548</v>
      </c>
      <c r="G351" s="32">
        <f>ROUND(IF(NOT(AND(T350="",A351&lt;=S350)),0,IF(FALSE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),0)</f>
        <v>121428</v>
      </c>
      <c r="H351" s="32">
        <f t="shared" si="93"/>
        <v>121428</v>
      </c>
      <c r="I351" s="32">
        <f t="shared" si="94"/>
        <v>17548</v>
      </c>
      <c r="J351" s="32">
        <f t="shared" si="95"/>
        <v>0</v>
      </c>
      <c r="K351" s="32">
        <f t="shared" si="96"/>
        <v>0</v>
      </c>
      <c r="L351" s="32">
        <f t="shared" si="97"/>
        <v>103880</v>
      </c>
      <c r="M351" s="32">
        <f>0</f>
        <v>0</v>
      </c>
      <c r="N351" s="32">
        <f t="shared" si="98"/>
        <v>8319221</v>
      </c>
      <c r="O351" s="32">
        <f t="shared" si="99"/>
        <v>13449549</v>
      </c>
      <c r="P351" s="34" t="str">
        <f>IF(NOT(AND(T350="",A351&lt;=S350)),"",IF(FALSE,"繰上返済後再計算","")&amp;IF(AND(入力!$B$13="有効",A351&gt;1,MOD(A351-1,60)=0),IF(FALSE,"・","")&amp;"5年見直し","")&amp;IF(AND(A351=入力!$B$11,A351&gt;1),IF(OR(FALSE,AND(入力!$B$13="有効",A351&gt;1,MOD(A351-1,60)=0)),"・","")&amp;"金利変更","")&amp;IF(AND(OR(AND(入力!$B$13="有効",A351&gt;1,MOD(A351-1,60)=0),AND(A351=入力!$B$11,A351&gt;1)),入力!$B$14="有効",IF(E351=0,ROUND(C351/MAX(1,S350-A351+1),0),ROUND(-PMT(E351/12,MAX(1,S350-A351+1),C351),0))&gt;ROUND(G350*1.25,0),NOT(FALSE)),"・上限適用",""))</f>
        <v/>
      </c>
      <c r="Q351" s="35" t="str">
        <f>IF(AND(T350="",A351&lt;=S350),入力!$B$13,"")</f>
        <v>有効</v>
      </c>
      <c r="R351" s="32" t="str">
        <f>IF(AND(AND(T350="",A351&lt;=S350),OR(AND(入力!$B$13="有効",A351&gt;1,MOD(A351-1,60)=0),AND(A351=入力!$B$11,A351&gt;1)),入力!$B$14="有効"),ROUND(G350*1.25,0),"")</f>
        <v/>
      </c>
      <c r="S351" s="36">
        <f t="shared" si="100"/>
        <v>420</v>
      </c>
      <c r="T351" s="35" t="str">
        <f t="shared" si="101"/>
        <v/>
      </c>
      <c r="U351" s="3">
        <f t="shared" si="85"/>
        <v>0</v>
      </c>
      <c r="V351" s="3">
        <f t="shared" si="86"/>
        <v>0</v>
      </c>
      <c r="W351" s="3">
        <f t="shared" si="87"/>
        <v>0</v>
      </c>
      <c r="X351" s="3">
        <f t="shared" si="88"/>
        <v>0</v>
      </c>
      <c r="Y351" s="3">
        <f>0</f>
        <v>0</v>
      </c>
      <c r="Z351" s="3">
        <f t="shared" si="89"/>
        <v>0</v>
      </c>
      <c r="AA351">
        <f>ROUND(IF(FALSE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,0)</f>
        <v>121428</v>
      </c>
    </row>
    <row r="352" spans="1:27">
      <c r="A352" s="30">
        <f>347</f>
        <v>347</v>
      </c>
      <c r="B352" s="31">
        <f>EDATE(入力!$B$6,A352-1)</f>
        <v>56766</v>
      </c>
      <c r="C352" s="32">
        <f t="shared" si="90"/>
        <v>8319221</v>
      </c>
      <c r="D352" s="32">
        <f t="shared" si="91"/>
        <v>0</v>
      </c>
      <c r="E352" s="33">
        <f>IF(AND(T351="",A352&lt;=S351),IF(A352&lt;入力!$B$11,入力!$B$10,入力!$B$12),0)</f>
        <v>2.5000000000000001E-2</v>
      </c>
      <c r="F352" s="32">
        <f t="shared" si="92"/>
        <v>17332</v>
      </c>
      <c r="G352" s="32">
        <f>ROUND(IF(NOT(AND(T351="",A352&lt;=S351)),0,IF(FALSE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),0)</f>
        <v>121428</v>
      </c>
      <c r="H352" s="32">
        <f t="shared" si="93"/>
        <v>121428</v>
      </c>
      <c r="I352" s="32">
        <f t="shared" si="94"/>
        <v>17332</v>
      </c>
      <c r="J352" s="32">
        <f t="shared" si="95"/>
        <v>0</v>
      </c>
      <c r="K352" s="32">
        <f t="shared" si="96"/>
        <v>0</v>
      </c>
      <c r="L352" s="32">
        <f t="shared" si="97"/>
        <v>104096</v>
      </c>
      <c r="M352" s="32">
        <f>0</f>
        <v>0</v>
      </c>
      <c r="N352" s="32">
        <f t="shared" si="98"/>
        <v>8215125</v>
      </c>
      <c r="O352" s="32">
        <f t="shared" si="99"/>
        <v>13466881</v>
      </c>
      <c r="P352" s="34" t="str">
        <f>IF(NOT(AND(T351="",A352&lt;=S351)),"",IF(FALSE,"繰上返済後再計算","")&amp;IF(AND(入力!$B$13="有効",A352&gt;1,MOD(A352-1,60)=0),IF(FALSE,"・","")&amp;"5年見直し","")&amp;IF(AND(A352=入力!$B$11,A352&gt;1),IF(OR(FALSE,AND(入力!$B$13="有効",A352&gt;1,MOD(A352-1,60)=0)),"・","")&amp;"金利変更","")&amp;IF(AND(OR(AND(入力!$B$13="有効",A352&gt;1,MOD(A352-1,60)=0),AND(A352=入力!$B$11,A352&gt;1)),入力!$B$14="有効",IF(E352=0,ROUND(C352/MAX(1,S351-A352+1),0),ROUND(-PMT(E352/12,MAX(1,S351-A352+1),C352),0))&gt;ROUND(G351*1.25,0),NOT(FALSE)),"・上限適用",""))</f>
        <v/>
      </c>
      <c r="Q352" s="35" t="str">
        <f>IF(AND(T351="",A352&lt;=S351),入力!$B$13,"")</f>
        <v>有効</v>
      </c>
      <c r="R352" s="32" t="str">
        <f>IF(AND(AND(T351="",A352&lt;=S351),OR(AND(入力!$B$13="有効",A352&gt;1,MOD(A352-1,60)=0),AND(A352=入力!$B$11,A352&gt;1)),入力!$B$14="有効"),ROUND(G351*1.25,0),"")</f>
        <v/>
      </c>
      <c r="S352" s="36">
        <f t="shared" si="100"/>
        <v>420</v>
      </c>
      <c r="T352" s="35" t="str">
        <f t="shared" si="101"/>
        <v/>
      </c>
      <c r="U352" s="3">
        <f t="shared" si="85"/>
        <v>0</v>
      </c>
      <c r="V352" s="3">
        <f t="shared" si="86"/>
        <v>0</v>
      </c>
      <c r="W352" s="3">
        <f t="shared" si="87"/>
        <v>0</v>
      </c>
      <c r="X352" s="3">
        <f t="shared" si="88"/>
        <v>0</v>
      </c>
      <c r="Y352" s="3">
        <f>0</f>
        <v>0</v>
      </c>
      <c r="Z352" s="3">
        <f t="shared" si="89"/>
        <v>0</v>
      </c>
      <c r="AA352">
        <f>ROUND(IF(FALSE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,0)</f>
        <v>121428</v>
      </c>
    </row>
    <row r="353" spans="1:27">
      <c r="A353" s="30">
        <f>348</f>
        <v>348</v>
      </c>
      <c r="B353" s="31">
        <f>EDATE(入力!$B$6,A353-1)</f>
        <v>56796</v>
      </c>
      <c r="C353" s="32">
        <f t="shared" si="90"/>
        <v>8215125</v>
      </c>
      <c r="D353" s="32">
        <f t="shared" si="91"/>
        <v>0</v>
      </c>
      <c r="E353" s="33">
        <f>IF(AND(T352="",A353&lt;=S352),IF(A353&lt;入力!$B$11,入力!$B$10,入力!$B$12),0)</f>
        <v>2.5000000000000001E-2</v>
      </c>
      <c r="F353" s="32">
        <f t="shared" si="92"/>
        <v>17115</v>
      </c>
      <c r="G353" s="32">
        <f>ROUND(IF(NOT(AND(T352="",A353&lt;=S352)),0,IF(FALSE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),0)</f>
        <v>121428</v>
      </c>
      <c r="H353" s="32">
        <f t="shared" si="93"/>
        <v>121428</v>
      </c>
      <c r="I353" s="32">
        <f t="shared" si="94"/>
        <v>17115</v>
      </c>
      <c r="J353" s="32">
        <f t="shared" si="95"/>
        <v>0</v>
      </c>
      <c r="K353" s="32">
        <f t="shared" si="96"/>
        <v>0</v>
      </c>
      <c r="L353" s="32">
        <f t="shared" si="97"/>
        <v>104313</v>
      </c>
      <c r="M353" s="32">
        <f>0</f>
        <v>0</v>
      </c>
      <c r="N353" s="32">
        <f t="shared" si="98"/>
        <v>8110812</v>
      </c>
      <c r="O353" s="32">
        <f t="shared" si="99"/>
        <v>13483996</v>
      </c>
      <c r="P353" s="34" t="str">
        <f>IF(NOT(AND(T352="",A353&lt;=S352)),"",IF(FALSE,"繰上返済後再計算","")&amp;IF(AND(入力!$B$13="有効",A353&gt;1,MOD(A353-1,60)=0),IF(FALSE,"・","")&amp;"5年見直し","")&amp;IF(AND(A353=入力!$B$11,A353&gt;1),IF(OR(FALSE,AND(入力!$B$13="有効",A353&gt;1,MOD(A353-1,60)=0)),"・","")&amp;"金利変更","")&amp;IF(AND(OR(AND(入力!$B$13="有効",A353&gt;1,MOD(A353-1,60)=0),AND(A353=入力!$B$11,A353&gt;1)),入力!$B$14="有効",IF(E353=0,ROUND(C353/MAX(1,S352-A353+1),0),ROUND(-PMT(E353/12,MAX(1,S352-A353+1),C353),0))&gt;ROUND(G352*1.25,0),NOT(FALSE)),"・上限適用",""))</f>
        <v/>
      </c>
      <c r="Q353" s="35" t="str">
        <f>IF(AND(T352="",A353&lt;=S352),入力!$B$13,"")</f>
        <v>有効</v>
      </c>
      <c r="R353" s="32" t="str">
        <f>IF(AND(AND(T352="",A353&lt;=S352),OR(AND(入力!$B$13="有効",A353&gt;1,MOD(A353-1,60)=0),AND(A353=入力!$B$11,A353&gt;1)),入力!$B$14="有効"),ROUND(G352*1.25,0),"")</f>
        <v/>
      </c>
      <c r="S353" s="36">
        <f t="shared" si="100"/>
        <v>420</v>
      </c>
      <c r="T353" s="35" t="str">
        <f t="shared" si="101"/>
        <v/>
      </c>
      <c r="U353" s="3">
        <f t="shared" si="85"/>
        <v>0</v>
      </c>
      <c r="V353" s="3">
        <f t="shared" si="86"/>
        <v>0</v>
      </c>
      <c r="W353" s="3">
        <f t="shared" si="87"/>
        <v>0</v>
      </c>
      <c r="X353" s="3">
        <f t="shared" si="88"/>
        <v>0</v>
      </c>
      <c r="Y353" s="3">
        <f>0</f>
        <v>0</v>
      </c>
      <c r="Z353" s="3">
        <f t="shared" si="89"/>
        <v>0</v>
      </c>
      <c r="AA353">
        <f>ROUND(IF(FALSE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,0)</f>
        <v>121428</v>
      </c>
    </row>
    <row r="354" spans="1:27">
      <c r="A354" s="30">
        <f>349</f>
        <v>349</v>
      </c>
      <c r="B354" s="31">
        <f>EDATE(入力!$B$6,A354-1)</f>
        <v>56827</v>
      </c>
      <c r="C354" s="32">
        <f t="shared" si="90"/>
        <v>8110812</v>
      </c>
      <c r="D354" s="32">
        <f t="shared" si="91"/>
        <v>0</v>
      </c>
      <c r="E354" s="33">
        <f>IF(AND(T353="",A354&lt;=S353),IF(A354&lt;入力!$B$11,入力!$B$10,入力!$B$12),0)</f>
        <v>2.5000000000000001E-2</v>
      </c>
      <c r="F354" s="32">
        <f t="shared" si="92"/>
        <v>16898</v>
      </c>
      <c r="G354" s="32">
        <f>ROUND(IF(NOT(AND(T353="",A354&lt;=S353)),0,IF(FALSE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),0)</f>
        <v>121428</v>
      </c>
      <c r="H354" s="32">
        <f t="shared" si="93"/>
        <v>121428</v>
      </c>
      <c r="I354" s="32">
        <f t="shared" si="94"/>
        <v>16898</v>
      </c>
      <c r="J354" s="32">
        <f t="shared" si="95"/>
        <v>0</v>
      </c>
      <c r="K354" s="32">
        <f t="shared" si="96"/>
        <v>0</v>
      </c>
      <c r="L354" s="32">
        <f t="shared" si="97"/>
        <v>104530</v>
      </c>
      <c r="M354" s="32">
        <f>0</f>
        <v>0</v>
      </c>
      <c r="N354" s="32">
        <f t="shared" si="98"/>
        <v>8006282</v>
      </c>
      <c r="O354" s="32">
        <f t="shared" si="99"/>
        <v>13500894</v>
      </c>
      <c r="P354" s="34" t="str">
        <f>IF(NOT(AND(T353="",A354&lt;=S353)),"",IF(FALSE,"繰上返済後再計算","")&amp;IF(AND(入力!$B$13="有効",A354&gt;1,MOD(A354-1,60)=0),IF(FALSE,"・","")&amp;"5年見直し","")&amp;IF(AND(A354=入力!$B$11,A354&gt;1),IF(OR(FALSE,AND(入力!$B$13="有効",A354&gt;1,MOD(A354-1,60)=0)),"・","")&amp;"金利変更","")&amp;IF(AND(OR(AND(入力!$B$13="有効",A354&gt;1,MOD(A354-1,60)=0),AND(A354=入力!$B$11,A354&gt;1)),入力!$B$14="有効",IF(E354=0,ROUND(C354/MAX(1,S353-A354+1),0),ROUND(-PMT(E354/12,MAX(1,S353-A354+1),C354),0))&gt;ROUND(G353*1.25,0),NOT(FALSE)),"・上限適用",""))</f>
        <v/>
      </c>
      <c r="Q354" s="35" t="str">
        <f>IF(AND(T353="",A354&lt;=S353),入力!$B$13,"")</f>
        <v>有効</v>
      </c>
      <c r="R354" s="32" t="str">
        <f>IF(AND(AND(T353="",A354&lt;=S353),OR(AND(入力!$B$13="有効",A354&gt;1,MOD(A354-1,60)=0),AND(A354=入力!$B$11,A354&gt;1)),入力!$B$14="有効"),ROUND(G353*1.25,0),"")</f>
        <v/>
      </c>
      <c r="S354" s="36">
        <f t="shared" si="100"/>
        <v>420</v>
      </c>
      <c r="T354" s="35" t="str">
        <f t="shared" si="101"/>
        <v/>
      </c>
      <c r="U354" s="3">
        <f t="shared" si="85"/>
        <v>0</v>
      </c>
      <c r="V354" s="3">
        <f t="shared" si="86"/>
        <v>0</v>
      </c>
      <c r="W354" s="3">
        <f t="shared" si="87"/>
        <v>0</v>
      </c>
      <c r="X354" s="3">
        <f t="shared" si="88"/>
        <v>0</v>
      </c>
      <c r="Y354" s="3">
        <f>0</f>
        <v>0</v>
      </c>
      <c r="Z354" s="3">
        <f t="shared" si="89"/>
        <v>0</v>
      </c>
      <c r="AA354">
        <f>ROUND(IF(FALSE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,0)</f>
        <v>121428</v>
      </c>
    </row>
    <row r="355" spans="1:27">
      <c r="A355" s="30">
        <f>350</f>
        <v>350</v>
      </c>
      <c r="B355" s="31">
        <f>EDATE(入力!$B$6,A355-1)</f>
        <v>56858</v>
      </c>
      <c r="C355" s="32">
        <f t="shared" si="90"/>
        <v>8006282</v>
      </c>
      <c r="D355" s="32">
        <f t="shared" si="91"/>
        <v>0</v>
      </c>
      <c r="E355" s="33">
        <f>IF(AND(T354="",A355&lt;=S354),IF(A355&lt;入力!$B$11,入力!$B$10,入力!$B$12),0)</f>
        <v>2.5000000000000001E-2</v>
      </c>
      <c r="F355" s="32">
        <f t="shared" si="92"/>
        <v>16680</v>
      </c>
      <c r="G355" s="32">
        <f>ROUND(IF(NOT(AND(T354="",A355&lt;=S354)),0,IF(FALSE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),0)</f>
        <v>121428</v>
      </c>
      <c r="H355" s="32">
        <f t="shared" si="93"/>
        <v>121428</v>
      </c>
      <c r="I355" s="32">
        <f t="shared" si="94"/>
        <v>16680</v>
      </c>
      <c r="J355" s="32">
        <f t="shared" si="95"/>
        <v>0</v>
      </c>
      <c r="K355" s="32">
        <f t="shared" si="96"/>
        <v>0</v>
      </c>
      <c r="L355" s="32">
        <f t="shared" si="97"/>
        <v>104748</v>
      </c>
      <c r="M355" s="32">
        <f>0</f>
        <v>0</v>
      </c>
      <c r="N355" s="32">
        <f t="shared" si="98"/>
        <v>7901534</v>
      </c>
      <c r="O355" s="32">
        <f t="shared" si="99"/>
        <v>13517574</v>
      </c>
      <c r="P355" s="34" t="str">
        <f>IF(NOT(AND(T354="",A355&lt;=S354)),"",IF(FALSE,"繰上返済後再計算","")&amp;IF(AND(入力!$B$13="有効",A355&gt;1,MOD(A355-1,60)=0),IF(FALSE,"・","")&amp;"5年見直し","")&amp;IF(AND(A355=入力!$B$11,A355&gt;1),IF(OR(FALSE,AND(入力!$B$13="有効",A355&gt;1,MOD(A355-1,60)=0)),"・","")&amp;"金利変更","")&amp;IF(AND(OR(AND(入力!$B$13="有効",A355&gt;1,MOD(A355-1,60)=0),AND(A355=入力!$B$11,A355&gt;1)),入力!$B$14="有効",IF(E355=0,ROUND(C355/MAX(1,S354-A355+1),0),ROUND(-PMT(E355/12,MAX(1,S354-A355+1),C355),0))&gt;ROUND(G354*1.25,0),NOT(FALSE)),"・上限適用",""))</f>
        <v/>
      </c>
      <c r="Q355" s="35" t="str">
        <f>IF(AND(T354="",A355&lt;=S354),入力!$B$13,"")</f>
        <v>有効</v>
      </c>
      <c r="R355" s="32" t="str">
        <f>IF(AND(AND(T354="",A355&lt;=S354),OR(AND(入力!$B$13="有効",A355&gt;1,MOD(A355-1,60)=0),AND(A355=入力!$B$11,A355&gt;1)),入力!$B$14="有効"),ROUND(G354*1.25,0),"")</f>
        <v/>
      </c>
      <c r="S355" s="36">
        <f t="shared" si="100"/>
        <v>420</v>
      </c>
      <c r="T355" s="35" t="str">
        <f t="shared" si="101"/>
        <v/>
      </c>
      <c r="U355" s="3">
        <f t="shared" si="85"/>
        <v>0</v>
      </c>
      <c r="V355" s="3">
        <f t="shared" si="86"/>
        <v>0</v>
      </c>
      <c r="W355" s="3">
        <f t="shared" si="87"/>
        <v>0</v>
      </c>
      <c r="X355" s="3">
        <f t="shared" si="88"/>
        <v>0</v>
      </c>
      <c r="Y355" s="3">
        <f>0</f>
        <v>0</v>
      </c>
      <c r="Z355" s="3">
        <f t="shared" si="89"/>
        <v>0</v>
      </c>
      <c r="AA355">
        <f>ROUND(IF(FALSE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,0)</f>
        <v>121428</v>
      </c>
    </row>
    <row r="356" spans="1:27">
      <c r="A356" s="30">
        <f>351</f>
        <v>351</v>
      </c>
      <c r="B356" s="31">
        <f>EDATE(入力!$B$6,A356-1)</f>
        <v>56888</v>
      </c>
      <c r="C356" s="32">
        <f t="shared" si="90"/>
        <v>7901534</v>
      </c>
      <c r="D356" s="32">
        <f t="shared" si="91"/>
        <v>0</v>
      </c>
      <c r="E356" s="33">
        <f>IF(AND(T355="",A356&lt;=S355),IF(A356&lt;入力!$B$11,入力!$B$10,入力!$B$12),0)</f>
        <v>2.5000000000000001E-2</v>
      </c>
      <c r="F356" s="32">
        <f t="shared" si="92"/>
        <v>16462</v>
      </c>
      <c r="G356" s="32">
        <f>ROUND(IF(NOT(AND(T355="",A356&lt;=S355)),0,IF(FALSE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),0)</f>
        <v>121428</v>
      </c>
      <c r="H356" s="32">
        <f t="shared" si="93"/>
        <v>121428</v>
      </c>
      <c r="I356" s="32">
        <f t="shared" si="94"/>
        <v>16462</v>
      </c>
      <c r="J356" s="32">
        <f t="shared" si="95"/>
        <v>0</v>
      </c>
      <c r="K356" s="32">
        <f t="shared" si="96"/>
        <v>0</v>
      </c>
      <c r="L356" s="32">
        <f t="shared" si="97"/>
        <v>104966</v>
      </c>
      <c r="M356" s="32">
        <f>0</f>
        <v>0</v>
      </c>
      <c r="N356" s="32">
        <f t="shared" si="98"/>
        <v>7796568</v>
      </c>
      <c r="O356" s="32">
        <f t="shared" si="99"/>
        <v>13534036</v>
      </c>
      <c r="P356" s="34" t="str">
        <f>IF(NOT(AND(T355="",A356&lt;=S355)),"",IF(FALSE,"繰上返済後再計算","")&amp;IF(AND(入力!$B$13="有効",A356&gt;1,MOD(A356-1,60)=0),IF(FALSE,"・","")&amp;"5年見直し","")&amp;IF(AND(A356=入力!$B$11,A356&gt;1),IF(OR(FALSE,AND(入力!$B$13="有効",A356&gt;1,MOD(A356-1,60)=0)),"・","")&amp;"金利変更","")&amp;IF(AND(OR(AND(入力!$B$13="有効",A356&gt;1,MOD(A356-1,60)=0),AND(A356=入力!$B$11,A356&gt;1)),入力!$B$14="有効",IF(E356=0,ROUND(C356/MAX(1,S355-A356+1),0),ROUND(-PMT(E356/12,MAX(1,S355-A356+1),C356),0))&gt;ROUND(G355*1.25,0),NOT(FALSE)),"・上限適用",""))</f>
        <v/>
      </c>
      <c r="Q356" s="35" t="str">
        <f>IF(AND(T355="",A356&lt;=S355),入力!$B$13,"")</f>
        <v>有効</v>
      </c>
      <c r="R356" s="32" t="str">
        <f>IF(AND(AND(T355="",A356&lt;=S355),OR(AND(入力!$B$13="有効",A356&gt;1,MOD(A356-1,60)=0),AND(A356=入力!$B$11,A356&gt;1)),入力!$B$14="有効"),ROUND(G355*1.25,0),"")</f>
        <v/>
      </c>
      <c r="S356" s="36">
        <f t="shared" si="100"/>
        <v>420</v>
      </c>
      <c r="T356" s="35" t="str">
        <f t="shared" si="101"/>
        <v/>
      </c>
      <c r="U356" s="3">
        <f t="shared" si="85"/>
        <v>0</v>
      </c>
      <c r="V356" s="3">
        <f t="shared" si="86"/>
        <v>0</v>
      </c>
      <c r="W356" s="3">
        <f t="shared" si="87"/>
        <v>0</v>
      </c>
      <c r="X356" s="3">
        <f t="shared" si="88"/>
        <v>0</v>
      </c>
      <c r="Y356" s="3">
        <f>0</f>
        <v>0</v>
      </c>
      <c r="Z356" s="3">
        <f t="shared" si="89"/>
        <v>0</v>
      </c>
      <c r="AA356">
        <f>ROUND(IF(FALSE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,0)</f>
        <v>121428</v>
      </c>
    </row>
    <row r="357" spans="1:27">
      <c r="A357" s="30">
        <f>352</f>
        <v>352</v>
      </c>
      <c r="B357" s="31">
        <f>EDATE(入力!$B$6,A357-1)</f>
        <v>56919</v>
      </c>
      <c r="C357" s="32">
        <f t="shared" si="90"/>
        <v>7796568</v>
      </c>
      <c r="D357" s="32">
        <f t="shared" si="91"/>
        <v>0</v>
      </c>
      <c r="E357" s="33">
        <f>IF(AND(T356="",A357&lt;=S356),IF(A357&lt;入力!$B$11,入力!$B$10,入力!$B$12),0)</f>
        <v>2.5000000000000001E-2</v>
      </c>
      <c r="F357" s="32">
        <f t="shared" si="92"/>
        <v>16243</v>
      </c>
      <c r="G357" s="32">
        <f>ROUND(IF(NOT(AND(T356="",A357&lt;=S356)),0,IF(FALSE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),0)</f>
        <v>121428</v>
      </c>
      <c r="H357" s="32">
        <f t="shared" si="93"/>
        <v>121428</v>
      </c>
      <c r="I357" s="32">
        <f t="shared" si="94"/>
        <v>16243</v>
      </c>
      <c r="J357" s="32">
        <f t="shared" si="95"/>
        <v>0</v>
      </c>
      <c r="K357" s="32">
        <f t="shared" si="96"/>
        <v>0</v>
      </c>
      <c r="L357" s="32">
        <f t="shared" si="97"/>
        <v>105185</v>
      </c>
      <c r="M357" s="32">
        <f>0</f>
        <v>0</v>
      </c>
      <c r="N357" s="32">
        <f t="shared" si="98"/>
        <v>7691383</v>
      </c>
      <c r="O357" s="32">
        <f t="shared" si="99"/>
        <v>13550279</v>
      </c>
      <c r="P357" s="34" t="str">
        <f>IF(NOT(AND(T356="",A357&lt;=S356)),"",IF(FALSE,"繰上返済後再計算","")&amp;IF(AND(入力!$B$13="有効",A357&gt;1,MOD(A357-1,60)=0),IF(FALSE,"・","")&amp;"5年見直し","")&amp;IF(AND(A357=入力!$B$11,A357&gt;1),IF(OR(FALSE,AND(入力!$B$13="有効",A357&gt;1,MOD(A357-1,60)=0)),"・","")&amp;"金利変更","")&amp;IF(AND(OR(AND(入力!$B$13="有効",A357&gt;1,MOD(A357-1,60)=0),AND(A357=入力!$B$11,A357&gt;1)),入力!$B$14="有効",IF(E357=0,ROUND(C357/MAX(1,S356-A357+1),0),ROUND(-PMT(E357/12,MAX(1,S356-A357+1),C357),0))&gt;ROUND(G356*1.25,0),NOT(FALSE)),"・上限適用",""))</f>
        <v/>
      </c>
      <c r="Q357" s="35" t="str">
        <f>IF(AND(T356="",A357&lt;=S356),入力!$B$13,"")</f>
        <v>有効</v>
      </c>
      <c r="R357" s="32" t="str">
        <f>IF(AND(AND(T356="",A357&lt;=S356),OR(AND(入力!$B$13="有効",A357&gt;1,MOD(A357-1,60)=0),AND(A357=入力!$B$11,A357&gt;1)),入力!$B$14="有効"),ROUND(G356*1.25,0),"")</f>
        <v/>
      </c>
      <c r="S357" s="36">
        <f t="shared" si="100"/>
        <v>420</v>
      </c>
      <c r="T357" s="35" t="str">
        <f t="shared" si="101"/>
        <v/>
      </c>
      <c r="U357" s="3">
        <f t="shared" si="85"/>
        <v>0</v>
      </c>
      <c r="V357" s="3">
        <f t="shared" si="86"/>
        <v>0</v>
      </c>
      <c r="W357" s="3">
        <f t="shared" si="87"/>
        <v>0</v>
      </c>
      <c r="X357" s="3">
        <f t="shared" si="88"/>
        <v>0</v>
      </c>
      <c r="Y357" s="3">
        <f>0</f>
        <v>0</v>
      </c>
      <c r="Z357" s="3">
        <f t="shared" si="89"/>
        <v>0</v>
      </c>
      <c r="AA357">
        <f>ROUND(IF(FALSE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,0)</f>
        <v>121428</v>
      </c>
    </row>
    <row r="358" spans="1:27">
      <c r="A358" s="30">
        <f>353</f>
        <v>353</v>
      </c>
      <c r="B358" s="31">
        <f>EDATE(入力!$B$6,A358-1)</f>
        <v>56949</v>
      </c>
      <c r="C358" s="32">
        <f t="shared" si="90"/>
        <v>7691383</v>
      </c>
      <c r="D358" s="32">
        <f t="shared" si="91"/>
        <v>0</v>
      </c>
      <c r="E358" s="33">
        <f>IF(AND(T357="",A358&lt;=S357),IF(A358&lt;入力!$B$11,入力!$B$10,入力!$B$12),0)</f>
        <v>2.5000000000000001E-2</v>
      </c>
      <c r="F358" s="32">
        <f t="shared" si="92"/>
        <v>16024</v>
      </c>
      <c r="G358" s="32">
        <f>ROUND(IF(NOT(AND(T357="",A358&lt;=S357)),0,IF(FALSE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),0)</f>
        <v>121428</v>
      </c>
      <c r="H358" s="32">
        <f t="shared" si="93"/>
        <v>121428</v>
      </c>
      <c r="I358" s="32">
        <f t="shared" si="94"/>
        <v>16024</v>
      </c>
      <c r="J358" s="32">
        <f t="shared" si="95"/>
        <v>0</v>
      </c>
      <c r="K358" s="32">
        <f t="shared" si="96"/>
        <v>0</v>
      </c>
      <c r="L358" s="32">
        <f t="shared" si="97"/>
        <v>105404</v>
      </c>
      <c r="M358" s="32">
        <f>0</f>
        <v>0</v>
      </c>
      <c r="N358" s="32">
        <f t="shared" si="98"/>
        <v>7585979</v>
      </c>
      <c r="O358" s="32">
        <f t="shared" si="99"/>
        <v>13566303</v>
      </c>
      <c r="P358" s="34" t="str">
        <f>IF(NOT(AND(T357="",A358&lt;=S357)),"",IF(FALSE,"繰上返済後再計算","")&amp;IF(AND(入力!$B$13="有効",A358&gt;1,MOD(A358-1,60)=0),IF(FALSE,"・","")&amp;"5年見直し","")&amp;IF(AND(A358=入力!$B$11,A358&gt;1),IF(OR(FALSE,AND(入力!$B$13="有効",A358&gt;1,MOD(A358-1,60)=0)),"・","")&amp;"金利変更","")&amp;IF(AND(OR(AND(入力!$B$13="有効",A358&gt;1,MOD(A358-1,60)=0),AND(A358=入力!$B$11,A358&gt;1)),入力!$B$14="有効",IF(E358=0,ROUND(C358/MAX(1,S357-A358+1),0),ROUND(-PMT(E358/12,MAX(1,S357-A358+1),C358),0))&gt;ROUND(G357*1.25,0),NOT(FALSE)),"・上限適用",""))</f>
        <v/>
      </c>
      <c r="Q358" s="35" t="str">
        <f>IF(AND(T357="",A358&lt;=S357),入力!$B$13,"")</f>
        <v>有効</v>
      </c>
      <c r="R358" s="32" t="str">
        <f>IF(AND(AND(T357="",A358&lt;=S357),OR(AND(入力!$B$13="有効",A358&gt;1,MOD(A358-1,60)=0),AND(A358=入力!$B$11,A358&gt;1)),入力!$B$14="有効"),ROUND(G357*1.25,0),"")</f>
        <v/>
      </c>
      <c r="S358" s="36">
        <f t="shared" si="100"/>
        <v>420</v>
      </c>
      <c r="T358" s="35" t="str">
        <f t="shared" si="101"/>
        <v/>
      </c>
      <c r="U358" s="3">
        <f t="shared" si="85"/>
        <v>0</v>
      </c>
      <c r="V358" s="3">
        <f t="shared" si="86"/>
        <v>0</v>
      </c>
      <c r="W358" s="3">
        <f t="shared" si="87"/>
        <v>0</v>
      </c>
      <c r="X358" s="3">
        <f t="shared" si="88"/>
        <v>0</v>
      </c>
      <c r="Y358" s="3">
        <f>0</f>
        <v>0</v>
      </c>
      <c r="Z358" s="3">
        <f t="shared" si="89"/>
        <v>0</v>
      </c>
      <c r="AA358">
        <f>ROUND(IF(FALSE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,0)</f>
        <v>121428</v>
      </c>
    </row>
    <row r="359" spans="1:27">
      <c r="A359" s="30">
        <f>354</f>
        <v>354</v>
      </c>
      <c r="B359" s="31">
        <f>EDATE(入力!$B$6,A359-1)</f>
        <v>56980</v>
      </c>
      <c r="C359" s="32">
        <f t="shared" si="90"/>
        <v>7585979</v>
      </c>
      <c r="D359" s="32">
        <f t="shared" si="91"/>
        <v>0</v>
      </c>
      <c r="E359" s="33">
        <f>IF(AND(T358="",A359&lt;=S358),IF(A359&lt;入力!$B$11,入力!$B$10,入力!$B$12),0)</f>
        <v>2.5000000000000001E-2</v>
      </c>
      <c r="F359" s="32">
        <f t="shared" si="92"/>
        <v>15804</v>
      </c>
      <c r="G359" s="32">
        <f>ROUND(IF(NOT(AND(T358="",A359&lt;=S358)),0,IF(FALSE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),0)</f>
        <v>121428</v>
      </c>
      <c r="H359" s="32">
        <f t="shared" si="93"/>
        <v>121428</v>
      </c>
      <c r="I359" s="32">
        <f t="shared" si="94"/>
        <v>15804</v>
      </c>
      <c r="J359" s="32">
        <f t="shared" si="95"/>
        <v>0</v>
      </c>
      <c r="K359" s="32">
        <f t="shared" si="96"/>
        <v>0</v>
      </c>
      <c r="L359" s="32">
        <f t="shared" si="97"/>
        <v>105624</v>
      </c>
      <c r="M359" s="32">
        <f>0</f>
        <v>0</v>
      </c>
      <c r="N359" s="32">
        <f t="shared" si="98"/>
        <v>7480355</v>
      </c>
      <c r="O359" s="32">
        <f t="shared" si="99"/>
        <v>13582107</v>
      </c>
      <c r="P359" s="34" t="str">
        <f>IF(NOT(AND(T358="",A359&lt;=S358)),"",IF(FALSE,"繰上返済後再計算","")&amp;IF(AND(入力!$B$13="有効",A359&gt;1,MOD(A359-1,60)=0),IF(FALSE,"・","")&amp;"5年見直し","")&amp;IF(AND(A359=入力!$B$11,A359&gt;1),IF(OR(FALSE,AND(入力!$B$13="有効",A359&gt;1,MOD(A359-1,60)=0)),"・","")&amp;"金利変更","")&amp;IF(AND(OR(AND(入力!$B$13="有効",A359&gt;1,MOD(A359-1,60)=0),AND(A359=入力!$B$11,A359&gt;1)),入力!$B$14="有効",IF(E359=0,ROUND(C359/MAX(1,S358-A359+1),0),ROUND(-PMT(E359/12,MAX(1,S358-A359+1),C359),0))&gt;ROUND(G358*1.25,0),NOT(FALSE)),"・上限適用",""))</f>
        <v/>
      </c>
      <c r="Q359" s="35" t="str">
        <f>IF(AND(T358="",A359&lt;=S358),入力!$B$13,"")</f>
        <v>有効</v>
      </c>
      <c r="R359" s="32" t="str">
        <f>IF(AND(AND(T358="",A359&lt;=S358),OR(AND(入力!$B$13="有効",A359&gt;1,MOD(A359-1,60)=0),AND(A359=入力!$B$11,A359&gt;1)),入力!$B$14="有効"),ROUND(G358*1.25,0),"")</f>
        <v/>
      </c>
      <c r="S359" s="36">
        <f t="shared" si="100"/>
        <v>420</v>
      </c>
      <c r="T359" s="35" t="str">
        <f t="shared" si="101"/>
        <v/>
      </c>
      <c r="U359" s="3">
        <f t="shared" si="85"/>
        <v>0</v>
      </c>
      <c r="V359" s="3">
        <f t="shared" si="86"/>
        <v>0</v>
      </c>
      <c r="W359" s="3">
        <f t="shared" si="87"/>
        <v>0</v>
      </c>
      <c r="X359" s="3">
        <f t="shared" si="88"/>
        <v>0</v>
      </c>
      <c r="Y359" s="3">
        <f>0</f>
        <v>0</v>
      </c>
      <c r="Z359" s="3">
        <f t="shared" si="89"/>
        <v>0</v>
      </c>
      <c r="AA359">
        <f>ROUND(IF(FALSE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,0)</f>
        <v>121428</v>
      </c>
    </row>
    <row r="360" spans="1:27">
      <c r="A360" s="30">
        <f>355</f>
        <v>355</v>
      </c>
      <c r="B360" s="31">
        <f>EDATE(入力!$B$6,A360-1)</f>
        <v>57011</v>
      </c>
      <c r="C360" s="32">
        <f t="shared" si="90"/>
        <v>7480355</v>
      </c>
      <c r="D360" s="32">
        <f t="shared" si="91"/>
        <v>0</v>
      </c>
      <c r="E360" s="33">
        <f>IF(AND(T359="",A360&lt;=S359),IF(A360&lt;入力!$B$11,入力!$B$10,入力!$B$12),0)</f>
        <v>2.5000000000000001E-2</v>
      </c>
      <c r="F360" s="32">
        <f t="shared" si="92"/>
        <v>15584</v>
      </c>
      <c r="G360" s="32">
        <f>ROUND(IF(NOT(AND(T359="",A360&lt;=S359)),0,IF(FALSE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),0)</f>
        <v>121428</v>
      </c>
      <c r="H360" s="32">
        <f t="shared" si="93"/>
        <v>121428</v>
      </c>
      <c r="I360" s="32">
        <f t="shared" si="94"/>
        <v>15584</v>
      </c>
      <c r="J360" s="32">
        <f t="shared" si="95"/>
        <v>0</v>
      </c>
      <c r="K360" s="32">
        <f t="shared" si="96"/>
        <v>0</v>
      </c>
      <c r="L360" s="32">
        <f t="shared" si="97"/>
        <v>105844</v>
      </c>
      <c r="M360" s="32">
        <f>0</f>
        <v>0</v>
      </c>
      <c r="N360" s="32">
        <f t="shared" si="98"/>
        <v>7374511</v>
      </c>
      <c r="O360" s="32">
        <f t="shared" si="99"/>
        <v>13597691</v>
      </c>
      <c r="P360" s="34" t="str">
        <f>IF(NOT(AND(T359="",A360&lt;=S359)),"",IF(FALSE,"繰上返済後再計算","")&amp;IF(AND(入力!$B$13="有効",A360&gt;1,MOD(A360-1,60)=0),IF(FALSE,"・","")&amp;"5年見直し","")&amp;IF(AND(A360=入力!$B$11,A360&gt;1),IF(OR(FALSE,AND(入力!$B$13="有効",A360&gt;1,MOD(A360-1,60)=0)),"・","")&amp;"金利変更","")&amp;IF(AND(OR(AND(入力!$B$13="有効",A360&gt;1,MOD(A360-1,60)=0),AND(A360=入力!$B$11,A360&gt;1)),入力!$B$14="有効",IF(E360=0,ROUND(C360/MAX(1,S359-A360+1),0),ROUND(-PMT(E360/12,MAX(1,S359-A360+1),C360),0))&gt;ROUND(G359*1.25,0),NOT(FALSE)),"・上限適用",""))</f>
        <v/>
      </c>
      <c r="Q360" s="35" t="str">
        <f>IF(AND(T359="",A360&lt;=S359),入力!$B$13,"")</f>
        <v>有効</v>
      </c>
      <c r="R360" s="32" t="str">
        <f>IF(AND(AND(T359="",A360&lt;=S359),OR(AND(入力!$B$13="有効",A360&gt;1,MOD(A360-1,60)=0),AND(A360=入力!$B$11,A360&gt;1)),入力!$B$14="有効"),ROUND(G359*1.25,0),"")</f>
        <v/>
      </c>
      <c r="S360" s="36">
        <f t="shared" si="100"/>
        <v>420</v>
      </c>
      <c r="T360" s="35" t="str">
        <f t="shared" si="101"/>
        <v/>
      </c>
      <c r="U360" s="3">
        <f t="shared" si="85"/>
        <v>0</v>
      </c>
      <c r="V360" s="3">
        <f t="shared" si="86"/>
        <v>0</v>
      </c>
      <c r="W360" s="3">
        <f t="shared" si="87"/>
        <v>0</v>
      </c>
      <c r="X360" s="3">
        <f t="shared" si="88"/>
        <v>0</v>
      </c>
      <c r="Y360" s="3">
        <f>0</f>
        <v>0</v>
      </c>
      <c r="Z360" s="3">
        <f t="shared" si="89"/>
        <v>0</v>
      </c>
      <c r="AA360">
        <f>ROUND(IF(FALSE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,0)</f>
        <v>121428</v>
      </c>
    </row>
    <row r="361" spans="1:27">
      <c r="A361" s="30">
        <f>356</f>
        <v>356</v>
      </c>
      <c r="B361" s="31">
        <f>EDATE(入力!$B$6,A361-1)</f>
        <v>57040</v>
      </c>
      <c r="C361" s="32">
        <f t="shared" si="90"/>
        <v>7374511</v>
      </c>
      <c r="D361" s="32">
        <f t="shared" si="91"/>
        <v>0</v>
      </c>
      <c r="E361" s="33">
        <f>IF(AND(T360="",A361&lt;=S360),IF(A361&lt;入力!$B$11,入力!$B$10,入力!$B$12),0)</f>
        <v>2.5000000000000001E-2</v>
      </c>
      <c r="F361" s="32">
        <f t="shared" si="92"/>
        <v>15364</v>
      </c>
      <c r="G361" s="32">
        <f>ROUND(IF(NOT(AND(T360="",A361&lt;=S360)),0,IF(FALSE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),0)</f>
        <v>121428</v>
      </c>
      <c r="H361" s="32">
        <f t="shared" si="93"/>
        <v>121428</v>
      </c>
      <c r="I361" s="32">
        <f t="shared" si="94"/>
        <v>15364</v>
      </c>
      <c r="J361" s="32">
        <f t="shared" si="95"/>
        <v>0</v>
      </c>
      <c r="K361" s="32">
        <f t="shared" si="96"/>
        <v>0</v>
      </c>
      <c r="L361" s="32">
        <f t="shared" si="97"/>
        <v>106064</v>
      </c>
      <c r="M361" s="32">
        <f>0</f>
        <v>0</v>
      </c>
      <c r="N361" s="32">
        <f t="shared" si="98"/>
        <v>7268447</v>
      </c>
      <c r="O361" s="32">
        <f t="shared" si="99"/>
        <v>13613055</v>
      </c>
      <c r="P361" s="34" t="str">
        <f>IF(NOT(AND(T360="",A361&lt;=S360)),"",IF(FALSE,"繰上返済後再計算","")&amp;IF(AND(入力!$B$13="有効",A361&gt;1,MOD(A361-1,60)=0),IF(FALSE,"・","")&amp;"5年見直し","")&amp;IF(AND(A361=入力!$B$11,A361&gt;1),IF(OR(FALSE,AND(入力!$B$13="有効",A361&gt;1,MOD(A361-1,60)=0)),"・","")&amp;"金利変更","")&amp;IF(AND(OR(AND(入力!$B$13="有効",A361&gt;1,MOD(A361-1,60)=0),AND(A361=入力!$B$11,A361&gt;1)),入力!$B$14="有効",IF(E361=0,ROUND(C361/MAX(1,S360-A361+1),0),ROUND(-PMT(E361/12,MAX(1,S360-A361+1),C361),0))&gt;ROUND(G360*1.25,0),NOT(FALSE)),"・上限適用",""))</f>
        <v/>
      </c>
      <c r="Q361" s="35" t="str">
        <f>IF(AND(T360="",A361&lt;=S360),入力!$B$13,"")</f>
        <v>有効</v>
      </c>
      <c r="R361" s="32" t="str">
        <f>IF(AND(AND(T360="",A361&lt;=S360),OR(AND(入力!$B$13="有効",A361&gt;1,MOD(A361-1,60)=0),AND(A361=入力!$B$11,A361&gt;1)),入力!$B$14="有効"),ROUND(G360*1.25,0),"")</f>
        <v/>
      </c>
      <c r="S361" s="36">
        <f t="shared" si="100"/>
        <v>420</v>
      </c>
      <c r="T361" s="35" t="str">
        <f t="shared" si="101"/>
        <v/>
      </c>
      <c r="U361" s="3">
        <f t="shared" si="85"/>
        <v>0</v>
      </c>
      <c r="V361" s="3">
        <f t="shared" si="86"/>
        <v>0</v>
      </c>
      <c r="W361" s="3">
        <f t="shared" si="87"/>
        <v>0</v>
      </c>
      <c r="X361" s="3">
        <f t="shared" si="88"/>
        <v>0</v>
      </c>
      <c r="Y361" s="3">
        <f>0</f>
        <v>0</v>
      </c>
      <c r="Z361" s="3">
        <f t="shared" si="89"/>
        <v>0</v>
      </c>
      <c r="AA361">
        <f>ROUND(IF(FALSE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,0)</f>
        <v>121428</v>
      </c>
    </row>
    <row r="362" spans="1:27">
      <c r="A362" s="30">
        <f>357</f>
        <v>357</v>
      </c>
      <c r="B362" s="31">
        <f>EDATE(入力!$B$6,A362-1)</f>
        <v>57071</v>
      </c>
      <c r="C362" s="32">
        <f t="shared" si="90"/>
        <v>7268447</v>
      </c>
      <c r="D362" s="32">
        <f t="shared" si="91"/>
        <v>0</v>
      </c>
      <c r="E362" s="33">
        <f>IF(AND(T361="",A362&lt;=S361),IF(A362&lt;入力!$B$11,入力!$B$10,入力!$B$12),0)</f>
        <v>2.5000000000000001E-2</v>
      </c>
      <c r="F362" s="32">
        <f t="shared" si="92"/>
        <v>15143</v>
      </c>
      <c r="G362" s="32">
        <f>ROUND(IF(NOT(AND(T361="",A362&lt;=S361)),0,IF(FALSE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),0)</f>
        <v>121428</v>
      </c>
      <c r="H362" s="32">
        <f t="shared" si="93"/>
        <v>121428</v>
      </c>
      <c r="I362" s="32">
        <f t="shared" si="94"/>
        <v>15143</v>
      </c>
      <c r="J362" s="32">
        <f t="shared" si="95"/>
        <v>0</v>
      </c>
      <c r="K362" s="32">
        <f t="shared" si="96"/>
        <v>0</v>
      </c>
      <c r="L362" s="32">
        <f t="shared" si="97"/>
        <v>106285</v>
      </c>
      <c r="M362" s="32">
        <f>0</f>
        <v>0</v>
      </c>
      <c r="N362" s="32">
        <f t="shared" si="98"/>
        <v>7162162</v>
      </c>
      <c r="O362" s="32">
        <f t="shared" si="99"/>
        <v>13628198</v>
      </c>
      <c r="P362" s="34" t="str">
        <f>IF(NOT(AND(T361="",A362&lt;=S361)),"",IF(FALSE,"繰上返済後再計算","")&amp;IF(AND(入力!$B$13="有効",A362&gt;1,MOD(A362-1,60)=0),IF(FALSE,"・","")&amp;"5年見直し","")&amp;IF(AND(A362=入力!$B$11,A362&gt;1),IF(OR(FALSE,AND(入力!$B$13="有効",A362&gt;1,MOD(A362-1,60)=0)),"・","")&amp;"金利変更","")&amp;IF(AND(OR(AND(入力!$B$13="有効",A362&gt;1,MOD(A362-1,60)=0),AND(A362=入力!$B$11,A362&gt;1)),入力!$B$14="有効",IF(E362=0,ROUND(C362/MAX(1,S361-A362+1),0),ROUND(-PMT(E362/12,MAX(1,S361-A362+1),C362),0))&gt;ROUND(G361*1.25,0),NOT(FALSE)),"・上限適用",""))</f>
        <v/>
      </c>
      <c r="Q362" s="35" t="str">
        <f>IF(AND(T361="",A362&lt;=S361),入力!$B$13,"")</f>
        <v>有効</v>
      </c>
      <c r="R362" s="32" t="str">
        <f>IF(AND(AND(T361="",A362&lt;=S361),OR(AND(入力!$B$13="有効",A362&gt;1,MOD(A362-1,60)=0),AND(A362=入力!$B$11,A362&gt;1)),入力!$B$14="有効"),ROUND(G361*1.25,0),"")</f>
        <v/>
      </c>
      <c r="S362" s="36">
        <f t="shared" si="100"/>
        <v>420</v>
      </c>
      <c r="T362" s="35" t="str">
        <f t="shared" si="101"/>
        <v/>
      </c>
      <c r="U362" s="3">
        <f t="shared" si="85"/>
        <v>0</v>
      </c>
      <c r="V362" s="3">
        <f t="shared" si="86"/>
        <v>0</v>
      </c>
      <c r="W362" s="3">
        <f t="shared" si="87"/>
        <v>0</v>
      </c>
      <c r="X362" s="3">
        <f t="shared" si="88"/>
        <v>0</v>
      </c>
      <c r="Y362" s="3">
        <f>0</f>
        <v>0</v>
      </c>
      <c r="Z362" s="3">
        <f t="shared" si="89"/>
        <v>0</v>
      </c>
      <c r="AA362">
        <f>ROUND(IF(FALSE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,0)</f>
        <v>121428</v>
      </c>
    </row>
    <row r="363" spans="1:27">
      <c r="A363" s="30">
        <f>358</f>
        <v>358</v>
      </c>
      <c r="B363" s="31">
        <f>EDATE(入力!$B$6,A363-1)</f>
        <v>57101</v>
      </c>
      <c r="C363" s="32">
        <f t="shared" si="90"/>
        <v>7162162</v>
      </c>
      <c r="D363" s="32">
        <f t="shared" si="91"/>
        <v>0</v>
      </c>
      <c r="E363" s="33">
        <f>IF(AND(T362="",A363&lt;=S362),IF(A363&lt;入力!$B$11,入力!$B$10,入力!$B$12),0)</f>
        <v>2.5000000000000001E-2</v>
      </c>
      <c r="F363" s="32">
        <f t="shared" si="92"/>
        <v>14921</v>
      </c>
      <c r="G363" s="32">
        <f>ROUND(IF(NOT(AND(T362="",A363&lt;=S362)),0,IF(FALSE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),0)</f>
        <v>121428</v>
      </c>
      <c r="H363" s="32">
        <f t="shared" si="93"/>
        <v>121428</v>
      </c>
      <c r="I363" s="32">
        <f t="shared" si="94"/>
        <v>14921</v>
      </c>
      <c r="J363" s="32">
        <f t="shared" si="95"/>
        <v>0</v>
      </c>
      <c r="K363" s="32">
        <f t="shared" si="96"/>
        <v>0</v>
      </c>
      <c r="L363" s="32">
        <f t="shared" si="97"/>
        <v>106507</v>
      </c>
      <c r="M363" s="32">
        <f>0</f>
        <v>0</v>
      </c>
      <c r="N363" s="32">
        <f t="shared" si="98"/>
        <v>7055655</v>
      </c>
      <c r="O363" s="32">
        <f t="shared" si="99"/>
        <v>13643119</v>
      </c>
      <c r="P363" s="34" t="str">
        <f>IF(NOT(AND(T362="",A363&lt;=S362)),"",IF(FALSE,"繰上返済後再計算","")&amp;IF(AND(入力!$B$13="有効",A363&gt;1,MOD(A363-1,60)=0),IF(FALSE,"・","")&amp;"5年見直し","")&amp;IF(AND(A363=入力!$B$11,A363&gt;1),IF(OR(FALSE,AND(入力!$B$13="有効",A363&gt;1,MOD(A363-1,60)=0)),"・","")&amp;"金利変更","")&amp;IF(AND(OR(AND(入力!$B$13="有効",A363&gt;1,MOD(A363-1,60)=0),AND(A363=入力!$B$11,A363&gt;1)),入力!$B$14="有効",IF(E363=0,ROUND(C363/MAX(1,S362-A363+1),0),ROUND(-PMT(E363/12,MAX(1,S362-A363+1),C363),0))&gt;ROUND(G362*1.25,0),NOT(FALSE)),"・上限適用",""))</f>
        <v/>
      </c>
      <c r="Q363" s="35" t="str">
        <f>IF(AND(T362="",A363&lt;=S362),入力!$B$13,"")</f>
        <v>有効</v>
      </c>
      <c r="R363" s="32" t="str">
        <f>IF(AND(AND(T362="",A363&lt;=S362),OR(AND(入力!$B$13="有効",A363&gt;1,MOD(A363-1,60)=0),AND(A363=入力!$B$11,A363&gt;1)),入力!$B$14="有効"),ROUND(G362*1.25,0),"")</f>
        <v/>
      </c>
      <c r="S363" s="36">
        <f t="shared" si="100"/>
        <v>420</v>
      </c>
      <c r="T363" s="35" t="str">
        <f t="shared" si="101"/>
        <v/>
      </c>
      <c r="U363" s="3">
        <f t="shared" si="85"/>
        <v>0</v>
      </c>
      <c r="V363" s="3">
        <f t="shared" si="86"/>
        <v>0</v>
      </c>
      <c r="W363" s="3">
        <f t="shared" si="87"/>
        <v>0</v>
      </c>
      <c r="X363" s="3">
        <f t="shared" si="88"/>
        <v>0</v>
      </c>
      <c r="Y363" s="3">
        <f>0</f>
        <v>0</v>
      </c>
      <c r="Z363" s="3">
        <f t="shared" si="89"/>
        <v>0</v>
      </c>
      <c r="AA363">
        <f>ROUND(IF(FALSE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,0)</f>
        <v>121428</v>
      </c>
    </row>
    <row r="364" spans="1:27">
      <c r="A364" s="30">
        <f>359</f>
        <v>359</v>
      </c>
      <c r="B364" s="31">
        <f>EDATE(入力!$B$6,A364-1)</f>
        <v>57132</v>
      </c>
      <c r="C364" s="32">
        <f t="shared" si="90"/>
        <v>7055655</v>
      </c>
      <c r="D364" s="32">
        <f t="shared" si="91"/>
        <v>0</v>
      </c>
      <c r="E364" s="33">
        <f>IF(AND(T363="",A364&lt;=S363),IF(A364&lt;入力!$B$11,入力!$B$10,入力!$B$12),0)</f>
        <v>2.5000000000000001E-2</v>
      </c>
      <c r="F364" s="32">
        <f t="shared" si="92"/>
        <v>14699</v>
      </c>
      <c r="G364" s="32">
        <f>ROUND(IF(NOT(AND(T363="",A364&lt;=S363)),0,IF(FALSE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),0)</f>
        <v>121428</v>
      </c>
      <c r="H364" s="32">
        <f t="shared" si="93"/>
        <v>121428</v>
      </c>
      <c r="I364" s="32">
        <f t="shared" si="94"/>
        <v>14699</v>
      </c>
      <c r="J364" s="32">
        <f t="shared" si="95"/>
        <v>0</v>
      </c>
      <c r="K364" s="32">
        <f t="shared" si="96"/>
        <v>0</v>
      </c>
      <c r="L364" s="32">
        <f t="shared" si="97"/>
        <v>106729</v>
      </c>
      <c r="M364" s="32">
        <f>0</f>
        <v>0</v>
      </c>
      <c r="N364" s="32">
        <f t="shared" si="98"/>
        <v>6948926</v>
      </c>
      <c r="O364" s="32">
        <f t="shared" si="99"/>
        <v>13657818</v>
      </c>
      <c r="P364" s="34" t="str">
        <f>IF(NOT(AND(T363="",A364&lt;=S363)),"",IF(FALSE,"繰上返済後再計算","")&amp;IF(AND(入力!$B$13="有効",A364&gt;1,MOD(A364-1,60)=0),IF(FALSE,"・","")&amp;"5年見直し","")&amp;IF(AND(A364=入力!$B$11,A364&gt;1),IF(OR(FALSE,AND(入力!$B$13="有効",A364&gt;1,MOD(A364-1,60)=0)),"・","")&amp;"金利変更","")&amp;IF(AND(OR(AND(入力!$B$13="有効",A364&gt;1,MOD(A364-1,60)=0),AND(A364=入力!$B$11,A364&gt;1)),入力!$B$14="有効",IF(E364=0,ROUND(C364/MAX(1,S363-A364+1),0),ROUND(-PMT(E364/12,MAX(1,S363-A364+1),C364),0))&gt;ROUND(G363*1.25,0),NOT(FALSE)),"・上限適用",""))</f>
        <v/>
      </c>
      <c r="Q364" s="35" t="str">
        <f>IF(AND(T363="",A364&lt;=S363),入力!$B$13,"")</f>
        <v>有効</v>
      </c>
      <c r="R364" s="32" t="str">
        <f>IF(AND(AND(T363="",A364&lt;=S363),OR(AND(入力!$B$13="有効",A364&gt;1,MOD(A364-1,60)=0),AND(A364=入力!$B$11,A364&gt;1)),入力!$B$14="有効"),ROUND(G363*1.25,0),"")</f>
        <v/>
      </c>
      <c r="S364" s="36">
        <f t="shared" si="100"/>
        <v>420</v>
      </c>
      <c r="T364" s="35" t="str">
        <f t="shared" si="101"/>
        <v/>
      </c>
      <c r="U364" s="3">
        <f t="shared" si="85"/>
        <v>0</v>
      </c>
      <c r="V364" s="3">
        <f t="shared" si="86"/>
        <v>0</v>
      </c>
      <c r="W364" s="3">
        <f t="shared" si="87"/>
        <v>0</v>
      </c>
      <c r="X364" s="3">
        <f t="shared" si="88"/>
        <v>0</v>
      </c>
      <c r="Y364" s="3">
        <f>0</f>
        <v>0</v>
      </c>
      <c r="Z364" s="3">
        <f t="shared" si="89"/>
        <v>0</v>
      </c>
      <c r="AA364">
        <f>ROUND(IF(FALSE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,0)</f>
        <v>121428</v>
      </c>
    </row>
    <row r="365" spans="1:27">
      <c r="A365" s="30">
        <f>360</f>
        <v>360</v>
      </c>
      <c r="B365" s="31">
        <f>EDATE(入力!$B$6,A365-1)</f>
        <v>57162</v>
      </c>
      <c r="C365" s="32">
        <f t="shared" si="90"/>
        <v>6948926</v>
      </c>
      <c r="D365" s="32">
        <f t="shared" si="91"/>
        <v>0</v>
      </c>
      <c r="E365" s="33">
        <f>IF(AND(T364="",A365&lt;=S364),IF(A365&lt;入力!$B$11,入力!$B$10,入力!$B$12),0)</f>
        <v>2.5000000000000001E-2</v>
      </c>
      <c r="F365" s="32">
        <f t="shared" si="92"/>
        <v>14477</v>
      </c>
      <c r="G365" s="32">
        <f>ROUND(IF(NOT(AND(T364="",A365&lt;=S364)),0,IF(FALSE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),0)</f>
        <v>121428</v>
      </c>
      <c r="H365" s="32">
        <f t="shared" si="93"/>
        <v>121428</v>
      </c>
      <c r="I365" s="32">
        <f t="shared" si="94"/>
        <v>14477</v>
      </c>
      <c r="J365" s="32">
        <f t="shared" si="95"/>
        <v>0</v>
      </c>
      <c r="K365" s="32">
        <f t="shared" si="96"/>
        <v>0</v>
      </c>
      <c r="L365" s="32">
        <f t="shared" si="97"/>
        <v>106951</v>
      </c>
      <c r="M365" s="32">
        <f>0</f>
        <v>0</v>
      </c>
      <c r="N365" s="32">
        <f t="shared" si="98"/>
        <v>6841975</v>
      </c>
      <c r="O365" s="32">
        <f t="shared" si="99"/>
        <v>13672295</v>
      </c>
      <c r="P365" s="34" t="str">
        <f>IF(NOT(AND(T364="",A365&lt;=S364)),"",IF(FALSE,"繰上返済後再計算","")&amp;IF(AND(入力!$B$13="有効",A365&gt;1,MOD(A365-1,60)=0),IF(FALSE,"・","")&amp;"5年見直し","")&amp;IF(AND(A365=入力!$B$11,A365&gt;1),IF(OR(FALSE,AND(入力!$B$13="有効",A365&gt;1,MOD(A365-1,60)=0)),"・","")&amp;"金利変更","")&amp;IF(AND(OR(AND(入力!$B$13="有効",A365&gt;1,MOD(A365-1,60)=0),AND(A365=入力!$B$11,A365&gt;1)),入力!$B$14="有効",IF(E365=0,ROUND(C365/MAX(1,S364-A365+1),0),ROUND(-PMT(E365/12,MAX(1,S364-A365+1),C365),0))&gt;ROUND(G364*1.25,0),NOT(FALSE)),"・上限適用",""))</f>
        <v/>
      </c>
      <c r="Q365" s="35" t="str">
        <f>IF(AND(T364="",A365&lt;=S364),入力!$B$13,"")</f>
        <v>有効</v>
      </c>
      <c r="R365" s="32" t="str">
        <f>IF(AND(AND(T364="",A365&lt;=S364),OR(AND(入力!$B$13="有効",A365&gt;1,MOD(A365-1,60)=0),AND(A365=入力!$B$11,A365&gt;1)),入力!$B$14="有効"),ROUND(G364*1.25,0),"")</f>
        <v/>
      </c>
      <c r="S365" s="36">
        <f t="shared" si="100"/>
        <v>420</v>
      </c>
      <c r="T365" s="35" t="str">
        <f t="shared" si="101"/>
        <v/>
      </c>
      <c r="U365" s="3">
        <f t="shared" si="85"/>
        <v>0</v>
      </c>
      <c r="V365" s="3">
        <f t="shared" si="86"/>
        <v>0</v>
      </c>
      <c r="W365" s="3">
        <f t="shared" si="87"/>
        <v>0</v>
      </c>
      <c r="X365" s="3">
        <f t="shared" si="88"/>
        <v>0</v>
      </c>
      <c r="Y365" s="3">
        <f>0</f>
        <v>0</v>
      </c>
      <c r="Z365" s="3">
        <f t="shared" si="89"/>
        <v>0</v>
      </c>
      <c r="AA365">
        <f>ROUND(IF(FALSE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,0)</f>
        <v>121428</v>
      </c>
    </row>
    <row r="366" spans="1:27">
      <c r="A366" s="30">
        <f>361</f>
        <v>361</v>
      </c>
      <c r="B366" s="31">
        <f>EDATE(入力!$B$6,A366-1)</f>
        <v>57193</v>
      </c>
      <c r="C366" s="32">
        <f t="shared" si="90"/>
        <v>6841975</v>
      </c>
      <c r="D366" s="32">
        <f t="shared" si="91"/>
        <v>0</v>
      </c>
      <c r="E366" s="33">
        <f>IF(AND(T365="",A366&lt;=S365),IF(A366&lt;入力!$B$11,入力!$B$10,入力!$B$12),0)</f>
        <v>2.5000000000000001E-2</v>
      </c>
      <c r="F366" s="32">
        <f t="shared" si="92"/>
        <v>14254</v>
      </c>
      <c r="G366" s="32">
        <f>ROUND(IF(NOT(AND(T365="",A366&lt;=S365)),0,IF(FALSE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),0)</f>
        <v>121427</v>
      </c>
      <c r="H366" s="32">
        <f t="shared" si="93"/>
        <v>121427</v>
      </c>
      <c r="I366" s="32">
        <f t="shared" si="94"/>
        <v>14254</v>
      </c>
      <c r="J366" s="32">
        <f t="shared" si="95"/>
        <v>0</v>
      </c>
      <c r="K366" s="32">
        <f t="shared" si="96"/>
        <v>0</v>
      </c>
      <c r="L366" s="32">
        <f t="shared" si="97"/>
        <v>107173</v>
      </c>
      <c r="M366" s="32">
        <f>0</f>
        <v>0</v>
      </c>
      <c r="N366" s="32">
        <f t="shared" si="98"/>
        <v>6734802</v>
      </c>
      <c r="O366" s="32">
        <f t="shared" si="99"/>
        <v>13686549</v>
      </c>
      <c r="P366" s="34" t="str">
        <f>IF(NOT(AND(T365="",A366&lt;=S365)),"",IF(FALSE,"繰上返済後再計算","")&amp;IF(AND(入力!$B$13="有効",A366&gt;1,MOD(A366-1,60)=0),IF(FALSE,"・","")&amp;"5年見直し","")&amp;IF(AND(A366=入力!$B$11,A366&gt;1),IF(OR(FALSE,AND(入力!$B$13="有効",A366&gt;1,MOD(A366-1,60)=0)),"・","")&amp;"金利変更","")&amp;IF(AND(OR(AND(入力!$B$13="有効",A366&gt;1,MOD(A366-1,60)=0),AND(A366=入力!$B$11,A366&gt;1)),入力!$B$14="有効",IF(E366=0,ROUND(C366/MAX(1,S365-A366+1),0),ROUND(-PMT(E366/12,MAX(1,S365-A366+1),C366),0))&gt;ROUND(G365*1.25,0),NOT(FALSE)),"・上限適用",""))</f>
        <v>5年見直し</v>
      </c>
      <c r="Q366" s="35" t="str">
        <f>IF(AND(T365="",A366&lt;=S365),入力!$B$13,"")</f>
        <v>有効</v>
      </c>
      <c r="R366" s="32">
        <f>IF(AND(AND(T365="",A366&lt;=S365),OR(AND(入力!$B$13="有効",A366&gt;1,MOD(A366-1,60)=0),AND(A366=入力!$B$11,A366&gt;1)),入力!$B$14="有効"),ROUND(G365*1.25,0),"")</f>
        <v>151785</v>
      </c>
      <c r="S366" s="36">
        <f t="shared" si="100"/>
        <v>420</v>
      </c>
      <c r="T366" s="35" t="str">
        <f t="shared" si="101"/>
        <v/>
      </c>
      <c r="U366" s="3">
        <f t="shared" si="85"/>
        <v>0</v>
      </c>
      <c r="V366" s="3">
        <f t="shared" si="86"/>
        <v>0</v>
      </c>
      <c r="W366" s="3">
        <f t="shared" si="87"/>
        <v>0</v>
      </c>
      <c r="X366" s="3">
        <f t="shared" si="88"/>
        <v>0</v>
      </c>
      <c r="Y366" s="3">
        <f>0</f>
        <v>0</v>
      </c>
      <c r="Z366" s="3">
        <f t="shared" si="89"/>
        <v>0</v>
      </c>
      <c r="AA366">
        <f>ROUND(IF(FALSE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,0)</f>
        <v>121427</v>
      </c>
    </row>
    <row r="367" spans="1:27">
      <c r="A367" s="30">
        <f>362</f>
        <v>362</v>
      </c>
      <c r="B367" s="31">
        <f>EDATE(入力!$B$6,A367-1)</f>
        <v>57224</v>
      </c>
      <c r="C367" s="32">
        <f t="shared" si="90"/>
        <v>6734802</v>
      </c>
      <c r="D367" s="32">
        <f t="shared" si="91"/>
        <v>0</v>
      </c>
      <c r="E367" s="33">
        <f>IF(AND(T366="",A367&lt;=S366),IF(A367&lt;入力!$B$11,入力!$B$10,入力!$B$12),0)</f>
        <v>2.5000000000000001E-2</v>
      </c>
      <c r="F367" s="32">
        <f t="shared" si="92"/>
        <v>14031</v>
      </c>
      <c r="G367" s="32">
        <f>ROUND(IF(NOT(AND(T366="",A367&lt;=S366)),0,IF(FALSE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),0)</f>
        <v>121427</v>
      </c>
      <c r="H367" s="32">
        <f t="shared" si="93"/>
        <v>121427</v>
      </c>
      <c r="I367" s="32">
        <f t="shared" si="94"/>
        <v>14031</v>
      </c>
      <c r="J367" s="32">
        <f t="shared" si="95"/>
        <v>0</v>
      </c>
      <c r="K367" s="32">
        <f t="shared" si="96"/>
        <v>0</v>
      </c>
      <c r="L367" s="32">
        <f t="shared" si="97"/>
        <v>107396</v>
      </c>
      <c r="M367" s="32">
        <f>0</f>
        <v>0</v>
      </c>
      <c r="N367" s="32">
        <f t="shared" si="98"/>
        <v>6627406</v>
      </c>
      <c r="O367" s="32">
        <f t="shared" si="99"/>
        <v>13700580</v>
      </c>
      <c r="P367" s="34" t="str">
        <f>IF(NOT(AND(T366="",A367&lt;=S366)),"",IF(FALSE,"繰上返済後再計算","")&amp;IF(AND(入力!$B$13="有効",A367&gt;1,MOD(A367-1,60)=0),IF(FALSE,"・","")&amp;"5年見直し","")&amp;IF(AND(A367=入力!$B$11,A367&gt;1),IF(OR(FALSE,AND(入力!$B$13="有効",A367&gt;1,MOD(A367-1,60)=0)),"・","")&amp;"金利変更","")&amp;IF(AND(OR(AND(入力!$B$13="有効",A367&gt;1,MOD(A367-1,60)=0),AND(A367=入力!$B$11,A367&gt;1)),入力!$B$14="有効",IF(E367=0,ROUND(C367/MAX(1,S366-A367+1),0),ROUND(-PMT(E367/12,MAX(1,S366-A367+1),C367),0))&gt;ROUND(G366*1.25,0),NOT(FALSE)),"・上限適用",""))</f>
        <v/>
      </c>
      <c r="Q367" s="35" t="str">
        <f>IF(AND(T366="",A367&lt;=S366),入力!$B$13,"")</f>
        <v>有効</v>
      </c>
      <c r="R367" s="32" t="str">
        <f>IF(AND(AND(T366="",A367&lt;=S366),OR(AND(入力!$B$13="有効",A367&gt;1,MOD(A367-1,60)=0),AND(A367=入力!$B$11,A367&gt;1)),入力!$B$14="有効"),ROUND(G366*1.25,0),"")</f>
        <v/>
      </c>
      <c r="S367" s="36">
        <f t="shared" si="100"/>
        <v>420</v>
      </c>
      <c r="T367" s="35" t="str">
        <f t="shared" si="101"/>
        <v/>
      </c>
      <c r="U367" s="3">
        <f t="shared" si="85"/>
        <v>0</v>
      </c>
      <c r="V367" s="3">
        <f t="shared" si="86"/>
        <v>0</v>
      </c>
      <c r="W367" s="3">
        <f t="shared" si="87"/>
        <v>0</v>
      </c>
      <c r="X367" s="3">
        <f t="shared" si="88"/>
        <v>0</v>
      </c>
      <c r="Y367" s="3">
        <f>0</f>
        <v>0</v>
      </c>
      <c r="Z367" s="3">
        <f t="shared" si="89"/>
        <v>0</v>
      </c>
      <c r="AA367">
        <f>ROUND(IF(FALSE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,0)</f>
        <v>121427</v>
      </c>
    </row>
    <row r="368" spans="1:27">
      <c r="A368" s="30">
        <f>363</f>
        <v>363</v>
      </c>
      <c r="B368" s="31">
        <f>EDATE(入力!$B$6,A368-1)</f>
        <v>57254</v>
      </c>
      <c r="C368" s="32">
        <f t="shared" si="90"/>
        <v>6627406</v>
      </c>
      <c r="D368" s="32">
        <f t="shared" si="91"/>
        <v>0</v>
      </c>
      <c r="E368" s="33">
        <f>IF(AND(T367="",A368&lt;=S367),IF(A368&lt;入力!$B$11,入力!$B$10,入力!$B$12),0)</f>
        <v>2.5000000000000001E-2</v>
      </c>
      <c r="F368" s="32">
        <f t="shared" si="92"/>
        <v>13807</v>
      </c>
      <c r="G368" s="32">
        <f>ROUND(IF(NOT(AND(T367="",A368&lt;=S367)),0,IF(FALSE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),0)</f>
        <v>121427</v>
      </c>
      <c r="H368" s="32">
        <f t="shared" si="93"/>
        <v>121427</v>
      </c>
      <c r="I368" s="32">
        <f t="shared" si="94"/>
        <v>13807</v>
      </c>
      <c r="J368" s="32">
        <f t="shared" si="95"/>
        <v>0</v>
      </c>
      <c r="K368" s="32">
        <f t="shared" si="96"/>
        <v>0</v>
      </c>
      <c r="L368" s="32">
        <f t="shared" si="97"/>
        <v>107620</v>
      </c>
      <c r="M368" s="32">
        <f>0</f>
        <v>0</v>
      </c>
      <c r="N368" s="32">
        <f t="shared" si="98"/>
        <v>6519786</v>
      </c>
      <c r="O368" s="32">
        <f t="shared" si="99"/>
        <v>13714387</v>
      </c>
      <c r="P368" s="34" t="str">
        <f>IF(NOT(AND(T367="",A368&lt;=S367)),"",IF(FALSE,"繰上返済後再計算","")&amp;IF(AND(入力!$B$13="有効",A368&gt;1,MOD(A368-1,60)=0),IF(FALSE,"・","")&amp;"5年見直し","")&amp;IF(AND(A368=入力!$B$11,A368&gt;1),IF(OR(FALSE,AND(入力!$B$13="有効",A368&gt;1,MOD(A368-1,60)=0)),"・","")&amp;"金利変更","")&amp;IF(AND(OR(AND(入力!$B$13="有効",A368&gt;1,MOD(A368-1,60)=0),AND(A368=入力!$B$11,A368&gt;1)),入力!$B$14="有効",IF(E368=0,ROUND(C368/MAX(1,S367-A368+1),0),ROUND(-PMT(E368/12,MAX(1,S367-A368+1),C368),0))&gt;ROUND(G367*1.25,0),NOT(FALSE)),"・上限適用",""))</f>
        <v/>
      </c>
      <c r="Q368" s="35" t="str">
        <f>IF(AND(T367="",A368&lt;=S367),入力!$B$13,"")</f>
        <v>有効</v>
      </c>
      <c r="R368" s="32" t="str">
        <f>IF(AND(AND(T367="",A368&lt;=S367),OR(AND(入力!$B$13="有効",A368&gt;1,MOD(A368-1,60)=0),AND(A368=入力!$B$11,A368&gt;1)),入力!$B$14="有効"),ROUND(G367*1.25,0),"")</f>
        <v/>
      </c>
      <c r="S368" s="36">
        <f t="shared" si="100"/>
        <v>420</v>
      </c>
      <c r="T368" s="35" t="str">
        <f t="shared" si="101"/>
        <v/>
      </c>
      <c r="U368" s="3">
        <f t="shared" si="85"/>
        <v>0</v>
      </c>
      <c r="V368" s="3">
        <f t="shared" si="86"/>
        <v>0</v>
      </c>
      <c r="W368" s="3">
        <f t="shared" si="87"/>
        <v>0</v>
      </c>
      <c r="X368" s="3">
        <f t="shared" si="88"/>
        <v>0</v>
      </c>
      <c r="Y368" s="3">
        <f>0</f>
        <v>0</v>
      </c>
      <c r="Z368" s="3">
        <f t="shared" si="89"/>
        <v>0</v>
      </c>
      <c r="AA368">
        <f>ROUND(IF(FALSE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,0)</f>
        <v>121427</v>
      </c>
    </row>
    <row r="369" spans="1:27">
      <c r="A369" s="30">
        <f>364</f>
        <v>364</v>
      </c>
      <c r="B369" s="31">
        <f>EDATE(入力!$B$6,A369-1)</f>
        <v>57285</v>
      </c>
      <c r="C369" s="32">
        <f t="shared" si="90"/>
        <v>6519786</v>
      </c>
      <c r="D369" s="32">
        <f t="shared" si="91"/>
        <v>0</v>
      </c>
      <c r="E369" s="33">
        <f>IF(AND(T368="",A369&lt;=S368),IF(A369&lt;入力!$B$11,入力!$B$10,入力!$B$12),0)</f>
        <v>2.5000000000000001E-2</v>
      </c>
      <c r="F369" s="32">
        <f t="shared" si="92"/>
        <v>13583</v>
      </c>
      <c r="G369" s="32">
        <f>ROUND(IF(NOT(AND(T368="",A369&lt;=S368)),0,IF(FALSE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),0)</f>
        <v>121427</v>
      </c>
      <c r="H369" s="32">
        <f t="shared" si="93"/>
        <v>121427</v>
      </c>
      <c r="I369" s="32">
        <f t="shared" si="94"/>
        <v>13583</v>
      </c>
      <c r="J369" s="32">
        <f t="shared" si="95"/>
        <v>0</v>
      </c>
      <c r="K369" s="32">
        <f t="shared" si="96"/>
        <v>0</v>
      </c>
      <c r="L369" s="32">
        <f t="shared" si="97"/>
        <v>107844</v>
      </c>
      <c r="M369" s="32">
        <f>0</f>
        <v>0</v>
      </c>
      <c r="N369" s="32">
        <f t="shared" si="98"/>
        <v>6411942</v>
      </c>
      <c r="O369" s="32">
        <f t="shared" si="99"/>
        <v>13727970</v>
      </c>
      <c r="P369" s="34" t="str">
        <f>IF(NOT(AND(T368="",A369&lt;=S368)),"",IF(FALSE,"繰上返済後再計算","")&amp;IF(AND(入力!$B$13="有効",A369&gt;1,MOD(A369-1,60)=0),IF(FALSE,"・","")&amp;"5年見直し","")&amp;IF(AND(A369=入力!$B$11,A369&gt;1),IF(OR(FALSE,AND(入力!$B$13="有効",A369&gt;1,MOD(A369-1,60)=0)),"・","")&amp;"金利変更","")&amp;IF(AND(OR(AND(入力!$B$13="有効",A369&gt;1,MOD(A369-1,60)=0),AND(A369=入力!$B$11,A369&gt;1)),入力!$B$14="有効",IF(E369=0,ROUND(C369/MAX(1,S368-A369+1),0),ROUND(-PMT(E369/12,MAX(1,S368-A369+1),C369),0))&gt;ROUND(G368*1.25,0),NOT(FALSE)),"・上限適用",""))</f>
        <v/>
      </c>
      <c r="Q369" s="35" t="str">
        <f>IF(AND(T368="",A369&lt;=S368),入力!$B$13,"")</f>
        <v>有効</v>
      </c>
      <c r="R369" s="32" t="str">
        <f>IF(AND(AND(T368="",A369&lt;=S368),OR(AND(入力!$B$13="有効",A369&gt;1,MOD(A369-1,60)=0),AND(A369=入力!$B$11,A369&gt;1)),入力!$B$14="有効"),ROUND(G368*1.25,0),"")</f>
        <v/>
      </c>
      <c r="S369" s="36">
        <f t="shared" si="100"/>
        <v>420</v>
      </c>
      <c r="T369" s="35" t="str">
        <f t="shared" si="101"/>
        <v/>
      </c>
      <c r="U369" s="3">
        <f t="shared" si="85"/>
        <v>0</v>
      </c>
      <c r="V369" s="3">
        <f t="shared" si="86"/>
        <v>0</v>
      </c>
      <c r="W369" s="3">
        <f t="shared" si="87"/>
        <v>0</v>
      </c>
      <c r="X369" s="3">
        <f t="shared" si="88"/>
        <v>0</v>
      </c>
      <c r="Y369" s="3">
        <f>0</f>
        <v>0</v>
      </c>
      <c r="Z369" s="3">
        <f t="shared" si="89"/>
        <v>0</v>
      </c>
      <c r="AA369">
        <f>ROUND(IF(FALSE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,0)</f>
        <v>121427</v>
      </c>
    </row>
    <row r="370" spans="1:27">
      <c r="A370" s="30">
        <f>365</f>
        <v>365</v>
      </c>
      <c r="B370" s="31">
        <f>EDATE(入力!$B$6,A370-1)</f>
        <v>57315</v>
      </c>
      <c r="C370" s="32">
        <f t="shared" si="90"/>
        <v>6411942</v>
      </c>
      <c r="D370" s="32">
        <f t="shared" si="91"/>
        <v>0</v>
      </c>
      <c r="E370" s="33">
        <f>IF(AND(T369="",A370&lt;=S369),IF(A370&lt;入力!$B$11,入力!$B$10,入力!$B$12),0)</f>
        <v>2.5000000000000001E-2</v>
      </c>
      <c r="F370" s="32">
        <f t="shared" si="92"/>
        <v>13358</v>
      </c>
      <c r="G370" s="32">
        <f>ROUND(IF(NOT(AND(T369="",A370&lt;=S369)),0,IF(FALSE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),0)</f>
        <v>121427</v>
      </c>
      <c r="H370" s="32">
        <f t="shared" si="93"/>
        <v>121427</v>
      </c>
      <c r="I370" s="32">
        <f t="shared" si="94"/>
        <v>13358</v>
      </c>
      <c r="J370" s="32">
        <f t="shared" si="95"/>
        <v>0</v>
      </c>
      <c r="K370" s="32">
        <f t="shared" si="96"/>
        <v>0</v>
      </c>
      <c r="L370" s="32">
        <f t="shared" si="97"/>
        <v>108069</v>
      </c>
      <c r="M370" s="32">
        <f>0</f>
        <v>0</v>
      </c>
      <c r="N370" s="32">
        <f t="shared" si="98"/>
        <v>6303873</v>
      </c>
      <c r="O370" s="32">
        <f t="shared" si="99"/>
        <v>13741328</v>
      </c>
      <c r="P370" s="34" t="str">
        <f>IF(NOT(AND(T369="",A370&lt;=S369)),"",IF(FALSE,"繰上返済後再計算","")&amp;IF(AND(入力!$B$13="有効",A370&gt;1,MOD(A370-1,60)=0),IF(FALSE,"・","")&amp;"5年見直し","")&amp;IF(AND(A370=入力!$B$11,A370&gt;1),IF(OR(FALSE,AND(入力!$B$13="有効",A370&gt;1,MOD(A370-1,60)=0)),"・","")&amp;"金利変更","")&amp;IF(AND(OR(AND(入力!$B$13="有効",A370&gt;1,MOD(A370-1,60)=0),AND(A370=入力!$B$11,A370&gt;1)),入力!$B$14="有効",IF(E370=0,ROUND(C370/MAX(1,S369-A370+1),0),ROUND(-PMT(E370/12,MAX(1,S369-A370+1),C370),0))&gt;ROUND(G369*1.25,0),NOT(FALSE)),"・上限適用",""))</f>
        <v/>
      </c>
      <c r="Q370" s="35" t="str">
        <f>IF(AND(T369="",A370&lt;=S369),入力!$B$13,"")</f>
        <v>有効</v>
      </c>
      <c r="R370" s="32" t="str">
        <f>IF(AND(AND(T369="",A370&lt;=S369),OR(AND(入力!$B$13="有効",A370&gt;1,MOD(A370-1,60)=0),AND(A370=入力!$B$11,A370&gt;1)),入力!$B$14="有効"),ROUND(G369*1.25,0),"")</f>
        <v/>
      </c>
      <c r="S370" s="36">
        <f t="shared" si="100"/>
        <v>420</v>
      </c>
      <c r="T370" s="35" t="str">
        <f t="shared" si="101"/>
        <v/>
      </c>
      <c r="U370" s="3">
        <f t="shared" si="85"/>
        <v>0</v>
      </c>
      <c r="V370" s="3">
        <f t="shared" si="86"/>
        <v>0</v>
      </c>
      <c r="W370" s="3">
        <f t="shared" si="87"/>
        <v>0</v>
      </c>
      <c r="X370" s="3">
        <f t="shared" si="88"/>
        <v>0</v>
      </c>
      <c r="Y370" s="3">
        <f>0</f>
        <v>0</v>
      </c>
      <c r="Z370" s="3">
        <f t="shared" si="89"/>
        <v>0</v>
      </c>
      <c r="AA370">
        <f>ROUND(IF(FALSE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,0)</f>
        <v>121427</v>
      </c>
    </row>
    <row r="371" spans="1:27">
      <c r="A371" s="30">
        <f>366</f>
        <v>366</v>
      </c>
      <c r="B371" s="31">
        <f>EDATE(入力!$B$6,A371-1)</f>
        <v>57346</v>
      </c>
      <c r="C371" s="32">
        <f t="shared" si="90"/>
        <v>6303873</v>
      </c>
      <c r="D371" s="32">
        <f t="shared" si="91"/>
        <v>0</v>
      </c>
      <c r="E371" s="33">
        <f>IF(AND(T370="",A371&lt;=S370),IF(A371&lt;入力!$B$11,入力!$B$10,入力!$B$12),0)</f>
        <v>2.5000000000000001E-2</v>
      </c>
      <c r="F371" s="32">
        <f t="shared" si="92"/>
        <v>13133</v>
      </c>
      <c r="G371" s="32">
        <f>ROUND(IF(NOT(AND(T370="",A371&lt;=S370)),0,IF(FALSE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),0)</f>
        <v>121427</v>
      </c>
      <c r="H371" s="32">
        <f t="shared" si="93"/>
        <v>121427</v>
      </c>
      <c r="I371" s="32">
        <f t="shared" si="94"/>
        <v>13133</v>
      </c>
      <c r="J371" s="32">
        <f t="shared" si="95"/>
        <v>0</v>
      </c>
      <c r="K371" s="32">
        <f t="shared" si="96"/>
        <v>0</v>
      </c>
      <c r="L371" s="32">
        <f t="shared" si="97"/>
        <v>108294</v>
      </c>
      <c r="M371" s="32">
        <f>0</f>
        <v>0</v>
      </c>
      <c r="N371" s="32">
        <f t="shared" si="98"/>
        <v>6195579</v>
      </c>
      <c r="O371" s="32">
        <f t="shared" si="99"/>
        <v>13754461</v>
      </c>
      <c r="P371" s="34" t="str">
        <f>IF(NOT(AND(T370="",A371&lt;=S370)),"",IF(FALSE,"繰上返済後再計算","")&amp;IF(AND(入力!$B$13="有効",A371&gt;1,MOD(A371-1,60)=0),IF(FALSE,"・","")&amp;"5年見直し","")&amp;IF(AND(A371=入力!$B$11,A371&gt;1),IF(OR(FALSE,AND(入力!$B$13="有効",A371&gt;1,MOD(A371-1,60)=0)),"・","")&amp;"金利変更","")&amp;IF(AND(OR(AND(入力!$B$13="有効",A371&gt;1,MOD(A371-1,60)=0),AND(A371=入力!$B$11,A371&gt;1)),入力!$B$14="有効",IF(E371=0,ROUND(C371/MAX(1,S370-A371+1),0),ROUND(-PMT(E371/12,MAX(1,S370-A371+1),C371),0))&gt;ROUND(G370*1.25,0),NOT(FALSE)),"・上限適用",""))</f>
        <v/>
      </c>
      <c r="Q371" s="35" t="str">
        <f>IF(AND(T370="",A371&lt;=S370),入力!$B$13,"")</f>
        <v>有効</v>
      </c>
      <c r="R371" s="32" t="str">
        <f>IF(AND(AND(T370="",A371&lt;=S370),OR(AND(入力!$B$13="有効",A371&gt;1,MOD(A371-1,60)=0),AND(A371=入力!$B$11,A371&gt;1)),入力!$B$14="有効"),ROUND(G370*1.25,0),"")</f>
        <v/>
      </c>
      <c r="S371" s="36">
        <f t="shared" si="100"/>
        <v>420</v>
      </c>
      <c r="T371" s="35" t="str">
        <f t="shared" si="101"/>
        <v/>
      </c>
      <c r="U371" s="3">
        <f t="shared" si="85"/>
        <v>0</v>
      </c>
      <c r="V371" s="3">
        <f t="shared" si="86"/>
        <v>0</v>
      </c>
      <c r="W371" s="3">
        <f t="shared" si="87"/>
        <v>0</v>
      </c>
      <c r="X371" s="3">
        <f t="shared" si="88"/>
        <v>0</v>
      </c>
      <c r="Y371" s="3">
        <f>0</f>
        <v>0</v>
      </c>
      <c r="Z371" s="3">
        <f t="shared" si="89"/>
        <v>0</v>
      </c>
      <c r="AA371">
        <f>ROUND(IF(FALSE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,0)</f>
        <v>121427</v>
      </c>
    </row>
    <row r="372" spans="1:27">
      <c r="A372" s="30">
        <f>367</f>
        <v>367</v>
      </c>
      <c r="B372" s="31">
        <f>EDATE(入力!$B$6,A372-1)</f>
        <v>57377</v>
      </c>
      <c r="C372" s="32">
        <f t="shared" si="90"/>
        <v>6195579</v>
      </c>
      <c r="D372" s="32">
        <f t="shared" si="91"/>
        <v>0</v>
      </c>
      <c r="E372" s="33">
        <f>IF(AND(T371="",A372&lt;=S371),IF(A372&lt;入力!$B$11,入力!$B$10,入力!$B$12),0)</f>
        <v>2.5000000000000001E-2</v>
      </c>
      <c r="F372" s="32">
        <f t="shared" si="92"/>
        <v>12907</v>
      </c>
      <c r="G372" s="32">
        <f>ROUND(IF(NOT(AND(T371="",A372&lt;=S371)),0,IF(FALSE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),0)</f>
        <v>121427</v>
      </c>
      <c r="H372" s="32">
        <f t="shared" si="93"/>
        <v>121427</v>
      </c>
      <c r="I372" s="32">
        <f t="shared" si="94"/>
        <v>12907</v>
      </c>
      <c r="J372" s="32">
        <f t="shared" si="95"/>
        <v>0</v>
      </c>
      <c r="K372" s="32">
        <f t="shared" si="96"/>
        <v>0</v>
      </c>
      <c r="L372" s="32">
        <f t="shared" si="97"/>
        <v>108520</v>
      </c>
      <c r="M372" s="32">
        <f>0</f>
        <v>0</v>
      </c>
      <c r="N372" s="32">
        <f t="shared" si="98"/>
        <v>6087059</v>
      </c>
      <c r="O372" s="32">
        <f t="shared" si="99"/>
        <v>13767368</v>
      </c>
      <c r="P372" s="34" t="str">
        <f>IF(NOT(AND(T371="",A372&lt;=S371)),"",IF(FALSE,"繰上返済後再計算","")&amp;IF(AND(入力!$B$13="有効",A372&gt;1,MOD(A372-1,60)=0),IF(FALSE,"・","")&amp;"5年見直し","")&amp;IF(AND(A372=入力!$B$11,A372&gt;1),IF(OR(FALSE,AND(入力!$B$13="有効",A372&gt;1,MOD(A372-1,60)=0)),"・","")&amp;"金利変更","")&amp;IF(AND(OR(AND(入力!$B$13="有効",A372&gt;1,MOD(A372-1,60)=0),AND(A372=入力!$B$11,A372&gt;1)),入力!$B$14="有効",IF(E372=0,ROUND(C372/MAX(1,S371-A372+1),0),ROUND(-PMT(E372/12,MAX(1,S371-A372+1),C372),0))&gt;ROUND(G371*1.25,0),NOT(FALSE)),"・上限適用",""))</f>
        <v/>
      </c>
      <c r="Q372" s="35" t="str">
        <f>IF(AND(T371="",A372&lt;=S371),入力!$B$13,"")</f>
        <v>有効</v>
      </c>
      <c r="R372" s="32" t="str">
        <f>IF(AND(AND(T371="",A372&lt;=S371),OR(AND(入力!$B$13="有効",A372&gt;1,MOD(A372-1,60)=0),AND(A372=入力!$B$11,A372&gt;1)),入力!$B$14="有効"),ROUND(G371*1.25,0),"")</f>
        <v/>
      </c>
      <c r="S372" s="36">
        <f t="shared" si="100"/>
        <v>420</v>
      </c>
      <c r="T372" s="35" t="str">
        <f t="shared" si="101"/>
        <v/>
      </c>
      <c r="U372" s="3">
        <f t="shared" si="85"/>
        <v>0</v>
      </c>
      <c r="V372" s="3">
        <f t="shared" si="86"/>
        <v>0</v>
      </c>
      <c r="W372" s="3">
        <f t="shared" si="87"/>
        <v>0</v>
      </c>
      <c r="X372" s="3">
        <f t="shared" si="88"/>
        <v>0</v>
      </c>
      <c r="Y372" s="3">
        <f>0</f>
        <v>0</v>
      </c>
      <c r="Z372" s="3">
        <f t="shared" si="89"/>
        <v>0</v>
      </c>
      <c r="AA372">
        <f>ROUND(IF(FALSE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,0)</f>
        <v>121427</v>
      </c>
    </row>
    <row r="373" spans="1:27">
      <c r="A373" s="30">
        <f>368</f>
        <v>368</v>
      </c>
      <c r="B373" s="31">
        <f>EDATE(入力!$B$6,A373-1)</f>
        <v>57405</v>
      </c>
      <c r="C373" s="32">
        <f t="shared" si="90"/>
        <v>6087059</v>
      </c>
      <c r="D373" s="32">
        <f t="shared" si="91"/>
        <v>0</v>
      </c>
      <c r="E373" s="33">
        <f>IF(AND(T372="",A373&lt;=S372),IF(A373&lt;入力!$B$11,入力!$B$10,入力!$B$12),0)</f>
        <v>2.5000000000000001E-2</v>
      </c>
      <c r="F373" s="32">
        <f t="shared" si="92"/>
        <v>12681</v>
      </c>
      <c r="G373" s="32">
        <f>ROUND(IF(NOT(AND(T372="",A373&lt;=S372)),0,IF(FALSE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),0)</f>
        <v>121427</v>
      </c>
      <c r="H373" s="32">
        <f t="shared" si="93"/>
        <v>121427</v>
      </c>
      <c r="I373" s="32">
        <f t="shared" si="94"/>
        <v>12681</v>
      </c>
      <c r="J373" s="32">
        <f t="shared" si="95"/>
        <v>0</v>
      </c>
      <c r="K373" s="32">
        <f t="shared" si="96"/>
        <v>0</v>
      </c>
      <c r="L373" s="32">
        <f t="shared" si="97"/>
        <v>108746</v>
      </c>
      <c r="M373" s="32">
        <f>0</f>
        <v>0</v>
      </c>
      <c r="N373" s="32">
        <f t="shared" si="98"/>
        <v>5978313</v>
      </c>
      <c r="O373" s="32">
        <f t="shared" si="99"/>
        <v>13780049</v>
      </c>
      <c r="P373" s="34" t="str">
        <f>IF(NOT(AND(T372="",A373&lt;=S372)),"",IF(FALSE,"繰上返済後再計算","")&amp;IF(AND(入力!$B$13="有効",A373&gt;1,MOD(A373-1,60)=0),IF(FALSE,"・","")&amp;"5年見直し","")&amp;IF(AND(A373=入力!$B$11,A373&gt;1),IF(OR(FALSE,AND(入力!$B$13="有効",A373&gt;1,MOD(A373-1,60)=0)),"・","")&amp;"金利変更","")&amp;IF(AND(OR(AND(入力!$B$13="有効",A373&gt;1,MOD(A373-1,60)=0),AND(A373=入力!$B$11,A373&gt;1)),入力!$B$14="有効",IF(E373=0,ROUND(C373/MAX(1,S372-A373+1),0),ROUND(-PMT(E373/12,MAX(1,S372-A373+1),C373),0))&gt;ROUND(G372*1.25,0),NOT(FALSE)),"・上限適用",""))</f>
        <v/>
      </c>
      <c r="Q373" s="35" t="str">
        <f>IF(AND(T372="",A373&lt;=S372),入力!$B$13,"")</f>
        <v>有効</v>
      </c>
      <c r="R373" s="32" t="str">
        <f>IF(AND(AND(T372="",A373&lt;=S372),OR(AND(入力!$B$13="有効",A373&gt;1,MOD(A373-1,60)=0),AND(A373=入力!$B$11,A373&gt;1)),入力!$B$14="有効"),ROUND(G372*1.25,0),"")</f>
        <v/>
      </c>
      <c r="S373" s="36">
        <f t="shared" si="100"/>
        <v>420</v>
      </c>
      <c r="T373" s="35" t="str">
        <f t="shared" si="101"/>
        <v/>
      </c>
      <c r="U373" s="3">
        <f t="shared" si="85"/>
        <v>0</v>
      </c>
      <c r="V373" s="3">
        <f t="shared" si="86"/>
        <v>0</v>
      </c>
      <c r="W373" s="3">
        <f t="shared" si="87"/>
        <v>0</v>
      </c>
      <c r="X373" s="3">
        <f t="shared" si="88"/>
        <v>0</v>
      </c>
      <c r="Y373" s="3">
        <f>0</f>
        <v>0</v>
      </c>
      <c r="Z373" s="3">
        <f t="shared" si="89"/>
        <v>0</v>
      </c>
      <c r="AA373">
        <f>ROUND(IF(FALSE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,0)</f>
        <v>121427</v>
      </c>
    </row>
    <row r="374" spans="1:27">
      <c r="A374" s="30">
        <f>369</f>
        <v>369</v>
      </c>
      <c r="B374" s="31">
        <f>EDATE(入力!$B$6,A374-1)</f>
        <v>57436</v>
      </c>
      <c r="C374" s="32">
        <f t="shared" si="90"/>
        <v>5978313</v>
      </c>
      <c r="D374" s="32">
        <f t="shared" si="91"/>
        <v>0</v>
      </c>
      <c r="E374" s="33">
        <f>IF(AND(T373="",A374&lt;=S373),IF(A374&lt;入力!$B$11,入力!$B$10,入力!$B$12),0)</f>
        <v>2.5000000000000001E-2</v>
      </c>
      <c r="F374" s="32">
        <f t="shared" si="92"/>
        <v>12455</v>
      </c>
      <c r="G374" s="32">
        <f>ROUND(IF(NOT(AND(T373="",A374&lt;=S373)),0,IF(FALSE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),0)</f>
        <v>121427</v>
      </c>
      <c r="H374" s="32">
        <f t="shared" si="93"/>
        <v>121427</v>
      </c>
      <c r="I374" s="32">
        <f t="shared" si="94"/>
        <v>12455</v>
      </c>
      <c r="J374" s="32">
        <f t="shared" si="95"/>
        <v>0</v>
      </c>
      <c r="K374" s="32">
        <f t="shared" si="96"/>
        <v>0</v>
      </c>
      <c r="L374" s="32">
        <f t="shared" si="97"/>
        <v>108972</v>
      </c>
      <c r="M374" s="32">
        <f>0</f>
        <v>0</v>
      </c>
      <c r="N374" s="32">
        <f t="shared" si="98"/>
        <v>5869341</v>
      </c>
      <c r="O374" s="32">
        <f t="shared" si="99"/>
        <v>13792504</v>
      </c>
      <c r="P374" s="34" t="str">
        <f>IF(NOT(AND(T373="",A374&lt;=S373)),"",IF(FALSE,"繰上返済後再計算","")&amp;IF(AND(入力!$B$13="有効",A374&gt;1,MOD(A374-1,60)=0),IF(FALSE,"・","")&amp;"5年見直し","")&amp;IF(AND(A374=入力!$B$11,A374&gt;1),IF(OR(FALSE,AND(入力!$B$13="有効",A374&gt;1,MOD(A374-1,60)=0)),"・","")&amp;"金利変更","")&amp;IF(AND(OR(AND(入力!$B$13="有効",A374&gt;1,MOD(A374-1,60)=0),AND(A374=入力!$B$11,A374&gt;1)),入力!$B$14="有効",IF(E374=0,ROUND(C374/MAX(1,S373-A374+1),0),ROUND(-PMT(E374/12,MAX(1,S373-A374+1),C374),0))&gt;ROUND(G373*1.25,0),NOT(FALSE)),"・上限適用",""))</f>
        <v/>
      </c>
      <c r="Q374" s="35" t="str">
        <f>IF(AND(T373="",A374&lt;=S373),入力!$B$13,"")</f>
        <v>有効</v>
      </c>
      <c r="R374" s="32" t="str">
        <f>IF(AND(AND(T373="",A374&lt;=S373),OR(AND(入力!$B$13="有効",A374&gt;1,MOD(A374-1,60)=0),AND(A374=入力!$B$11,A374&gt;1)),入力!$B$14="有効"),ROUND(G373*1.25,0),"")</f>
        <v/>
      </c>
      <c r="S374" s="36">
        <f t="shared" si="100"/>
        <v>420</v>
      </c>
      <c r="T374" s="35" t="str">
        <f t="shared" si="101"/>
        <v/>
      </c>
      <c r="U374" s="3">
        <f t="shared" si="85"/>
        <v>0</v>
      </c>
      <c r="V374" s="3">
        <f t="shared" si="86"/>
        <v>0</v>
      </c>
      <c r="W374" s="3">
        <f t="shared" si="87"/>
        <v>0</v>
      </c>
      <c r="X374" s="3">
        <f t="shared" si="88"/>
        <v>0</v>
      </c>
      <c r="Y374" s="3">
        <f>0</f>
        <v>0</v>
      </c>
      <c r="Z374" s="3">
        <f t="shared" si="89"/>
        <v>0</v>
      </c>
      <c r="AA374">
        <f>ROUND(IF(FALSE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,0)</f>
        <v>121427</v>
      </c>
    </row>
    <row r="375" spans="1:27">
      <c r="A375" s="30">
        <f>370</f>
        <v>370</v>
      </c>
      <c r="B375" s="31">
        <f>EDATE(入力!$B$6,A375-1)</f>
        <v>57466</v>
      </c>
      <c r="C375" s="32">
        <f t="shared" si="90"/>
        <v>5869341</v>
      </c>
      <c r="D375" s="32">
        <f t="shared" si="91"/>
        <v>0</v>
      </c>
      <c r="E375" s="33">
        <f>IF(AND(T374="",A375&lt;=S374),IF(A375&lt;入力!$B$11,入力!$B$10,入力!$B$12),0)</f>
        <v>2.5000000000000001E-2</v>
      </c>
      <c r="F375" s="32">
        <f t="shared" si="92"/>
        <v>12228</v>
      </c>
      <c r="G375" s="32">
        <f>ROUND(IF(NOT(AND(T374="",A375&lt;=S374)),0,IF(FALSE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),0)</f>
        <v>121427</v>
      </c>
      <c r="H375" s="32">
        <f t="shared" si="93"/>
        <v>121427</v>
      </c>
      <c r="I375" s="32">
        <f t="shared" si="94"/>
        <v>12228</v>
      </c>
      <c r="J375" s="32">
        <f t="shared" si="95"/>
        <v>0</v>
      </c>
      <c r="K375" s="32">
        <f t="shared" si="96"/>
        <v>0</v>
      </c>
      <c r="L375" s="32">
        <f t="shared" si="97"/>
        <v>109199</v>
      </c>
      <c r="M375" s="32">
        <f>0</f>
        <v>0</v>
      </c>
      <c r="N375" s="32">
        <f t="shared" si="98"/>
        <v>5760142</v>
      </c>
      <c r="O375" s="32">
        <f t="shared" si="99"/>
        <v>13804732</v>
      </c>
      <c r="P375" s="34" t="str">
        <f>IF(NOT(AND(T374="",A375&lt;=S374)),"",IF(FALSE,"繰上返済後再計算","")&amp;IF(AND(入力!$B$13="有効",A375&gt;1,MOD(A375-1,60)=0),IF(FALSE,"・","")&amp;"5年見直し","")&amp;IF(AND(A375=入力!$B$11,A375&gt;1),IF(OR(FALSE,AND(入力!$B$13="有効",A375&gt;1,MOD(A375-1,60)=0)),"・","")&amp;"金利変更","")&amp;IF(AND(OR(AND(入力!$B$13="有効",A375&gt;1,MOD(A375-1,60)=0),AND(A375=入力!$B$11,A375&gt;1)),入力!$B$14="有効",IF(E375=0,ROUND(C375/MAX(1,S374-A375+1),0),ROUND(-PMT(E375/12,MAX(1,S374-A375+1),C375),0))&gt;ROUND(G374*1.25,0),NOT(FALSE)),"・上限適用",""))</f>
        <v/>
      </c>
      <c r="Q375" s="35" t="str">
        <f>IF(AND(T374="",A375&lt;=S374),入力!$B$13,"")</f>
        <v>有効</v>
      </c>
      <c r="R375" s="32" t="str">
        <f>IF(AND(AND(T374="",A375&lt;=S374),OR(AND(入力!$B$13="有効",A375&gt;1,MOD(A375-1,60)=0),AND(A375=入力!$B$11,A375&gt;1)),入力!$B$14="有効"),ROUND(G374*1.25,0),"")</f>
        <v/>
      </c>
      <c r="S375" s="36">
        <f t="shared" si="100"/>
        <v>420</v>
      </c>
      <c r="T375" s="35" t="str">
        <f t="shared" si="101"/>
        <v/>
      </c>
      <c r="U375" s="3">
        <f t="shared" si="85"/>
        <v>0</v>
      </c>
      <c r="V375" s="3">
        <f t="shared" si="86"/>
        <v>0</v>
      </c>
      <c r="W375" s="3">
        <f t="shared" si="87"/>
        <v>0</v>
      </c>
      <c r="X375" s="3">
        <f t="shared" si="88"/>
        <v>0</v>
      </c>
      <c r="Y375" s="3">
        <f>0</f>
        <v>0</v>
      </c>
      <c r="Z375" s="3">
        <f t="shared" si="89"/>
        <v>0</v>
      </c>
      <c r="AA375">
        <f>ROUND(IF(FALSE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,0)</f>
        <v>121427</v>
      </c>
    </row>
    <row r="376" spans="1:27">
      <c r="A376" s="30">
        <f>371</f>
        <v>371</v>
      </c>
      <c r="B376" s="31">
        <f>EDATE(入力!$B$6,A376-1)</f>
        <v>57497</v>
      </c>
      <c r="C376" s="32">
        <f t="shared" si="90"/>
        <v>5760142</v>
      </c>
      <c r="D376" s="32">
        <f t="shared" si="91"/>
        <v>0</v>
      </c>
      <c r="E376" s="33">
        <f>IF(AND(T375="",A376&lt;=S375),IF(A376&lt;入力!$B$11,入力!$B$10,入力!$B$12),0)</f>
        <v>2.5000000000000001E-2</v>
      </c>
      <c r="F376" s="32">
        <f t="shared" si="92"/>
        <v>12000</v>
      </c>
      <c r="G376" s="32">
        <f>ROUND(IF(NOT(AND(T375="",A376&lt;=S375)),0,IF(FALSE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),0)</f>
        <v>121427</v>
      </c>
      <c r="H376" s="32">
        <f t="shared" si="93"/>
        <v>121427</v>
      </c>
      <c r="I376" s="32">
        <f t="shared" si="94"/>
        <v>12000</v>
      </c>
      <c r="J376" s="32">
        <f t="shared" si="95"/>
        <v>0</v>
      </c>
      <c r="K376" s="32">
        <f t="shared" si="96"/>
        <v>0</v>
      </c>
      <c r="L376" s="32">
        <f t="shared" si="97"/>
        <v>109427</v>
      </c>
      <c r="M376" s="32">
        <f>0</f>
        <v>0</v>
      </c>
      <c r="N376" s="32">
        <f t="shared" si="98"/>
        <v>5650715</v>
      </c>
      <c r="O376" s="32">
        <f t="shared" si="99"/>
        <v>13816732</v>
      </c>
      <c r="P376" s="34" t="str">
        <f>IF(NOT(AND(T375="",A376&lt;=S375)),"",IF(FALSE,"繰上返済後再計算","")&amp;IF(AND(入力!$B$13="有効",A376&gt;1,MOD(A376-1,60)=0),IF(FALSE,"・","")&amp;"5年見直し","")&amp;IF(AND(A376=入力!$B$11,A376&gt;1),IF(OR(FALSE,AND(入力!$B$13="有効",A376&gt;1,MOD(A376-1,60)=0)),"・","")&amp;"金利変更","")&amp;IF(AND(OR(AND(入力!$B$13="有効",A376&gt;1,MOD(A376-1,60)=0),AND(A376=入力!$B$11,A376&gt;1)),入力!$B$14="有効",IF(E376=0,ROUND(C376/MAX(1,S375-A376+1),0),ROUND(-PMT(E376/12,MAX(1,S375-A376+1),C376),0))&gt;ROUND(G375*1.25,0),NOT(FALSE)),"・上限適用",""))</f>
        <v/>
      </c>
      <c r="Q376" s="35" t="str">
        <f>IF(AND(T375="",A376&lt;=S375),入力!$B$13,"")</f>
        <v>有効</v>
      </c>
      <c r="R376" s="32" t="str">
        <f>IF(AND(AND(T375="",A376&lt;=S375),OR(AND(入力!$B$13="有効",A376&gt;1,MOD(A376-1,60)=0),AND(A376=入力!$B$11,A376&gt;1)),入力!$B$14="有効"),ROUND(G375*1.25,0),"")</f>
        <v/>
      </c>
      <c r="S376" s="36">
        <f t="shared" si="100"/>
        <v>420</v>
      </c>
      <c r="T376" s="35" t="str">
        <f t="shared" si="101"/>
        <v/>
      </c>
      <c r="U376" s="3">
        <f t="shared" si="85"/>
        <v>0</v>
      </c>
      <c r="V376" s="3">
        <f t="shared" si="86"/>
        <v>0</v>
      </c>
      <c r="W376" s="3">
        <f t="shared" si="87"/>
        <v>0</v>
      </c>
      <c r="X376" s="3">
        <f t="shared" si="88"/>
        <v>0</v>
      </c>
      <c r="Y376" s="3">
        <f>0</f>
        <v>0</v>
      </c>
      <c r="Z376" s="3">
        <f t="shared" si="89"/>
        <v>0</v>
      </c>
      <c r="AA376">
        <f>ROUND(IF(FALSE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,0)</f>
        <v>121427</v>
      </c>
    </row>
    <row r="377" spans="1:27">
      <c r="A377" s="30">
        <f>372</f>
        <v>372</v>
      </c>
      <c r="B377" s="31">
        <f>EDATE(入力!$B$6,A377-1)</f>
        <v>57527</v>
      </c>
      <c r="C377" s="32">
        <f t="shared" si="90"/>
        <v>5650715</v>
      </c>
      <c r="D377" s="32">
        <f t="shared" si="91"/>
        <v>0</v>
      </c>
      <c r="E377" s="33">
        <f>IF(AND(T376="",A377&lt;=S376),IF(A377&lt;入力!$B$11,入力!$B$10,入力!$B$12),0)</f>
        <v>2.5000000000000001E-2</v>
      </c>
      <c r="F377" s="32">
        <f t="shared" si="92"/>
        <v>11772</v>
      </c>
      <c r="G377" s="32">
        <f>ROUND(IF(NOT(AND(T376="",A377&lt;=S376)),0,IF(FALSE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),0)</f>
        <v>121427</v>
      </c>
      <c r="H377" s="32">
        <f t="shared" si="93"/>
        <v>121427</v>
      </c>
      <c r="I377" s="32">
        <f t="shared" si="94"/>
        <v>11772</v>
      </c>
      <c r="J377" s="32">
        <f t="shared" si="95"/>
        <v>0</v>
      </c>
      <c r="K377" s="32">
        <f t="shared" si="96"/>
        <v>0</v>
      </c>
      <c r="L377" s="32">
        <f t="shared" si="97"/>
        <v>109655</v>
      </c>
      <c r="M377" s="32">
        <f>0</f>
        <v>0</v>
      </c>
      <c r="N377" s="32">
        <f t="shared" si="98"/>
        <v>5541060</v>
      </c>
      <c r="O377" s="32">
        <f t="shared" si="99"/>
        <v>13828504</v>
      </c>
      <c r="P377" s="34" t="str">
        <f>IF(NOT(AND(T376="",A377&lt;=S376)),"",IF(FALSE,"繰上返済後再計算","")&amp;IF(AND(入力!$B$13="有効",A377&gt;1,MOD(A377-1,60)=0),IF(FALSE,"・","")&amp;"5年見直し","")&amp;IF(AND(A377=入力!$B$11,A377&gt;1),IF(OR(FALSE,AND(入力!$B$13="有効",A377&gt;1,MOD(A377-1,60)=0)),"・","")&amp;"金利変更","")&amp;IF(AND(OR(AND(入力!$B$13="有効",A377&gt;1,MOD(A377-1,60)=0),AND(A377=入力!$B$11,A377&gt;1)),入力!$B$14="有効",IF(E377=0,ROUND(C377/MAX(1,S376-A377+1),0),ROUND(-PMT(E377/12,MAX(1,S376-A377+1),C377),0))&gt;ROUND(G376*1.25,0),NOT(FALSE)),"・上限適用",""))</f>
        <v/>
      </c>
      <c r="Q377" s="35" t="str">
        <f>IF(AND(T376="",A377&lt;=S376),入力!$B$13,"")</f>
        <v>有効</v>
      </c>
      <c r="R377" s="32" t="str">
        <f>IF(AND(AND(T376="",A377&lt;=S376),OR(AND(入力!$B$13="有効",A377&gt;1,MOD(A377-1,60)=0),AND(A377=入力!$B$11,A377&gt;1)),入力!$B$14="有効"),ROUND(G376*1.25,0),"")</f>
        <v/>
      </c>
      <c r="S377" s="36">
        <f t="shared" si="100"/>
        <v>420</v>
      </c>
      <c r="T377" s="35" t="str">
        <f t="shared" si="101"/>
        <v/>
      </c>
      <c r="U377" s="3">
        <f t="shared" si="85"/>
        <v>0</v>
      </c>
      <c r="V377" s="3">
        <f t="shared" si="86"/>
        <v>0</v>
      </c>
      <c r="W377" s="3">
        <f t="shared" si="87"/>
        <v>0</v>
      </c>
      <c r="X377" s="3">
        <f t="shared" si="88"/>
        <v>0</v>
      </c>
      <c r="Y377" s="3">
        <f>0</f>
        <v>0</v>
      </c>
      <c r="Z377" s="3">
        <f t="shared" si="89"/>
        <v>0</v>
      </c>
      <c r="AA377">
        <f>ROUND(IF(FALSE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,0)</f>
        <v>121427</v>
      </c>
    </row>
    <row r="378" spans="1:27">
      <c r="A378" s="30">
        <f>373</f>
        <v>373</v>
      </c>
      <c r="B378" s="31">
        <f>EDATE(入力!$B$6,A378-1)</f>
        <v>57558</v>
      </c>
      <c r="C378" s="32">
        <f t="shared" si="90"/>
        <v>5541060</v>
      </c>
      <c r="D378" s="32">
        <f t="shared" si="91"/>
        <v>0</v>
      </c>
      <c r="E378" s="33">
        <f>IF(AND(T377="",A378&lt;=S377),IF(A378&lt;入力!$B$11,入力!$B$10,入力!$B$12),0)</f>
        <v>2.5000000000000001E-2</v>
      </c>
      <c r="F378" s="32">
        <f t="shared" si="92"/>
        <v>11544</v>
      </c>
      <c r="G378" s="32">
        <f>ROUND(IF(NOT(AND(T377="",A378&lt;=S377)),0,IF(FALSE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),0)</f>
        <v>121427</v>
      </c>
      <c r="H378" s="32">
        <f t="shared" si="93"/>
        <v>121427</v>
      </c>
      <c r="I378" s="32">
        <f t="shared" si="94"/>
        <v>11544</v>
      </c>
      <c r="J378" s="32">
        <f t="shared" si="95"/>
        <v>0</v>
      </c>
      <c r="K378" s="32">
        <f t="shared" si="96"/>
        <v>0</v>
      </c>
      <c r="L378" s="32">
        <f t="shared" si="97"/>
        <v>109883</v>
      </c>
      <c r="M378" s="32">
        <f>0</f>
        <v>0</v>
      </c>
      <c r="N378" s="32">
        <f t="shared" si="98"/>
        <v>5431177</v>
      </c>
      <c r="O378" s="32">
        <f t="shared" si="99"/>
        <v>13840048</v>
      </c>
      <c r="P378" s="34" t="str">
        <f>IF(NOT(AND(T377="",A378&lt;=S377)),"",IF(FALSE,"繰上返済後再計算","")&amp;IF(AND(入力!$B$13="有効",A378&gt;1,MOD(A378-1,60)=0),IF(FALSE,"・","")&amp;"5年見直し","")&amp;IF(AND(A378=入力!$B$11,A378&gt;1),IF(OR(FALSE,AND(入力!$B$13="有効",A378&gt;1,MOD(A378-1,60)=0)),"・","")&amp;"金利変更","")&amp;IF(AND(OR(AND(入力!$B$13="有効",A378&gt;1,MOD(A378-1,60)=0),AND(A378=入力!$B$11,A378&gt;1)),入力!$B$14="有効",IF(E378=0,ROUND(C378/MAX(1,S377-A378+1),0),ROUND(-PMT(E378/12,MAX(1,S377-A378+1),C378),0))&gt;ROUND(G377*1.25,0),NOT(FALSE)),"・上限適用",""))</f>
        <v/>
      </c>
      <c r="Q378" s="35" t="str">
        <f>IF(AND(T377="",A378&lt;=S377),入力!$B$13,"")</f>
        <v>有効</v>
      </c>
      <c r="R378" s="32" t="str">
        <f>IF(AND(AND(T377="",A378&lt;=S377),OR(AND(入力!$B$13="有効",A378&gt;1,MOD(A378-1,60)=0),AND(A378=入力!$B$11,A378&gt;1)),入力!$B$14="有効"),ROUND(G377*1.25,0),"")</f>
        <v/>
      </c>
      <c r="S378" s="36">
        <f t="shared" si="100"/>
        <v>420</v>
      </c>
      <c r="T378" s="35" t="str">
        <f t="shared" si="101"/>
        <v/>
      </c>
      <c r="U378" s="3">
        <f t="shared" si="85"/>
        <v>0</v>
      </c>
      <c r="V378" s="3">
        <f t="shared" si="86"/>
        <v>0</v>
      </c>
      <c r="W378" s="3">
        <f t="shared" si="87"/>
        <v>0</v>
      </c>
      <c r="X378" s="3">
        <f t="shared" si="88"/>
        <v>0</v>
      </c>
      <c r="Y378" s="3">
        <f>0</f>
        <v>0</v>
      </c>
      <c r="Z378" s="3">
        <f t="shared" si="89"/>
        <v>0</v>
      </c>
      <c r="AA378">
        <f>ROUND(IF(FALSE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,0)</f>
        <v>121427</v>
      </c>
    </row>
    <row r="379" spans="1:27">
      <c r="A379" s="30">
        <f>374</f>
        <v>374</v>
      </c>
      <c r="B379" s="31">
        <f>EDATE(入力!$B$6,A379-1)</f>
        <v>57589</v>
      </c>
      <c r="C379" s="32">
        <f t="shared" si="90"/>
        <v>5431177</v>
      </c>
      <c r="D379" s="32">
        <f t="shared" si="91"/>
        <v>0</v>
      </c>
      <c r="E379" s="33">
        <f>IF(AND(T378="",A379&lt;=S378),IF(A379&lt;入力!$B$11,入力!$B$10,入力!$B$12),0)</f>
        <v>2.5000000000000001E-2</v>
      </c>
      <c r="F379" s="32">
        <f t="shared" si="92"/>
        <v>11315</v>
      </c>
      <c r="G379" s="32">
        <f>ROUND(IF(NOT(AND(T378="",A379&lt;=S378)),0,IF(FALSE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),0)</f>
        <v>121427</v>
      </c>
      <c r="H379" s="32">
        <f t="shared" si="93"/>
        <v>121427</v>
      </c>
      <c r="I379" s="32">
        <f t="shared" si="94"/>
        <v>11315</v>
      </c>
      <c r="J379" s="32">
        <f t="shared" si="95"/>
        <v>0</v>
      </c>
      <c r="K379" s="32">
        <f t="shared" si="96"/>
        <v>0</v>
      </c>
      <c r="L379" s="32">
        <f t="shared" si="97"/>
        <v>110112</v>
      </c>
      <c r="M379" s="32">
        <f>0</f>
        <v>0</v>
      </c>
      <c r="N379" s="32">
        <f t="shared" si="98"/>
        <v>5321065</v>
      </c>
      <c r="O379" s="32">
        <f t="shared" si="99"/>
        <v>13851363</v>
      </c>
      <c r="P379" s="34" t="str">
        <f>IF(NOT(AND(T378="",A379&lt;=S378)),"",IF(FALSE,"繰上返済後再計算","")&amp;IF(AND(入力!$B$13="有効",A379&gt;1,MOD(A379-1,60)=0),IF(FALSE,"・","")&amp;"5年見直し","")&amp;IF(AND(A379=入力!$B$11,A379&gt;1),IF(OR(FALSE,AND(入力!$B$13="有効",A379&gt;1,MOD(A379-1,60)=0)),"・","")&amp;"金利変更","")&amp;IF(AND(OR(AND(入力!$B$13="有効",A379&gt;1,MOD(A379-1,60)=0),AND(A379=入力!$B$11,A379&gt;1)),入力!$B$14="有効",IF(E379=0,ROUND(C379/MAX(1,S378-A379+1),0),ROUND(-PMT(E379/12,MAX(1,S378-A379+1),C379),0))&gt;ROUND(G378*1.25,0),NOT(FALSE)),"・上限適用",""))</f>
        <v/>
      </c>
      <c r="Q379" s="35" t="str">
        <f>IF(AND(T378="",A379&lt;=S378),入力!$B$13,"")</f>
        <v>有効</v>
      </c>
      <c r="R379" s="32" t="str">
        <f>IF(AND(AND(T378="",A379&lt;=S378),OR(AND(入力!$B$13="有効",A379&gt;1,MOD(A379-1,60)=0),AND(A379=入力!$B$11,A379&gt;1)),入力!$B$14="有効"),ROUND(G378*1.25,0),"")</f>
        <v/>
      </c>
      <c r="S379" s="36">
        <f t="shared" si="100"/>
        <v>420</v>
      </c>
      <c r="T379" s="35" t="str">
        <f t="shared" si="101"/>
        <v/>
      </c>
      <c r="U379" s="3">
        <f t="shared" si="85"/>
        <v>0</v>
      </c>
      <c r="V379" s="3">
        <f t="shared" si="86"/>
        <v>0</v>
      </c>
      <c r="W379" s="3">
        <f t="shared" si="87"/>
        <v>0</v>
      </c>
      <c r="X379" s="3">
        <f t="shared" si="88"/>
        <v>0</v>
      </c>
      <c r="Y379" s="3">
        <f>0</f>
        <v>0</v>
      </c>
      <c r="Z379" s="3">
        <f t="shared" si="89"/>
        <v>0</v>
      </c>
      <c r="AA379">
        <f>ROUND(IF(FALSE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,0)</f>
        <v>121427</v>
      </c>
    </row>
    <row r="380" spans="1:27">
      <c r="A380" s="30">
        <f>375</f>
        <v>375</v>
      </c>
      <c r="B380" s="31">
        <f>EDATE(入力!$B$6,A380-1)</f>
        <v>57619</v>
      </c>
      <c r="C380" s="32">
        <f t="shared" si="90"/>
        <v>5321065</v>
      </c>
      <c r="D380" s="32">
        <f t="shared" si="91"/>
        <v>0</v>
      </c>
      <c r="E380" s="33">
        <f>IF(AND(T379="",A380&lt;=S379),IF(A380&lt;入力!$B$11,入力!$B$10,入力!$B$12),0)</f>
        <v>2.5000000000000001E-2</v>
      </c>
      <c r="F380" s="32">
        <f t="shared" si="92"/>
        <v>11086</v>
      </c>
      <c r="G380" s="32">
        <f>ROUND(IF(NOT(AND(T379="",A380&lt;=S379)),0,IF(FALSE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),0)</f>
        <v>121427</v>
      </c>
      <c r="H380" s="32">
        <f t="shared" si="93"/>
        <v>121427</v>
      </c>
      <c r="I380" s="32">
        <f t="shared" si="94"/>
        <v>11086</v>
      </c>
      <c r="J380" s="32">
        <f t="shared" si="95"/>
        <v>0</v>
      </c>
      <c r="K380" s="32">
        <f t="shared" si="96"/>
        <v>0</v>
      </c>
      <c r="L380" s="32">
        <f t="shared" si="97"/>
        <v>110341</v>
      </c>
      <c r="M380" s="32">
        <f>0</f>
        <v>0</v>
      </c>
      <c r="N380" s="32">
        <f t="shared" si="98"/>
        <v>5210724</v>
      </c>
      <c r="O380" s="32">
        <f t="shared" si="99"/>
        <v>13862449</v>
      </c>
      <c r="P380" s="34" t="str">
        <f>IF(NOT(AND(T379="",A380&lt;=S379)),"",IF(FALSE,"繰上返済後再計算","")&amp;IF(AND(入力!$B$13="有効",A380&gt;1,MOD(A380-1,60)=0),IF(FALSE,"・","")&amp;"5年見直し","")&amp;IF(AND(A380=入力!$B$11,A380&gt;1),IF(OR(FALSE,AND(入力!$B$13="有効",A380&gt;1,MOD(A380-1,60)=0)),"・","")&amp;"金利変更","")&amp;IF(AND(OR(AND(入力!$B$13="有効",A380&gt;1,MOD(A380-1,60)=0),AND(A380=入力!$B$11,A380&gt;1)),入力!$B$14="有効",IF(E380=0,ROUND(C380/MAX(1,S379-A380+1),0),ROUND(-PMT(E380/12,MAX(1,S379-A380+1),C380),0))&gt;ROUND(G379*1.25,0),NOT(FALSE)),"・上限適用",""))</f>
        <v/>
      </c>
      <c r="Q380" s="35" t="str">
        <f>IF(AND(T379="",A380&lt;=S379),入力!$B$13,"")</f>
        <v>有効</v>
      </c>
      <c r="R380" s="32" t="str">
        <f>IF(AND(AND(T379="",A380&lt;=S379),OR(AND(入力!$B$13="有効",A380&gt;1,MOD(A380-1,60)=0),AND(A380=入力!$B$11,A380&gt;1)),入力!$B$14="有効"),ROUND(G379*1.25,0),"")</f>
        <v/>
      </c>
      <c r="S380" s="36">
        <f t="shared" si="100"/>
        <v>420</v>
      </c>
      <c r="T380" s="35" t="str">
        <f t="shared" si="101"/>
        <v/>
      </c>
      <c r="U380" s="3">
        <f t="shared" si="85"/>
        <v>0</v>
      </c>
      <c r="V380" s="3">
        <f t="shared" si="86"/>
        <v>0</v>
      </c>
      <c r="W380" s="3">
        <f t="shared" si="87"/>
        <v>0</v>
      </c>
      <c r="X380" s="3">
        <f t="shared" si="88"/>
        <v>0</v>
      </c>
      <c r="Y380" s="3">
        <f>0</f>
        <v>0</v>
      </c>
      <c r="Z380" s="3">
        <f t="shared" si="89"/>
        <v>0</v>
      </c>
      <c r="AA380">
        <f>ROUND(IF(FALSE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,0)</f>
        <v>121427</v>
      </c>
    </row>
    <row r="381" spans="1:27">
      <c r="A381" s="30">
        <f>376</f>
        <v>376</v>
      </c>
      <c r="B381" s="31">
        <f>EDATE(入力!$B$6,A381-1)</f>
        <v>57650</v>
      </c>
      <c r="C381" s="32">
        <f t="shared" si="90"/>
        <v>5210724</v>
      </c>
      <c r="D381" s="32">
        <f t="shared" si="91"/>
        <v>0</v>
      </c>
      <c r="E381" s="33">
        <f>IF(AND(T380="",A381&lt;=S380),IF(A381&lt;入力!$B$11,入力!$B$10,入力!$B$12),0)</f>
        <v>2.5000000000000001E-2</v>
      </c>
      <c r="F381" s="32">
        <f t="shared" si="92"/>
        <v>10856</v>
      </c>
      <c r="G381" s="32">
        <f>ROUND(IF(NOT(AND(T380="",A381&lt;=S380)),0,IF(FALSE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),0)</f>
        <v>121427</v>
      </c>
      <c r="H381" s="32">
        <f t="shared" si="93"/>
        <v>121427</v>
      </c>
      <c r="I381" s="32">
        <f t="shared" si="94"/>
        <v>10856</v>
      </c>
      <c r="J381" s="32">
        <f t="shared" si="95"/>
        <v>0</v>
      </c>
      <c r="K381" s="32">
        <f t="shared" si="96"/>
        <v>0</v>
      </c>
      <c r="L381" s="32">
        <f t="shared" si="97"/>
        <v>110571</v>
      </c>
      <c r="M381" s="32">
        <f>0</f>
        <v>0</v>
      </c>
      <c r="N381" s="32">
        <f t="shared" si="98"/>
        <v>5100153</v>
      </c>
      <c r="O381" s="32">
        <f t="shared" si="99"/>
        <v>13873305</v>
      </c>
      <c r="P381" s="34" t="str">
        <f>IF(NOT(AND(T380="",A381&lt;=S380)),"",IF(FALSE,"繰上返済後再計算","")&amp;IF(AND(入力!$B$13="有効",A381&gt;1,MOD(A381-1,60)=0),IF(FALSE,"・","")&amp;"5年見直し","")&amp;IF(AND(A381=入力!$B$11,A381&gt;1),IF(OR(FALSE,AND(入力!$B$13="有効",A381&gt;1,MOD(A381-1,60)=0)),"・","")&amp;"金利変更","")&amp;IF(AND(OR(AND(入力!$B$13="有効",A381&gt;1,MOD(A381-1,60)=0),AND(A381=入力!$B$11,A381&gt;1)),入力!$B$14="有効",IF(E381=0,ROUND(C381/MAX(1,S380-A381+1),0),ROUND(-PMT(E381/12,MAX(1,S380-A381+1),C381),0))&gt;ROUND(G380*1.25,0),NOT(FALSE)),"・上限適用",""))</f>
        <v/>
      </c>
      <c r="Q381" s="35" t="str">
        <f>IF(AND(T380="",A381&lt;=S380),入力!$B$13,"")</f>
        <v>有効</v>
      </c>
      <c r="R381" s="32" t="str">
        <f>IF(AND(AND(T380="",A381&lt;=S380),OR(AND(入力!$B$13="有効",A381&gt;1,MOD(A381-1,60)=0),AND(A381=入力!$B$11,A381&gt;1)),入力!$B$14="有効"),ROUND(G380*1.25,0),"")</f>
        <v/>
      </c>
      <c r="S381" s="36">
        <f t="shared" si="100"/>
        <v>420</v>
      </c>
      <c r="T381" s="35" t="str">
        <f t="shared" si="101"/>
        <v/>
      </c>
      <c r="U381" s="3">
        <f t="shared" si="85"/>
        <v>0</v>
      </c>
      <c r="V381" s="3">
        <f t="shared" si="86"/>
        <v>0</v>
      </c>
      <c r="W381" s="3">
        <f t="shared" si="87"/>
        <v>0</v>
      </c>
      <c r="X381" s="3">
        <f t="shared" si="88"/>
        <v>0</v>
      </c>
      <c r="Y381" s="3">
        <f>0</f>
        <v>0</v>
      </c>
      <c r="Z381" s="3">
        <f t="shared" si="89"/>
        <v>0</v>
      </c>
      <c r="AA381">
        <f>ROUND(IF(FALSE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,0)</f>
        <v>121427</v>
      </c>
    </row>
    <row r="382" spans="1:27">
      <c r="A382" s="30">
        <f>377</f>
        <v>377</v>
      </c>
      <c r="B382" s="31">
        <f>EDATE(入力!$B$6,A382-1)</f>
        <v>57680</v>
      </c>
      <c r="C382" s="32">
        <f t="shared" si="90"/>
        <v>5100153</v>
      </c>
      <c r="D382" s="32">
        <f t="shared" si="91"/>
        <v>0</v>
      </c>
      <c r="E382" s="33">
        <f>IF(AND(T381="",A382&lt;=S381),IF(A382&lt;入力!$B$11,入力!$B$10,入力!$B$12),0)</f>
        <v>2.5000000000000001E-2</v>
      </c>
      <c r="F382" s="32">
        <f t="shared" si="92"/>
        <v>10625</v>
      </c>
      <c r="G382" s="32">
        <f>ROUND(IF(NOT(AND(T381="",A382&lt;=S381)),0,IF(FALSE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),0)</f>
        <v>121427</v>
      </c>
      <c r="H382" s="32">
        <f t="shared" si="93"/>
        <v>121427</v>
      </c>
      <c r="I382" s="32">
        <f t="shared" si="94"/>
        <v>10625</v>
      </c>
      <c r="J382" s="32">
        <f t="shared" si="95"/>
        <v>0</v>
      </c>
      <c r="K382" s="32">
        <f t="shared" si="96"/>
        <v>0</v>
      </c>
      <c r="L382" s="32">
        <f t="shared" si="97"/>
        <v>110802</v>
      </c>
      <c r="M382" s="32">
        <f>0</f>
        <v>0</v>
      </c>
      <c r="N382" s="32">
        <f t="shared" si="98"/>
        <v>4989351</v>
      </c>
      <c r="O382" s="32">
        <f t="shared" si="99"/>
        <v>13883930</v>
      </c>
      <c r="P382" s="34" t="str">
        <f>IF(NOT(AND(T381="",A382&lt;=S381)),"",IF(FALSE,"繰上返済後再計算","")&amp;IF(AND(入力!$B$13="有効",A382&gt;1,MOD(A382-1,60)=0),IF(FALSE,"・","")&amp;"5年見直し","")&amp;IF(AND(A382=入力!$B$11,A382&gt;1),IF(OR(FALSE,AND(入力!$B$13="有効",A382&gt;1,MOD(A382-1,60)=0)),"・","")&amp;"金利変更","")&amp;IF(AND(OR(AND(入力!$B$13="有効",A382&gt;1,MOD(A382-1,60)=0),AND(A382=入力!$B$11,A382&gt;1)),入力!$B$14="有効",IF(E382=0,ROUND(C382/MAX(1,S381-A382+1),0),ROUND(-PMT(E382/12,MAX(1,S381-A382+1),C382),0))&gt;ROUND(G381*1.25,0),NOT(FALSE)),"・上限適用",""))</f>
        <v/>
      </c>
      <c r="Q382" s="35" t="str">
        <f>IF(AND(T381="",A382&lt;=S381),入力!$B$13,"")</f>
        <v>有効</v>
      </c>
      <c r="R382" s="32" t="str">
        <f>IF(AND(AND(T381="",A382&lt;=S381),OR(AND(入力!$B$13="有効",A382&gt;1,MOD(A382-1,60)=0),AND(A382=入力!$B$11,A382&gt;1)),入力!$B$14="有効"),ROUND(G381*1.25,0),"")</f>
        <v/>
      </c>
      <c r="S382" s="36">
        <f t="shared" si="100"/>
        <v>420</v>
      </c>
      <c r="T382" s="35" t="str">
        <f t="shared" si="101"/>
        <v/>
      </c>
      <c r="U382" s="3">
        <f t="shared" si="85"/>
        <v>0</v>
      </c>
      <c r="V382" s="3">
        <f t="shared" si="86"/>
        <v>0</v>
      </c>
      <c r="W382" s="3">
        <f t="shared" si="87"/>
        <v>0</v>
      </c>
      <c r="X382" s="3">
        <f t="shared" si="88"/>
        <v>0</v>
      </c>
      <c r="Y382" s="3">
        <f>0</f>
        <v>0</v>
      </c>
      <c r="Z382" s="3">
        <f t="shared" si="89"/>
        <v>0</v>
      </c>
      <c r="AA382">
        <f>ROUND(IF(FALSE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,0)</f>
        <v>121427</v>
      </c>
    </row>
    <row r="383" spans="1:27">
      <c r="A383" s="30">
        <f>378</f>
        <v>378</v>
      </c>
      <c r="B383" s="31">
        <f>EDATE(入力!$B$6,A383-1)</f>
        <v>57711</v>
      </c>
      <c r="C383" s="32">
        <f t="shared" si="90"/>
        <v>4989351</v>
      </c>
      <c r="D383" s="32">
        <f t="shared" si="91"/>
        <v>0</v>
      </c>
      <c r="E383" s="33">
        <f>IF(AND(T382="",A383&lt;=S382),IF(A383&lt;入力!$B$11,入力!$B$10,入力!$B$12),0)</f>
        <v>2.5000000000000001E-2</v>
      </c>
      <c r="F383" s="32">
        <f t="shared" si="92"/>
        <v>10394</v>
      </c>
      <c r="G383" s="32">
        <f>ROUND(IF(NOT(AND(T382="",A383&lt;=S382)),0,IF(FALSE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),0)</f>
        <v>121427</v>
      </c>
      <c r="H383" s="32">
        <f t="shared" si="93"/>
        <v>121427</v>
      </c>
      <c r="I383" s="32">
        <f t="shared" si="94"/>
        <v>10394</v>
      </c>
      <c r="J383" s="32">
        <f t="shared" si="95"/>
        <v>0</v>
      </c>
      <c r="K383" s="32">
        <f t="shared" si="96"/>
        <v>0</v>
      </c>
      <c r="L383" s="32">
        <f t="shared" si="97"/>
        <v>111033</v>
      </c>
      <c r="M383" s="32">
        <f>0</f>
        <v>0</v>
      </c>
      <c r="N383" s="32">
        <f t="shared" si="98"/>
        <v>4878318</v>
      </c>
      <c r="O383" s="32">
        <f t="shared" si="99"/>
        <v>13894324</v>
      </c>
      <c r="P383" s="34" t="str">
        <f>IF(NOT(AND(T382="",A383&lt;=S382)),"",IF(FALSE,"繰上返済後再計算","")&amp;IF(AND(入力!$B$13="有効",A383&gt;1,MOD(A383-1,60)=0),IF(FALSE,"・","")&amp;"5年見直し","")&amp;IF(AND(A383=入力!$B$11,A383&gt;1),IF(OR(FALSE,AND(入力!$B$13="有効",A383&gt;1,MOD(A383-1,60)=0)),"・","")&amp;"金利変更","")&amp;IF(AND(OR(AND(入力!$B$13="有効",A383&gt;1,MOD(A383-1,60)=0),AND(A383=入力!$B$11,A383&gt;1)),入力!$B$14="有効",IF(E383=0,ROUND(C383/MAX(1,S382-A383+1),0),ROUND(-PMT(E383/12,MAX(1,S382-A383+1),C383),0))&gt;ROUND(G382*1.25,0),NOT(FALSE)),"・上限適用",""))</f>
        <v/>
      </c>
      <c r="Q383" s="35" t="str">
        <f>IF(AND(T382="",A383&lt;=S382),入力!$B$13,"")</f>
        <v>有効</v>
      </c>
      <c r="R383" s="32" t="str">
        <f>IF(AND(AND(T382="",A383&lt;=S382),OR(AND(入力!$B$13="有効",A383&gt;1,MOD(A383-1,60)=0),AND(A383=入力!$B$11,A383&gt;1)),入力!$B$14="有効"),ROUND(G382*1.25,0),"")</f>
        <v/>
      </c>
      <c r="S383" s="36">
        <f t="shared" si="100"/>
        <v>420</v>
      </c>
      <c r="T383" s="35" t="str">
        <f t="shared" si="101"/>
        <v/>
      </c>
      <c r="U383" s="3">
        <f t="shared" si="85"/>
        <v>0</v>
      </c>
      <c r="V383" s="3">
        <f t="shared" si="86"/>
        <v>0</v>
      </c>
      <c r="W383" s="3">
        <f t="shared" si="87"/>
        <v>0</v>
      </c>
      <c r="X383" s="3">
        <f t="shared" si="88"/>
        <v>0</v>
      </c>
      <c r="Y383" s="3">
        <f>0</f>
        <v>0</v>
      </c>
      <c r="Z383" s="3">
        <f t="shared" si="89"/>
        <v>0</v>
      </c>
      <c r="AA383">
        <f>ROUND(IF(FALSE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,0)</f>
        <v>121427</v>
      </c>
    </row>
    <row r="384" spans="1:27">
      <c r="A384" s="30">
        <f>379</f>
        <v>379</v>
      </c>
      <c r="B384" s="31">
        <f>EDATE(入力!$B$6,A384-1)</f>
        <v>57742</v>
      </c>
      <c r="C384" s="32">
        <f t="shared" si="90"/>
        <v>4878318</v>
      </c>
      <c r="D384" s="32">
        <f t="shared" si="91"/>
        <v>0</v>
      </c>
      <c r="E384" s="33">
        <f>IF(AND(T383="",A384&lt;=S383),IF(A384&lt;入力!$B$11,入力!$B$10,入力!$B$12),0)</f>
        <v>2.5000000000000001E-2</v>
      </c>
      <c r="F384" s="32">
        <f t="shared" si="92"/>
        <v>10163</v>
      </c>
      <c r="G384" s="32">
        <f>ROUND(IF(NOT(AND(T383="",A384&lt;=S383)),0,IF(FALSE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),0)</f>
        <v>121427</v>
      </c>
      <c r="H384" s="32">
        <f t="shared" si="93"/>
        <v>121427</v>
      </c>
      <c r="I384" s="32">
        <f t="shared" si="94"/>
        <v>10163</v>
      </c>
      <c r="J384" s="32">
        <f t="shared" si="95"/>
        <v>0</v>
      </c>
      <c r="K384" s="32">
        <f t="shared" si="96"/>
        <v>0</v>
      </c>
      <c r="L384" s="32">
        <f t="shared" si="97"/>
        <v>111264</v>
      </c>
      <c r="M384" s="32">
        <f>0</f>
        <v>0</v>
      </c>
      <c r="N384" s="32">
        <f t="shared" si="98"/>
        <v>4767054</v>
      </c>
      <c r="O384" s="32">
        <f t="shared" si="99"/>
        <v>13904487</v>
      </c>
      <c r="P384" s="34" t="str">
        <f>IF(NOT(AND(T383="",A384&lt;=S383)),"",IF(FALSE,"繰上返済後再計算","")&amp;IF(AND(入力!$B$13="有効",A384&gt;1,MOD(A384-1,60)=0),IF(FALSE,"・","")&amp;"5年見直し","")&amp;IF(AND(A384=入力!$B$11,A384&gt;1),IF(OR(FALSE,AND(入力!$B$13="有効",A384&gt;1,MOD(A384-1,60)=0)),"・","")&amp;"金利変更","")&amp;IF(AND(OR(AND(入力!$B$13="有効",A384&gt;1,MOD(A384-1,60)=0),AND(A384=入力!$B$11,A384&gt;1)),入力!$B$14="有効",IF(E384=0,ROUND(C384/MAX(1,S383-A384+1),0),ROUND(-PMT(E384/12,MAX(1,S383-A384+1),C384),0))&gt;ROUND(G383*1.25,0),NOT(FALSE)),"・上限適用",""))</f>
        <v/>
      </c>
      <c r="Q384" s="35" t="str">
        <f>IF(AND(T383="",A384&lt;=S383),入力!$B$13,"")</f>
        <v>有効</v>
      </c>
      <c r="R384" s="32" t="str">
        <f>IF(AND(AND(T383="",A384&lt;=S383),OR(AND(入力!$B$13="有効",A384&gt;1,MOD(A384-1,60)=0),AND(A384=入力!$B$11,A384&gt;1)),入力!$B$14="有効"),ROUND(G383*1.25,0),"")</f>
        <v/>
      </c>
      <c r="S384" s="36">
        <f t="shared" si="100"/>
        <v>420</v>
      </c>
      <c r="T384" s="35" t="str">
        <f t="shared" si="101"/>
        <v/>
      </c>
      <c r="U384" s="3">
        <f t="shared" si="85"/>
        <v>0</v>
      </c>
      <c r="V384" s="3">
        <f t="shared" si="86"/>
        <v>0</v>
      </c>
      <c r="W384" s="3">
        <f t="shared" si="87"/>
        <v>0</v>
      </c>
      <c r="X384" s="3">
        <f t="shared" si="88"/>
        <v>0</v>
      </c>
      <c r="Y384" s="3">
        <f>0</f>
        <v>0</v>
      </c>
      <c r="Z384" s="3">
        <f t="shared" si="89"/>
        <v>0</v>
      </c>
      <c r="AA384">
        <f>ROUND(IF(FALSE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,0)</f>
        <v>121427</v>
      </c>
    </row>
    <row r="385" spans="1:27">
      <c r="A385" s="30">
        <f>380</f>
        <v>380</v>
      </c>
      <c r="B385" s="31">
        <f>EDATE(入力!$B$6,A385-1)</f>
        <v>57770</v>
      </c>
      <c r="C385" s="32">
        <f t="shared" si="90"/>
        <v>4767054</v>
      </c>
      <c r="D385" s="32">
        <f t="shared" si="91"/>
        <v>0</v>
      </c>
      <c r="E385" s="33">
        <f>IF(AND(T384="",A385&lt;=S384),IF(A385&lt;入力!$B$11,入力!$B$10,入力!$B$12),0)</f>
        <v>2.5000000000000001E-2</v>
      </c>
      <c r="F385" s="32">
        <f t="shared" si="92"/>
        <v>9931</v>
      </c>
      <c r="G385" s="32">
        <f>ROUND(IF(NOT(AND(T384="",A385&lt;=S384)),0,IF(FALSE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),0)</f>
        <v>121427</v>
      </c>
      <c r="H385" s="32">
        <f t="shared" si="93"/>
        <v>121427</v>
      </c>
      <c r="I385" s="32">
        <f t="shared" si="94"/>
        <v>9931</v>
      </c>
      <c r="J385" s="32">
        <f t="shared" si="95"/>
        <v>0</v>
      </c>
      <c r="K385" s="32">
        <f t="shared" si="96"/>
        <v>0</v>
      </c>
      <c r="L385" s="32">
        <f t="shared" si="97"/>
        <v>111496</v>
      </c>
      <c r="M385" s="32">
        <f>0</f>
        <v>0</v>
      </c>
      <c r="N385" s="32">
        <f t="shared" si="98"/>
        <v>4655558</v>
      </c>
      <c r="O385" s="32">
        <f t="shared" si="99"/>
        <v>13914418</v>
      </c>
      <c r="P385" s="34" t="str">
        <f>IF(NOT(AND(T384="",A385&lt;=S384)),"",IF(FALSE,"繰上返済後再計算","")&amp;IF(AND(入力!$B$13="有効",A385&gt;1,MOD(A385-1,60)=0),IF(FALSE,"・","")&amp;"5年見直し","")&amp;IF(AND(A385=入力!$B$11,A385&gt;1),IF(OR(FALSE,AND(入力!$B$13="有効",A385&gt;1,MOD(A385-1,60)=0)),"・","")&amp;"金利変更","")&amp;IF(AND(OR(AND(入力!$B$13="有効",A385&gt;1,MOD(A385-1,60)=0),AND(A385=入力!$B$11,A385&gt;1)),入力!$B$14="有効",IF(E385=0,ROUND(C385/MAX(1,S384-A385+1),0),ROUND(-PMT(E385/12,MAX(1,S384-A385+1),C385),0))&gt;ROUND(G384*1.25,0),NOT(FALSE)),"・上限適用",""))</f>
        <v/>
      </c>
      <c r="Q385" s="35" t="str">
        <f>IF(AND(T384="",A385&lt;=S384),入力!$B$13,"")</f>
        <v>有効</v>
      </c>
      <c r="R385" s="32" t="str">
        <f>IF(AND(AND(T384="",A385&lt;=S384),OR(AND(入力!$B$13="有効",A385&gt;1,MOD(A385-1,60)=0),AND(A385=入力!$B$11,A385&gt;1)),入力!$B$14="有効"),ROUND(G384*1.25,0),"")</f>
        <v/>
      </c>
      <c r="S385" s="36">
        <f t="shared" si="100"/>
        <v>420</v>
      </c>
      <c r="T385" s="35" t="str">
        <f t="shared" si="101"/>
        <v/>
      </c>
      <c r="U385" s="3">
        <f t="shared" si="85"/>
        <v>0</v>
      </c>
      <c r="V385" s="3">
        <f t="shared" si="86"/>
        <v>0</v>
      </c>
      <c r="W385" s="3">
        <f t="shared" si="87"/>
        <v>0</v>
      </c>
      <c r="X385" s="3">
        <f t="shared" si="88"/>
        <v>0</v>
      </c>
      <c r="Y385" s="3">
        <f>0</f>
        <v>0</v>
      </c>
      <c r="Z385" s="3">
        <f t="shared" si="89"/>
        <v>0</v>
      </c>
      <c r="AA385">
        <f>ROUND(IF(FALSE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,0)</f>
        <v>121427</v>
      </c>
    </row>
    <row r="386" spans="1:27">
      <c r="A386" s="30">
        <f>381</f>
        <v>381</v>
      </c>
      <c r="B386" s="31">
        <f>EDATE(入力!$B$6,A386-1)</f>
        <v>57801</v>
      </c>
      <c r="C386" s="32">
        <f t="shared" si="90"/>
        <v>4655558</v>
      </c>
      <c r="D386" s="32">
        <f t="shared" si="91"/>
        <v>0</v>
      </c>
      <c r="E386" s="33">
        <f>IF(AND(T385="",A386&lt;=S385),IF(A386&lt;入力!$B$11,入力!$B$10,入力!$B$12),0)</f>
        <v>2.5000000000000001E-2</v>
      </c>
      <c r="F386" s="32">
        <f t="shared" si="92"/>
        <v>9699</v>
      </c>
      <c r="G386" s="32">
        <f>ROUND(IF(NOT(AND(T385="",A386&lt;=S385)),0,IF(FALSE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),0)</f>
        <v>121427</v>
      </c>
      <c r="H386" s="32">
        <f t="shared" si="93"/>
        <v>121427</v>
      </c>
      <c r="I386" s="32">
        <f t="shared" si="94"/>
        <v>9699</v>
      </c>
      <c r="J386" s="32">
        <f t="shared" si="95"/>
        <v>0</v>
      </c>
      <c r="K386" s="32">
        <f t="shared" si="96"/>
        <v>0</v>
      </c>
      <c r="L386" s="32">
        <f t="shared" si="97"/>
        <v>111728</v>
      </c>
      <c r="M386" s="32">
        <f>0</f>
        <v>0</v>
      </c>
      <c r="N386" s="32">
        <f t="shared" si="98"/>
        <v>4543830</v>
      </c>
      <c r="O386" s="32">
        <f t="shared" si="99"/>
        <v>13924117</v>
      </c>
      <c r="P386" s="34" t="str">
        <f>IF(NOT(AND(T385="",A386&lt;=S385)),"",IF(FALSE,"繰上返済後再計算","")&amp;IF(AND(入力!$B$13="有効",A386&gt;1,MOD(A386-1,60)=0),IF(FALSE,"・","")&amp;"5年見直し","")&amp;IF(AND(A386=入力!$B$11,A386&gt;1),IF(OR(FALSE,AND(入力!$B$13="有効",A386&gt;1,MOD(A386-1,60)=0)),"・","")&amp;"金利変更","")&amp;IF(AND(OR(AND(入力!$B$13="有効",A386&gt;1,MOD(A386-1,60)=0),AND(A386=入力!$B$11,A386&gt;1)),入力!$B$14="有効",IF(E386=0,ROUND(C386/MAX(1,S385-A386+1),0),ROUND(-PMT(E386/12,MAX(1,S385-A386+1),C386),0))&gt;ROUND(G385*1.25,0),NOT(FALSE)),"・上限適用",""))</f>
        <v/>
      </c>
      <c r="Q386" s="35" t="str">
        <f>IF(AND(T385="",A386&lt;=S385),入力!$B$13,"")</f>
        <v>有効</v>
      </c>
      <c r="R386" s="32" t="str">
        <f>IF(AND(AND(T385="",A386&lt;=S385),OR(AND(入力!$B$13="有効",A386&gt;1,MOD(A386-1,60)=0),AND(A386=入力!$B$11,A386&gt;1)),入力!$B$14="有効"),ROUND(G385*1.25,0),"")</f>
        <v/>
      </c>
      <c r="S386" s="36">
        <f t="shared" si="100"/>
        <v>420</v>
      </c>
      <c r="T386" s="35" t="str">
        <f t="shared" si="101"/>
        <v/>
      </c>
      <c r="U386" s="3">
        <f t="shared" si="85"/>
        <v>0</v>
      </c>
      <c r="V386" s="3">
        <f t="shared" si="86"/>
        <v>0</v>
      </c>
      <c r="W386" s="3">
        <f t="shared" si="87"/>
        <v>0</v>
      </c>
      <c r="X386" s="3">
        <f t="shared" si="88"/>
        <v>0</v>
      </c>
      <c r="Y386" s="3">
        <f>0</f>
        <v>0</v>
      </c>
      <c r="Z386" s="3">
        <f t="shared" si="89"/>
        <v>0</v>
      </c>
      <c r="AA386">
        <f>ROUND(IF(FALSE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,0)</f>
        <v>121427</v>
      </c>
    </row>
    <row r="387" spans="1:27">
      <c r="A387" s="30">
        <f>382</f>
        <v>382</v>
      </c>
      <c r="B387" s="31">
        <f>EDATE(入力!$B$6,A387-1)</f>
        <v>57831</v>
      </c>
      <c r="C387" s="32">
        <f t="shared" si="90"/>
        <v>4543830</v>
      </c>
      <c r="D387" s="32">
        <f t="shared" si="91"/>
        <v>0</v>
      </c>
      <c r="E387" s="33">
        <f>IF(AND(T386="",A387&lt;=S386),IF(A387&lt;入力!$B$11,入力!$B$10,入力!$B$12),0)</f>
        <v>2.5000000000000001E-2</v>
      </c>
      <c r="F387" s="32">
        <f t="shared" si="92"/>
        <v>9466</v>
      </c>
      <c r="G387" s="32">
        <f>ROUND(IF(NOT(AND(T386="",A387&lt;=S386)),0,IF(FALSE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),0)</f>
        <v>121427</v>
      </c>
      <c r="H387" s="32">
        <f t="shared" si="93"/>
        <v>121427</v>
      </c>
      <c r="I387" s="32">
        <f t="shared" si="94"/>
        <v>9466</v>
      </c>
      <c r="J387" s="32">
        <f t="shared" si="95"/>
        <v>0</v>
      </c>
      <c r="K387" s="32">
        <f t="shared" si="96"/>
        <v>0</v>
      </c>
      <c r="L387" s="32">
        <f t="shared" si="97"/>
        <v>111961</v>
      </c>
      <c r="M387" s="32">
        <f>0</f>
        <v>0</v>
      </c>
      <c r="N387" s="32">
        <f t="shared" si="98"/>
        <v>4431869</v>
      </c>
      <c r="O387" s="32">
        <f t="shared" si="99"/>
        <v>13933583</v>
      </c>
      <c r="P387" s="34" t="str">
        <f>IF(NOT(AND(T386="",A387&lt;=S386)),"",IF(FALSE,"繰上返済後再計算","")&amp;IF(AND(入力!$B$13="有効",A387&gt;1,MOD(A387-1,60)=0),IF(FALSE,"・","")&amp;"5年見直し","")&amp;IF(AND(A387=入力!$B$11,A387&gt;1),IF(OR(FALSE,AND(入力!$B$13="有効",A387&gt;1,MOD(A387-1,60)=0)),"・","")&amp;"金利変更","")&amp;IF(AND(OR(AND(入力!$B$13="有効",A387&gt;1,MOD(A387-1,60)=0),AND(A387=入力!$B$11,A387&gt;1)),入力!$B$14="有効",IF(E387=0,ROUND(C387/MAX(1,S386-A387+1),0),ROUND(-PMT(E387/12,MAX(1,S386-A387+1),C387),0))&gt;ROUND(G386*1.25,0),NOT(FALSE)),"・上限適用",""))</f>
        <v/>
      </c>
      <c r="Q387" s="35" t="str">
        <f>IF(AND(T386="",A387&lt;=S386),入力!$B$13,"")</f>
        <v>有効</v>
      </c>
      <c r="R387" s="32" t="str">
        <f>IF(AND(AND(T386="",A387&lt;=S386),OR(AND(入力!$B$13="有効",A387&gt;1,MOD(A387-1,60)=0),AND(A387=入力!$B$11,A387&gt;1)),入力!$B$14="有効"),ROUND(G386*1.25,0),"")</f>
        <v/>
      </c>
      <c r="S387" s="36">
        <f t="shared" si="100"/>
        <v>420</v>
      </c>
      <c r="T387" s="35" t="str">
        <f t="shared" si="101"/>
        <v/>
      </c>
      <c r="U387" s="3">
        <f t="shared" si="85"/>
        <v>0</v>
      </c>
      <c r="V387" s="3">
        <f t="shared" si="86"/>
        <v>0</v>
      </c>
      <c r="W387" s="3">
        <f t="shared" si="87"/>
        <v>0</v>
      </c>
      <c r="X387" s="3">
        <f t="shared" si="88"/>
        <v>0</v>
      </c>
      <c r="Y387" s="3">
        <f>0</f>
        <v>0</v>
      </c>
      <c r="Z387" s="3">
        <f t="shared" si="89"/>
        <v>0</v>
      </c>
      <c r="AA387">
        <f>ROUND(IF(FALSE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,0)</f>
        <v>121427</v>
      </c>
    </row>
    <row r="388" spans="1:27">
      <c r="A388" s="30">
        <f>383</f>
        <v>383</v>
      </c>
      <c r="B388" s="31">
        <f>EDATE(入力!$B$6,A388-1)</f>
        <v>57862</v>
      </c>
      <c r="C388" s="32">
        <f t="shared" si="90"/>
        <v>4431869</v>
      </c>
      <c r="D388" s="32">
        <f t="shared" si="91"/>
        <v>0</v>
      </c>
      <c r="E388" s="33">
        <f>IF(AND(T387="",A388&lt;=S387),IF(A388&lt;入力!$B$11,入力!$B$10,入力!$B$12),0)</f>
        <v>2.5000000000000001E-2</v>
      </c>
      <c r="F388" s="32">
        <f t="shared" si="92"/>
        <v>9233</v>
      </c>
      <c r="G388" s="32">
        <f>ROUND(IF(NOT(AND(T387="",A388&lt;=S387)),0,IF(FALSE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),0)</f>
        <v>121427</v>
      </c>
      <c r="H388" s="32">
        <f t="shared" si="93"/>
        <v>121427</v>
      </c>
      <c r="I388" s="32">
        <f t="shared" si="94"/>
        <v>9233</v>
      </c>
      <c r="J388" s="32">
        <f t="shared" si="95"/>
        <v>0</v>
      </c>
      <c r="K388" s="32">
        <f t="shared" si="96"/>
        <v>0</v>
      </c>
      <c r="L388" s="32">
        <f t="shared" si="97"/>
        <v>112194</v>
      </c>
      <c r="M388" s="32">
        <f>0</f>
        <v>0</v>
      </c>
      <c r="N388" s="32">
        <f t="shared" si="98"/>
        <v>4319675</v>
      </c>
      <c r="O388" s="32">
        <f t="shared" si="99"/>
        <v>13942816</v>
      </c>
      <c r="P388" s="34" t="str">
        <f>IF(NOT(AND(T387="",A388&lt;=S387)),"",IF(FALSE,"繰上返済後再計算","")&amp;IF(AND(入力!$B$13="有効",A388&gt;1,MOD(A388-1,60)=0),IF(FALSE,"・","")&amp;"5年見直し","")&amp;IF(AND(A388=入力!$B$11,A388&gt;1),IF(OR(FALSE,AND(入力!$B$13="有効",A388&gt;1,MOD(A388-1,60)=0)),"・","")&amp;"金利変更","")&amp;IF(AND(OR(AND(入力!$B$13="有効",A388&gt;1,MOD(A388-1,60)=0),AND(A388=入力!$B$11,A388&gt;1)),入力!$B$14="有効",IF(E388=0,ROUND(C388/MAX(1,S387-A388+1),0),ROUND(-PMT(E388/12,MAX(1,S387-A388+1),C388),0))&gt;ROUND(G387*1.25,0),NOT(FALSE)),"・上限適用",""))</f>
        <v/>
      </c>
      <c r="Q388" s="35" t="str">
        <f>IF(AND(T387="",A388&lt;=S387),入力!$B$13,"")</f>
        <v>有効</v>
      </c>
      <c r="R388" s="32" t="str">
        <f>IF(AND(AND(T387="",A388&lt;=S387),OR(AND(入力!$B$13="有効",A388&gt;1,MOD(A388-1,60)=0),AND(A388=入力!$B$11,A388&gt;1)),入力!$B$14="有効"),ROUND(G387*1.25,0),"")</f>
        <v/>
      </c>
      <c r="S388" s="36">
        <f t="shared" si="100"/>
        <v>420</v>
      </c>
      <c r="T388" s="35" t="str">
        <f t="shared" si="101"/>
        <v/>
      </c>
      <c r="U388" s="3">
        <f t="shared" si="85"/>
        <v>0</v>
      </c>
      <c r="V388" s="3">
        <f t="shared" si="86"/>
        <v>0</v>
      </c>
      <c r="W388" s="3">
        <f t="shared" si="87"/>
        <v>0</v>
      </c>
      <c r="X388" s="3">
        <f t="shared" si="88"/>
        <v>0</v>
      </c>
      <c r="Y388" s="3">
        <f>0</f>
        <v>0</v>
      </c>
      <c r="Z388" s="3">
        <f t="shared" si="89"/>
        <v>0</v>
      </c>
      <c r="AA388">
        <f>ROUND(IF(FALSE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,0)</f>
        <v>121427</v>
      </c>
    </row>
    <row r="389" spans="1:27">
      <c r="A389" s="30">
        <f>384</f>
        <v>384</v>
      </c>
      <c r="B389" s="31">
        <f>EDATE(入力!$B$6,A389-1)</f>
        <v>57892</v>
      </c>
      <c r="C389" s="32">
        <f t="shared" si="90"/>
        <v>4319675</v>
      </c>
      <c r="D389" s="32">
        <f t="shared" si="91"/>
        <v>0</v>
      </c>
      <c r="E389" s="33">
        <f>IF(AND(T388="",A389&lt;=S388),IF(A389&lt;入力!$B$11,入力!$B$10,入力!$B$12),0)</f>
        <v>2.5000000000000001E-2</v>
      </c>
      <c r="F389" s="32">
        <f t="shared" si="92"/>
        <v>8999</v>
      </c>
      <c r="G389" s="32">
        <f>ROUND(IF(NOT(AND(T388="",A389&lt;=S388)),0,IF(FALSE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),0)</f>
        <v>121427</v>
      </c>
      <c r="H389" s="32">
        <f t="shared" si="93"/>
        <v>121427</v>
      </c>
      <c r="I389" s="32">
        <f t="shared" si="94"/>
        <v>8999</v>
      </c>
      <c r="J389" s="32">
        <f t="shared" si="95"/>
        <v>0</v>
      </c>
      <c r="K389" s="32">
        <f t="shared" si="96"/>
        <v>0</v>
      </c>
      <c r="L389" s="32">
        <f t="shared" si="97"/>
        <v>112428</v>
      </c>
      <c r="M389" s="32">
        <f>0</f>
        <v>0</v>
      </c>
      <c r="N389" s="32">
        <f t="shared" si="98"/>
        <v>4207247</v>
      </c>
      <c r="O389" s="32">
        <f t="shared" si="99"/>
        <v>13951815</v>
      </c>
      <c r="P389" s="34" t="str">
        <f>IF(NOT(AND(T388="",A389&lt;=S388)),"",IF(FALSE,"繰上返済後再計算","")&amp;IF(AND(入力!$B$13="有効",A389&gt;1,MOD(A389-1,60)=0),IF(FALSE,"・","")&amp;"5年見直し","")&amp;IF(AND(A389=入力!$B$11,A389&gt;1),IF(OR(FALSE,AND(入力!$B$13="有効",A389&gt;1,MOD(A389-1,60)=0)),"・","")&amp;"金利変更","")&amp;IF(AND(OR(AND(入力!$B$13="有効",A389&gt;1,MOD(A389-1,60)=0),AND(A389=入力!$B$11,A389&gt;1)),入力!$B$14="有効",IF(E389=0,ROUND(C389/MAX(1,S388-A389+1),0),ROUND(-PMT(E389/12,MAX(1,S388-A389+1),C389),0))&gt;ROUND(G388*1.25,0),NOT(FALSE)),"・上限適用",""))</f>
        <v/>
      </c>
      <c r="Q389" s="35" t="str">
        <f>IF(AND(T388="",A389&lt;=S388),入力!$B$13,"")</f>
        <v>有効</v>
      </c>
      <c r="R389" s="32" t="str">
        <f>IF(AND(AND(T388="",A389&lt;=S388),OR(AND(入力!$B$13="有効",A389&gt;1,MOD(A389-1,60)=0),AND(A389=入力!$B$11,A389&gt;1)),入力!$B$14="有効"),ROUND(G388*1.25,0),"")</f>
        <v/>
      </c>
      <c r="S389" s="36">
        <f t="shared" si="100"/>
        <v>420</v>
      </c>
      <c r="T389" s="35" t="str">
        <f t="shared" si="101"/>
        <v/>
      </c>
      <c r="U389" s="3">
        <f t="shared" si="85"/>
        <v>0</v>
      </c>
      <c r="V389" s="3">
        <f t="shared" si="86"/>
        <v>0</v>
      </c>
      <c r="W389" s="3">
        <f t="shared" si="87"/>
        <v>0</v>
      </c>
      <c r="X389" s="3">
        <f t="shared" si="88"/>
        <v>0</v>
      </c>
      <c r="Y389" s="3">
        <f>0</f>
        <v>0</v>
      </c>
      <c r="Z389" s="3">
        <f t="shared" si="89"/>
        <v>0</v>
      </c>
      <c r="AA389">
        <f>ROUND(IF(FALSE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,0)</f>
        <v>121427</v>
      </c>
    </row>
    <row r="390" spans="1:27">
      <c r="A390" s="30">
        <f>385</f>
        <v>385</v>
      </c>
      <c r="B390" s="31">
        <f>EDATE(入力!$B$6,A390-1)</f>
        <v>57923</v>
      </c>
      <c r="C390" s="32">
        <f t="shared" si="90"/>
        <v>4207247</v>
      </c>
      <c r="D390" s="32">
        <f t="shared" si="91"/>
        <v>0</v>
      </c>
      <c r="E390" s="33">
        <f>IF(AND(T389="",A390&lt;=S389),IF(A390&lt;入力!$B$11,入力!$B$10,入力!$B$12),0)</f>
        <v>2.5000000000000001E-2</v>
      </c>
      <c r="F390" s="32">
        <f t="shared" si="92"/>
        <v>8765</v>
      </c>
      <c r="G390" s="32">
        <f>ROUND(IF(NOT(AND(T389="",A390&lt;=S389)),0,IF(FALSE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),0)</f>
        <v>121427</v>
      </c>
      <c r="H390" s="32">
        <f t="shared" si="93"/>
        <v>121427</v>
      </c>
      <c r="I390" s="32">
        <f t="shared" si="94"/>
        <v>8765</v>
      </c>
      <c r="J390" s="32">
        <f t="shared" si="95"/>
        <v>0</v>
      </c>
      <c r="K390" s="32">
        <f t="shared" si="96"/>
        <v>0</v>
      </c>
      <c r="L390" s="32">
        <f t="shared" si="97"/>
        <v>112662</v>
      </c>
      <c r="M390" s="32">
        <f>0</f>
        <v>0</v>
      </c>
      <c r="N390" s="32">
        <f t="shared" si="98"/>
        <v>4094585</v>
      </c>
      <c r="O390" s="32">
        <f t="shared" si="99"/>
        <v>13960580</v>
      </c>
      <c r="P390" s="34" t="str">
        <f>IF(NOT(AND(T389="",A390&lt;=S389)),"",IF(FALSE,"繰上返済後再計算","")&amp;IF(AND(入力!$B$13="有効",A390&gt;1,MOD(A390-1,60)=0),IF(FALSE,"・","")&amp;"5年見直し","")&amp;IF(AND(A390=入力!$B$11,A390&gt;1),IF(OR(FALSE,AND(入力!$B$13="有効",A390&gt;1,MOD(A390-1,60)=0)),"・","")&amp;"金利変更","")&amp;IF(AND(OR(AND(入力!$B$13="有効",A390&gt;1,MOD(A390-1,60)=0),AND(A390=入力!$B$11,A390&gt;1)),入力!$B$14="有効",IF(E390=0,ROUND(C390/MAX(1,S389-A390+1),0),ROUND(-PMT(E390/12,MAX(1,S389-A390+1),C390),0))&gt;ROUND(G389*1.25,0),NOT(FALSE)),"・上限適用",""))</f>
        <v/>
      </c>
      <c r="Q390" s="35" t="str">
        <f>IF(AND(T389="",A390&lt;=S389),入力!$B$13,"")</f>
        <v>有効</v>
      </c>
      <c r="R390" s="32" t="str">
        <f>IF(AND(AND(T389="",A390&lt;=S389),OR(AND(入力!$B$13="有効",A390&gt;1,MOD(A390-1,60)=0),AND(A390=入力!$B$11,A390&gt;1)),入力!$B$14="有効"),ROUND(G389*1.25,0),"")</f>
        <v/>
      </c>
      <c r="S390" s="36">
        <f t="shared" si="100"/>
        <v>420</v>
      </c>
      <c r="T390" s="35" t="str">
        <f t="shared" si="101"/>
        <v/>
      </c>
      <c r="U390" s="3">
        <f t="shared" ref="U390:U453" si="102">ABS(I390-MIN(H390,D390+F390))</f>
        <v>0</v>
      </c>
      <c r="V390" s="3">
        <f t="shared" ref="V390:V453" si="103">ABS(L390-(H390-I390))</f>
        <v>0</v>
      </c>
      <c r="W390" s="3">
        <f t="shared" ref="W390:W453" si="104">ABS(K390-(D390+J390))</f>
        <v>0</v>
      </c>
      <c r="X390" s="3">
        <f t="shared" ref="X390:X453" si="105">ABS(F390-ROUND(F390,0))+ABS(G390-ROUND(G390,0))+ABS(H390-ROUND(H390,0))+ABS(I390-ROUND(I390,0))+ABS(J390-ROUND(J390,0))+ABS(K390-ROUND(K390,0))+ABS(L390-ROUND(L390,0))+ABS(M390-ROUND(M390,0))+ABS(N390-ROUND(N390,0))+ABS(O390-ROUND(O390,0))</f>
        <v>0</v>
      </c>
      <c r="Y390" s="3">
        <f>0</f>
        <v>0</v>
      </c>
      <c r="Z390" s="3">
        <f t="shared" ref="Z390:Z453" si="106">SUM(--ISERROR(A390),--ISERROR(B390),--ISERROR(C390),--ISERROR(D390),--ISERROR(E390),--ISERROR(F390),--ISERROR(G390),--ISERROR(H390),--ISERROR(I390),--ISERROR(J390),--ISERROR(K390),--ISERROR(L390),--ISERROR(M390),--ISERROR(N390),--ISERROR(O390),--ISERROR(P390),--ISERROR(Q390),--ISERROR(R390),--ISERROR(S390),--ISERROR(T390))</f>
        <v>0</v>
      </c>
      <c r="AA390">
        <f>ROUND(IF(FALSE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,0)</f>
        <v>121427</v>
      </c>
    </row>
    <row r="391" spans="1:27">
      <c r="A391" s="30">
        <f>386</f>
        <v>386</v>
      </c>
      <c r="B391" s="31">
        <f>EDATE(入力!$B$6,A391-1)</f>
        <v>57954</v>
      </c>
      <c r="C391" s="32">
        <f t="shared" ref="C391:C454" si="107">IF(AND(T390="",A391&lt;=S390),N390,0)</f>
        <v>4094585</v>
      </c>
      <c r="D391" s="32">
        <f t="shared" ref="D391:D454" si="108">IF(AND(T390="",A391&lt;=S390),K390,0)</f>
        <v>0</v>
      </c>
      <c r="E391" s="33">
        <f>IF(AND(T390="",A391&lt;=S390),IF(A391&lt;入力!$B$11,入力!$B$10,入力!$B$12),0)</f>
        <v>2.5000000000000001E-2</v>
      </c>
      <c r="F391" s="32">
        <f t="shared" ref="F391:F454" si="109">IF(AND(T390="",A391&lt;=S390),ROUND(C391*E391/12,0),0)</f>
        <v>8530</v>
      </c>
      <c r="G391" s="32">
        <f>ROUND(IF(NOT(AND(T390="",A391&lt;=S390)),0,IF(FALSE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),0)</f>
        <v>121427</v>
      </c>
      <c r="H391" s="32">
        <f t="shared" ref="H391:H454" si="110">IF(AND(T390="",A391&lt;=S390),ROUND(MIN(G391,C391+D391+F391),0),0)</f>
        <v>121427</v>
      </c>
      <c r="I391" s="32">
        <f t="shared" ref="I391:I454" si="111">IF(AND(T390="",A391&lt;=S390),ROUND(MIN(H391,D391+F391),0),0)</f>
        <v>8530</v>
      </c>
      <c r="J391" s="32">
        <f t="shared" ref="J391:J454" si="112">IF(AND(T390="",A391&lt;=S390),ROUND(F391-I391,0),0)</f>
        <v>0</v>
      </c>
      <c r="K391" s="32">
        <f t="shared" ref="K391:K454" si="113">IF(AND(T390="",A391&lt;=S390),ROUND(D391+J391,0),0)</f>
        <v>0</v>
      </c>
      <c r="L391" s="32">
        <f t="shared" ref="L391:L454" si="114">IF(AND(T390="",A391&lt;=S390),ROUND(H391-I391,0),0)</f>
        <v>112897</v>
      </c>
      <c r="M391" s="32">
        <f>0</f>
        <v>0</v>
      </c>
      <c r="N391" s="32">
        <f t="shared" ref="N391:N454" si="115">IF(AND(T390="",A391&lt;=S390),ROUND(MAX(0,C391-L391-M391),0),0)</f>
        <v>3981688</v>
      </c>
      <c r="O391" s="32">
        <f t="shared" ref="O391:O454" si="116">IF(AND(T390="",A391&lt;=S390),ROUND(O390+F391,0),O390)</f>
        <v>13969110</v>
      </c>
      <c r="P391" s="34" t="str">
        <f>IF(NOT(AND(T390="",A391&lt;=S390)),"",IF(FALSE,"繰上返済後再計算","")&amp;IF(AND(入力!$B$13="有効",A391&gt;1,MOD(A391-1,60)=0),IF(FALSE,"・","")&amp;"5年見直し","")&amp;IF(AND(A391=入力!$B$11,A391&gt;1),IF(OR(FALSE,AND(入力!$B$13="有効",A391&gt;1,MOD(A391-1,60)=0)),"・","")&amp;"金利変更","")&amp;IF(AND(OR(AND(入力!$B$13="有効",A391&gt;1,MOD(A391-1,60)=0),AND(A391=入力!$B$11,A391&gt;1)),入力!$B$14="有効",IF(E391=0,ROUND(C391/MAX(1,S390-A391+1),0),ROUND(-PMT(E391/12,MAX(1,S390-A391+1),C391),0))&gt;ROUND(G390*1.25,0),NOT(FALSE)),"・上限適用",""))</f>
        <v/>
      </c>
      <c r="Q391" s="35" t="str">
        <f>IF(AND(T390="",A391&lt;=S390),入力!$B$13,"")</f>
        <v>有効</v>
      </c>
      <c r="R391" s="32" t="str">
        <f>IF(AND(AND(T390="",A391&lt;=S390),OR(AND(入力!$B$13="有効",A391&gt;1,MOD(A391-1,60)=0),AND(A391=入力!$B$11,A391&gt;1)),入力!$B$14="有効"),ROUND(G390*1.25,0),"")</f>
        <v/>
      </c>
      <c r="S391" s="36">
        <f t="shared" ref="S391:S454" si="117">S390</f>
        <v>420</v>
      </c>
      <c r="T391" s="35" t="str">
        <f t="shared" ref="T391:T454" si="118">IF(NOT(AND(T390="",A391&lt;=S390)),"",IF(AND(N391=0,K391=0),"完済",IF(A391=S391,"最終回清算","")))</f>
        <v/>
      </c>
      <c r="U391" s="3">
        <f t="shared" si="102"/>
        <v>0</v>
      </c>
      <c r="V391" s="3">
        <f t="shared" si="103"/>
        <v>0</v>
      </c>
      <c r="W391" s="3">
        <f t="shared" si="104"/>
        <v>0</v>
      </c>
      <c r="X391" s="3">
        <f t="shared" si="105"/>
        <v>0</v>
      </c>
      <c r="Y391" s="3">
        <f>0</f>
        <v>0</v>
      </c>
      <c r="Z391" s="3">
        <f t="shared" si="106"/>
        <v>0</v>
      </c>
      <c r="AA391">
        <f>ROUND(IF(FALSE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,0)</f>
        <v>121427</v>
      </c>
    </row>
    <row r="392" spans="1:27">
      <c r="A392" s="30">
        <f>387</f>
        <v>387</v>
      </c>
      <c r="B392" s="31">
        <f>EDATE(入力!$B$6,A392-1)</f>
        <v>57984</v>
      </c>
      <c r="C392" s="32">
        <f t="shared" si="107"/>
        <v>3981688</v>
      </c>
      <c r="D392" s="32">
        <f t="shared" si="108"/>
        <v>0</v>
      </c>
      <c r="E392" s="33">
        <f>IF(AND(T391="",A392&lt;=S391),IF(A392&lt;入力!$B$11,入力!$B$10,入力!$B$12),0)</f>
        <v>2.5000000000000001E-2</v>
      </c>
      <c r="F392" s="32">
        <f t="shared" si="109"/>
        <v>8295</v>
      </c>
      <c r="G392" s="32">
        <f>ROUND(IF(NOT(AND(T391="",A392&lt;=S391)),0,IF(FALSE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),0)</f>
        <v>121427</v>
      </c>
      <c r="H392" s="32">
        <f t="shared" si="110"/>
        <v>121427</v>
      </c>
      <c r="I392" s="32">
        <f t="shared" si="111"/>
        <v>8295</v>
      </c>
      <c r="J392" s="32">
        <f t="shared" si="112"/>
        <v>0</v>
      </c>
      <c r="K392" s="32">
        <f t="shared" si="113"/>
        <v>0</v>
      </c>
      <c r="L392" s="32">
        <f t="shared" si="114"/>
        <v>113132</v>
      </c>
      <c r="M392" s="32">
        <f>0</f>
        <v>0</v>
      </c>
      <c r="N392" s="32">
        <f t="shared" si="115"/>
        <v>3868556</v>
      </c>
      <c r="O392" s="32">
        <f t="shared" si="116"/>
        <v>13977405</v>
      </c>
      <c r="P392" s="34" t="str">
        <f>IF(NOT(AND(T391="",A392&lt;=S391)),"",IF(FALSE,"繰上返済後再計算","")&amp;IF(AND(入力!$B$13="有効",A392&gt;1,MOD(A392-1,60)=0),IF(FALSE,"・","")&amp;"5年見直し","")&amp;IF(AND(A392=入力!$B$11,A392&gt;1),IF(OR(FALSE,AND(入力!$B$13="有効",A392&gt;1,MOD(A392-1,60)=0)),"・","")&amp;"金利変更","")&amp;IF(AND(OR(AND(入力!$B$13="有効",A392&gt;1,MOD(A392-1,60)=0),AND(A392=入力!$B$11,A392&gt;1)),入力!$B$14="有効",IF(E392=0,ROUND(C392/MAX(1,S391-A392+1),0),ROUND(-PMT(E392/12,MAX(1,S391-A392+1),C392),0))&gt;ROUND(G391*1.25,0),NOT(FALSE)),"・上限適用",""))</f>
        <v/>
      </c>
      <c r="Q392" s="35" t="str">
        <f>IF(AND(T391="",A392&lt;=S391),入力!$B$13,"")</f>
        <v>有効</v>
      </c>
      <c r="R392" s="32" t="str">
        <f>IF(AND(AND(T391="",A392&lt;=S391),OR(AND(入力!$B$13="有効",A392&gt;1,MOD(A392-1,60)=0),AND(A392=入力!$B$11,A392&gt;1)),入力!$B$14="有効"),ROUND(G391*1.25,0),"")</f>
        <v/>
      </c>
      <c r="S392" s="36">
        <f t="shared" si="117"/>
        <v>420</v>
      </c>
      <c r="T392" s="35" t="str">
        <f t="shared" si="118"/>
        <v/>
      </c>
      <c r="U392" s="3">
        <f t="shared" si="102"/>
        <v>0</v>
      </c>
      <c r="V392" s="3">
        <f t="shared" si="103"/>
        <v>0</v>
      </c>
      <c r="W392" s="3">
        <f t="shared" si="104"/>
        <v>0</v>
      </c>
      <c r="X392" s="3">
        <f t="shared" si="105"/>
        <v>0</v>
      </c>
      <c r="Y392" s="3">
        <f>0</f>
        <v>0</v>
      </c>
      <c r="Z392" s="3">
        <f t="shared" si="106"/>
        <v>0</v>
      </c>
      <c r="AA392">
        <f>ROUND(IF(FALSE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,0)</f>
        <v>121427</v>
      </c>
    </row>
    <row r="393" spans="1:27">
      <c r="A393" s="30">
        <f>388</f>
        <v>388</v>
      </c>
      <c r="B393" s="31">
        <f>EDATE(入力!$B$6,A393-1)</f>
        <v>58015</v>
      </c>
      <c r="C393" s="32">
        <f t="shared" si="107"/>
        <v>3868556</v>
      </c>
      <c r="D393" s="32">
        <f t="shared" si="108"/>
        <v>0</v>
      </c>
      <c r="E393" s="33">
        <f>IF(AND(T392="",A393&lt;=S392),IF(A393&lt;入力!$B$11,入力!$B$10,入力!$B$12),0)</f>
        <v>2.5000000000000001E-2</v>
      </c>
      <c r="F393" s="32">
        <f t="shared" si="109"/>
        <v>8059</v>
      </c>
      <c r="G393" s="32">
        <f>ROUND(IF(NOT(AND(T392="",A393&lt;=S392)),0,IF(FALSE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),0)</f>
        <v>121427</v>
      </c>
      <c r="H393" s="32">
        <f t="shared" si="110"/>
        <v>121427</v>
      </c>
      <c r="I393" s="32">
        <f t="shared" si="111"/>
        <v>8059</v>
      </c>
      <c r="J393" s="32">
        <f t="shared" si="112"/>
        <v>0</v>
      </c>
      <c r="K393" s="32">
        <f t="shared" si="113"/>
        <v>0</v>
      </c>
      <c r="L393" s="32">
        <f t="shared" si="114"/>
        <v>113368</v>
      </c>
      <c r="M393" s="32">
        <f>0</f>
        <v>0</v>
      </c>
      <c r="N393" s="32">
        <f t="shared" si="115"/>
        <v>3755188</v>
      </c>
      <c r="O393" s="32">
        <f t="shared" si="116"/>
        <v>13985464</v>
      </c>
      <c r="P393" s="34" t="str">
        <f>IF(NOT(AND(T392="",A393&lt;=S392)),"",IF(FALSE,"繰上返済後再計算","")&amp;IF(AND(入力!$B$13="有効",A393&gt;1,MOD(A393-1,60)=0),IF(FALSE,"・","")&amp;"5年見直し","")&amp;IF(AND(A393=入力!$B$11,A393&gt;1),IF(OR(FALSE,AND(入力!$B$13="有効",A393&gt;1,MOD(A393-1,60)=0)),"・","")&amp;"金利変更","")&amp;IF(AND(OR(AND(入力!$B$13="有効",A393&gt;1,MOD(A393-1,60)=0),AND(A393=入力!$B$11,A393&gt;1)),入力!$B$14="有効",IF(E393=0,ROUND(C393/MAX(1,S392-A393+1),0),ROUND(-PMT(E393/12,MAX(1,S392-A393+1),C393),0))&gt;ROUND(G392*1.25,0),NOT(FALSE)),"・上限適用",""))</f>
        <v/>
      </c>
      <c r="Q393" s="35" t="str">
        <f>IF(AND(T392="",A393&lt;=S392),入力!$B$13,"")</f>
        <v>有効</v>
      </c>
      <c r="R393" s="32" t="str">
        <f>IF(AND(AND(T392="",A393&lt;=S392),OR(AND(入力!$B$13="有効",A393&gt;1,MOD(A393-1,60)=0),AND(A393=入力!$B$11,A393&gt;1)),入力!$B$14="有効"),ROUND(G392*1.25,0),"")</f>
        <v/>
      </c>
      <c r="S393" s="36">
        <f t="shared" si="117"/>
        <v>420</v>
      </c>
      <c r="T393" s="35" t="str">
        <f t="shared" si="118"/>
        <v/>
      </c>
      <c r="U393" s="3">
        <f t="shared" si="102"/>
        <v>0</v>
      </c>
      <c r="V393" s="3">
        <f t="shared" si="103"/>
        <v>0</v>
      </c>
      <c r="W393" s="3">
        <f t="shared" si="104"/>
        <v>0</v>
      </c>
      <c r="X393" s="3">
        <f t="shared" si="105"/>
        <v>0</v>
      </c>
      <c r="Y393" s="3">
        <f>0</f>
        <v>0</v>
      </c>
      <c r="Z393" s="3">
        <f t="shared" si="106"/>
        <v>0</v>
      </c>
      <c r="AA393">
        <f>ROUND(IF(FALSE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,0)</f>
        <v>121427</v>
      </c>
    </row>
    <row r="394" spans="1:27">
      <c r="A394" s="30">
        <f>389</f>
        <v>389</v>
      </c>
      <c r="B394" s="31">
        <f>EDATE(入力!$B$6,A394-1)</f>
        <v>58045</v>
      </c>
      <c r="C394" s="32">
        <f t="shared" si="107"/>
        <v>3755188</v>
      </c>
      <c r="D394" s="32">
        <f t="shared" si="108"/>
        <v>0</v>
      </c>
      <c r="E394" s="33">
        <f>IF(AND(T393="",A394&lt;=S393),IF(A394&lt;入力!$B$11,入力!$B$10,入力!$B$12),0)</f>
        <v>2.5000000000000001E-2</v>
      </c>
      <c r="F394" s="32">
        <f t="shared" si="109"/>
        <v>7823</v>
      </c>
      <c r="G394" s="32">
        <f>ROUND(IF(NOT(AND(T393="",A394&lt;=S393)),0,IF(FALSE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),0)</f>
        <v>121427</v>
      </c>
      <c r="H394" s="32">
        <f t="shared" si="110"/>
        <v>121427</v>
      </c>
      <c r="I394" s="32">
        <f t="shared" si="111"/>
        <v>7823</v>
      </c>
      <c r="J394" s="32">
        <f t="shared" si="112"/>
        <v>0</v>
      </c>
      <c r="K394" s="32">
        <f t="shared" si="113"/>
        <v>0</v>
      </c>
      <c r="L394" s="32">
        <f t="shared" si="114"/>
        <v>113604</v>
      </c>
      <c r="M394" s="32">
        <f>0</f>
        <v>0</v>
      </c>
      <c r="N394" s="32">
        <f t="shared" si="115"/>
        <v>3641584</v>
      </c>
      <c r="O394" s="32">
        <f t="shared" si="116"/>
        <v>13993287</v>
      </c>
      <c r="P394" s="34" t="str">
        <f>IF(NOT(AND(T393="",A394&lt;=S393)),"",IF(FALSE,"繰上返済後再計算","")&amp;IF(AND(入力!$B$13="有効",A394&gt;1,MOD(A394-1,60)=0),IF(FALSE,"・","")&amp;"5年見直し","")&amp;IF(AND(A394=入力!$B$11,A394&gt;1),IF(OR(FALSE,AND(入力!$B$13="有効",A394&gt;1,MOD(A394-1,60)=0)),"・","")&amp;"金利変更","")&amp;IF(AND(OR(AND(入力!$B$13="有効",A394&gt;1,MOD(A394-1,60)=0),AND(A394=入力!$B$11,A394&gt;1)),入力!$B$14="有効",IF(E394=0,ROUND(C394/MAX(1,S393-A394+1),0),ROUND(-PMT(E394/12,MAX(1,S393-A394+1),C394),0))&gt;ROUND(G393*1.25,0),NOT(FALSE)),"・上限適用",""))</f>
        <v/>
      </c>
      <c r="Q394" s="35" t="str">
        <f>IF(AND(T393="",A394&lt;=S393),入力!$B$13,"")</f>
        <v>有効</v>
      </c>
      <c r="R394" s="32" t="str">
        <f>IF(AND(AND(T393="",A394&lt;=S393),OR(AND(入力!$B$13="有効",A394&gt;1,MOD(A394-1,60)=0),AND(A394=入力!$B$11,A394&gt;1)),入力!$B$14="有効"),ROUND(G393*1.25,0),"")</f>
        <v/>
      </c>
      <c r="S394" s="36">
        <f t="shared" si="117"/>
        <v>420</v>
      </c>
      <c r="T394" s="35" t="str">
        <f t="shared" si="118"/>
        <v/>
      </c>
      <c r="U394" s="3">
        <f t="shared" si="102"/>
        <v>0</v>
      </c>
      <c r="V394" s="3">
        <f t="shared" si="103"/>
        <v>0</v>
      </c>
      <c r="W394" s="3">
        <f t="shared" si="104"/>
        <v>0</v>
      </c>
      <c r="X394" s="3">
        <f t="shared" si="105"/>
        <v>0</v>
      </c>
      <c r="Y394" s="3">
        <f>0</f>
        <v>0</v>
      </c>
      <c r="Z394" s="3">
        <f t="shared" si="106"/>
        <v>0</v>
      </c>
      <c r="AA394">
        <f>ROUND(IF(FALSE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,0)</f>
        <v>121427</v>
      </c>
    </row>
    <row r="395" spans="1:27">
      <c r="A395" s="30">
        <f>390</f>
        <v>390</v>
      </c>
      <c r="B395" s="31">
        <f>EDATE(入力!$B$6,A395-1)</f>
        <v>58076</v>
      </c>
      <c r="C395" s="32">
        <f t="shared" si="107"/>
        <v>3641584</v>
      </c>
      <c r="D395" s="32">
        <f t="shared" si="108"/>
        <v>0</v>
      </c>
      <c r="E395" s="33">
        <f>IF(AND(T394="",A395&lt;=S394),IF(A395&lt;入力!$B$11,入力!$B$10,入力!$B$12),0)</f>
        <v>2.5000000000000001E-2</v>
      </c>
      <c r="F395" s="32">
        <f t="shared" si="109"/>
        <v>7587</v>
      </c>
      <c r="G395" s="32">
        <f>ROUND(IF(NOT(AND(T394="",A395&lt;=S394)),0,IF(FALSE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),0)</f>
        <v>121427</v>
      </c>
      <c r="H395" s="32">
        <f t="shared" si="110"/>
        <v>121427</v>
      </c>
      <c r="I395" s="32">
        <f t="shared" si="111"/>
        <v>7587</v>
      </c>
      <c r="J395" s="32">
        <f t="shared" si="112"/>
        <v>0</v>
      </c>
      <c r="K395" s="32">
        <f t="shared" si="113"/>
        <v>0</v>
      </c>
      <c r="L395" s="32">
        <f t="shared" si="114"/>
        <v>113840</v>
      </c>
      <c r="M395" s="32">
        <f>0</f>
        <v>0</v>
      </c>
      <c r="N395" s="32">
        <f t="shared" si="115"/>
        <v>3527744</v>
      </c>
      <c r="O395" s="32">
        <f t="shared" si="116"/>
        <v>14000874</v>
      </c>
      <c r="P395" s="34" t="str">
        <f>IF(NOT(AND(T394="",A395&lt;=S394)),"",IF(FALSE,"繰上返済後再計算","")&amp;IF(AND(入力!$B$13="有効",A395&gt;1,MOD(A395-1,60)=0),IF(FALSE,"・","")&amp;"5年見直し","")&amp;IF(AND(A395=入力!$B$11,A395&gt;1),IF(OR(FALSE,AND(入力!$B$13="有効",A395&gt;1,MOD(A395-1,60)=0)),"・","")&amp;"金利変更","")&amp;IF(AND(OR(AND(入力!$B$13="有効",A395&gt;1,MOD(A395-1,60)=0),AND(A395=入力!$B$11,A395&gt;1)),入力!$B$14="有効",IF(E395=0,ROUND(C395/MAX(1,S394-A395+1),0),ROUND(-PMT(E395/12,MAX(1,S394-A395+1),C395),0))&gt;ROUND(G394*1.25,0),NOT(FALSE)),"・上限適用",""))</f>
        <v/>
      </c>
      <c r="Q395" s="35" t="str">
        <f>IF(AND(T394="",A395&lt;=S394),入力!$B$13,"")</f>
        <v>有効</v>
      </c>
      <c r="R395" s="32" t="str">
        <f>IF(AND(AND(T394="",A395&lt;=S394),OR(AND(入力!$B$13="有効",A395&gt;1,MOD(A395-1,60)=0),AND(A395=入力!$B$11,A395&gt;1)),入力!$B$14="有効"),ROUND(G394*1.25,0),"")</f>
        <v/>
      </c>
      <c r="S395" s="36">
        <f t="shared" si="117"/>
        <v>420</v>
      </c>
      <c r="T395" s="35" t="str">
        <f t="shared" si="118"/>
        <v/>
      </c>
      <c r="U395" s="3">
        <f t="shared" si="102"/>
        <v>0</v>
      </c>
      <c r="V395" s="3">
        <f t="shared" si="103"/>
        <v>0</v>
      </c>
      <c r="W395" s="3">
        <f t="shared" si="104"/>
        <v>0</v>
      </c>
      <c r="X395" s="3">
        <f t="shared" si="105"/>
        <v>0</v>
      </c>
      <c r="Y395" s="3">
        <f>0</f>
        <v>0</v>
      </c>
      <c r="Z395" s="3">
        <f t="shared" si="106"/>
        <v>0</v>
      </c>
      <c r="AA395">
        <f>ROUND(IF(FALSE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,0)</f>
        <v>121427</v>
      </c>
    </row>
    <row r="396" spans="1:27">
      <c r="A396" s="30">
        <f>391</f>
        <v>391</v>
      </c>
      <c r="B396" s="31">
        <f>EDATE(入力!$B$6,A396-1)</f>
        <v>58107</v>
      </c>
      <c r="C396" s="32">
        <f t="shared" si="107"/>
        <v>3527744</v>
      </c>
      <c r="D396" s="32">
        <f t="shared" si="108"/>
        <v>0</v>
      </c>
      <c r="E396" s="33">
        <f>IF(AND(T395="",A396&lt;=S395),IF(A396&lt;入力!$B$11,入力!$B$10,入力!$B$12),0)</f>
        <v>2.5000000000000001E-2</v>
      </c>
      <c r="F396" s="32">
        <f t="shared" si="109"/>
        <v>7349</v>
      </c>
      <c r="G396" s="32">
        <f>ROUND(IF(NOT(AND(T395="",A396&lt;=S395)),0,IF(FALSE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),0)</f>
        <v>121427</v>
      </c>
      <c r="H396" s="32">
        <f t="shared" si="110"/>
        <v>121427</v>
      </c>
      <c r="I396" s="32">
        <f t="shared" si="111"/>
        <v>7349</v>
      </c>
      <c r="J396" s="32">
        <f t="shared" si="112"/>
        <v>0</v>
      </c>
      <c r="K396" s="32">
        <f t="shared" si="113"/>
        <v>0</v>
      </c>
      <c r="L396" s="32">
        <f t="shared" si="114"/>
        <v>114078</v>
      </c>
      <c r="M396" s="32">
        <f>0</f>
        <v>0</v>
      </c>
      <c r="N396" s="32">
        <f t="shared" si="115"/>
        <v>3413666</v>
      </c>
      <c r="O396" s="32">
        <f t="shared" si="116"/>
        <v>14008223</v>
      </c>
      <c r="P396" s="34" t="str">
        <f>IF(NOT(AND(T395="",A396&lt;=S395)),"",IF(FALSE,"繰上返済後再計算","")&amp;IF(AND(入力!$B$13="有効",A396&gt;1,MOD(A396-1,60)=0),IF(FALSE,"・","")&amp;"5年見直し","")&amp;IF(AND(A396=入力!$B$11,A396&gt;1),IF(OR(FALSE,AND(入力!$B$13="有効",A396&gt;1,MOD(A396-1,60)=0)),"・","")&amp;"金利変更","")&amp;IF(AND(OR(AND(入力!$B$13="有効",A396&gt;1,MOD(A396-1,60)=0),AND(A396=入力!$B$11,A396&gt;1)),入力!$B$14="有効",IF(E396=0,ROUND(C396/MAX(1,S395-A396+1),0),ROUND(-PMT(E396/12,MAX(1,S395-A396+1),C396),0))&gt;ROUND(G395*1.25,0),NOT(FALSE)),"・上限適用",""))</f>
        <v/>
      </c>
      <c r="Q396" s="35" t="str">
        <f>IF(AND(T395="",A396&lt;=S395),入力!$B$13,"")</f>
        <v>有効</v>
      </c>
      <c r="R396" s="32" t="str">
        <f>IF(AND(AND(T395="",A396&lt;=S395),OR(AND(入力!$B$13="有効",A396&gt;1,MOD(A396-1,60)=0),AND(A396=入力!$B$11,A396&gt;1)),入力!$B$14="有効"),ROUND(G395*1.25,0),"")</f>
        <v/>
      </c>
      <c r="S396" s="36">
        <f t="shared" si="117"/>
        <v>420</v>
      </c>
      <c r="T396" s="35" t="str">
        <f t="shared" si="118"/>
        <v/>
      </c>
      <c r="U396" s="3">
        <f t="shared" si="102"/>
        <v>0</v>
      </c>
      <c r="V396" s="3">
        <f t="shared" si="103"/>
        <v>0</v>
      </c>
      <c r="W396" s="3">
        <f t="shared" si="104"/>
        <v>0</v>
      </c>
      <c r="X396" s="3">
        <f t="shared" si="105"/>
        <v>0</v>
      </c>
      <c r="Y396" s="3">
        <f>0</f>
        <v>0</v>
      </c>
      <c r="Z396" s="3">
        <f t="shared" si="106"/>
        <v>0</v>
      </c>
      <c r="AA396">
        <f>ROUND(IF(FALSE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,0)</f>
        <v>121427</v>
      </c>
    </row>
    <row r="397" spans="1:27">
      <c r="A397" s="30">
        <f>392</f>
        <v>392</v>
      </c>
      <c r="B397" s="31">
        <f>EDATE(入力!$B$6,A397-1)</f>
        <v>58135</v>
      </c>
      <c r="C397" s="32">
        <f t="shared" si="107"/>
        <v>3413666</v>
      </c>
      <c r="D397" s="32">
        <f t="shared" si="108"/>
        <v>0</v>
      </c>
      <c r="E397" s="33">
        <f>IF(AND(T396="",A397&lt;=S396),IF(A397&lt;入力!$B$11,入力!$B$10,入力!$B$12),0)</f>
        <v>2.5000000000000001E-2</v>
      </c>
      <c r="F397" s="32">
        <f t="shared" si="109"/>
        <v>7112</v>
      </c>
      <c r="G397" s="32">
        <f>ROUND(IF(NOT(AND(T396="",A397&lt;=S396)),0,IF(FALSE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),0)</f>
        <v>121427</v>
      </c>
      <c r="H397" s="32">
        <f t="shared" si="110"/>
        <v>121427</v>
      </c>
      <c r="I397" s="32">
        <f t="shared" si="111"/>
        <v>7112</v>
      </c>
      <c r="J397" s="32">
        <f t="shared" si="112"/>
        <v>0</v>
      </c>
      <c r="K397" s="32">
        <f t="shared" si="113"/>
        <v>0</v>
      </c>
      <c r="L397" s="32">
        <f t="shared" si="114"/>
        <v>114315</v>
      </c>
      <c r="M397" s="32">
        <f>0</f>
        <v>0</v>
      </c>
      <c r="N397" s="32">
        <f t="shared" si="115"/>
        <v>3299351</v>
      </c>
      <c r="O397" s="32">
        <f t="shared" si="116"/>
        <v>14015335</v>
      </c>
      <c r="P397" s="34" t="str">
        <f>IF(NOT(AND(T396="",A397&lt;=S396)),"",IF(FALSE,"繰上返済後再計算","")&amp;IF(AND(入力!$B$13="有効",A397&gt;1,MOD(A397-1,60)=0),IF(FALSE,"・","")&amp;"5年見直し","")&amp;IF(AND(A397=入力!$B$11,A397&gt;1),IF(OR(FALSE,AND(入力!$B$13="有効",A397&gt;1,MOD(A397-1,60)=0)),"・","")&amp;"金利変更","")&amp;IF(AND(OR(AND(入力!$B$13="有効",A397&gt;1,MOD(A397-1,60)=0),AND(A397=入力!$B$11,A397&gt;1)),入力!$B$14="有効",IF(E397=0,ROUND(C397/MAX(1,S396-A397+1),0),ROUND(-PMT(E397/12,MAX(1,S396-A397+1),C397),0))&gt;ROUND(G396*1.25,0),NOT(FALSE)),"・上限適用",""))</f>
        <v/>
      </c>
      <c r="Q397" s="35" t="str">
        <f>IF(AND(T396="",A397&lt;=S396),入力!$B$13,"")</f>
        <v>有効</v>
      </c>
      <c r="R397" s="32" t="str">
        <f>IF(AND(AND(T396="",A397&lt;=S396),OR(AND(入力!$B$13="有効",A397&gt;1,MOD(A397-1,60)=0),AND(A397=入力!$B$11,A397&gt;1)),入力!$B$14="有効"),ROUND(G396*1.25,0),"")</f>
        <v/>
      </c>
      <c r="S397" s="36">
        <f t="shared" si="117"/>
        <v>420</v>
      </c>
      <c r="T397" s="35" t="str">
        <f t="shared" si="118"/>
        <v/>
      </c>
      <c r="U397" s="3">
        <f t="shared" si="102"/>
        <v>0</v>
      </c>
      <c r="V397" s="3">
        <f t="shared" si="103"/>
        <v>0</v>
      </c>
      <c r="W397" s="3">
        <f t="shared" si="104"/>
        <v>0</v>
      </c>
      <c r="X397" s="3">
        <f t="shared" si="105"/>
        <v>0</v>
      </c>
      <c r="Y397" s="3">
        <f>0</f>
        <v>0</v>
      </c>
      <c r="Z397" s="3">
        <f t="shared" si="106"/>
        <v>0</v>
      </c>
      <c r="AA397">
        <f>ROUND(IF(FALSE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,0)</f>
        <v>121427</v>
      </c>
    </row>
    <row r="398" spans="1:27">
      <c r="A398" s="30">
        <f>393</f>
        <v>393</v>
      </c>
      <c r="B398" s="31">
        <f>EDATE(入力!$B$6,A398-1)</f>
        <v>58166</v>
      </c>
      <c r="C398" s="32">
        <f t="shared" si="107"/>
        <v>3299351</v>
      </c>
      <c r="D398" s="32">
        <f t="shared" si="108"/>
        <v>0</v>
      </c>
      <c r="E398" s="33">
        <f>IF(AND(T397="",A398&lt;=S397),IF(A398&lt;入力!$B$11,入力!$B$10,入力!$B$12),0)</f>
        <v>2.5000000000000001E-2</v>
      </c>
      <c r="F398" s="32">
        <f t="shared" si="109"/>
        <v>6874</v>
      </c>
      <c r="G398" s="32">
        <f>ROUND(IF(NOT(AND(T397="",A398&lt;=S397)),0,IF(FALSE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),0)</f>
        <v>121427</v>
      </c>
      <c r="H398" s="32">
        <f t="shared" si="110"/>
        <v>121427</v>
      </c>
      <c r="I398" s="32">
        <f t="shared" si="111"/>
        <v>6874</v>
      </c>
      <c r="J398" s="32">
        <f t="shared" si="112"/>
        <v>0</v>
      </c>
      <c r="K398" s="32">
        <f t="shared" si="113"/>
        <v>0</v>
      </c>
      <c r="L398" s="32">
        <f t="shared" si="114"/>
        <v>114553</v>
      </c>
      <c r="M398" s="32">
        <f>0</f>
        <v>0</v>
      </c>
      <c r="N398" s="32">
        <f t="shared" si="115"/>
        <v>3184798</v>
      </c>
      <c r="O398" s="32">
        <f t="shared" si="116"/>
        <v>14022209</v>
      </c>
      <c r="P398" s="34" t="str">
        <f>IF(NOT(AND(T397="",A398&lt;=S397)),"",IF(FALSE,"繰上返済後再計算","")&amp;IF(AND(入力!$B$13="有効",A398&gt;1,MOD(A398-1,60)=0),IF(FALSE,"・","")&amp;"5年見直し","")&amp;IF(AND(A398=入力!$B$11,A398&gt;1),IF(OR(FALSE,AND(入力!$B$13="有効",A398&gt;1,MOD(A398-1,60)=0)),"・","")&amp;"金利変更","")&amp;IF(AND(OR(AND(入力!$B$13="有効",A398&gt;1,MOD(A398-1,60)=0),AND(A398=入力!$B$11,A398&gt;1)),入力!$B$14="有効",IF(E398=0,ROUND(C398/MAX(1,S397-A398+1),0),ROUND(-PMT(E398/12,MAX(1,S397-A398+1),C398),0))&gt;ROUND(G397*1.25,0),NOT(FALSE)),"・上限適用",""))</f>
        <v/>
      </c>
      <c r="Q398" s="35" t="str">
        <f>IF(AND(T397="",A398&lt;=S397),入力!$B$13,"")</f>
        <v>有効</v>
      </c>
      <c r="R398" s="32" t="str">
        <f>IF(AND(AND(T397="",A398&lt;=S397),OR(AND(入力!$B$13="有効",A398&gt;1,MOD(A398-1,60)=0),AND(A398=入力!$B$11,A398&gt;1)),入力!$B$14="有効"),ROUND(G397*1.25,0),"")</f>
        <v/>
      </c>
      <c r="S398" s="36">
        <f t="shared" si="117"/>
        <v>420</v>
      </c>
      <c r="T398" s="35" t="str">
        <f t="shared" si="118"/>
        <v/>
      </c>
      <c r="U398" s="3">
        <f t="shared" si="102"/>
        <v>0</v>
      </c>
      <c r="V398" s="3">
        <f t="shared" si="103"/>
        <v>0</v>
      </c>
      <c r="W398" s="3">
        <f t="shared" si="104"/>
        <v>0</v>
      </c>
      <c r="X398" s="3">
        <f t="shared" si="105"/>
        <v>0</v>
      </c>
      <c r="Y398" s="3">
        <f>0</f>
        <v>0</v>
      </c>
      <c r="Z398" s="3">
        <f t="shared" si="106"/>
        <v>0</v>
      </c>
      <c r="AA398">
        <f>ROUND(IF(FALSE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,0)</f>
        <v>121427</v>
      </c>
    </row>
    <row r="399" spans="1:27">
      <c r="A399" s="30">
        <f>394</f>
        <v>394</v>
      </c>
      <c r="B399" s="31">
        <f>EDATE(入力!$B$6,A399-1)</f>
        <v>58196</v>
      </c>
      <c r="C399" s="32">
        <f t="shared" si="107"/>
        <v>3184798</v>
      </c>
      <c r="D399" s="32">
        <f t="shared" si="108"/>
        <v>0</v>
      </c>
      <c r="E399" s="33">
        <f>IF(AND(T398="",A399&lt;=S398),IF(A399&lt;入力!$B$11,入力!$B$10,入力!$B$12),0)</f>
        <v>2.5000000000000001E-2</v>
      </c>
      <c r="F399" s="32">
        <f t="shared" si="109"/>
        <v>6635</v>
      </c>
      <c r="G399" s="32">
        <f>ROUND(IF(NOT(AND(T398="",A399&lt;=S398)),0,IF(FALSE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),0)</f>
        <v>121427</v>
      </c>
      <c r="H399" s="32">
        <f t="shared" si="110"/>
        <v>121427</v>
      </c>
      <c r="I399" s="32">
        <f t="shared" si="111"/>
        <v>6635</v>
      </c>
      <c r="J399" s="32">
        <f t="shared" si="112"/>
        <v>0</v>
      </c>
      <c r="K399" s="32">
        <f t="shared" si="113"/>
        <v>0</v>
      </c>
      <c r="L399" s="32">
        <f t="shared" si="114"/>
        <v>114792</v>
      </c>
      <c r="M399" s="32">
        <f>0</f>
        <v>0</v>
      </c>
      <c r="N399" s="32">
        <f t="shared" si="115"/>
        <v>3070006</v>
      </c>
      <c r="O399" s="32">
        <f t="shared" si="116"/>
        <v>14028844</v>
      </c>
      <c r="P399" s="34" t="str">
        <f>IF(NOT(AND(T398="",A399&lt;=S398)),"",IF(FALSE,"繰上返済後再計算","")&amp;IF(AND(入力!$B$13="有効",A399&gt;1,MOD(A399-1,60)=0),IF(FALSE,"・","")&amp;"5年見直し","")&amp;IF(AND(A399=入力!$B$11,A399&gt;1),IF(OR(FALSE,AND(入力!$B$13="有効",A399&gt;1,MOD(A399-1,60)=0)),"・","")&amp;"金利変更","")&amp;IF(AND(OR(AND(入力!$B$13="有効",A399&gt;1,MOD(A399-1,60)=0),AND(A399=入力!$B$11,A399&gt;1)),入力!$B$14="有効",IF(E399=0,ROUND(C399/MAX(1,S398-A399+1),0),ROUND(-PMT(E399/12,MAX(1,S398-A399+1),C399),0))&gt;ROUND(G398*1.25,0),NOT(FALSE)),"・上限適用",""))</f>
        <v/>
      </c>
      <c r="Q399" s="35" t="str">
        <f>IF(AND(T398="",A399&lt;=S398),入力!$B$13,"")</f>
        <v>有効</v>
      </c>
      <c r="R399" s="32" t="str">
        <f>IF(AND(AND(T398="",A399&lt;=S398),OR(AND(入力!$B$13="有効",A399&gt;1,MOD(A399-1,60)=0),AND(A399=入力!$B$11,A399&gt;1)),入力!$B$14="有効"),ROUND(G398*1.25,0),"")</f>
        <v/>
      </c>
      <c r="S399" s="36">
        <f t="shared" si="117"/>
        <v>420</v>
      </c>
      <c r="T399" s="35" t="str">
        <f t="shared" si="118"/>
        <v/>
      </c>
      <c r="U399" s="3">
        <f t="shared" si="102"/>
        <v>0</v>
      </c>
      <c r="V399" s="3">
        <f t="shared" si="103"/>
        <v>0</v>
      </c>
      <c r="W399" s="3">
        <f t="shared" si="104"/>
        <v>0</v>
      </c>
      <c r="X399" s="3">
        <f t="shared" si="105"/>
        <v>0</v>
      </c>
      <c r="Y399" s="3">
        <f>0</f>
        <v>0</v>
      </c>
      <c r="Z399" s="3">
        <f t="shared" si="106"/>
        <v>0</v>
      </c>
      <c r="AA399">
        <f>ROUND(IF(FALSE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,0)</f>
        <v>121427</v>
      </c>
    </row>
    <row r="400" spans="1:27">
      <c r="A400" s="30">
        <f>395</f>
        <v>395</v>
      </c>
      <c r="B400" s="31">
        <f>EDATE(入力!$B$6,A400-1)</f>
        <v>58227</v>
      </c>
      <c r="C400" s="32">
        <f t="shared" si="107"/>
        <v>3070006</v>
      </c>
      <c r="D400" s="32">
        <f t="shared" si="108"/>
        <v>0</v>
      </c>
      <c r="E400" s="33">
        <f>IF(AND(T399="",A400&lt;=S399),IF(A400&lt;入力!$B$11,入力!$B$10,入力!$B$12),0)</f>
        <v>2.5000000000000001E-2</v>
      </c>
      <c r="F400" s="32">
        <f t="shared" si="109"/>
        <v>6396</v>
      </c>
      <c r="G400" s="32">
        <f>ROUND(IF(NOT(AND(T399="",A400&lt;=S399)),0,IF(FALSE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),0)</f>
        <v>121427</v>
      </c>
      <c r="H400" s="32">
        <f t="shared" si="110"/>
        <v>121427</v>
      </c>
      <c r="I400" s="32">
        <f t="shared" si="111"/>
        <v>6396</v>
      </c>
      <c r="J400" s="32">
        <f t="shared" si="112"/>
        <v>0</v>
      </c>
      <c r="K400" s="32">
        <f t="shared" si="113"/>
        <v>0</v>
      </c>
      <c r="L400" s="32">
        <f t="shared" si="114"/>
        <v>115031</v>
      </c>
      <c r="M400" s="32">
        <f>0</f>
        <v>0</v>
      </c>
      <c r="N400" s="32">
        <f t="shared" si="115"/>
        <v>2954975</v>
      </c>
      <c r="O400" s="32">
        <f t="shared" si="116"/>
        <v>14035240</v>
      </c>
      <c r="P400" s="34" t="str">
        <f>IF(NOT(AND(T399="",A400&lt;=S399)),"",IF(FALSE,"繰上返済後再計算","")&amp;IF(AND(入力!$B$13="有効",A400&gt;1,MOD(A400-1,60)=0),IF(FALSE,"・","")&amp;"5年見直し","")&amp;IF(AND(A400=入力!$B$11,A400&gt;1),IF(OR(FALSE,AND(入力!$B$13="有効",A400&gt;1,MOD(A400-1,60)=0)),"・","")&amp;"金利変更","")&amp;IF(AND(OR(AND(入力!$B$13="有効",A400&gt;1,MOD(A400-1,60)=0),AND(A400=入力!$B$11,A400&gt;1)),入力!$B$14="有効",IF(E400=0,ROUND(C400/MAX(1,S399-A400+1),0),ROUND(-PMT(E400/12,MAX(1,S399-A400+1),C400),0))&gt;ROUND(G399*1.25,0),NOT(FALSE)),"・上限適用",""))</f>
        <v/>
      </c>
      <c r="Q400" s="35" t="str">
        <f>IF(AND(T399="",A400&lt;=S399),入力!$B$13,"")</f>
        <v>有効</v>
      </c>
      <c r="R400" s="32" t="str">
        <f>IF(AND(AND(T399="",A400&lt;=S399),OR(AND(入力!$B$13="有効",A400&gt;1,MOD(A400-1,60)=0),AND(A400=入力!$B$11,A400&gt;1)),入力!$B$14="有効"),ROUND(G399*1.25,0),"")</f>
        <v/>
      </c>
      <c r="S400" s="36">
        <f t="shared" si="117"/>
        <v>420</v>
      </c>
      <c r="T400" s="35" t="str">
        <f t="shared" si="118"/>
        <v/>
      </c>
      <c r="U400" s="3">
        <f t="shared" si="102"/>
        <v>0</v>
      </c>
      <c r="V400" s="3">
        <f t="shared" si="103"/>
        <v>0</v>
      </c>
      <c r="W400" s="3">
        <f t="shared" si="104"/>
        <v>0</v>
      </c>
      <c r="X400" s="3">
        <f t="shared" si="105"/>
        <v>0</v>
      </c>
      <c r="Y400" s="3">
        <f>0</f>
        <v>0</v>
      </c>
      <c r="Z400" s="3">
        <f t="shared" si="106"/>
        <v>0</v>
      </c>
      <c r="AA400">
        <f>ROUND(IF(FALSE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,0)</f>
        <v>121427</v>
      </c>
    </row>
    <row r="401" spans="1:27">
      <c r="A401" s="30">
        <f>396</f>
        <v>396</v>
      </c>
      <c r="B401" s="31">
        <f>EDATE(入力!$B$6,A401-1)</f>
        <v>58257</v>
      </c>
      <c r="C401" s="32">
        <f t="shared" si="107"/>
        <v>2954975</v>
      </c>
      <c r="D401" s="32">
        <f t="shared" si="108"/>
        <v>0</v>
      </c>
      <c r="E401" s="33">
        <f>IF(AND(T400="",A401&lt;=S400),IF(A401&lt;入力!$B$11,入力!$B$10,入力!$B$12),0)</f>
        <v>2.5000000000000001E-2</v>
      </c>
      <c r="F401" s="32">
        <f t="shared" si="109"/>
        <v>6156</v>
      </c>
      <c r="G401" s="32">
        <f>ROUND(IF(NOT(AND(T400="",A401&lt;=S400)),0,IF(FALSE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),0)</f>
        <v>121427</v>
      </c>
      <c r="H401" s="32">
        <f t="shared" si="110"/>
        <v>121427</v>
      </c>
      <c r="I401" s="32">
        <f t="shared" si="111"/>
        <v>6156</v>
      </c>
      <c r="J401" s="32">
        <f t="shared" si="112"/>
        <v>0</v>
      </c>
      <c r="K401" s="32">
        <f t="shared" si="113"/>
        <v>0</v>
      </c>
      <c r="L401" s="32">
        <f t="shared" si="114"/>
        <v>115271</v>
      </c>
      <c r="M401" s="32">
        <f>0</f>
        <v>0</v>
      </c>
      <c r="N401" s="32">
        <f t="shared" si="115"/>
        <v>2839704</v>
      </c>
      <c r="O401" s="32">
        <f t="shared" si="116"/>
        <v>14041396</v>
      </c>
      <c r="P401" s="34" t="str">
        <f>IF(NOT(AND(T400="",A401&lt;=S400)),"",IF(FALSE,"繰上返済後再計算","")&amp;IF(AND(入力!$B$13="有効",A401&gt;1,MOD(A401-1,60)=0),IF(FALSE,"・","")&amp;"5年見直し","")&amp;IF(AND(A401=入力!$B$11,A401&gt;1),IF(OR(FALSE,AND(入力!$B$13="有効",A401&gt;1,MOD(A401-1,60)=0)),"・","")&amp;"金利変更","")&amp;IF(AND(OR(AND(入力!$B$13="有効",A401&gt;1,MOD(A401-1,60)=0),AND(A401=入力!$B$11,A401&gt;1)),入力!$B$14="有効",IF(E401=0,ROUND(C401/MAX(1,S400-A401+1),0),ROUND(-PMT(E401/12,MAX(1,S400-A401+1),C401),0))&gt;ROUND(G400*1.25,0),NOT(FALSE)),"・上限適用",""))</f>
        <v/>
      </c>
      <c r="Q401" s="35" t="str">
        <f>IF(AND(T400="",A401&lt;=S400),入力!$B$13,"")</f>
        <v>有効</v>
      </c>
      <c r="R401" s="32" t="str">
        <f>IF(AND(AND(T400="",A401&lt;=S400),OR(AND(入力!$B$13="有効",A401&gt;1,MOD(A401-1,60)=0),AND(A401=入力!$B$11,A401&gt;1)),入力!$B$14="有効"),ROUND(G400*1.25,0),"")</f>
        <v/>
      </c>
      <c r="S401" s="36">
        <f t="shared" si="117"/>
        <v>420</v>
      </c>
      <c r="T401" s="35" t="str">
        <f t="shared" si="118"/>
        <v/>
      </c>
      <c r="U401" s="3">
        <f t="shared" si="102"/>
        <v>0</v>
      </c>
      <c r="V401" s="3">
        <f t="shared" si="103"/>
        <v>0</v>
      </c>
      <c r="W401" s="3">
        <f t="shared" si="104"/>
        <v>0</v>
      </c>
      <c r="X401" s="3">
        <f t="shared" si="105"/>
        <v>0</v>
      </c>
      <c r="Y401" s="3">
        <f>0</f>
        <v>0</v>
      </c>
      <c r="Z401" s="3">
        <f t="shared" si="106"/>
        <v>0</v>
      </c>
      <c r="AA401">
        <f>ROUND(IF(FALSE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,0)</f>
        <v>121427</v>
      </c>
    </row>
    <row r="402" spans="1:27">
      <c r="A402" s="30">
        <f>397</f>
        <v>397</v>
      </c>
      <c r="B402" s="31">
        <f>EDATE(入力!$B$6,A402-1)</f>
        <v>58288</v>
      </c>
      <c r="C402" s="32">
        <f t="shared" si="107"/>
        <v>2839704</v>
      </c>
      <c r="D402" s="32">
        <f t="shared" si="108"/>
        <v>0</v>
      </c>
      <c r="E402" s="33">
        <f>IF(AND(T401="",A402&lt;=S401),IF(A402&lt;入力!$B$11,入力!$B$10,入力!$B$12),0)</f>
        <v>2.5000000000000001E-2</v>
      </c>
      <c r="F402" s="32">
        <f t="shared" si="109"/>
        <v>5916</v>
      </c>
      <c r="G402" s="32">
        <f>ROUND(IF(NOT(AND(T401="",A402&lt;=S401)),0,IF(FALSE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),0)</f>
        <v>121427</v>
      </c>
      <c r="H402" s="32">
        <f t="shared" si="110"/>
        <v>121427</v>
      </c>
      <c r="I402" s="32">
        <f t="shared" si="111"/>
        <v>5916</v>
      </c>
      <c r="J402" s="32">
        <f t="shared" si="112"/>
        <v>0</v>
      </c>
      <c r="K402" s="32">
        <f t="shared" si="113"/>
        <v>0</v>
      </c>
      <c r="L402" s="32">
        <f t="shared" si="114"/>
        <v>115511</v>
      </c>
      <c r="M402" s="32">
        <f>0</f>
        <v>0</v>
      </c>
      <c r="N402" s="32">
        <f t="shared" si="115"/>
        <v>2724193</v>
      </c>
      <c r="O402" s="32">
        <f t="shared" si="116"/>
        <v>14047312</v>
      </c>
      <c r="P402" s="34" t="str">
        <f>IF(NOT(AND(T401="",A402&lt;=S401)),"",IF(FALSE,"繰上返済後再計算","")&amp;IF(AND(入力!$B$13="有効",A402&gt;1,MOD(A402-1,60)=0),IF(FALSE,"・","")&amp;"5年見直し","")&amp;IF(AND(A402=入力!$B$11,A402&gt;1),IF(OR(FALSE,AND(入力!$B$13="有効",A402&gt;1,MOD(A402-1,60)=0)),"・","")&amp;"金利変更","")&amp;IF(AND(OR(AND(入力!$B$13="有効",A402&gt;1,MOD(A402-1,60)=0),AND(A402=入力!$B$11,A402&gt;1)),入力!$B$14="有効",IF(E402=0,ROUND(C402/MAX(1,S401-A402+1),0),ROUND(-PMT(E402/12,MAX(1,S401-A402+1),C402),0))&gt;ROUND(G401*1.25,0),NOT(FALSE)),"・上限適用",""))</f>
        <v/>
      </c>
      <c r="Q402" s="35" t="str">
        <f>IF(AND(T401="",A402&lt;=S401),入力!$B$13,"")</f>
        <v>有効</v>
      </c>
      <c r="R402" s="32" t="str">
        <f>IF(AND(AND(T401="",A402&lt;=S401),OR(AND(入力!$B$13="有効",A402&gt;1,MOD(A402-1,60)=0),AND(A402=入力!$B$11,A402&gt;1)),入力!$B$14="有効"),ROUND(G401*1.25,0),"")</f>
        <v/>
      </c>
      <c r="S402" s="36">
        <f t="shared" si="117"/>
        <v>420</v>
      </c>
      <c r="T402" s="35" t="str">
        <f t="shared" si="118"/>
        <v/>
      </c>
      <c r="U402" s="3">
        <f t="shared" si="102"/>
        <v>0</v>
      </c>
      <c r="V402" s="3">
        <f t="shared" si="103"/>
        <v>0</v>
      </c>
      <c r="W402" s="3">
        <f t="shared" si="104"/>
        <v>0</v>
      </c>
      <c r="X402" s="3">
        <f t="shared" si="105"/>
        <v>0</v>
      </c>
      <c r="Y402" s="3">
        <f>0</f>
        <v>0</v>
      </c>
      <c r="Z402" s="3">
        <f t="shared" si="106"/>
        <v>0</v>
      </c>
      <c r="AA402">
        <f>ROUND(IF(FALSE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,0)</f>
        <v>121427</v>
      </c>
    </row>
    <row r="403" spans="1:27">
      <c r="A403" s="30">
        <f>398</f>
        <v>398</v>
      </c>
      <c r="B403" s="31">
        <f>EDATE(入力!$B$6,A403-1)</f>
        <v>58319</v>
      </c>
      <c r="C403" s="32">
        <f t="shared" si="107"/>
        <v>2724193</v>
      </c>
      <c r="D403" s="32">
        <f t="shared" si="108"/>
        <v>0</v>
      </c>
      <c r="E403" s="33">
        <f>IF(AND(T402="",A403&lt;=S402),IF(A403&lt;入力!$B$11,入力!$B$10,入力!$B$12),0)</f>
        <v>2.5000000000000001E-2</v>
      </c>
      <c r="F403" s="32">
        <f t="shared" si="109"/>
        <v>5675</v>
      </c>
      <c r="G403" s="32">
        <f>ROUND(IF(NOT(AND(T402="",A403&lt;=S402)),0,IF(FALSE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),0)</f>
        <v>121427</v>
      </c>
      <c r="H403" s="32">
        <f t="shared" si="110"/>
        <v>121427</v>
      </c>
      <c r="I403" s="32">
        <f t="shared" si="111"/>
        <v>5675</v>
      </c>
      <c r="J403" s="32">
        <f t="shared" si="112"/>
        <v>0</v>
      </c>
      <c r="K403" s="32">
        <f t="shared" si="113"/>
        <v>0</v>
      </c>
      <c r="L403" s="32">
        <f t="shared" si="114"/>
        <v>115752</v>
      </c>
      <c r="M403" s="32">
        <f>0</f>
        <v>0</v>
      </c>
      <c r="N403" s="32">
        <f t="shared" si="115"/>
        <v>2608441</v>
      </c>
      <c r="O403" s="32">
        <f t="shared" si="116"/>
        <v>14052987</v>
      </c>
      <c r="P403" s="34" t="str">
        <f>IF(NOT(AND(T402="",A403&lt;=S402)),"",IF(FALSE,"繰上返済後再計算","")&amp;IF(AND(入力!$B$13="有効",A403&gt;1,MOD(A403-1,60)=0),IF(FALSE,"・","")&amp;"5年見直し","")&amp;IF(AND(A403=入力!$B$11,A403&gt;1),IF(OR(FALSE,AND(入力!$B$13="有効",A403&gt;1,MOD(A403-1,60)=0)),"・","")&amp;"金利変更","")&amp;IF(AND(OR(AND(入力!$B$13="有効",A403&gt;1,MOD(A403-1,60)=0),AND(A403=入力!$B$11,A403&gt;1)),入力!$B$14="有効",IF(E403=0,ROUND(C403/MAX(1,S402-A403+1),0),ROUND(-PMT(E403/12,MAX(1,S402-A403+1),C403),0))&gt;ROUND(G402*1.25,0),NOT(FALSE)),"・上限適用",""))</f>
        <v/>
      </c>
      <c r="Q403" s="35" t="str">
        <f>IF(AND(T402="",A403&lt;=S402),入力!$B$13,"")</f>
        <v>有効</v>
      </c>
      <c r="R403" s="32" t="str">
        <f>IF(AND(AND(T402="",A403&lt;=S402),OR(AND(入力!$B$13="有効",A403&gt;1,MOD(A403-1,60)=0),AND(A403=入力!$B$11,A403&gt;1)),入力!$B$14="有効"),ROUND(G402*1.25,0),"")</f>
        <v/>
      </c>
      <c r="S403" s="36">
        <f t="shared" si="117"/>
        <v>420</v>
      </c>
      <c r="T403" s="35" t="str">
        <f t="shared" si="118"/>
        <v/>
      </c>
      <c r="U403" s="3">
        <f t="shared" si="102"/>
        <v>0</v>
      </c>
      <c r="V403" s="3">
        <f t="shared" si="103"/>
        <v>0</v>
      </c>
      <c r="W403" s="3">
        <f t="shared" si="104"/>
        <v>0</v>
      </c>
      <c r="X403" s="3">
        <f t="shared" si="105"/>
        <v>0</v>
      </c>
      <c r="Y403" s="3">
        <f>0</f>
        <v>0</v>
      </c>
      <c r="Z403" s="3">
        <f t="shared" si="106"/>
        <v>0</v>
      </c>
      <c r="AA403">
        <f>ROUND(IF(FALSE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,0)</f>
        <v>121427</v>
      </c>
    </row>
    <row r="404" spans="1:27">
      <c r="A404" s="30">
        <f>399</f>
        <v>399</v>
      </c>
      <c r="B404" s="31">
        <f>EDATE(入力!$B$6,A404-1)</f>
        <v>58349</v>
      </c>
      <c r="C404" s="32">
        <f t="shared" si="107"/>
        <v>2608441</v>
      </c>
      <c r="D404" s="32">
        <f t="shared" si="108"/>
        <v>0</v>
      </c>
      <c r="E404" s="33">
        <f>IF(AND(T403="",A404&lt;=S403),IF(A404&lt;入力!$B$11,入力!$B$10,入力!$B$12),0)</f>
        <v>2.5000000000000001E-2</v>
      </c>
      <c r="F404" s="32">
        <f t="shared" si="109"/>
        <v>5434</v>
      </c>
      <c r="G404" s="32">
        <f>ROUND(IF(NOT(AND(T403="",A404&lt;=S403)),0,IF(FALSE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),0)</f>
        <v>121427</v>
      </c>
      <c r="H404" s="32">
        <f t="shared" si="110"/>
        <v>121427</v>
      </c>
      <c r="I404" s="32">
        <f t="shared" si="111"/>
        <v>5434</v>
      </c>
      <c r="J404" s="32">
        <f t="shared" si="112"/>
        <v>0</v>
      </c>
      <c r="K404" s="32">
        <f t="shared" si="113"/>
        <v>0</v>
      </c>
      <c r="L404" s="32">
        <f t="shared" si="114"/>
        <v>115993</v>
      </c>
      <c r="M404" s="32">
        <f>0</f>
        <v>0</v>
      </c>
      <c r="N404" s="32">
        <f t="shared" si="115"/>
        <v>2492448</v>
      </c>
      <c r="O404" s="32">
        <f t="shared" si="116"/>
        <v>14058421</v>
      </c>
      <c r="P404" s="34" t="str">
        <f>IF(NOT(AND(T403="",A404&lt;=S403)),"",IF(FALSE,"繰上返済後再計算","")&amp;IF(AND(入力!$B$13="有効",A404&gt;1,MOD(A404-1,60)=0),IF(FALSE,"・","")&amp;"5年見直し","")&amp;IF(AND(A404=入力!$B$11,A404&gt;1),IF(OR(FALSE,AND(入力!$B$13="有効",A404&gt;1,MOD(A404-1,60)=0)),"・","")&amp;"金利変更","")&amp;IF(AND(OR(AND(入力!$B$13="有効",A404&gt;1,MOD(A404-1,60)=0),AND(A404=入力!$B$11,A404&gt;1)),入力!$B$14="有効",IF(E404=0,ROUND(C404/MAX(1,S403-A404+1),0),ROUND(-PMT(E404/12,MAX(1,S403-A404+1),C404),0))&gt;ROUND(G403*1.25,0),NOT(FALSE)),"・上限適用",""))</f>
        <v/>
      </c>
      <c r="Q404" s="35" t="str">
        <f>IF(AND(T403="",A404&lt;=S403),入力!$B$13,"")</f>
        <v>有効</v>
      </c>
      <c r="R404" s="32" t="str">
        <f>IF(AND(AND(T403="",A404&lt;=S403),OR(AND(入力!$B$13="有効",A404&gt;1,MOD(A404-1,60)=0),AND(A404=入力!$B$11,A404&gt;1)),入力!$B$14="有効"),ROUND(G403*1.25,0),"")</f>
        <v/>
      </c>
      <c r="S404" s="36">
        <f t="shared" si="117"/>
        <v>420</v>
      </c>
      <c r="T404" s="35" t="str">
        <f t="shared" si="118"/>
        <v/>
      </c>
      <c r="U404" s="3">
        <f t="shared" si="102"/>
        <v>0</v>
      </c>
      <c r="V404" s="3">
        <f t="shared" si="103"/>
        <v>0</v>
      </c>
      <c r="W404" s="3">
        <f t="shared" si="104"/>
        <v>0</v>
      </c>
      <c r="X404" s="3">
        <f t="shared" si="105"/>
        <v>0</v>
      </c>
      <c r="Y404" s="3">
        <f>0</f>
        <v>0</v>
      </c>
      <c r="Z404" s="3">
        <f t="shared" si="106"/>
        <v>0</v>
      </c>
      <c r="AA404">
        <f>ROUND(IF(FALSE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,0)</f>
        <v>121427</v>
      </c>
    </row>
    <row r="405" spans="1:27">
      <c r="A405" s="30">
        <f>400</f>
        <v>400</v>
      </c>
      <c r="B405" s="31">
        <f>EDATE(入力!$B$6,A405-1)</f>
        <v>58380</v>
      </c>
      <c r="C405" s="32">
        <f t="shared" si="107"/>
        <v>2492448</v>
      </c>
      <c r="D405" s="32">
        <f t="shared" si="108"/>
        <v>0</v>
      </c>
      <c r="E405" s="33">
        <f>IF(AND(T404="",A405&lt;=S404),IF(A405&lt;入力!$B$11,入力!$B$10,入力!$B$12),0)</f>
        <v>2.5000000000000001E-2</v>
      </c>
      <c r="F405" s="32">
        <f t="shared" si="109"/>
        <v>5193</v>
      </c>
      <c r="G405" s="32">
        <f>ROUND(IF(NOT(AND(T404="",A405&lt;=S404)),0,IF(FALSE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),0)</f>
        <v>121427</v>
      </c>
      <c r="H405" s="32">
        <f t="shared" si="110"/>
        <v>121427</v>
      </c>
      <c r="I405" s="32">
        <f t="shared" si="111"/>
        <v>5193</v>
      </c>
      <c r="J405" s="32">
        <f t="shared" si="112"/>
        <v>0</v>
      </c>
      <c r="K405" s="32">
        <f t="shared" si="113"/>
        <v>0</v>
      </c>
      <c r="L405" s="32">
        <f t="shared" si="114"/>
        <v>116234</v>
      </c>
      <c r="M405" s="32">
        <f>0</f>
        <v>0</v>
      </c>
      <c r="N405" s="32">
        <f t="shared" si="115"/>
        <v>2376214</v>
      </c>
      <c r="O405" s="32">
        <f t="shared" si="116"/>
        <v>14063614</v>
      </c>
      <c r="P405" s="34" t="str">
        <f>IF(NOT(AND(T404="",A405&lt;=S404)),"",IF(FALSE,"繰上返済後再計算","")&amp;IF(AND(入力!$B$13="有効",A405&gt;1,MOD(A405-1,60)=0),IF(FALSE,"・","")&amp;"5年見直し","")&amp;IF(AND(A405=入力!$B$11,A405&gt;1),IF(OR(FALSE,AND(入力!$B$13="有効",A405&gt;1,MOD(A405-1,60)=0)),"・","")&amp;"金利変更","")&amp;IF(AND(OR(AND(入力!$B$13="有効",A405&gt;1,MOD(A405-1,60)=0),AND(A405=入力!$B$11,A405&gt;1)),入力!$B$14="有効",IF(E405=0,ROUND(C405/MAX(1,S404-A405+1),0),ROUND(-PMT(E405/12,MAX(1,S404-A405+1),C405),0))&gt;ROUND(G404*1.25,0),NOT(FALSE)),"・上限適用",""))</f>
        <v/>
      </c>
      <c r="Q405" s="35" t="str">
        <f>IF(AND(T404="",A405&lt;=S404),入力!$B$13,"")</f>
        <v>有効</v>
      </c>
      <c r="R405" s="32" t="str">
        <f>IF(AND(AND(T404="",A405&lt;=S404),OR(AND(入力!$B$13="有効",A405&gt;1,MOD(A405-1,60)=0),AND(A405=入力!$B$11,A405&gt;1)),入力!$B$14="有効"),ROUND(G404*1.25,0),"")</f>
        <v/>
      </c>
      <c r="S405" s="36">
        <f t="shared" si="117"/>
        <v>420</v>
      </c>
      <c r="T405" s="35" t="str">
        <f t="shared" si="118"/>
        <v/>
      </c>
      <c r="U405" s="3">
        <f t="shared" si="102"/>
        <v>0</v>
      </c>
      <c r="V405" s="3">
        <f t="shared" si="103"/>
        <v>0</v>
      </c>
      <c r="W405" s="3">
        <f t="shared" si="104"/>
        <v>0</v>
      </c>
      <c r="X405" s="3">
        <f t="shared" si="105"/>
        <v>0</v>
      </c>
      <c r="Y405" s="3">
        <f>0</f>
        <v>0</v>
      </c>
      <c r="Z405" s="3">
        <f t="shared" si="106"/>
        <v>0</v>
      </c>
      <c r="AA405">
        <f>ROUND(IF(FALSE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,0)</f>
        <v>121427</v>
      </c>
    </row>
    <row r="406" spans="1:27">
      <c r="A406" s="30">
        <f>401</f>
        <v>401</v>
      </c>
      <c r="B406" s="31">
        <f>EDATE(入力!$B$6,A406-1)</f>
        <v>58410</v>
      </c>
      <c r="C406" s="32">
        <f t="shared" si="107"/>
        <v>2376214</v>
      </c>
      <c r="D406" s="32">
        <f t="shared" si="108"/>
        <v>0</v>
      </c>
      <c r="E406" s="33">
        <f>IF(AND(T405="",A406&lt;=S405),IF(A406&lt;入力!$B$11,入力!$B$10,入力!$B$12),0)</f>
        <v>2.5000000000000001E-2</v>
      </c>
      <c r="F406" s="32">
        <f t="shared" si="109"/>
        <v>4950</v>
      </c>
      <c r="G406" s="32">
        <f>ROUND(IF(NOT(AND(T405="",A406&lt;=S405)),0,IF(FALSE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),0)</f>
        <v>121427</v>
      </c>
      <c r="H406" s="32">
        <f t="shared" si="110"/>
        <v>121427</v>
      </c>
      <c r="I406" s="32">
        <f t="shared" si="111"/>
        <v>4950</v>
      </c>
      <c r="J406" s="32">
        <f t="shared" si="112"/>
        <v>0</v>
      </c>
      <c r="K406" s="32">
        <f t="shared" si="113"/>
        <v>0</v>
      </c>
      <c r="L406" s="32">
        <f t="shared" si="114"/>
        <v>116477</v>
      </c>
      <c r="M406" s="32">
        <f>0</f>
        <v>0</v>
      </c>
      <c r="N406" s="32">
        <f t="shared" si="115"/>
        <v>2259737</v>
      </c>
      <c r="O406" s="32">
        <f t="shared" si="116"/>
        <v>14068564</v>
      </c>
      <c r="P406" s="34" t="str">
        <f>IF(NOT(AND(T405="",A406&lt;=S405)),"",IF(FALSE,"繰上返済後再計算","")&amp;IF(AND(入力!$B$13="有効",A406&gt;1,MOD(A406-1,60)=0),IF(FALSE,"・","")&amp;"5年見直し","")&amp;IF(AND(A406=入力!$B$11,A406&gt;1),IF(OR(FALSE,AND(入力!$B$13="有効",A406&gt;1,MOD(A406-1,60)=0)),"・","")&amp;"金利変更","")&amp;IF(AND(OR(AND(入力!$B$13="有効",A406&gt;1,MOD(A406-1,60)=0),AND(A406=入力!$B$11,A406&gt;1)),入力!$B$14="有効",IF(E406=0,ROUND(C406/MAX(1,S405-A406+1),0),ROUND(-PMT(E406/12,MAX(1,S405-A406+1),C406),0))&gt;ROUND(G405*1.25,0),NOT(FALSE)),"・上限適用",""))</f>
        <v/>
      </c>
      <c r="Q406" s="35" t="str">
        <f>IF(AND(T405="",A406&lt;=S405),入力!$B$13,"")</f>
        <v>有効</v>
      </c>
      <c r="R406" s="32" t="str">
        <f>IF(AND(AND(T405="",A406&lt;=S405),OR(AND(入力!$B$13="有効",A406&gt;1,MOD(A406-1,60)=0),AND(A406=入力!$B$11,A406&gt;1)),入力!$B$14="有効"),ROUND(G405*1.25,0),"")</f>
        <v/>
      </c>
      <c r="S406" s="36">
        <f t="shared" si="117"/>
        <v>420</v>
      </c>
      <c r="T406" s="35" t="str">
        <f t="shared" si="118"/>
        <v/>
      </c>
      <c r="U406" s="3">
        <f t="shared" si="102"/>
        <v>0</v>
      </c>
      <c r="V406" s="3">
        <f t="shared" si="103"/>
        <v>0</v>
      </c>
      <c r="W406" s="3">
        <f t="shared" si="104"/>
        <v>0</v>
      </c>
      <c r="X406" s="3">
        <f t="shared" si="105"/>
        <v>0</v>
      </c>
      <c r="Y406" s="3">
        <f>0</f>
        <v>0</v>
      </c>
      <c r="Z406" s="3">
        <f t="shared" si="106"/>
        <v>0</v>
      </c>
      <c r="AA406">
        <f>ROUND(IF(FALSE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,0)</f>
        <v>121427</v>
      </c>
    </row>
    <row r="407" spans="1:27">
      <c r="A407" s="30">
        <f>402</f>
        <v>402</v>
      </c>
      <c r="B407" s="31">
        <f>EDATE(入力!$B$6,A407-1)</f>
        <v>58441</v>
      </c>
      <c r="C407" s="32">
        <f t="shared" si="107"/>
        <v>2259737</v>
      </c>
      <c r="D407" s="32">
        <f t="shared" si="108"/>
        <v>0</v>
      </c>
      <c r="E407" s="33">
        <f>IF(AND(T406="",A407&lt;=S406),IF(A407&lt;入力!$B$11,入力!$B$10,入力!$B$12),0)</f>
        <v>2.5000000000000001E-2</v>
      </c>
      <c r="F407" s="32">
        <f t="shared" si="109"/>
        <v>4708</v>
      </c>
      <c r="G407" s="32">
        <f>ROUND(IF(NOT(AND(T406="",A407&lt;=S406)),0,IF(FALSE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),0)</f>
        <v>121427</v>
      </c>
      <c r="H407" s="32">
        <f t="shared" si="110"/>
        <v>121427</v>
      </c>
      <c r="I407" s="32">
        <f t="shared" si="111"/>
        <v>4708</v>
      </c>
      <c r="J407" s="32">
        <f t="shared" si="112"/>
        <v>0</v>
      </c>
      <c r="K407" s="32">
        <f t="shared" si="113"/>
        <v>0</v>
      </c>
      <c r="L407" s="32">
        <f t="shared" si="114"/>
        <v>116719</v>
      </c>
      <c r="M407" s="32">
        <f>0</f>
        <v>0</v>
      </c>
      <c r="N407" s="32">
        <f t="shared" si="115"/>
        <v>2143018</v>
      </c>
      <c r="O407" s="32">
        <f t="shared" si="116"/>
        <v>14073272</v>
      </c>
      <c r="P407" s="34" t="str">
        <f>IF(NOT(AND(T406="",A407&lt;=S406)),"",IF(FALSE,"繰上返済後再計算","")&amp;IF(AND(入力!$B$13="有効",A407&gt;1,MOD(A407-1,60)=0),IF(FALSE,"・","")&amp;"5年見直し","")&amp;IF(AND(A407=入力!$B$11,A407&gt;1),IF(OR(FALSE,AND(入力!$B$13="有効",A407&gt;1,MOD(A407-1,60)=0)),"・","")&amp;"金利変更","")&amp;IF(AND(OR(AND(入力!$B$13="有効",A407&gt;1,MOD(A407-1,60)=0),AND(A407=入力!$B$11,A407&gt;1)),入力!$B$14="有効",IF(E407=0,ROUND(C407/MAX(1,S406-A407+1),0),ROUND(-PMT(E407/12,MAX(1,S406-A407+1),C407),0))&gt;ROUND(G406*1.25,0),NOT(FALSE)),"・上限適用",""))</f>
        <v/>
      </c>
      <c r="Q407" s="35" t="str">
        <f>IF(AND(T406="",A407&lt;=S406),入力!$B$13,"")</f>
        <v>有効</v>
      </c>
      <c r="R407" s="32" t="str">
        <f>IF(AND(AND(T406="",A407&lt;=S406),OR(AND(入力!$B$13="有効",A407&gt;1,MOD(A407-1,60)=0),AND(A407=入力!$B$11,A407&gt;1)),入力!$B$14="有効"),ROUND(G406*1.25,0),"")</f>
        <v/>
      </c>
      <c r="S407" s="36">
        <f t="shared" si="117"/>
        <v>420</v>
      </c>
      <c r="T407" s="35" t="str">
        <f t="shared" si="118"/>
        <v/>
      </c>
      <c r="U407" s="3">
        <f t="shared" si="102"/>
        <v>0</v>
      </c>
      <c r="V407" s="3">
        <f t="shared" si="103"/>
        <v>0</v>
      </c>
      <c r="W407" s="3">
        <f t="shared" si="104"/>
        <v>0</v>
      </c>
      <c r="X407" s="3">
        <f t="shared" si="105"/>
        <v>0</v>
      </c>
      <c r="Y407" s="3">
        <f>0</f>
        <v>0</v>
      </c>
      <c r="Z407" s="3">
        <f t="shared" si="106"/>
        <v>0</v>
      </c>
      <c r="AA407">
        <f>ROUND(IF(FALSE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,0)</f>
        <v>121427</v>
      </c>
    </row>
    <row r="408" spans="1:27">
      <c r="A408" s="30">
        <f>403</f>
        <v>403</v>
      </c>
      <c r="B408" s="31">
        <f>EDATE(入力!$B$6,A408-1)</f>
        <v>58472</v>
      </c>
      <c r="C408" s="32">
        <f t="shared" si="107"/>
        <v>2143018</v>
      </c>
      <c r="D408" s="32">
        <f t="shared" si="108"/>
        <v>0</v>
      </c>
      <c r="E408" s="33">
        <f>IF(AND(T407="",A408&lt;=S407),IF(A408&lt;入力!$B$11,入力!$B$10,入力!$B$12),0)</f>
        <v>2.5000000000000001E-2</v>
      </c>
      <c r="F408" s="32">
        <f t="shared" si="109"/>
        <v>4465</v>
      </c>
      <c r="G408" s="32">
        <f>ROUND(IF(NOT(AND(T407="",A408&lt;=S407)),0,IF(FALSE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),0)</f>
        <v>121427</v>
      </c>
      <c r="H408" s="32">
        <f t="shared" si="110"/>
        <v>121427</v>
      </c>
      <c r="I408" s="32">
        <f t="shared" si="111"/>
        <v>4465</v>
      </c>
      <c r="J408" s="32">
        <f t="shared" si="112"/>
        <v>0</v>
      </c>
      <c r="K408" s="32">
        <f t="shared" si="113"/>
        <v>0</v>
      </c>
      <c r="L408" s="32">
        <f t="shared" si="114"/>
        <v>116962</v>
      </c>
      <c r="M408" s="32">
        <f>0</f>
        <v>0</v>
      </c>
      <c r="N408" s="32">
        <f t="shared" si="115"/>
        <v>2026056</v>
      </c>
      <c r="O408" s="32">
        <f t="shared" si="116"/>
        <v>14077737</v>
      </c>
      <c r="P408" s="34" t="str">
        <f>IF(NOT(AND(T407="",A408&lt;=S407)),"",IF(FALSE,"繰上返済後再計算","")&amp;IF(AND(入力!$B$13="有効",A408&gt;1,MOD(A408-1,60)=0),IF(FALSE,"・","")&amp;"5年見直し","")&amp;IF(AND(A408=入力!$B$11,A408&gt;1),IF(OR(FALSE,AND(入力!$B$13="有効",A408&gt;1,MOD(A408-1,60)=0)),"・","")&amp;"金利変更","")&amp;IF(AND(OR(AND(入力!$B$13="有効",A408&gt;1,MOD(A408-1,60)=0),AND(A408=入力!$B$11,A408&gt;1)),入力!$B$14="有効",IF(E408=0,ROUND(C408/MAX(1,S407-A408+1),0),ROUND(-PMT(E408/12,MAX(1,S407-A408+1),C408),0))&gt;ROUND(G407*1.25,0),NOT(FALSE)),"・上限適用",""))</f>
        <v/>
      </c>
      <c r="Q408" s="35" t="str">
        <f>IF(AND(T407="",A408&lt;=S407),入力!$B$13,"")</f>
        <v>有効</v>
      </c>
      <c r="R408" s="32" t="str">
        <f>IF(AND(AND(T407="",A408&lt;=S407),OR(AND(入力!$B$13="有効",A408&gt;1,MOD(A408-1,60)=0),AND(A408=入力!$B$11,A408&gt;1)),入力!$B$14="有効"),ROUND(G407*1.25,0),"")</f>
        <v/>
      </c>
      <c r="S408" s="36">
        <f t="shared" si="117"/>
        <v>420</v>
      </c>
      <c r="T408" s="35" t="str">
        <f t="shared" si="118"/>
        <v/>
      </c>
      <c r="U408" s="3">
        <f t="shared" si="102"/>
        <v>0</v>
      </c>
      <c r="V408" s="3">
        <f t="shared" si="103"/>
        <v>0</v>
      </c>
      <c r="W408" s="3">
        <f t="shared" si="104"/>
        <v>0</v>
      </c>
      <c r="X408" s="3">
        <f t="shared" si="105"/>
        <v>0</v>
      </c>
      <c r="Y408" s="3">
        <f>0</f>
        <v>0</v>
      </c>
      <c r="Z408" s="3">
        <f t="shared" si="106"/>
        <v>0</v>
      </c>
      <c r="AA408">
        <f>ROUND(IF(FALSE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,0)</f>
        <v>121427</v>
      </c>
    </row>
    <row r="409" spans="1:27">
      <c r="A409" s="30">
        <f>404</f>
        <v>404</v>
      </c>
      <c r="B409" s="31">
        <f>EDATE(入力!$B$6,A409-1)</f>
        <v>58501</v>
      </c>
      <c r="C409" s="32">
        <f t="shared" si="107"/>
        <v>2026056</v>
      </c>
      <c r="D409" s="32">
        <f t="shared" si="108"/>
        <v>0</v>
      </c>
      <c r="E409" s="33">
        <f>IF(AND(T408="",A409&lt;=S408),IF(A409&lt;入力!$B$11,入力!$B$10,入力!$B$12),0)</f>
        <v>2.5000000000000001E-2</v>
      </c>
      <c r="F409" s="32">
        <f t="shared" si="109"/>
        <v>4221</v>
      </c>
      <c r="G409" s="32">
        <f>ROUND(IF(NOT(AND(T408="",A409&lt;=S408)),0,IF(FALSE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),0)</f>
        <v>121427</v>
      </c>
      <c r="H409" s="32">
        <f t="shared" si="110"/>
        <v>121427</v>
      </c>
      <c r="I409" s="32">
        <f t="shared" si="111"/>
        <v>4221</v>
      </c>
      <c r="J409" s="32">
        <f t="shared" si="112"/>
        <v>0</v>
      </c>
      <c r="K409" s="32">
        <f t="shared" si="113"/>
        <v>0</v>
      </c>
      <c r="L409" s="32">
        <f t="shared" si="114"/>
        <v>117206</v>
      </c>
      <c r="M409" s="32">
        <f>0</f>
        <v>0</v>
      </c>
      <c r="N409" s="32">
        <f t="shared" si="115"/>
        <v>1908850</v>
      </c>
      <c r="O409" s="32">
        <f t="shared" si="116"/>
        <v>14081958</v>
      </c>
      <c r="P409" s="34" t="str">
        <f>IF(NOT(AND(T408="",A409&lt;=S408)),"",IF(FALSE,"繰上返済後再計算","")&amp;IF(AND(入力!$B$13="有効",A409&gt;1,MOD(A409-1,60)=0),IF(FALSE,"・","")&amp;"5年見直し","")&amp;IF(AND(A409=入力!$B$11,A409&gt;1),IF(OR(FALSE,AND(入力!$B$13="有効",A409&gt;1,MOD(A409-1,60)=0)),"・","")&amp;"金利変更","")&amp;IF(AND(OR(AND(入力!$B$13="有効",A409&gt;1,MOD(A409-1,60)=0),AND(A409=入力!$B$11,A409&gt;1)),入力!$B$14="有効",IF(E409=0,ROUND(C409/MAX(1,S408-A409+1),0),ROUND(-PMT(E409/12,MAX(1,S408-A409+1),C409),0))&gt;ROUND(G408*1.25,0),NOT(FALSE)),"・上限適用",""))</f>
        <v/>
      </c>
      <c r="Q409" s="35" t="str">
        <f>IF(AND(T408="",A409&lt;=S408),入力!$B$13,"")</f>
        <v>有効</v>
      </c>
      <c r="R409" s="32" t="str">
        <f>IF(AND(AND(T408="",A409&lt;=S408),OR(AND(入力!$B$13="有効",A409&gt;1,MOD(A409-1,60)=0),AND(A409=入力!$B$11,A409&gt;1)),入力!$B$14="有効"),ROUND(G408*1.25,0),"")</f>
        <v/>
      </c>
      <c r="S409" s="36">
        <f t="shared" si="117"/>
        <v>420</v>
      </c>
      <c r="T409" s="35" t="str">
        <f t="shared" si="118"/>
        <v/>
      </c>
      <c r="U409" s="3">
        <f t="shared" si="102"/>
        <v>0</v>
      </c>
      <c r="V409" s="3">
        <f t="shared" si="103"/>
        <v>0</v>
      </c>
      <c r="W409" s="3">
        <f t="shared" si="104"/>
        <v>0</v>
      </c>
      <c r="X409" s="3">
        <f t="shared" si="105"/>
        <v>0</v>
      </c>
      <c r="Y409" s="3">
        <f>0</f>
        <v>0</v>
      </c>
      <c r="Z409" s="3">
        <f t="shared" si="106"/>
        <v>0</v>
      </c>
      <c r="AA409">
        <f>ROUND(IF(FALSE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,0)</f>
        <v>121427</v>
      </c>
    </row>
    <row r="410" spans="1:27">
      <c r="A410" s="30">
        <f>405</f>
        <v>405</v>
      </c>
      <c r="B410" s="31">
        <f>EDATE(入力!$B$6,A410-1)</f>
        <v>58532</v>
      </c>
      <c r="C410" s="32">
        <f t="shared" si="107"/>
        <v>1908850</v>
      </c>
      <c r="D410" s="32">
        <f t="shared" si="108"/>
        <v>0</v>
      </c>
      <c r="E410" s="33">
        <f>IF(AND(T409="",A410&lt;=S409),IF(A410&lt;入力!$B$11,入力!$B$10,入力!$B$12),0)</f>
        <v>2.5000000000000001E-2</v>
      </c>
      <c r="F410" s="32">
        <f t="shared" si="109"/>
        <v>3977</v>
      </c>
      <c r="G410" s="32">
        <f>ROUND(IF(NOT(AND(T409="",A410&lt;=S409)),0,IF(FALSE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),0)</f>
        <v>121427</v>
      </c>
      <c r="H410" s="32">
        <f t="shared" si="110"/>
        <v>121427</v>
      </c>
      <c r="I410" s="32">
        <f t="shared" si="111"/>
        <v>3977</v>
      </c>
      <c r="J410" s="32">
        <f t="shared" si="112"/>
        <v>0</v>
      </c>
      <c r="K410" s="32">
        <f t="shared" si="113"/>
        <v>0</v>
      </c>
      <c r="L410" s="32">
        <f t="shared" si="114"/>
        <v>117450</v>
      </c>
      <c r="M410" s="32">
        <f>0</f>
        <v>0</v>
      </c>
      <c r="N410" s="32">
        <f t="shared" si="115"/>
        <v>1791400</v>
      </c>
      <c r="O410" s="32">
        <f t="shared" si="116"/>
        <v>14085935</v>
      </c>
      <c r="P410" s="34" t="str">
        <f>IF(NOT(AND(T409="",A410&lt;=S409)),"",IF(FALSE,"繰上返済後再計算","")&amp;IF(AND(入力!$B$13="有効",A410&gt;1,MOD(A410-1,60)=0),IF(FALSE,"・","")&amp;"5年見直し","")&amp;IF(AND(A410=入力!$B$11,A410&gt;1),IF(OR(FALSE,AND(入力!$B$13="有効",A410&gt;1,MOD(A410-1,60)=0)),"・","")&amp;"金利変更","")&amp;IF(AND(OR(AND(入力!$B$13="有効",A410&gt;1,MOD(A410-1,60)=0),AND(A410=入力!$B$11,A410&gt;1)),入力!$B$14="有効",IF(E410=0,ROUND(C410/MAX(1,S409-A410+1),0),ROUND(-PMT(E410/12,MAX(1,S409-A410+1),C410),0))&gt;ROUND(G409*1.25,0),NOT(FALSE)),"・上限適用",""))</f>
        <v/>
      </c>
      <c r="Q410" s="35" t="str">
        <f>IF(AND(T409="",A410&lt;=S409),入力!$B$13,"")</f>
        <v>有効</v>
      </c>
      <c r="R410" s="32" t="str">
        <f>IF(AND(AND(T409="",A410&lt;=S409),OR(AND(入力!$B$13="有効",A410&gt;1,MOD(A410-1,60)=0),AND(A410=入力!$B$11,A410&gt;1)),入力!$B$14="有効"),ROUND(G409*1.25,0),"")</f>
        <v/>
      </c>
      <c r="S410" s="36">
        <f t="shared" si="117"/>
        <v>420</v>
      </c>
      <c r="T410" s="35" t="str">
        <f t="shared" si="118"/>
        <v/>
      </c>
      <c r="U410" s="3">
        <f t="shared" si="102"/>
        <v>0</v>
      </c>
      <c r="V410" s="3">
        <f t="shared" si="103"/>
        <v>0</v>
      </c>
      <c r="W410" s="3">
        <f t="shared" si="104"/>
        <v>0</v>
      </c>
      <c r="X410" s="3">
        <f t="shared" si="105"/>
        <v>0</v>
      </c>
      <c r="Y410" s="3">
        <f>0</f>
        <v>0</v>
      </c>
      <c r="Z410" s="3">
        <f t="shared" si="106"/>
        <v>0</v>
      </c>
      <c r="AA410">
        <f>ROUND(IF(FALSE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,0)</f>
        <v>121427</v>
      </c>
    </row>
    <row r="411" spans="1:27">
      <c r="A411" s="30">
        <f>406</f>
        <v>406</v>
      </c>
      <c r="B411" s="31">
        <f>EDATE(入力!$B$6,A411-1)</f>
        <v>58562</v>
      </c>
      <c r="C411" s="32">
        <f t="shared" si="107"/>
        <v>1791400</v>
      </c>
      <c r="D411" s="32">
        <f t="shared" si="108"/>
        <v>0</v>
      </c>
      <c r="E411" s="33">
        <f>IF(AND(T410="",A411&lt;=S410),IF(A411&lt;入力!$B$11,入力!$B$10,入力!$B$12),0)</f>
        <v>2.5000000000000001E-2</v>
      </c>
      <c r="F411" s="32">
        <f t="shared" si="109"/>
        <v>3732</v>
      </c>
      <c r="G411" s="32">
        <f>ROUND(IF(NOT(AND(T410="",A411&lt;=S410)),0,IF(FALSE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),0)</f>
        <v>121427</v>
      </c>
      <c r="H411" s="32">
        <f t="shared" si="110"/>
        <v>121427</v>
      </c>
      <c r="I411" s="32">
        <f t="shared" si="111"/>
        <v>3732</v>
      </c>
      <c r="J411" s="32">
        <f t="shared" si="112"/>
        <v>0</v>
      </c>
      <c r="K411" s="32">
        <f t="shared" si="113"/>
        <v>0</v>
      </c>
      <c r="L411" s="32">
        <f t="shared" si="114"/>
        <v>117695</v>
      </c>
      <c r="M411" s="32">
        <f>0</f>
        <v>0</v>
      </c>
      <c r="N411" s="32">
        <f t="shared" si="115"/>
        <v>1673705</v>
      </c>
      <c r="O411" s="32">
        <f t="shared" si="116"/>
        <v>14089667</v>
      </c>
      <c r="P411" s="34" t="str">
        <f>IF(NOT(AND(T410="",A411&lt;=S410)),"",IF(FALSE,"繰上返済後再計算","")&amp;IF(AND(入力!$B$13="有効",A411&gt;1,MOD(A411-1,60)=0),IF(FALSE,"・","")&amp;"5年見直し","")&amp;IF(AND(A411=入力!$B$11,A411&gt;1),IF(OR(FALSE,AND(入力!$B$13="有効",A411&gt;1,MOD(A411-1,60)=0)),"・","")&amp;"金利変更","")&amp;IF(AND(OR(AND(入力!$B$13="有効",A411&gt;1,MOD(A411-1,60)=0),AND(A411=入力!$B$11,A411&gt;1)),入力!$B$14="有効",IF(E411=0,ROUND(C411/MAX(1,S410-A411+1),0),ROUND(-PMT(E411/12,MAX(1,S410-A411+1),C411),0))&gt;ROUND(G410*1.25,0),NOT(FALSE)),"・上限適用",""))</f>
        <v/>
      </c>
      <c r="Q411" s="35" t="str">
        <f>IF(AND(T410="",A411&lt;=S410),入力!$B$13,"")</f>
        <v>有効</v>
      </c>
      <c r="R411" s="32" t="str">
        <f>IF(AND(AND(T410="",A411&lt;=S410),OR(AND(入力!$B$13="有効",A411&gt;1,MOD(A411-1,60)=0),AND(A411=入力!$B$11,A411&gt;1)),入力!$B$14="有効"),ROUND(G410*1.25,0),"")</f>
        <v/>
      </c>
      <c r="S411" s="36">
        <f t="shared" si="117"/>
        <v>420</v>
      </c>
      <c r="T411" s="35" t="str">
        <f t="shared" si="118"/>
        <v/>
      </c>
      <c r="U411" s="3">
        <f t="shared" si="102"/>
        <v>0</v>
      </c>
      <c r="V411" s="3">
        <f t="shared" si="103"/>
        <v>0</v>
      </c>
      <c r="W411" s="3">
        <f t="shared" si="104"/>
        <v>0</v>
      </c>
      <c r="X411" s="3">
        <f t="shared" si="105"/>
        <v>0</v>
      </c>
      <c r="Y411" s="3">
        <f>0</f>
        <v>0</v>
      </c>
      <c r="Z411" s="3">
        <f t="shared" si="106"/>
        <v>0</v>
      </c>
      <c r="AA411">
        <f>ROUND(IF(FALSE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,0)</f>
        <v>121427</v>
      </c>
    </row>
    <row r="412" spans="1:27">
      <c r="A412" s="30">
        <f>407</f>
        <v>407</v>
      </c>
      <c r="B412" s="31">
        <f>EDATE(入力!$B$6,A412-1)</f>
        <v>58593</v>
      </c>
      <c r="C412" s="32">
        <f t="shared" si="107"/>
        <v>1673705</v>
      </c>
      <c r="D412" s="32">
        <f t="shared" si="108"/>
        <v>0</v>
      </c>
      <c r="E412" s="33">
        <f>IF(AND(T411="",A412&lt;=S411),IF(A412&lt;入力!$B$11,入力!$B$10,入力!$B$12),0)</f>
        <v>2.5000000000000001E-2</v>
      </c>
      <c r="F412" s="32">
        <f t="shared" si="109"/>
        <v>3487</v>
      </c>
      <c r="G412" s="32">
        <f>ROUND(IF(NOT(AND(T411="",A412&lt;=S411)),0,IF(FALSE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),0)</f>
        <v>121427</v>
      </c>
      <c r="H412" s="32">
        <f t="shared" si="110"/>
        <v>121427</v>
      </c>
      <c r="I412" s="32">
        <f t="shared" si="111"/>
        <v>3487</v>
      </c>
      <c r="J412" s="32">
        <f t="shared" si="112"/>
        <v>0</v>
      </c>
      <c r="K412" s="32">
        <f t="shared" si="113"/>
        <v>0</v>
      </c>
      <c r="L412" s="32">
        <f t="shared" si="114"/>
        <v>117940</v>
      </c>
      <c r="M412" s="32">
        <f>0</f>
        <v>0</v>
      </c>
      <c r="N412" s="32">
        <f t="shared" si="115"/>
        <v>1555765</v>
      </c>
      <c r="O412" s="32">
        <f t="shared" si="116"/>
        <v>14093154</v>
      </c>
      <c r="P412" s="34" t="str">
        <f>IF(NOT(AND(T411="",A412&lt;=S411)),"",IF(FALSE,"繰上返済後再計算","")&amp;IF(AND(入力!$B$13="有効",A412&gt;1,MOD(A412-1,60)=0),IF(FALSE,"・","")&amp;"5年見直し","")&amp;IF(AND(A412=入力!$B$11,A412&gt;1),IF(OR(FALSE,AND(入力!$B$13="有効",A412&gt;1,MOD(A412-1,60)=0)),"・","")&amp;"金利変更","")&amp;IF(AND(OR(AND(入力!$B$13="有効",A412&gt;1,MOD(A412-1,60)=0),AND(A412=入力!$B$11,A412&gt;1)),入力!$B$14="有効",IF(E412=0,ROUND(C412/MAX(1,S411-A412+1),0),ROUND(-PMT(E412/12,MAX(1,S411-A412+1),C412),0))&gt;ROUND(G411*1.25,0),NOT(FALSE)),"・上限適用",""))</f>
        <v/>
      </c>
      <c r="Q412" s="35" t="str">
        <f>IF(AND(T411="",A412&lt;=S411),入力!$B$13,"")</f>
        <v>有効</v>
      </c>
      <c r="R412" s="32" t="str">
        <f>IF(AND(AND(T411="",A412&lt;=S411),OR(AND(入力!$B$13="有効",A412&gt;1,MOD(A412-1,60)=0),AND(A412=入力!$B$11,A412&gt;1)),入力!$B$14="有効"),ROUND(G411*1.25,0),"")</f>
        <v/>
      </c>
      <c r="S412" s="36">
        <f t="shared" si="117"/>
        <v>420</v>
      </c>
      <c r="T412" s="35" t="str">
        <f t="shared" si="118"/>
        <v/>
      </c>
      <c r="U412" s="3">
        <f t="shared" si="102"/>
        <v>0</v>
      </c>
      <c r="V412" s="3">
        <f t="shared" si="103"/>
        <v>0</v>
      </c>
      <c r="W412" s="3">
        <f t="shared" si="104"/>
        <v>0</v>
      </c>
      <c r="X412" s="3">
        <f t="shared" si="105"/>
        <v>0</v>
      </c>
      <c r="Y412" s="3">
        <f>0</f>
        <v>0</v>
      </c>
      <c r="Z412" s="3">
        <f t="shared" si="106"/>
        <v>0</v>
      </c>
      <c r="AA412">
        <f>ROUND(IF(FALSE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,0)</f>
        <v>121427</v>
      </c>
    </row>
    <row r="413" spans="1:27">
      <c r="A413" s="30">
        <f>408</f>
        <v>408</v>
      </c>
      <c r="B413" s="31">
        <f>EDATE(入力!$B$6,A413-1)</f>
        <v>58623</v>
      </c>
      <c r="C413" s="32">
        <f t="shared" si="107"/>
        <v>1555765</v>
      </c>
      <c r="D413" s="32">
        <f t="shared" si="108"/>
        <v>0</v>
      </c>
      <c r="E413" s="33">
        <f>IF(AND(T412="",A413&lt;=S412),IF(A413&lt;入力!$B$11,入力!$B$10,入力!$B$12),0)</f>
        <v>2.5000000000000001E-2</v>
      </c>
      <c r="F413" s="32">
        <f t="shared" si="109"/>
        <v>3241</v>
      </c>
      <c r="G413" s="32">
        <f>ROUND(IF(NOT(AND(T412="",A413&lt;=S412)),0,IF(FALSE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),0)</f>
        <v>121427</v>
      </c>
      <c r="H413" s="32">
        <f t="shared" si="110"/>
        <v>121427</v>
      </c>
      <c r="I413" s="32">
        <f t="shared" si="111"/>
        <v>3241</v>
      </c>
      <c r="J413" s="32">
        <f t="shared" si="112"/>
        <v>0</v>
      </c>
      <c r="K413" s="32">
        <f t="shared" si="113"/>
        <v>0</v>
      </c>
      <c r="L413" s="32">
        <f t="shared" si="114"/>
        <v>118186</v>
      </c>
      <c r="M413" s="32">
        <f>0</f>
        <v>0</v>
      </c>
      <c r="N413" s="32">
        <f t="shared" si="115"/>
        <v>1437579</v>
      </c>
      <c r="O413" s="32">
        <f t="shared" si="116"/>
        <v>14096395</v>
      </c>
      <c r="P413" s="34" t="str">
        <f>IF(NOT(AND(T412="",A413&lt;=S412)),"",IF(FALSE,"繰上返済後再計算","")&amp;IF(AND(入力!$B$13="有効",A413&gt;1,MOD(A413-1,60)=0),IF(FALSE,"・","")&amp;"5年見直し","")&amp;IF(AND(A413=入力!$B$11,A413&gt;1),IF(OR(FALSE,AND(入力!$B$13="有効",A413&gt;1,MOD(A413-1,60)=0)),"・","")&amp;"金利変更","")&amp;IF(AND(OR(AND(入力!$B$13="有効",A413&gt;1,MOD(A413-1,60)=0),AND(A413=入力!$B$11,A413&gt;1)),入力!$B$14="有効",IF(E413=0,ROUND(C413/MAX(1,S412-A413+1),0),ROUND(-PMT(E413/12,MAX(1,S412-A413+1),C413),0))&gt;ROUND(G412*1.25,0),NOT(FALSE)),"・上限適用",""))</f>
        <v/>
      </c>
      <c r="Q413" s="35" t="str">
        <f>IF(AND(T412="",A413&lt;=S412),入力!$B$13,"")</f>
        <v>有効</v>
      </c>
      <c r="R413" s="32" t="str">
        <f>IF(AND(AND(T412="",A413&lt;=S412),OR(AND(入力!$B$13="有効",A413&gt;1,MOD(A413-1,60)=0),AND(A413=入力!$B$11,A413&gt;1)),入力!$B$14="有効"),ROUND(G412*1.25,0),"")</f>
        <v/>
      </c>
      <c r="S413" s="36">
        <f t="shared" si="117"/>
        <v>420</v>
      </c>
      <c r="T413" s="35" t="str">
        <f t="shared" si="118"/>
        <v/>
      </c>
      <c r="U413" s="3">
        <f t="shared" si="102"/>
        <v>0</v>
      </c>
      <c r="V413" s="3">
        <f t="shared" si="103"/>
        <v>0</v>
      </c>
      <c r="W413" s="3">
        <f t="shared" si="104"/>
        <v>0</v>
      </c>
      <c r="X413" s="3">
        <f t="shared" si="105"/>
        <v>0</v>
      </c>
      <c r="Y413" s="3">
        <f>0</f>
        <v>0</v>
      </c>
      <c r="Z413" s="3">
        <f t="shared" si="106"/>
        <v>0</v>
      </c>
      <c r="AA413">
        <f>ROUND(IF(FALSE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,0)</f>
        <v>121427</v>
      </c>
    </row>
    <row r="414" spans="1:27">
      <c r="A414" s="30">
        <f>409</f>
        <v>409</v>
      </c>
      <c r="B414" s="31">
        <f>EDATE(入力!$B$6,A414-1)</f>
        <v>58654</v>
      </c>
      <c r="C414" s="32">
        <f t="shared" si="107"/>
        <v>1437579</v>
      </c>
      <c r="D414" s="32">
        <f t="shared" si="108"/>
        <v>0</v>
      </c>
      <c r="E414" s="33">
        <f>IF(AND(T413="",A414&lt;=S413),IF(A414&lt;入力!$B$11,入力!$B$10,入力!$B$12),0)</f>
        <v>2.5000000000000001E-2</v>
      </c>
      <c r="F414" s="32">
        <f t="shared" si="109"/>
        <v>2995</v>
      </c>
      <c r="G414" s="32">
        <f>ROUND(IF(NOT(AND(T413="",A414&lt;=S413)),0,IF(FALSE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),0)</f>
        <v>121427</v>
      </c>
      <c r="H414" s="32">
        <f t="shared" si="110"/>
        <v>121427</v>
      </c>
      <c r="I414" s="32">
        <f t="shared" si="111"/>
        <v>2995</v>
      </c>
      <c r="J414" s="32">
        <f t="shared" si="112"/>
        <v>0</v>
      </c>
      <c r="K414" s="32">
        <f t="shared" si="113"/>
        <v>0</v>
      </c>
      <c r="L414" s="32">
        <f t="shared" si="114"/>
        <v>118432</v>
      </c>
      <c r="M414" s="32">
        <f>0</f>
        <v>0</v>
      </c>
      <c r="N414" s="32">
        <f t="shared" si="115"/>
        <v>1319147</v>
      </c>
      <c r="O414" s="32">
        <f t="shared" si="116"/>
        <v>14099390</v>
      </c>
      <c r="P414" s="34" t="str">
        <f>IF(NOT(AND(T413="",A414&lt;=S413)),"",IF(FALSE,"繰上返済後再計算","")&amp;IF(AND(入力!$B$13="有効",A414&gt;1,MOD(A414-1,60)=0),IF(FALSE,"・","")&amp;"5年見直し","")&amp;IF(AND(A414=入力!$B$11,A414&gt;1),IF(OR(FALSE,AND(入力!$B$13="有効",A414&gt;1,MOD(A414-1,60)=0)),"・","")&amp;"金利変更","")&amp;IF(AND(OR(AND(入力!$B$13="有効",A414&gt;1,MOD(A414-1,60)=0),AND(A414=入力!$B$11,A414&gt;1)),入力!$B$14="有効",IF(E414=0,ROUND(C414/MAX(1,S413-A414+1),0),ROUND(-PMT(E414/12,MAX(1,S413-A414+1),C414),0))&gt;ROUND(G413*1.25,0),NOT(FALSE)),"・上限適用",""))</f>
        <v/>
      </c>
      <c r="Q414" s="35" t="str">
        <f>IF(AND(T413="",A414&lt;=S413),入力!$B$13,"")</f>
        <v>有効</v>
      </c>
      <c r="R414" s="32" t="str">
        <f>IF(AND(AND(T413="",A414&lt;=S413),OR(AND(入力!$B$13="有効",A414&gt;1,MOD(A414-1,60)=0),AND(A414=入力!$B$11,A414&gt;1)),入力!$B$14="有効"),ROUND(G413*1.25,0),"")</f>
        <v/>
      </c>
      <c r="S414" s="36">
        <f t="shared" si="117"/>
        <v>420</v>
      </c>
      <c r="T414" s="35" t="str">
        <f t="shared" si="118"/>
        <v/>
      </c>
      <c r="U414" s="3">
        <f t="shared" si="102"/>
        <v>0</v>
      </c>
      <c r="V414" s="3">
        <f t="shared" si="103"/>
        <v>0</v>
      </c>
      <c r="W414" s="3">
        <f t="shared" si="104"/>
        <v>0</v>
      </c>
      <c r="X414" s="3">
        <f t="shared" si="105"/>
        <v>0</v>
      </c>
      <c r="Y414" s="3">
        <f>0</f>
        <v>0</v>
      </c>
      <c r="Z414" s="3">
        <f t="shared" si="106"/>
        <v>0</v>
      </c>
      <c r="AA414">
        <f>ROUND(IF(FALSE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,0)</f>
        <v>121427</v>
      </c>
    </row>
    <row r="415" spans="1:27">
      <c r="A415" s="30">
        <f>410</f>
        <v>410</v>
      </c>
      <c r="B415" s="31">
        <f>EDATE(入力!$B$6,A415-1)</f>
        <v>58685</v>
      </c>
      <c r="C415" s="32">
        <f t="shared" si="107"/>
        <v>1319147</v>
      </c>
      <c r="D415" s="32">
        <f t="shared" si="108"/>
        <v>0</v>
      </c>
      <c r="E415" s="33">
        <f>IF(AND(T414="",A415&lt;=S414),IF(A415&lt;入力!$B$11,入力!$B$10,入力!$B$12),0)</f>
        <v>2.5000000000000001E-2</v>
      </c>
      <c r="F415" s="32">
        <f t="shared" si="109"/>
        <v>2748</v>
      </c>
      <c r="G415" s="32">
        <f>ROUND(IF(NOT(AND(T414="",A415&lt;=S414)),0,IF(FALSE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),0)</f>
        <v>121427</v>
      </c>
      <c r="H415" s="32">
        <f t="shared" si="110"/>
        <v>121427</v>
      </c>
      <c r="I415" s="32">
        <f t="shared" si="111"/>
        <v>2748</v>
      </c>
      <c r="J415" s="32">
        <f t="shared" si="112"/>
        <v>0</v>
      </c>
      <c r="K415" s="32">
        <f t="shared" si="113"/>
        <v>0</v>
      </c>
      <c r="L415" s="32">
        <f t="shared" si="114"/>
        <v>118679</v>
      </c>
      <c r="M415" s="32">
        <f>0</f>
        <v>0</v>
      </c>
      <c r="N415" s="32">
        <f t="shared" si="115"/>
        <v>1200468</v>
      </c>
      <c r="O415" s="32">
        <f t="shared" si="116"/>
        <v>14102138</v>
      </c>
      <c r="P415" s="34" t="str">
        <f>IF(NOT(AND(T414="",A415&lt;=S414)),"",IF(FALSE,"繰上返済後再計算","")&amp;IF(AND(入力!$B$13="有効",A415&gt;1,MOD(A415-1,60)=0),IF(FALSE,"・","")&amp;"5年見直し","")&amp;IF(AND(A415=入力!$B$11,A415&gt;1),IF(OR(FALSE,AND(入力!$B$13="有効",A415&gt;1,MOD(A415-1,60)=0)),"・","")&amp;"金利変更","")&amp;IF(AND(OR(AND(入力!$B$13="有効",A415&gt;1,MOD(A415-1,60)=0),AND(A415=入力!$B$11,A415&gt;1)),入力!$B$14="有効",IF(E415=0,ROUND(C415/MAX(1,S414-A415+1),0),ROUND(-PMT(E415/12,MAX(1,S414-A415+1),C415),0))&gt;ROUND(G414*1.25,0),NOT(FALSE)),"・上限適用",""))</f>
        <v/>
      </c>
      <c r="Q415" s="35" t="str">
        <f>IF(AND(T414="",A415&lt;=S414),入力!$B$13,"")</f>
        <v>有効</v>
      </c>
      <c r="R415" s="32" t="str">
        <f>IF(AND(AND(T414="",A415&lt;=S414),OR(AND(入力!$B$13="有効",A415&gt;1,MOD(A415-1,60)=0),AND(A415=入力!$B$11,A415&gt;1)),入力!$B$14="有効"),ROUND(G414*1.25,0),"")</f>
        <v/>
      </c>
      <c r="S415" s="36">
        <f t="shared" si="117"/>
        <v>420</v>
      </c>
      <c r="T415" s="35" t="str">
        <f t="shared" si="118"/>
        <v/>
      </c>
      <c r="U415" s="3">
        <f t="shared" si="102"/>
        <v>0</v>
      </c>
      <c r="V415" s="3">
        <f t="shared" si="103"/>
        <v>0</v>
      </c>
      <c r="W415" s="3">
        <f t="shared" si="104"/>
        <v>0</v>
      </c>
      <c r="X415" s="3">
        <f t="shared" si="105"/>
        <v>0</v>
      </c>
      <c r="Y415" s="3">
        <f>0</f>
        <v>0</v>
      </c>
      <c r="Z415" s="3">
        <f t="shared" si="106"/>
        <v>0</v>
      </c>
      <c r="AA415">
        <f>ROUND(IF(FALSE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,0)</f>
        <v>121427</v>
      </c>
    </row>
    <row r="416" spans="1:27">
      <c r="A416" s="30">
        <f>411</f>
        <v>411</v>
      </c>
      <c r="B416" s="31">
        <f>EDATE(入力!$B$6,A416-1)</f>
        <v>58715</v>
      </c>
      <c r="C416" s="32">
        <f t="shared" si="107"/>
        <v>1200468</v>
      </c>
      <c r="D416" s="32">
        <f t="shared" si="108"/>
        <v>0</v>
      </c>
      <c r="E416" s="33">
        <f>IF(AND(T415="",A416&lt;=S415),IF(A416&lt;入力!$B$11,入力!$B$10,入力!$B$12),0)</f>
        <v>2.5000000000000001E-2</v>
      </c>
      <c r="F416" s="32">
        <f t="shared" si="109"/>
        <v>2501</v>
      </c>
      <c r="G416" s="32">
        <f>ROUND(IF(NOT(AND(T415="",A416&lt;=S415)),0,IF(FALSE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),0)</f>
        <v>121427</v>
      </c>
      <c r="H416" s="32">
        <f t="shared" si="110"/>
        <v>121427</v>
      </c>
      <c r="I416" s="32">
        <f t="shared" si="111"/>
        <v>2501</v>
      </c>
      <c r="J416" s="32">
        <f t="shared" si="112"/>
        <v>0</v>
      </c>
      <c r="K416" s="32">
        <f t="shared" si="113"/>
        <v>0</v>
      </c>
      <c r="L416" s="32">
        <f t="shared" si="114"/>
        <v>118926</v>
      </c>
      <c r="M416" s="32">
        <f>0</f>
        <v>0</v>
      </c>
      <c r="N416" s="32">
        <f t="shared" si="115"/>
        <v>1081542</v>
      </c>
      <c r="O416" s="32">
        <f t="shared" si="116"/>
        <v>14104639</v>
      </c>
      <c r="P416" s="34" t="str">
        <f>IF(NOT(AND(T415="",A416&lt;=S415)),"",IF(FALSE,"繰上返済後再計算","")&amp;IF(AND(入力!$B$13="有効",A416&gt;1,MOD(A416-1,60)=0),IF(FALSE,"・","")&amp;"5年見直し","")&amp;IF(AND(A416=入力!$B$11,A416&gt;1),IF(OR(FALSE,AND(入力!$B$13="有効",A416&gt;1,MOD(A416-1,60)=0)),"・","")&amp;"金利変更","")&amp;IF(AND(OR(AND(入力!$B$13="有効",A416&gt;1,MOD(A416-1,60)=0),AND(A416=入力!$B$11,A416&gt;1)),入力!$B$14="有効",IF(E416=0,ROUND(C416/MAX(1,S415-A416+1),0),ROUND(-PMT(E416/12,MAX(1,S415-A416+1),C416),0))&gt;ROUND(G415*1.25,0),NOT(FALSE)),"・上限適用",""))</f>
        <v/>
      </c>
      <c r="Q416" s="35" t="str">
        <f>IF(AND(T415="",A416&lt;=S415),入力!$B$13,"")</f>
        <v>有効</v>
      </c>
      <c r="R416" s="32" t="str">
        <f>IF(AND(AND(T415="",A416&lt;=S415),OR(AND(入力!$B$13="有効",A416&gt;1,MOD(A416-1,60)=0),AND(A416=入力!$B$11,A416&gt;1)),入力!$B$14="有効"),ROUND(G415*1.25,0),"")</f>
        <v/>
      </c>
      <c r="S416" s="36">
        <f t="shared" si="117"/>
        <v>420</v>
      </c>
      <c r="T416" s="35" t="str">
        <f t="shared" si="118"/>
        <v/>
      </c>
      <c r="U416" s="3">
        <f t="shared" si="102"/>
        <v>0</v>
      </c>
      <c r="V416" s="3">
        <f t="shared" si="103"/>
        <v>0</v>
      </c>
      <c r="W416" s="3">
        <f t="shared" si="104"/>
        <v>0</v>
      </c>
      <c r="X416" s="3">
        <f t="shared" si="105"/>
        <v>0</v>
      </c>
      <c r="Y416" s="3">
        <f>0</f>
        <v>0</v>
      </c>
      <c r="Z416" s="3">
        <f t="shared" si="106"/>
        <v>0</v>
      </c>
      <c r="AA416">
        <f>ROUND(IF(FALSE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,0)</f>
        <v>121427</v>
      </c>
    </row>
    <row r="417" spans="1:27">
      <c r="A417" s="30">
        <f>412</f>
        <v>412</v>
      </c>
      <c r="B417" s="31">
        <f>EDATE(入力!$B$6,A417-1)</f>
        <v>58746</v>
      </c>
      <c r="C417" s="32">
        <f t="shared" si="107"/>
        <v>1081542</v>
      </c>
      <c r="D417" s="32">
        <f t="shared" si="108"/>
        <v>0</v>
      </c>
      <c r="E417" s="33">
        <f>IF(AND(T416="",A417&lt;=S416),IF(A417&lt;入力!$B$11,入力!$B$10,入力!$B$12),0)</f>
        <v>2.5000000000000001E-2</v>
      </c>
      <c r="F417" s="32">
        <f t="shared" si="109"/>
        <v>2253</v>
      </c>
      <c r="G417" s="32">
        <f>ROUND(IF(NOT(AND(T416="",A417&lt;=S416)),0,IF(FALSE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),0)</f>
        <v>121427</v>
      </c>
      <c r="H417" s="32">
        <f t="shared" si="110"/>
        <v>121427</v>
      </c>
      <c r="I417" s="32">
        <f t="shared" si="111"/>
        <v>2253</v>
      </c>
      <c r="J417" s="32">
        <f t="shared" si="112"/>
        <v>0</v>
      </c>
      <c r="K417" s="32">
        <f t="shared" si="113"/>
        <v>0</v>
      </c>
      <c r="L417" s="32">
        <f t="shared" si="114"/>
        <v>119174</v>
      </c>
      <c r="M417" s="32">
        <f>0</f>
        <v>0</v>
      </c>
      <c r="N417" s="32">
        <f t="shared" si="115"/>
        <v>962368</v>
      </c>
      <c r="O417" s="32">
        <f t="shared" si="116"/>
        <v>14106892</v>
      </c>
      <c r="P417" s="34" t="str">
        <f>IF(NOT(AND(T416="",A417&lt;=S416)),"",IF(FALSE,"繰上返済後再計算","")&amp;IF(AND(入力!$B$13="有効",A417&gt;1,MOD(A417-1,60)=0),IF(FALSE,"・","")&amp;"5年見直し","")&amp;IF(AND(A417=入力!$B$11,A417&gt;1),IF(OR(FALSE,AND(入力!$B$13="有効",A417&gt;1,MOD(A417-1,60)=0)),"・","")&amp;"金利変更","")&amp;IF(AND(OR(AND(入力!$B$13="有効",A417&gt;1,MOD(A417-1,60)=0),AND(A417=入力!$B$11,A417&gt;1)),入力!$B$14="有効",IF(E417=0,ROUND(C417/MAX(1,S416-A417+1),0),ROUND(-PMT(E417/12,MAX(1,S416-A417+1),C417),0))&gt;ROUND(G416*1.25,0),NOT(FALSE)),"・上限適用",""))</f>
        <v/>
      </c>
      <c r="Q417" s="35" t="str">
        <f>IF(AND(T416="",A417&lt;=S416),入力!$B$13,"")</f>
        <v>有効</v>
      </c>
      <c r="R417" s="32" t="str">
        <f>IF(AND(AND(T416="",A417&lt;=S416),OR(AND(入力!$B$13="有効",A417&gt;1,MOD(A417-1,60)=0),AND(A417=入力!$B$11,A417&gt;1)),入力!$B$14="有効"),ROUND(G416*1.25,0),"")</f>
        <v/>
      </c>
      <c r="S417" s="36">
        <f t="shared" si="117"/>
        <v>420</v>
      </c>
      <c r="T417" s="35" t="str">
        <f t="shared" si="118"/>
        <v/>
      </c>
      <c r="U417" s="3">
        <f t="shared" si="102"/>
        <v>0</v>
      </c>
      <c r="V417" s="3">
        <f t="shared" si="103"/>
        <v>0</v>
      </c>
      <c r="W417" s="3">
        <f t="shared" si="104"/>
        <v>0</v>
      </c>
      <c r="X417" s="3">
        <f t="shared" si="105"/>
        <v>0</v>
      </c>
      <c r="Y417" s="3">
        <f>0</f>
        <v>0</v>
      </c>
      <c r="Z417" s="3">
        <f t="shared" si="106"/>
        <v>0</v>
      </c>
      <c r="AA417">
        <f>ROUND(IF(FALSE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,0)</f>
        <v>121427</v>
      </c>
    </row>
    <row r="418" spans="1:27">
      <c r="A418" s="30">
        <f>413</f>
        <v>413</v>
      </c>
      <c r="B418" s="31">
        <f>EDATE(入力!$B$6,A418-1)</f>
        <v>58776</v>
      </c>
      <c r="C418" s="32">
        <f t="shared" si="107"/>
        <v>962368</v>
      </c>
      <c r="D418" s="32">
        <f t="shared" si="108"/>
        <v>0</v>
      </c>
      <c r="E418" s="33">
        <f>IF(AND(T417="",A418&lt;=S417),IF(A418&lt;入力!$B$11,入力!$B$10,入力!$B$12),0)</f>
        <v>2.5000000000000001E-2</v>
      </c>
      <c r="F418" s="32">
        <f t="shared" si="109"/>
        <v>2005</v>
      </c>
      <c r="G418" s="32">
        <f>ROUND(IF(NOT(AND(T417="",A418&lt;=S417)),0,IF(FALSE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),0)</f>
        <v>121427</v>
      </c>
      <c r="H418" s="32">
        <f t="shared" si="110"/>
        <v>121427</v>
      </c>
      <c r="I418" s="32">
        <f t="shared" si="111"/>
        <v>2005</v>
      </c>
      <c r="J418" s="32">
        <f t="shared" si="112"/>
        <v>0</v>
      </c>
      <c r="K418" s="32">
        <f t="shared" si="113"/>
        <v>0</v>
      </c>
      <c r="L418" s="32">
        <f t="shared" si="114"/>
        <v>119422</v>
      </c>
      <c r="M418" s="32">
        <f>0</f>
        <v>0</v>
      </c>
      <c r="N418" s="32">
        <f t="shared" si="115"/>
        <v>842946</v>
      </c>
      <c r="O418" s="32">
        <f t="shared" si="116"/>
        <v>14108897</v>
      </c>
      <c r="P418" s="34" t="str">
        <f>IF(NOT(AND(T417="",A418&lt;=S417)),"",IF(FALSE,"繰上返済後再計算","")&amp;IF(AND(入力!$B$13="有効",A418&gt;1,MOD(A418-1,60)=0),IF(FALSE,"・","")&amp;"5年見直し","")&amp;IF(AND(A418=入力!$B$11,A418&gt;1),IF(OR(FALSE,AND(入力!$B$13="有効",A418&gt;1,MOD(A418-1,60)=0)),"・","")&amp;"金利変更","")&amp;IF(AND(OR(AND(入力!$B$13="有効",A418&gt;1,MOD(A418-1,60)=0),AND(A418=入力!$B$11,A418&gt;1)),入力!$B$14="有効",IF(E418=0,ROUND(C418/MAX(1,S417-A418+1),0),ROUND(-PMT(E418/12,MAX(1,S417-A418+1),C418),0))&gt;ROUND(G417*1.25,0),NOT(FALSE)),"・上限適用",""))</f>
        <v/>
      </c>
      <c r="Q418" s="35" t="str">
        <f>IF(AND(T417="",A418&lt;=S417),入力!$B$13,"")</f>
        <v>有効</v>
      </c>
      <c r="R418" s="32" t="str">
        <f>IF(AND(AND(T417="",A418&lt;=S417),OR(AND(入力!$B$13="有効",A418&gt;1,MOD(A418-1,60)=0),AND(A418=入力!$B$11,A418&gt;1)),入力!$B$14="有効"),ROUND(G417*1.25,0),"")</f>
        <v/>
      </c>
      <c r="S418" s="36">
        <f t="shared" si="117"/>
        <v>420</v>
      </c>
      <c r="T418" s="35" t="str">
        <f t="shared" si="118"/>
        <v/>
      </c>
      <c r="U418" s="3">
        <f t="shared" si="102"/>
        <v>0</v>
      </c>
      <c r="V418" s="3">
        <f t="shared" si="103"/>
        <v>0</v>
      </c>
      <c r="W418" s="3">
        <f t="shared" si="104"/>
        <v>0</v>
      </c>
      <c r="X418" s="3">
        <f t="shared" si="105"/>
        <v>0</v>
      </c>
      <c r="Y418" s="3">
        <f>0</f>
        <v>0</v>
      </c>
      <c r="Z418" s="3">
        <f t="shared" si="106"/>
        <v>0</v>
      </c>
      <c r="AA418">
        <f>ROUND(IF(FALSE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,0)</f>
        <v>121427</v>
      </c>
    </row>
    <row r="419" spans="1:27">
      <c r="A419" s="30">
        <f>414</f>
        <v>414</v>
      </c>
      <c r="B419" s="31">
        <f>EDATE(入力!$B$6,A419-1)</f>
        <v>58807</v>
      </c>
      <c r="C419" s="32">
        <f t="shared" si="107"/>
        <v>842946</v>
      </c>
      <c r="D419" s="32">
        <f t="shared" si="108"/>
        <v>0</v>
      </c>
      <c r="E419" s="33">
        <f>IF(AND(T418="",A419&lt;=S418),IF(A419&lt;入力!$B$11,入力!$B$10,入力!$B$12),0)</f>
        <v>2.5000000000000001E-2</v>
      </c>
      <c r="F419" s="32">
        <f t="shared" si="109"/>
        <v>1756</v>
      </c>
      <c r="G419" s="32">
        <f>ROUND(IF(NOT(AND(T418="",A419&lt;=S418)),0,IF(FALSE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),0)</f>
        <v>121427</v>
      </c>
      <c r="H419" s="32">
        <f t="shared" si="110"/>
        <v>121427</v>
      </c>
      <c r="I419" s="32">
        <f t="shared" si="111"/>
        <v>1756</v>
      </c>
      <c r="J419" s="32">
        <f t="shared" si="112"/>
        <v>0</v>
      </c>
      <c r="K419" s="32">
        <f t="shared" si="113"/>
        <v>0</v>
      </c>
      <c r="L419" s="32">
        <f t="shared" si="114"/>
        <v>119671</v>
      </c>
      <c r="M419" s="32">
        <f>0</f>
        <v>0</v>
      </c>
      <c r="N419" s="32">
        <f t="shared" si="115"/>
        <v>723275</v>
      </c>
      <c r="O419" s="32">
        <f t="shared" si="116"/>
        <v>14110653</v>
      </c>
      <c r="P419" s="34" t="str">
        <f>IF(NOT(AND(T418="",A419&lt;=S418)),"",IF(FALSE,"繰上返済後再計算","")&amp;IF(AND(入力!$B$13="有効",A419&gt;1,MOD(A419-1,60)=0),IF(FALSE,"・","")&amp;"5年見直し","")&amp;IF(AND(A419=入力!$B$11,A419&gt;1),IF(OR(FALSE,AND(入力!$B$13="有効",A419&gt;1,MOD(A419-1,60)=0)),"・","")&amp;"金利変更","")&amp;IF(AND(OR(AND(入力!$B$13="有効",A419&gt;1,MOD(A419-1,60)=0),AND(A419=入力!$B$11,A419&gt;1)),入力!$B$14="有効",IF(E419=0,ROUND(C419/MAX(1,S418-A419+1),0),ROUND(-PMT(E419/12,MAX(1,S418-A419+1),C419),0))&gt;ROUND(G418*1.25,0),NOT(FALSE)),"・上限適用",""))</f>
        <v/>
      </c>
      <c r="Q419" s="35" t="str">
        <f>IF(AND(T418="",A419&lt;=S418),入力!$B$13,"")</f>
        <v>有効</v>
      </c>
      <c r="R419" s="32" t="str">
        <f>IF(AND(AND(T418="",A419&lt;=S418),OR(AND(入力!$B$13="有効",A419&gt;1,MOD(A419-1,60)=0),AND(A419=入力!$B$11,A419&gt;1)),入力!$B$14="有効"),ROUND(G418*1.25,0),"")</f>
        <v/>
      </c>
      <c r="S419" s="36">
        <f t="shared" si="117"/>
        <v>420</v>
      </c>
      <c r="T419" s="35" t="str">
        <f t="shared" si="118"/>
        <v/>
      </c>
      <c r="U419" s="3">
        <f t="shared" si="102"/>
        <v>0</v>
      </c>
      <c r="V419" s="3">
        <f t="shared" si="103"/>
        <v>0</v>
      </c>
      <c r="W419" s="3">
        <f t="shared" si="104"/>
        <v>0</v>
      </c>
      <c r="X419" s="3">
        <f t="shared" si="105"/>
        <v>0</v>
      </c>
      <c r="Y419" s="3">
        <f>0</f>
        <v>0</v>
      </c>
      <c r="Z419" s="3">
        <f t="shared" si="106"/>
        <v>0</v>
      </c>
      <c r="AA419">
        <f>ROUND(IF(FALSE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,0)</f>
        <v>121427</v>
      </c>
    </row>
    <row r="420" spans="1:27">
      <c r="A420" s="30">
        <f>415</f>
        <v>415</v>
      </c>
      <c r="B420" s="31">
        <f>EDATE(入力!$B$6,A420-1)</f>
        <v>58838</v>
      </c>
      <c r="C420" s="32">
        <f t="shared" si="107"/>
        <v>723275</v>
      </c>
      <c r="D420" s="32">
        <f t="shared" si="108"/>
        <v>0</v>
      </c>
      <c r="E420" s="33">
        <f>IF(AND(T419="",A420&lt;=S419),IF(A420&lt;入力!$B$11,入力!$B$10,入力!$B$12),0)</f>
        <v>2.5000000000000001E-2</v>
      </c>
      <c r="F420" s="32">
        <f t="shared" si="109"/>
        <v>1507</v>
      </c>
      <c r="G420" s="32">
        <f>ROUND(IF(NOT(AND(T419="",A420&lt;=S419)),0,IF(FALSE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),0)</f>
        <v>121427</v>
      </c>
      <c r="H420" s="32">
        <f t="shared" si="110"/>
        <v>121427</v>
      </c>
      <c r="I420" s="32">
        <f t="shared" si="111"/>
        <v>1507</v>
      </c>
      <c r="J420" s="32">
        <f t="shared" si="112"/>
        <v>0</v>
      </c>
      <c r="K420" s="32">
        <f t="shared" si="113"/>
        <v>0</v>
      </c>
      <c r="L420" s="32">
        <f t="shared" si="114"/>
        <v>119920</v>
      </c>
      <c r="M420" s="32">
        <f>0</f>
        <v>0</v>
      </c>
      <c r="N420" s="32">
        <f t="shared" si="115"/>
        <v>603355</v>
      </c>
      <c r="O420" s="32">
        <f t="shared" si="116"/>
        <v>14112160</v>
      </c>
      <c r="P420" s="34" t="str">
        <f>IF(NOT(AND(T419="",A420&lt;=S419)),"",IF(FALSE,"繰上返済後再計算","")&amp;IF(AND(入力!$B$13="有効",A420&gt;1,MOD(A420-1,60)=0),IF(FALSE,"・","")&amp;"5年見直し","")&amp;IF(AND(A420=入力!$B$11,A420&gt;1),IF(OR(FALSE,AND(入力!$B$13="有効",A420&gt;1,MOD(A420-1,60)=0)),"・","")&amp;"金利変更","")&amp;IF(AND(OR(AND(入力!$B$13="有効",A420&gt;1,MOD(A420-1,60)=0),AND(A420=入力!$B$11,A420&gt;1)),入力!$B$14="有効",IF(E420=0,ROUND(C420/MAX(1,S419-A420+1),0),ROUND(-PMT(E420/12,MAX(1,S419-A420+1),C420),0))&gt;ROUND(G419*1.25,0),NOT(FALSE)),"・上限適用",""))</f>
        <v/>
      </c>
      <c r="Q420" s="35" t="str">
        <f>IF(AND(T419="",A420&lt;=S419),入力!$B$13,"")</f>
        <v>有効</v>
      </c>
      <c r="R420" s="32" t="str">
        <f>IF(AND(AND(T419="",A420&lt;=S419),OR(AND(入力!$B$13="有効",A420&gt;1,MOD(A420-1,60)=0),AND(A420=入力!$B$11,A420&gt;1)),入力!$B$14="有効"),ROUND(G419*1.25,0),"")</f>
        <v/>
      </c>
      <c r="S420" s="36">
        <f t="shared" si="117"/>
        <v>420</v>
      </c>
      <c r="T420" s="35" t="str">
        <f t="shared" si="118"/>
        <v/>
      </c>
      <c r="U420" s="3">
        <f t="shared" si="102"/>
        <v>0</v>
      </c>
      <c r="V420" s="3">
        <f t="shared" si="103"/>
        <v>0</v>
      </c>
      <c r="W420" s="3">
        <f t="shared" si="104"/>
        <v>0</v>
      </c>
      <c r="X420" s="3">
        <f t="shared" si="105"/>
        <v>0</v>
      </c>
      <c r="Y420" s="3">
        <f>0</f>
        <v>0</v>
      </c>
      <c r="Z420" s="3">
        <f t="shared" si="106"/>
        <v>0</v>
      </c>
      <c r="AA420">
        <f>ROUND(IF(FALSE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,0)</f>
        <v>121427</v>
      </c>
    </row>
    <row r="421" spans="1:27">
      <c r="A421" s="30">
        <f>416</f>
        <v>416</v>
      </c>
      <c r="B421" s="31">
        <f>EDATE(入力!$B$6,A421-1)</f>
        <v>58866</v>
      </c>
      <c r="C421" s="32">
        <f t="shared" si="107"/>
        <v>603355</v>
      </c>
      <c r="D421" s="32">
        <f t="shared" si="108"/>
        <v>0</v>
      </c>
      <c r="E421" s="33">
        <f>IF(AND(T420="",A421&lt;=S420),IF(A421&lt;入力!$B$11,入力!$B$10,入力!$B$12),0)</f>
        <v>2.5000000000000001E-2</v>
      </c>
      <c r="F421" s="32">
        <f t="shared" si="109"/>
        <v>1257</v>
      </c>
      <c r="G421" s="32">
        <f>ROUND(IF(NOT(AND(T420="",A421&lt;=S420)),0,IF(FALSE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),0)</f>
        <v>121427</v>
      </c>
      <c r="H421" s="32">
        <f t="shared" si="110"/>
        <v>121427</v>
      </c>
      <c r="I421" s="32">
        <f t="shared" si="111"/>
        <v>1257</v>
      </c>
      <c r="J421" s="32">
        <f t="shared" si="112"/>
        <v>0</v>
      </c>
      <c r="K421" s="32">
        <f t="shared" si="113"/>
        <v>0</v>
      </c>
      <c r="L421" s="32">
        <f t="shared" si="114"/>
        <v>120170</v>
      </c>
      <c r="M421" s="32">
        <f>0</f>
        <v>0</v>
      </c>
      <c r="N421" s="32">
        <f t="shared" si="115"/>
        <v>483185</v>
      </c>
      <c r="O421" s="32">
        <f t="shared" si="116"/>
        <v>14113417</v>
      </c>
      <c r="P421" s="34" t="str">
        <f>IF(NOT(AND(T420="",A421&lt;=S420)),"",IF(FALSE,"繰上返済後再計算","")&amp;IF(AND(入力!$B$13="有効",A421&gt;1,MOD(A421-1,60)=0),IF(FALSE,"・","")&amp;"5年見直し","")&amp;IF(AND(A421=入力!$B$11,A421&gt;1),IF(OR(FALSE,AND(入力!$B$13="有効",A421&gt;1,MOD(A421-1,60)=0)),"・","")&amp;"金利変更","")&amp;IF(AND(OR(AND(入力!$B$13="有効",A421&gt;1,MOD(A421-1,60)=0),AND(A421=入力!$B$11,A421&gt;1)),入力!$B$14="有効",IF(E421=0,ROUND(C421/MAX(1,S420-A421+1),0),ROUND(-PMT(E421/12,MAX(1,S420-A421+1),C421),0))&gt;ROUND(G420*1.25,0),NOT(FALSE)),"・上限適用",""))</f>
        <v/>
      </c>
      <c r="Q421" s="35" t="str">
        <f>IF(AND(T420="",A421&lt;=S420),入力!$B$13,"")</f>
        <v>有効</v>
      </c>
      <c r="R421" s="32" t="str">
        <f>IF(AND(AND(T420="",A421&lt;=S420),OR(AND(入力!$B$13="有効",A421&gt;1,MOD(A421-1,60)=0),AND(A421=入力!$B$11,A421&gt;1)),入力!$B$14="有効"),ROUND(G420*1.25,0),"")</f>
        <v/>
      </c>
      <c r="S421" s="36">
        <f t="shared" si="117"/>
        <v>420</v>
      </c>
      <c r="T421" s="35" t="str">
        <f t="shared" si="118"/>
        <v/>
      </c>
      <c r="U421" s="3">
        <f t="shared" si="102"/>
        <v>0</v>
      </c>
      <c r="V421" s="3">
        <f t="shared" si="103"/>
        <v>0</v>
      </c>
      <c r="W421" s="3">
        <f t="shared" si="104"/>
        <v>0</v>
      </c>
      <c r="X421" s="3">
        <f t="shared" si="105"/>
        <v>0</v>
      </c>
      <c r="Y421" s="3">
        <f>0</f>
        <v>0</v>
      </c>
      <c r="Z421" s="3">
        <f t="shared" si="106"/>
        <v>0</v>
      </c>
      <c r="AA421">
        <f>ROUND(IF(FALSE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,0)</f>
        <v>121427</v>
      </c>
    </row>
    <row r="422" spans="1:27">
      <c r="A422" s="30">
        <f>417</f>
        <v>417</v>
      </c>
      <c r="B422" s="31">
        <f>EDATE(入力!$B$6,A422-1)</f>
        <v>58897</v>
      </c>
      <c r="C422" s="32">
        <f t="shared" si="107"/>
        <v>483185</v>
      </c>
      <c r="D422" s="32">
        <f t="shared" si="108"/>
        <v>0</v>
      </c>
      <c r="E422" s="33">
        <f>IF(AND(T421="",A422&lt;=S421),IF(A422&lt;入力!$B$11,入力!$B$10,入力!$B$12),0)</f>
        <v>2.5000000000000001E-2</v>
      </c>
      <c r="F422" s="32">
        <f t="shared" si="109"/>
        <v>1007</v>
      </c>
      <c r="G422" s="32">
        <f>ROUND(IF(NOT(AND(T421="",A422&lt;=S421)),0,IF(FALSE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),0)</f>
        <v>121427</v>
      </c>
      <c r="H422" s="32">
        <f t="shared" si="110"/>
        <v>121427</v>
      </c>
      <c r="I422" s="32">
        <f t="shared" si="111"/>
        <v>1007</v>
      </c>
      <c r="J422" s="32">
        <f t="shared" si="112"/>
        <v>0</v>
      </c>
      <c r="K422" s="32">
        <f t="shared" si="113"/>
        <v>0</v>
      </c>
      <c r="L422" s="32">
        <f t="shared" si="114"/>
        <v>120420</v>
      </c>
      <c r="M422" s="32">
        <f>0</f>
        <v>0</v>
      </c>
      <c r="N422" s="32">
        <f t="shared" si="115"/>
        <v>362765</v>
      </c>
      <c r="O422" s="32">
        <f t="shared" si="116"/>
        <v>14114424</v>
      </c>
      <c r="P422" s="34" t="str">
        <f>IF(NOT(AND(T421="",A422&lt;=S421)),"",IF(FALSE,"繰上返済後再計算","")&amp;IF(AND(入力!$B$13="有効",A422&gt;1,MOD(A422-1,60)=0),IF(FALSE,"・","")&amp;"5年見直し","")&amp;IF(AND(A422=入力!$B$11,A422&gt;1),IF(OR(FALSE,AND(入力!$B$13="有効",A422&gt;1,MOD(A422-1,60)=0)),"・","")&amp;"金利変更","")&amp;IF(AND(OR(AND(入力!$B$13="有効",A422&gt;1,MOD(A422-1,60)=0),AND(A422=入力!$B$11,A422&gt;1)),入力!$B$14="有効",IF(E422=0,ROUND(C422/MAX(1,S421-A422+1),0),ROUND(-PMT(E422/12,MAX(1,S421-A422+1),C422),0))&gt;ROUND(G421*1.25,0),NOT(FALSE)),"・上限適用",""))</f>
        <v/>
      </c>
      <c r="Q422" s="35" t="str">
        <f>IF(AND(T421="",A422&lt;=S421),入力!$B$13,"")</f>
        <v>有効</v>
      </c>
      <c r="R422" s="32" t="str">
        <f>IF(AND(AND(T421="",A422&lt;=S421),OR(AND(入力!$B$13="有効",A422&gt;1,MOD(A422-1,60)=0),AND(A422=入力!$B$11,A422&gt;1)),入力!$B$14="有効"),ROUND(G421*1.25,0),"")</f>
        <v/>
      </c>
      <c r="S422" s="36">
        <f t="shared" si="117"/>
        <v>420</v>
      </c>
      <c r="T422" s="35" t="str">
        <f t="shared" si="118"/>
        <v/>
      </c>
      <c r="U422" s="3">
        <f t="shared" si="102"/>
        <v>0</v>
      </c>
      <c r="V422" s="3">
        <f t="shared" si="103"/>
        <v>0</v>
      </c>
      <c r="W422" s="3">
        <f t="shared" si="104"/>
        <v>0</v>
      </c>
      <c r="X422" s="3">
        <f t="shared" si="105"/>
        <v>0</v>
      </c>
      <c r="Y422" s="3">
        <f>0</f>
        <v>0</v>
      </c>
      <c r="Z422" s="3">
        <f t="shared" si="106"/>
        <v>0</v>
      </c>
      <c r="AA422">
        <f>ROUND(IF(FALSE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,0)</f>
        <v>121427</v>
      </c>
    </row>
    <row r="423" spans="1:27">
      <c r="A423" s="30">
        <f>418</f>
        <v>418</v>
      </c>
      <c r="B423" s="31">
        <f>EDATE(入力!$B$6,A423-1)</f>
        <v>58927</v>
      </c>
      <c r="C423" s="32">
        <f t="shared" si="107"/>
        <v>362765</v>
      </c>
      <c r="D423" s="32">
        <f t="shared" si="108"/>
        <v>0</v>
      </c>
      <c r="E423" s="33">
        <f>IF(AND(T422="",A423&lt;=S422),IF(A423&lt;入力!$B$11,入力!$B$10,入力!$B$12),0)</f>
        <v>2.5000000000000001E-2</v>
      </c>
      <c r="F423" s="32">
        <f t="shared" si="109"/>
        <v>756</v>
      </c>
      <c r="G423" s="32">
        <f>ROUND(IF(NOT(AND(T422="",A423&lt;=S422)),0,IF(FALSE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),0)</f>
        <v>121427</v>
      </c>
      <c r="H423" s="32">
        <f t="shared" si="110"/>
        <v>121427</v>
      </c>
      <c r="I423" s="32">
        <f t="shared" si="111"/>
        <v>756</v>
      </c>
      <c r="J423" s="32">
        <f t="shared" si="112"/>
        <v>0</v>
      </c>
      <c r="K423" s="32">
        <f t="shared" si="113"/>
        <v>0</v>
      </c>
      <c r="L423" s="32">
        <f t="shared" si="114"/>
        <v>120671</v>
      </c>
      <c r="M423" s="32">
        <f>0</f>
        <v>0</v>
      </c>
      <c r="N423" s="32">
        <f t="shared" si="115"/>
        <v>242094</v>
      </c>
      <c r="O423" s="32">
        <f t="shared" si="116"/>
        <v>14115180</v>
      </c>
      <c r="P423" s="34" t="str">
        <f>IF(NOT(AND(T422="",A423&lt;=S422)),"",IF(FALSE,"繰上返済後再計算","")&amp;IF(AND(入力!$B$13="有効",A423&gt;1,MOD(A423-1,60)=0),IF(FALSE,"・","")&amp;"5年見直し","")&amp;IF(AND(A423=入力!$B$11,A423&gt;1),IF(OR(FALSE,AND(入力!$B$13="有効",A423&gt;1,MOD(A423-1,60)=0)),"・","")&amp;"金利変更","")&amp;IF(AND(OR(AND(入力!$B$13="有効",A423&gt;1,MOD(A423-1,60)=0),AND(A423=入力!$B$11,A423&gt;1)),入力!$B$14="有効",IF(E423=0,ROUND(C423/MAX(1,S422-A423+1),0),ROUND(-PMT(E423/12,MAX(1,S422-A423+1),C423),0))&gt;ROUND(G422*1.25,0),NOT(FALSE)),"・上限適用",""))</f>
        <v/>
      </c>
      <c r="Q423" s="35" t="str">
        <f>IF(AND(T422="",A423&lt;=S422),入力!$B$13,"")</f>
        <v>有効</v>
      </c>
      <c r="R423" s="32" t="str">
        <f>IF(AND(AND(T422="",A423&lt;=S422),OR(AND(入力!$B$13="有効",A423&gt;1,MOD(A423-1,60)=0),AND(A423=入力!$B$11,A423&gt;1)),入力!$B$14="有効"),ROUND(G422*1.25,0),"")</f>
        <v/>
      </c>
      <c r="S423" s="36">
        <f t="shared" si="117"/>
        <v>420</v>
      </c>
      <c r="T423" s="35" t="str">
        <f t="shared" si="118"/>
        <v/>
      </c>
      <c r="U423" s="3">
        <f t="shared" si="102"/>
        <v>0</v>
      </c>
      <c r="V423" s="3">
        <f t="shared" si="103"/>
        <v>0</v>
      </c>
      <c r="W423" s="3">
        <f t="shared" si="104"/>
        <v>0</v>
      </c>
      <c r="X423" s="3">
        <f t="shared" si="105"/>
        <v>0</v>
      </c>
      <c r="Y423" s="3">
        <f>0</f>
        <v>0</v>
      </c>
      <c r="Z423" s="3">
        <f t="shared" si="106"/>
        <v>0</v>
      </c>
      <c r="AA423">
        <f>ROUND(IF(FALSE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,0)</f>
        <v>121427</v>
      </c>
    </row>
    <row r="424" spans="1:27">
      <c r="A424" s="30">
        <f>419</f>
        <v>419</v>
      </c>
      <c r="B424" s="31">
        <f>EDATE(入力!$B$6,A424-1)</f>
        <v>58958</v>
      </c>
      <c r="C424" s="32">
        <f t="shared" si="107"/>
        <v>242094</v>
      </c>
      <c r="D424" s="32">
        <f t="shared" si="108"/>
        <v>0</v>
      </c>
      <c r="E424" s="33">
        <f>IF(AND(T423="",A424&lt;=S423),IF(A424&lt;入力!$B$11,入力!$B$10,入力!$B$12),0)</f>
        <v>2.5000000000000001E-2</v>
      </c>
      <c r="F424" s="32">
        <f t="shared" si="109"/>
        <v>504</v>
      </c>
      <c r="G424" s="32">
        <f>ROUND(IF(NOT(AND(T423="",A424&lt;=S423)),0,IF(FALSE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),0)</f>
        <v>121427</v>
      </c>
      <c r="H424" s="32">
        <f t="shared" si="110"/>
        <v>121427</v>
      </c>
      <c r="I424" s="32">
        <f t="shared" si="111"/>
        <v>504</v>
      </c>
      <c r="J424" s="32">
        <f t="shared" si="112"/>
        <v>0</v>
      </c>
      <c r="K424" s="32">
        <f t="shared" si="113"/>
        <v>0</v>
      </c>
      <c r="L424" s="32">
        <f t="shared" si="114"/>
        <v>120923</v>
      </c>
      <c r="M424" s="32">
        <f>0</f>
        <v>0</v>
      </c>
      <c r="N424" s="32">
        <f t="shared" si="115"/>
        <v>121171</v>
      </c>
      <c r="O424" s="32">
        <f t="shared" si="116"/>
        <v>14115684</v>
      </c>
      <c r="P424" s="34" t="str">
        <f>IF(NOT(AND(T423="",A424&lt;=S423)),"",IF(FALSE,"繰上返済後再計算","")&amp;IF(AND(入力!$B$13="有効",A424&gt;1,MOD(A424-1,60)=0),IF(FALSE,"・","")&amp;"5年見直し","")&amp;IF(AND(A424=入力!$B$11,A424&gt;1),IF(OR(FALSE,AND(入力!$B$13="有効",A424&gt;1,MOD(A424-1,60)=0)),"・","")&amp;"金利変更","")&amp;IF(AND(OR(AND(入力!$B$13="有効",A424&gt;1,MOD(A424-1,60)=0),AND(A424=入力!$B$11,A424&gt;1)),入力!$B$14="有効",IF(E424=0,ROUND(C424/MAX(1,S423-A424+1),0),ROUND(-PMT(E424/12,MAX(1,S423-A424+1),C424),0))&gt;ROUND(G423*1.25,0),NOT(FALSE)),"・上限適用",""))</f>
        <v/>
      </c>
      <c r="Q424" s="35" t="str">
        <f>IF(AND(T423="",A424&lt;=S423),入力!$B$13,"")</f>
        <v>有効</v>
      </c>
      <c r="R424" s="32" t="str">
        <f>IF(AND(AND(T423="",A424&lt;=S423),OR(AND(入力!$B$13="有効",A424&gt;1,MOD(A424-1,60)=0),AND(A424=入力!$B$11,A424&gt;1)),入力!$B$14="有効"),ROUND(G423*1.25,0),"")</f>
        <v/>
      </c>
      <c r="S424" s="36">
        <f t="shared" si="117"/>
        <v>420</v>
      </c>
      <c r="T424" s="35" t="str">
        <f t="shared" si="118"/>
        <v/>
      </c>
      <c r="U424" s="3">
        <f t="shared" si="102"/>
        <v>0</v>
      </c>
      <c r="V424" s="3">
        <f t="shared" si="103"/>
        <v>0</v>
      </c>
      <c r="W424" s="3">
        <f t="shared" si="104"/>
        <v>0</v>
      </c>
      <c r="X424" s="3">
        <f t="shared" si="105"/>
        <v>0</v>
      </c>
      <c r="Y424" s="3">
        <f>0</f>
        <v>0</v>
      </c>
      <c r="Z424" s="3">
        <f t="shared" si="106"/>
        <v>0</v>
      </c>
      <c r="AA424">
        <f>ROUND(IF(FALSE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,0)</f>
        <v>121427</v>
      </c>
    </row>
    <row r="425" spans="1:27">
      <c r="A425" s="30">
        <f>420</f>
        <v>420</v>
      </c>
      <c r="B425" s="31">
        <f>EDATE(入力!$B$6,A425-1)</f>
        <v>58988</v>
      </c>
      <c r="C425" s="32">
        <f t="shared" si="107"/>
        <v>121171</v>
      </c>
      <c r="D425" s="32">
        <f t="shared" si="108"/>
        <v>0</v>
      </c>
      <c r="E425" s="33">
        <f>IF(AND(T424="",A425&lt;=S424),IF(A425&lt;入力!$B$11,入力!$B$10,入力!$B$12),0)</f>
        <v>2.5000000000000001E-2</v>
      </c>
      <c r="F425" s="32">
        <f t="shared" si="109"/>
        <v>252</v>
      </c>
      <c r="G425" s="32">
        <f>ROUND(IF(NOT(AND(T424="",A425&lt;=S424)),0,IF(FALSE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),0)</f>
        <v>121427</v>
      </c>
      <c r="H425" s="32">
        <f t="shared" si="110"/>
        <v>121423</v>
      </c>
      <c r="I425" s="32">
        <f t="shared" si="111"/>
        <v>252</v>
      </c>
      <c r="J425" s="32">
        <f t="shared" si="112"/>
        <v>0</v>
      </c>
      <c r="K425" s="32">
        <f t="shared" si="113"/>
        <v>0</v>
      </c>
      <c r="L425" s="32">
        <f t="shared" si="114"/>
        <v>121171</v>
      </c>
      <c r="M425" s="32">
        <f>0</f>
        <v>0</v>
      </c>
      <c r="N425" s="32">
        <f t="shared" si="115"/>
        <v>0</v>
      </c>
      <c r="O425" s="32">
        <f t="shared" si="116"/>
        <v>14115936</v>
      </c>
      <c r="P425" s="34" t="str">
        <f>IF(NOT(AND(T424="",A425&lt;=S424)),"",IF(FALSE,"繰上返済後再計算","")&amp;IF(AND(入力!$B$13="有効",A425&gt;1,MOD(A425-1,60)=0),IF(FALSE,"・","")&amp;"5年見直し","")&amp;IF(AND(A425=入力!$B$11,A425&gt;1),IF(OR(FALSE,AND(入力!$B$13="有効",A425&gt;1,MOD(A425-1,60)=0)),"・","")&amp;"金利変更","")&amp;IF(AND(OR(AND(入力!$B$13="有効",A425&gt;1,MOD(A425-1,60)=0),AND(A425=入力!$B$11,A425&gt;1)),入力!$B$14="有効",IF(E425=0,ROUND(C425/MAX(1,S424-A425+1),0),ROUND(-PMT(E425/12,MAX(1,S424-A425+1),C425),0))&gt;ROUND(G424*1.25,0),NOT(FALSE)),"・上限適用",""))</f>
        <v/>
      </c>
      <c r="Q425" s="35" t="str">
        <f>IF(AND(T424="",A425&lt;=S424),入力!$B$13,"")</f>
        <v>有効</v>
      </c>
      <c r="R425" s="32" t="str">
        <f>IF(AND(AND(T424="",A425&lt;=S424),OR(AND(入力!$B$13="有効",A425&gt;1,MOD(A425-1,60)=0),AND(A425=入力!$B$11,A425&gt;1)),入力!$B$14="有効"),ROUND(G424*1.25,0),"")</f>
        <v/>
      </c>
      <c r="S425" s="36">
        <f t="shared" si="117"/>
        <v>420</v>
      </c>
      <c r="T425" s="35" t="str">
        <f t="shared" si="118"/>
        <v>完済</v>
      </c>
      <c r="U425" s="3">
        <f t="shared" si="102"/>
        <v>0</v>
      </c>
      <c r="V425" s="3">
        <f t="shared" si="103"/>
        <v>0</v>
      </c>
      <c r="W425" s="3">
        <f t="shared" si="104"/>
        <v>0</v>
      </c>
      <c r="X425" s="3">
        <f t="shared" si="105"/>
        <v>0</v>
      </c>
      <c r="Y425" s="3">
        <f>0</f>
        <v>0</v>
      </c>
      <c r="Z425" s="3">
        <f t="shared" si="106"/>
        <v>0</v>
      </c>
      <c r="AA425">
        <f>ROUND(IF(FALSE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,0)</f>
        <v>121427</v>
      </c>
    </row>
    <row r="426" spans="1:27">
      <c r="A426" s="30">
        <f>421</f>
        <v>421</v>
      </c>
      <c r="B426" s="31">
        <f>EDATE(入力!$B$6,A426-1)</f>
        <v>59019</v>
      </c>
      <c r="C426" s="32">
        <f t="shared" si="107"/>
        <v>0</v>
      </c>
      <c r="D426" s="32">
        <f t="shared" si="108"/>
        <v>0</v>
      </c>
      <c r="E426" s="33">
        <f>IF(AND(T425="",A426&lt;=S425),IF(A426&lt;入力!$B$11,入力!$B$10,入力!$B$12),0)</f>
        <v>0</v>
      </c>
      <c r="F426" s="32">
        <f t="shared" si="109"/>
        <v>0</v>
      </c>
      <c r="G426" s="32">
        <f>ROUND(IF(NOT(AND(T425="",A426&lt;=S425)),0,IF(FALSE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),0)</f>
        <v>0</v>
      </c>
      <c r="H426" s="32">
        <f t="shared" si="110"/>
        <v>0</v>
      </c>
      <c r="I426" s="32">
        <f t="shared" si="111"/>
        <v>0</v>
      </c>
      <c r="J426" s="32">
        <f t="shared" si="112"/>
        <v>0</v>
      </c>
      <c r="K426" s="32">
        <f t="shared" si="113"/>
        <v>0</v>
      </c>
      <c r="L426" s="32">
        <f t="shared" si="114"/>
        <v>0</v>
      </c>
      <c r="M426" s="32">
        <f>0</f>
        <v>0</v>
      </c>
      <c r="N426" s="32">
        <f t="shared" si="115"/>
        <v>0</v>
      </c>
      <c r="O426" s="32">
        <f t="shared" si="116"/>
        <v>14115936</v>
      </c>
      <c r="P426" s="34" t="str">
        <f>IF(NOT(AND(T425="",A426&lt;=S425)),"",IF(FALSE,"繰上返済後再計算","")&amp;IF(AND(入力!$B$13="有効",A426&gt;1,MOD(A426-1,60)=0),IF(FALSE,"・","")&amp;"5年見直し","")&amp;IF(AND(A426=入力!$B$11,A426&gt;1),IF(OR(FALSE,AND(入力!$B$13="有効",A426&gt;1,MOD(A426-1,60)=0)),"・","")&amp;"金利変更","")&amp;IF(AND(OR(AND(入力!$B$13="有効",A426&gt;1,MOD(A426-1,60)=0),AND(A426=入力!$B$11,A426&gt;1)),入力!$B$14="有効",IF(E426=0,ROUND(C426/MAX(1,S425-A426+1),0),ROUND(-PMT(E426/12,MAX(1,S425-A426+1),C426),0))&gt;ROUND(G425*1.25,0),NOT(FALSE)),"・上限適用",""))</f>
        <v/>
      </c>
      <c r="Q426" s="35" t="str">
        <f>IF(AND(T425="",A426&lt;=S425),入力!$B$13,"")</f>
        <v/>
      </c>
      <c r="R426" s="32" t="str">
        <f>IF(AND(AND(T425="",A426&lt;=S425),OR(AND(入力!$B$13="有効",A426&gt;1,MOD(A426-1,60)=0),AND(A426=入力!$B$11,A426&gt;1)),入力!$B$14="有効"),ROUND(G425*1.25,0),"")</f>
        <v/>
      </c>
      <c r="S426" s="36">
        <f t="shared" si="117"/>
        <v>420</v>
      </c>
      <c r="T426" s="35" t="str">
        <f t="shared" si="118"/>
        <v/>
      </c>
      <c r="U426" s="3">
        <f t="shared" si="102"/>
        <v>0</v>
      </c>
      <c r="V426" s="3">
        <f t="shared" si="103"/>
        <v>0</v>
      </c>
      <c r="W426" s="3">
        <f t="shared" si="104"/>
        <v>0</v>
      </c>
      <c r="X426" s="3">
        <f t="shared" si="105"/>
        <v>0</v>
      </c>
      <c r="Y426" s="3">
        <f>0</f>
        <v>0</v>
      </c>
      <c r="Z426" s="3">
        <f t="shared" si="106"/>
        <v>0</v>
      </c>
      <c r="AA426">
        <f>ROUND(IF(FALSE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,0)</f>
        <v>0</v>
      </c>
    </row>
    <row r="427" spans="1:27">
      <c r="A427" s="30">
        <f>422</f>
        <v>422</v>
      </c>
      <c r="B427" s="31">
        <f>EDATE(入力!$B$6,A427-1)</f>
        <v>59050</v>
      </c>
      <c r="C427" s="32">
        <f t="shared" si="107"/>
        <v>0</v>
      </c>
      <c r="D427" s="32">
        <f t="shared" si="108"/>
        <v>0</v>
      </c>
      <c r="E427" s="33">
        <f>IF(AND(T426="",A427&lt;=S426),IF(A427&lt;入力!$B$11,入力!$B$10,入力!$B$12),0)</f>
        <v>0</v>
      </c>
      <c r="F427" s="32">
        <f t="shared" si="109"/>
        <v>0</v>
      </c>
      <c r="G427" s="32">
        <f>ROUND(IF(NOT(AND(T426="",A427&lt;=S426)),0,IF(FALSE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),0)</f>
        <v>0</v>
      </c>
      <c r="H427" s="32">
        <f t="shared" si="110"/>
        <v>0</v>
      </c>
      <c r="I427" s="32">
        <f t="shared" si="111"/>
        <v>0</v>
      </c>
      <c r="J427" s="32">
        <f t="shared" si="112"/>
        <v>0</v>
      </c>
      <c r="K427" s="32">
        <f t="shared" si="113"/>
        <v>0</v>
      </c>
      <c r="L427" s="32">
        <f t="shared" si="114"/>
        <v>0</v>
      </c>
      <c r="M427" s="32">
        <f>0</f>
        <v>0</v>
      </c>
      <c r="N427" s="32">
        <f t="shared" si="115"/>
        <v>0</v>
      </c>
      <c r="O427" s="32">
        <f t="shared" si="116"/>
        <v>14115936</v>
      </c>
      <c r="P427" s="34" t="str">
        <f>IF(NOT(AND(T426="",A427&lt;=S426)),"",IF(FALSE,"繰上返済後再計算","")&amp;IF(AND(入力!$B$13="有効",A427&gt;1,MOD(A427-1,60)=0),IF(FALSE,"・","")&amp;"5年見直し","")&amp;IF(AND(A427=入力!$B$11,A427&gt;1),IF(OR(FALSE,AND(入力!$B$13="有効",A427&gt;1,MOD(A427-1,60)=0)),"・","")&amp;"金利変更","")&amp;IF(AND(OR(AND(入力!$B$13="有効",A427&gt;1,MOD(A427-1,60)=0),AND(A427=入力!$B$11,A427&gt;1)),入力!$B$14="有効",IF(E427=0,ROUND(C427/MAX(1,S426-A427+1),0),ROUND(-PMT(E427/12,MAX(1,S426-A427+1),C427),0))&gt;ROUND(G426*1.25,0),NOT(FALSE)),"・上限適用",""))</f>
        <v/>
      </c>
      <c r="Q427" s="35" t="str">
        <f>IF(AND(T426="",A427&lt;=S426),入力!$B$13,"")</f>
        <v/>
      </c>
      <c r="R427" s="32" t="str">
        <f>IF(AND(AND(T426="",A427&lt;=S426),OR(AND(入力!$B$13="有効",A427&gt;1,MOD(A427-1,60)=0),AND(A427=入力!$B$11,A427&gt;1)),入力!$B$14="有効"),ROUND(G426*1.25,0),"")</f>
        <v/>
      </c>
      <c r="S427" s="36">
        <f t="shared" si="117"/>
        <v>420</v>
      </c>
      <c r="T427" s="35" t="str">
        <f t="shared" si="118"/>
        <v/>
      </c>
      <c r="U427" s="3">
        <f t="shared" si="102"/>
        <v>0</v>
      </c>
      <c r="V427" s="3">
        <f t="shared" si="103"/>
        <v>0</v>
      </c>
      <c r="W427" s="3">
        <f t="shared" si="104"/>
        <v>0</v>
      </c>
      <c r="X427" s="3">
        <f t="shared" si="105"/>
        <v>0</v>
      </c>
      <c r="Y427" s="3">
        <f>0</f>
        <v>0</v>
      </c>
      <c r="Z427" s="3">
        <f t="shared" si="106"/>
        <v>0</v>
      </c>
      <c r="AA427">
        <f>ROUND(IF(FALSE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,0)</f>
        <v>0</v>
      </c>
    </row>
    <row r="428" spans="1:27">
      <c r="A428" s="30">
        <f>423</f>
        <v>423</v>
      </c>
      <c r="B428" s="31">
        <f>EDATE(入力!$B$6,A428-1)</f>
        <v>59080</v>
      </c>
      <c r="C428" s="32">
        <f t="shared" si="107"/>
        <v>0</v>
      </c>
      <c r="D428" s="32">
        <f t="shared" si="108"/>
        <v>0</v>
      </c>
      <c r="E428" s="33">
        <f>IF(AND(T427="",A428&lt;=S427),IF(A428&lt;入力!$B$11,入力!$B$10,入力!$B$12),0)</f>
        <v>0</v>
      </c>
      <c r="F428" s="32">
        <f t="shared" si="109"/>
        <v>0</v>
      </c>
      <c r="G428" s="32">
        <f>ROUND(IF(NOT(AND(T427="",A428&lt;=S427)),0,IF(FALSE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),0)</f>
        <v>0</v>
      </c>
      <c r="H428" s="32">
        <f t="shared" si="110"/>
        <v>0</v>
      </c>
      <c r="I428" s="32">
        <f t="shared" si="111"/>
        <v>0</v>
      </c>
      <c r="J428" s="32">
        <f t="shared" si="112"/>
        <v>0</v>
      </c>
      <c r="K428" s="32">
        <f t="shared" si="113"/>
        <v>0</v>
      </c>
      <c r="L428" s="32">
        <f t="shared" si="114"/>
        <v>0</v>
      </c>
      <c r="M428" s="32">
        <f>0</f>
        <v>0</v>
      </c>
      <c r="N428" s="32">
        <f t="shared" si="115"/>
        <v>0</v>
      </c>
      <c r="O428" s="32">
        <f t="shared" si="116"/>
        <v>14115936</v>
      </c>
      <c r="P428" s="34" t="str">
        <f>IF(NOT(AND(T427="",A428&lt;=S427)),"",IF(FALSE,"繰上返済後再計算","")&amp;IF(AND(入力!$B$13="有効",A428&gt;1,MOD(A428-1,60)=0),IF(FALSE,"・","")&amp;"5年見直し","")&amp;IF(AND(A428=入力!$B$11,A428&gt;1),IF(OR(FALSE,AND(入力!$B$13="有効",A428&gt;1,MOD(A428-1,60)=0)),"・","")&amp;"金利変更","")&amp;IF(AND(OR(AND(入力!$B$13="有効",A428&gt;1,MOD(A428-1,60)=0),AND(A428=入力!$B$11,A428&gt;1)),入力!$B$14="有効",IF(E428=0,ROUND(C428/MAX(1,S427-A428+1),0),ROUND(-PMT(E428/12,MAX(1,S427-A428+1),C428),0))&gt;ROUND(G427*1.25,0),NOT(FALSE)),"・上限適用",""))</f>
        <v/>
      </c>
      <c r="Q428" s="35" t="str">
        <f>IF(AND(T427="",A428&lt;=S427),入力!$B$13,"")</f>
        <v/>
      </c>
      <c r="R428" s="32" t="str">
        <f>IF(AND(AND(T427="",A428&lt;=S427),OR(AND(入力!$B$13="有効",A428&gt;1,MOD(A428-1,60)=0),AND(A428=入力!$B$11,A428&gt;1)),入力!$B$14="有効"),ROUND(G427*1.25,0),"")</f>
        <v/>
      </c>
      <c r="S428" s="36">
        <f t="shared" si="117"/>
        <v>420</v>
      </c>
      <c r="T428" s="35" t="str">
        <f t="shared" si="118"/>
        <v/>
      </c>
      <c r="U428" s="3">
        <f t="shared" si="102"/>
        <v>0</v>
      </c>
      <c r="V428" s="3">
        <f t="shared" si="103"/>
        <v>0</v>
      </c>
      <c r="W428" s="3">
        <f t="shared" si="104"/>
        <v>0</v>
      </c>
      <c r="X428" s="3">
        <f t="shared" si="105"/>
        <v>0</v>
      </c>
      <c r="Y428" s="3">
        <f>0</f>
        <v>0</v>
      </c>
      <c r="Z428" s="3">
        <f t="shared" si="106"/>
        <v>0</v>
      </c>
      <c r="AA428">
        <f>ROUND(IF(FALSE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,0)</f>
        <v>0</v>
      </c>
    </row>
    <row r="429" spans="1:27">
      <c r="A429" s="30">
        <f>424</f>
        <v>424</v>
      </c>
      <c r="B429" s="31">
        <f>EDATE(入力!$B$6,A429-1)</f>
        <v>59111</v>
      </c>
      <c r="C429" s="32">
        <f t="shared" si="107"/>
        <v>0</v>
      </c>
      <c r="D429" s="32">
        <f t="shared" si="108"/>
        <v>0</v>
      </c>
      <c r="E429" s="33">
        <f>IF(AND(T428="",A429&lt;=S428),IF(A429&lt;入力!$B$11,入力!$B$10,入力!$B$12),0)</f>
        <v>0</v>
      </c>
      <c r="F429" s="32">
        <f t="shared" si="109"/>
        <v>0</v>
      </c>
      <c r="G429" s="32">
        <f>ROUND(IF(NOT(AND(T428="",A429&lt;=S428)),0,IF(FALSE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),0)</f>
        <v>0</v>
      </c>
      <c r="H429" s="32">
        <f t="shared" si="110"/>
        <v>0</v>
      </c>
      <c r="I429" s="32">
        <f t="shared" si="111"/>
        <v>0</v>
      </c>
      <c r="J429" s="32">
        <f t="shared" si="112"/>
        <v>0</v>
      </c>
      <c r="K429" s="32">
        <f t="shared" si="113"/>
        <v>0</v>
      </c>
      <c r="L429" s="32">
        <f t="shared" si="114"/>
        <v>0</v>
      </c>
      <c r="M429" s="32">
        <f>0</f>
        <v>0</v>
      </c>
      <c r="N429" s="32">
        <f t="shared" si="115"/>
        <v>0</v>
      </c>
      <c r="O429" s="32">
        <f t="shared" si="116"/>
        <v>14115936</v>
      </c>
      <c r="P429" s="34" t="str">
        <f>IF(NOT(AND(T428="",A429&lt;=S428)),"",IF(FALSE,"繰上返済後再計算","")&amp;IF(AND(入力!$B$13="有効",A429&gt;1,MOD(A429-1,60)=0),IF(FALSE,"・","")&amp;"5年見直し","")&amp;IF(AND(A429=入力!$B$11,A429&gt;1),IF(OR(FALSE,AND(入力!$B$13="有効",A429&gt;1,MOD(A429-1,60)=0)),"・","")&amp;"金利変更","")&amp;IF(AND(OR(AND(入力!$B$13="有効",A429&gt;1,MOD(A429-1,60)=0),AND(A429=入力!$B$11,A429&gt;1)),入力!$B$14="有効",IF(E429=0,ROUND(C429/MAX(1,S428-A429+1),0),ROUND(-PMT(E429/12,MAX(1,S428-A429+1),C429),0))&gt;ROUND(G428*1.25,0),NOT(FALSE)),"・上限適用",""))</f>
        <v/>
      </c>
      <c r="Q429" s="35" t="str">
        <f>IF(AND(T428="",A429&lt;=S428),入力!$B$13,"")</f>
        <v/>
      </c>
      <c r="R429" s="32" t="str">
        <f>IF(AND(AND(T428="",A429&lt;=S428),OR(AND(入力!$B$13="有効",A429&gt;1,MOD(A429-1,60)=0),AND(A429=入力!$B$11,A429&gt;1)),入力!$B$14="有効"),ROUND(G428*1.25,0),"")</f>
        <v/>
      </c>
      <c r="S429" s="36">
        <f t="shared" si="117"/>
        <v>420</v>
      </c>
      <c r="T429" s="35" t="str">
        <f t="shared" si="118"/>
        <v/>
      </c>
      <c r="U429" s="3">
        <f t="shared" si="102"/>
        <v>0</v>
      </c>
      <c r="V429" s="3">
        <f t="shared" si="103"/>
        <v>0</v>
      </c>
      <c r="W429" s="3">
        <f t="shared" si="104"/>
        <v>0</v>
      </c>
      <c r="X429" s="3">
        <f t="shared" si="105"/>
        <v>0</v>
      </c>
      <c r="Y429" s="3">
        <f>0</f>
        <v>0</v>
      </c>
      <c r="Z429" s="3">
        <f t="shared" si="106"/>
        <v>0</v>
      </c>
      <c r="AA429">
        <f>ROUND(IF(FALSE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,0)</f>
        <v>0</v>
      </c>
    </row>
    <row r="430" spans="1:27">
      <c r="A430" s="30">
        <f>425</f>
        <v>425</v>
      </c>
      <c r="B430" s="31">
        <f>EDATE(入力!$B$6,A430-1)</f>
        <v>59141</v>
      </c>
      <c r="C430" s="32">
        <f t="shared" si="107"/>
        <v>0</v>
      </c>
      <c r="D430" s="32">
        <f t="shared" si="108"/>
        <v>0</v>
      </c>
      <c r="E430" s="33">
        <f>IF(AND(T429="",A430&lt;=S429),IF(A430&lt;入力!$B$11,入力!$B$10,入力!$B$12),0)</f>
        <v>0</v>
      </c>
      <c r="F430" s="32">
        <f t="shared" si="109"/>
        <v>0</v>
      </c>
      <c r="G430" s="32">
        <f>ROUND(IF(NOT(AND(T429="",A430&lt;=S429)),0,IF(FALSE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),0)</f>
        <v>0</v>
      </c>
      <c r="H430" s="32">
        <f t="shared" si="110"/>
        <v>0</v>
      </c>
      <c r="I430" s="32">
        <f t="shared" si="111"/>
        <v>0</v>
      </c>
      <c r="J430" s="32">
        <f t="shared" si="112"/>
        <v>0</v>
      </c>
      <c r="K430" s="32">
        <f t="shared" si="113"/>
        <v>0</v>
      </c>
      <c r="L430" s="32">
        <f t="shared" si="114"/>
        <v>0</v>
      </c>
      <c r="M430" s="32">
        <f>0</f>
        <v>0</v>
      </c>
      <c r="N430" s="32">
        <f t="shared" si="115"/>
        <v>0</v>
      </c>
      <c r="O430" s="32">
        <f t="shared" si="116"/>
        <v>14115936</v>
      </c>
      <c r="P430" s="34" t="str">
        <f>IF(NOT(AND(T429="",A430&lt;=S429)),"",IF(FALSE,"繰上返済後再計算","")&amp;IF(AND(入力!$B$13="有効",A430&gt;1,MOD(A430-1,60)=0),IF(FALSE,"・","")&amp;"5年見直し","")&amp;IF(AND(A430=入力!$B$11,A430&gt;1),IF(OR(FALSE,AND(入力!$B$13="有効",A430&gt;1,MOD(A430-1,60)=0)),"・","")&amp;"金利変更","")&amp;IF(AND(OR(AND(入力!$B$13="有効",A430&gt;1,MOD(A430-1,60)=0),AND(A430=入力!$B$11,A430&gt;1)),入力!$B$14="有効",IF(E430=0,ROUND(C430/MAX(1,S429-A430+1),0),ROUND(-PMT(E430/12,MAX(1,S429-A430+1),C430),0))&gt;ROUND(G429*1.25,0),NOT(FALSE)),"・上限適用",""))</f>
        <v/>
      </c>
      <c r="Q430" s="35" t="str">
        <f>IF(AND(T429="",A430&lt;=S429),入力!$B$13,"")</f>
        <v/>
      </c>
      <c r="R430" s="32" t="str">
        <f>IF(AND(AND(T429="",A430&lt;=S429),OR(AND(入力!$B$13="有効",A430&gt;1,MOD(A430-1,60)=0),AND(A430=入力!$B$11,A430&gt;1)),入力!$B$14="有効"),ROUND(G429*1.25,0),"")</f>
        <v/>
      </c>
      <c r="S430" s="36">
        <f t="shared" si="117"/>
        <v>420</v>
      </c>
      <c r="T430" s="35" t="str">
        <f t="shared" si="118"/>
        <v/>
      </c>
      <c r="U430" s="3">
        <f t="shared" si="102"/>
        <v>0</v>
      </c>
      <c r="V430" s="3">
        <f t="shared" si="103"/>
        <v>0</v>
      </c>
      <c r="W430" s="3">
        <f t="shared" si="104"/>
        <v>0</v>
      </c>
      <c r="X430" s="3">
        <f t="shared" si="105"/>
        <v>0</v>
      </c>
      <c r="Y430" s="3">
        <f>0</f>
        <v>0</v>
      </c>
      <c r="Z430" s="3">
        <f t="shared" si="106"/>
        <v>0</v>
      </c>
      <c r="AA430">
        <f>ROUND(IF(FALSE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,0)</f>
        <v>0</v>
      </c>
    </row>
    <row r="431" spans="1:27">
      <c r="A431" s="30">
        <f>426</f>
        <v>426</v>
      </c>
      <c r="B431" s="31">
        <f>EDATE(入力!$B$6,A431-1)</f>
        <v>59172</v>
      </c>
      <c r="C431" s="32">
        <f t="shared" si="107"/>
        <v>0</v>
      </c>
      <c r="D431" s="32">
        <f t="shared" si="108"/>
        <v>0</v>
      </c>
      <c r="E431" s="33">
        <f>IF(AND(T430="",A431&lt;=S430),IF(A431&lt;入力!$B$11,入力!$B$10,入力!$B$12),0)</f>
        <v>0</v>
      </c>
      <c r="F431" s="32">
        <f t="shared" si="109"/>
        <v>0</v>
      </c>
      <c r="G431" s="32">
        <f>ROUND(IF(NOT(AND(T430="",A431&lt;=S430)),0,IF(FALSE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),0)</f>
        <v>0</v>
      </c>
      <c r="H431" s="32">
        <f t="shared" si="110"/>
        <v>0</v>
      </c>
      <c r="I431" s="32">
        <f t="shared" si="111"/>
        <v>0</v>
      </c>
      <c r="J431" s="32">
        <f t="shared" si="112"/>
        <v>0</v>
      </c>
      <c r="K431" s="32">
        <f t="shared" si="113"/>
        <v>0</v>
      </c>
      <c r="L431" s="32">
        <f t="shared" si="114"/>
        <v>0</v>
      </c>
      <c r="M431" s="32">
        <f>0</f>
        <v>0</v>
      </c>
      <c r="N431" s="32">
        <f t="shared" si="115"/>
        <v>0</v>
      </c>
      <c r="O431" s="32">
        <f t="shared" si="116"/>
        <v>14115936</v>
      </c>
      <c r="P431" s="34" t="str">
        <f>IF(NOT(AND(T430="",A431&lt;=S430)),"",IF(FALSE,"繰上返済後再計算","")&amp;IF(AND(入力!$B$13="有効",A431&gt;1,MOD(A431-1,60)=0),IF(FALSE,"・","")&amp;"5年見直し","")&amp;IF(AND(A431=入力!$B$11,A431&gt;1),IF(OR(FALSE,AND(入力!$B$13="有効",A431&gt;1,MOD(A431-1,60)=0)),"・","")&amp;"金利変更","")&amp;IF(AND(OR(AND(入力!$B$13="有効",A431&gt;1,MOD(A431-1,60)=0),AND(A431=入力!$B$11,A431&gt;1)),入力!$B$14="有効",IF(E431=0,ROUND(C431/MAX(1,S430-A431+1),0),ROUND(-PMT(E431/12,MAX(1,S430-A431+1),C431),0))&gt;ROUND(G430*1.25,0),NOT(FALSE)),"・上限適用",""))</f>
        <v/>
      </c>
      <c r="Q431" s="35" t="str">
        <f>IF(AND(T430="",A431&lt;=S430),入力!$B$13,"")</f>
        <v/>
      </c>
      <c r="R431" s="32" t="str">
        <f>IF(AND(AND(T430="",A431&lt;=S430),OR(AND(入力!$B$13="有効",A431&gt;1,MOD(A431-1,60)=0),AND(A431=入力!$B$11,A431&gt;1)),入力!$B$14="有効"),ROUND(G430*1.25,0),"")</f>
        <v/>
      </c>
      <c r="S431" s="36">
        <f t="shared" si="117"/>
        <v>420</v>
      </c>
      <c r="T431" s="35" t="str">
        <f t="shared" si="118"/>
        <v/>
      </c>
      <c r="U431" s="3">
        <f t="shared" si="102"/>
        <v>0</v>
      </c>
      <c r="V431" s="3">
        <f t="shared" si="103"/>
        <v>0</v>
      </c>
      <c r="W431" s="3">
        <f t="shared" si="104"/>
        <v>0</v>
      </c>
      <c r="X431" s="3">
        <f t="shared" si="105"/>
        <v>0</v>
      </c>
      <c r="Y431" s="3">
        <f>0</f>
        <v>0</v>
      </c>
      <c r="Z431" s="3">
        <f t="shared" si="106"/>
        <v>0</v>
      </c>
      <c r="AA431">
        <f>ROUND(IF(FALSE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,0)</f>
        <v>0</v>
      </c>
    </row>
    <row r="432" spans="1:27">
      <c r="A432" s="30">
        <f>427</f>
        <v>427</v>
      </c>
      <c r="B432" s="31">
        <f>EDATE(入力!$B$6,A432-1)</f>
        <v>59203</v>
      </c>
      <c r="C432" s="32">
        <f t="shared" si="107"/>
        <v>0</v>
      </c>
      <c r="D432" s="32">
        <f t="shared" si="108"/>
        <v>0</v>
      </c>
      <c r="E432" s="33">
        <f>IF(AND(T431="",A432&lt;=S431),IF(A432&lt;入力!$B$11,入力!$B$10,入力!$B$12),0)</f>
        <v>0</v>
      </c>
      <c r="F432" s="32">
        <f t="shared" si="109"/>
        <v>0</v>
      </c>
      <c r="G432" s="32">
        <f>ROUND(IF(NOT(AND(T431="",A432&lt;=S431)),0,IF(FALSE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),0)</f>
        <v>0</v>
      </c>
      <c r="H432" s="32">
        <f t="shared" si="110"/>
        <v>0</v>
      </c>
      <c r="I432" s="32">
        <f t="shared" si="111"/>
        <v>0</v>
      </c>
      <c r="J432" s="32">
        <f t="shared" si="112"/>
        <v>0</v>
      </c>
      <c r="K432" s="32">
        <f t="shared" si="113"/>
        <v>0</v>
      </c>
      <c r="L432" s="32">
        <f t="shared" si="114"/>
        <v>0</v>
      </c>
      <c r="M432" s="32">
        <f>0</f>
        <v>0</v>
      </c>
      <c r="N432" s="32">
        <f t="shared" si="115"/>
        <v>0</v>
      </c>
      <c r="O432" s="32">
        <f t="shared" si="116"/>
        <v>14115936</v>
      </c>
      <c r="P432" s="34" t="str">
        <f>IF(NOT(AND(T431="",A432&lt;=S431)),"",IF(FALSE,"繰上返済後再計算","")&amp;IF(AND(入力!$B$13="有効",A432&gt;1,MOD(A432-1,60)=0),IF(FALSE,"・","")&amp;"5年見直し","")&amp;IF(AND(A432=入力!$B$11,A432&gt;1),IF(OR(FALSE,AND(入力!$B$13="有効",A432&gt;1,MOD(A432-1,60)=0)),"・","")&amp;"金利変更","")&amp;IF(AND(OR(AND(入力!$B$13="有効",A432&gt;1,MOD(A432-1,60)=0),AND(A432=入力!$B$11,A432&gt;1)),入力!$B$14="有効",IF(E432=0,ROUND(C432/MAX(1,S431-A432+1),0),ROUND(-PMT(E432/12,MAX(1,S431-A432+1),C432),0))&gt;ROUND(G431*1.25,0),NOT(FALSE)),"・上限適用",""))</f>
        <v/>
      </c>
      <c r="Q432" s="35" t="str">
        <f>IF(AND(T431="",A432&lt;=S431),入力!$B$13,"")</f>
        <v/>
      </c>
      <c r="R432" s="32" t="str">
        <f>IF(AND(AND(T431="",A432&lt;=S431),OR(AND(入力!$B$13="有効",A432&gt;1,MOD(A432-1,60)=0),AND(A432=入力!$B$11,A432&gt;1)),入力!$B$14="有効"),ROUND(G431*1.25,0),"")</f>
        <v/>
      </c>
      <c r="S432" s="36">
        <f t="shared" si="117"/>
        <v>420</v>
      </c>
      <c r="T432" s="35" t="str">
        <f t="shared" si="118"/>
        <v/>
      </c>
      <c r="U432" s="3">
        <f t="shared" si="102"/>
        <v>0</v>
      </c>
      <c r="V432" s="3">
        <f t="shared" si="103"/>
        <v>0</v>
      </c>
      <c r="W432" s="3">
        <f t="shared" si="104"/>
        <v>0</v>
      </c>
      <c r="X432" s="3">
        <f t="shared" si="105"/>
        <v>0</v>
      </c>
      <c r="Y432" s="3">
        <f>0</f>
        <v>0</v>
      </c>
      <c r="Z432" s="3">
        <f t="shared" si="106"/>
        <v>0</v>
      </c>
      <c r="AA432">
        <f>ROUND(IF(FALSE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,0)</f>
        <v>0</v>
      </c>
    </row>
    <row r="433" spans="1:27">
      <c r="A433" s="30">
        <f>428</f>
        <v>428</v>
      </c>
      <c r="B433" s="31">
        <f>EDATE(入力!$B$6,A433-1)</f>
        <v>59231</v>
      </c>
      <c r="C433" s="32">
        <f t="shared" si="107"/>
        <v>0</v>
      </c>
      <c r="D433" s="32">
        <f t="shared" si="108"/>
        <v>0</v>
      </c>
      <c r="E433" s="33">
        <f>IF(AND(T432="",A433&lt;=S432),IF(A433&lt;入力!$B$11,入力!$B$10,入力!$B$12),0)</f>
        <v>0</v>
      </c>
      <c r="F433" s="32">
        <f t="shared" si="109"/>
        <v>0</v>
      </c>
      <c r="G433" s="32">
        <f>ROUND(IF(NOT(AND(T432="",A433&lt;=S432)),0,IF(FALSE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),0)</f>
        <v>0</v>
      </c>
      <c r="H433" s="32">
        <f t="shared" si="110"/>
        <v>0</v>
      </c>
      <c r="I433" s="32">
        <f t="shared" si="111"/>
        <v>0</v>
      </c>
      <c r="J433" s="32">
        <f t="shared" si="112"/>
        <v>0</v>
      </c>
      <c r="K433" s="32">
        <f t="shared" si="113"/>
        <v>0</v>
      </c>
      <c r="L433" s="32">
        <f t="shared" si="114"/>
        <v>0</v>
      </c>
      <c r="M433" s="32">
        <f>0</f>
        <v>0</v>
      </c>
      <c r="N433" s="32">
        <f t="shared" si="115"/>
        <v>0</v>
      </c>
      <c r="O433" s="32">
        <f t="shared" si="116"/>
        <v>14115936</v>
      </c>
      <c r="P433" s="34" t="str">
        <f>IF(NOT(AND(T432="",A433&lt;=S432)),"",IF(FALSE,"繰上返済後再計算","")&amp;IF(AND(入力!$B$13="有効",A433&gt;1,MOD(A433-1,60)=0),IF(FALSE,"・","")&amp;"5年見直し","")&amp;IF(AND(A433=入力!$B$11,A433&gt;1),IF(OR(FALSE,AND(入力!$B$13="有効",A433&gt;1,MOD(A433-1,60)=0)),"・","")&amp;"金利変更","")&amp;IF(AND(OR(AND(入力!$B$13="有効",A433&gt;1,MOD(A433-1,60)=0),AND(A433=入力!$B$11,A433&gt;1)),入力!$B$14="有効",IF(E433=0,ROUND(C433/MAX(1,S432-A433+1),0),ROUND(-PMT(E433/12,MAX(1,S432-A433+1),C433),0))&gt;ROUND(G432*1.25,0),NOT(FALSE)),"・上限適用",""))</f>
        <v/>
      </c>
      <c r="Q433" s="35" t="str">
        <f>IF(AND(T432="",A433&lt;=S432),入力!$B$13,"")</f>
        <v/>
      </c>
      <c r="R433" s="32" t="str">
        <f>IF(AND(AND(T432="",A433&lt;=S432),OR(AND(入力!$B$13="有効",A433&gt;1,MOD(A433-1,60)=0),AND(A433=入力!$B$11,A433&gt;1)),入力!$B$14="有効"),ROUND(G432*1.25,0),"")</f>
        <v/>
      </c>
      <c r="S433" s="36">
        <f t="shared" si="117"/>
        <v>420</v>
      </c>
      <c r="T433" s="35" t="str">
        <f t="shared" si="118"/>
        <v/>
      </c>
      <c r="U433" s="3">
        <f t="shared" si="102"/>
        <v>0</v>
      </c>
      <c r="V433" s="3">
        <f t="shared" si="103"/>
        <v>0</v>
      </c>
      <c r="W433" s="3">
        <f t="shared" si="104"/>
        <v>0</v>
      </c>
      <c r="X433" s="3">
        <f t="shared" si="105"/>
        <v>0</v>
      </c>
      <c r="Y433" s="3">
        <f>0</f>
        <v>0</v>
      </c>
      <c r="Z433" s="3">
        <f t="shared" si="106"/>
        <v>0</v>
      </c>
      <c r="AA433">
        <f>ROUND(IF(FALSE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,0)</f>
        <v>0</v>
      </c>
    </row>
    <row r="434" spans="1:27">
      <c r="A434" s="30">
        <f>429</f>
        <v>429</v>
      </c>
      <c r="B434" s="31">
        <f>EDATE(入力!$B$6,A434-1)</f>
        <v>59262</v>
      </c>
      <c r="C434" s="32">
        <f t="shared" si="107"/>
        <v>0</v>
      </c>
      <c r="D434" s="32">
        <f t="shared" si="108"/>
        <v>0</v>
      </c>
      <c r="E434" s="33">
        <f>IF(AND(T433="",A434&lt;=S433),IF(A434&lt;入力!$B$11,入力!$B$10,入力!$B$12),0)</f>
        <v>0</v>
      </c>
      <c r="F434" s="32">
        <f t="shared" si="109"/>
        <v>0</v>
      </c>
      <c r="G434" s="32">
        <f>ROUND(IF(NOT(AND(T433="",A434&lt;=S433)),0,IF(FALSE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),0)</f>
        <v>0</v>
      </c>
      <c r="H434" s="32">
        <f t="shared" si="110"/>
        <v>0</v>
      </c>
      <c r="I434" s="32">
        <f t="shared" si="111"/>
        <v>0</v>
      </c>
      <c r="J434" s="32">
        <f t="shared" si="112"/>
        <v>0</v>
      </c>
      <c r="K434" s="32">
        <f t="shared" si="113"/>
        <v>0</v>
      </c>
      <c r="L434" s="32">
        <f t="shared" si="114"/>
        <v>0</v>
      </c>
      <c r="M434" s="32">
        <f>0</f>
        <v>0</v>
      </c>
      <c r="N434" s="32">
        <f t="shared" si="115"/>
        <v>0</v>
      </c>
      <c r="O434" s="32">
        <f t="shared" si="116"/>
        <v>14115936</v>
      </c>
      <c r="P434" s="34" t="str">
        <f>IF(NOT(AND(T433="",A434&lt;=S433)),"",IF(FALSE,"繰上返済後再計算","")&amp;IF(AND(入力!$B$13="有効",A434&gt;1,MOD(A434-1,60)=0),IF(FALSE,"・","")&amp;"5年見直し","")&amp;IF(AND(A434=入力!$B$11,A434&gt;1),IF(OR(FALSE,AND(入力!$B$13="有効",A434&gt;1,MOD(A434-1,60)=0)),"・","")&amp;"金利変更","")&amp;IF(AND(OR(AND(入力!$B$13="有効",A434&gt;1,MOD(A434-1,60)=0),AND(A434=入力!$B$11,A434&gt;1)),入力!$B$14="有効",IF(E434=0,ROUND(C434/MAX(1,S433-A434+1),0),ROUND(-PMT(E434/12,MAX(1,S433-A434+1),C434),0))&gt;ROUND(G433*1.25,0),NOT(FALSE)),"・上限適用",""))</f>
        <v/>
      </c>
      <c r="Q434" s="35" t="str">
        <f>IF(AND(T433="",A434&lt;=S433),入力!$B$13,"")</f>
        <v/>
      </c>
      <c r="R434" s="32" t="str">
        <f>IF(AND(AND(T433="",A434&lt;=S433),OR(AND(入力!$B$13="有効",A434&gt;1,MOD(A434-1,60)=0),AND(A434=入力!$B$11,A434&gt;1)),入力!$B$14="有効"),ROUND(G433*1.25,0),"")</f>
        <v/>
      </c>
      <c r="S434" s="36">
        <f t="shared" si="117"/>
        <v>420</v>
      </c>
      <c r="T434" s="35" t="str">
        <f t="shared" si="118"/>
        <v/>
      </c>
      <c r="U434" s="3">
        <f t="shared" si="102"/>
        <v>0</v>
      </c>
      <c r="V434" s="3">
        <f t="shared" si="103"/>
        <v>0</v>
      </c>
      <c r="W434" s="3">
        <f t="shared" si="104"/>
        <v>0</v>
      </c>
      <c r="X434" s="3">
        <f t="shared" si="105"/>
        <v>0</v>
      </c>
      <c r="Y434" s="3">
        <f>0</f>
        <v>0</v>
      </c>
      <c r="Z434" s="3">
        <f t="shared" si="106"/>
        <v>0</v>
      </c>
      <c r="AA434">
        <f>ROUND(IF(FALSE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,0)</f>
        <v>0</v>
      </c>
    </row>
    <row r="435" spans="1:27">
      <c r="A435" s="30">
        <f>430</f>
        <v>430</v>
      </c>
      <c r="B435" s="31">
        <f>EDATE(入力!$B$6,A435-1)</f>
        <v>59292</v>
      </c>
      <c r="C435" s="32">
        <f t="shared" si="107"/>
        <v>0</v>
      </c>
      <c r="D435" s="32">
        <f t="shared" si="108"/>
        <v>0</v>
      </c>
      <c r="E435" s="33">
        <f>IF(AND(T434="",A435&lt;=S434),IF(A435&lt;入力!$B$11,入力!$B$10,入力!$B$12),0)</f>
        <v>0</v>
      </c>
      <c r="F435" s="32">
        <f t="shared" si="109"/>
        <v>0</v>
      </c>
      <c r="G435" s="32">
        <f>ROUND(IF(NOT(AND(T434="",A435&lt;=S434)),0,IF(FALSE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),0)</f>
        <v>0</v>
      </c>
      <c r="H435" s="32">
        <f t="shared" si="110"/>
        <v>0</v>
      </c>
      <c r="I435" s="32">
        <f t="shared" si="111"/>
        <v>0</v>
      </c>
      <c r="J435" s="32">
        <f t="shared" si="112"/>
        <v>0</v>
      </c>
      <c r="K435" s="32">
        <f t="shared" si="113"/>
        <v>0</v>
      </c>
      <c r="L435" s="32">
        <f t="shared" si="114"/>
        <v>0</v>
      </c>
      <c r="M435" s="32">
        <f>0</f>
        <v>0</v>
      </c>
      <c r="N435" s="32">
        <f t="shared" si="115"/>
        <v>0</v>
      </c>
      <c r="O435" s="32">
        <f t="shared" si="116"/>
        <v>14115936</v>
      </c>
      <c r="P435" s="34" t="str">
        <f>IF(NOT(AND(T434="",A435&lt;=S434)),"",IF(FALSE,"繰上返済後再計算","")&amp;IF(AND(入力!$B$13="有効",A435&gt;1,MOD(A435-1,60)=0),IF(FALSE,"・","")&amp;"5年見直し","")&amp;IF(AND(A435=入力!$B$11,A435&gt;1),IF(OR(FALSE,AND(入力!$B$13="有効",A435&gt;1,MOD(A435-1,60)=0)),"・","")&amp;"金利変更","")&amp;IF(AND(OR(AND(入力!$B$13="有効",A435&gt;1,MOD(A435-1,60)=0),AND(A435=入力!$B$11,A435&gt;1)),入力!$B$14="有効",IF(E435=0,ROUND(C435/MAX(1,S434-A435+1),0),ROUND(-PMT(E435/12,MAX(1,S434-A435+1),C435),0))&gt;ROUND(G434*1.25,0),NOT(FALSE)),"・上限適用",""))</f>
        <v/>
      </c>
      <c r="Q435" s="35" t="str">
        <f>IF(AND(T434="",A435&lt;=S434),入力!$B$13,"")</f>
        <v/>
      </c>
      <c r="R435" s="32" t="str">
        <f>IF(AND(AND(T434="",A435&lt;=S434),OR(AND(入力!$B$13="有効",A435&gt;1,MOD(A435-1,60)=0),AND(A435=入力!$B$11,A435&gt;1)),入力!$B$14="有効"),ROUND(G434*1.25,0),"")</f>
        <v/>
      </c>
      <c r="S435" s="36">
        <f t="shared" si="117"/>
        <v>420</v>
      </c>
      <c r="T435" s="35" t="str">
        <f t="shared" si="118"/>
        <v/>
      </c>
      <c r="U435" s="3">
        <f t="shared" si="102"/>
        <v>0</v>
      </c>
      <c r="V435" s="3">
        <f t="shared" si="103"/>
        <v>0</v>
      </c>
      <c r="W435" s="3">
        <f t="shared" si="104"/>
        <v>0</v>
      </c>
      <c r="X435" s="3">
        <f t="shared" si="105"/>
        <v>0</v>
      </c>
      <c r="Y435" s="3">
        <f>0</f>
        <v>0</v>
      </c>
      <c r="Z435" s="3">
        <f t="shared" si="106"/>
        <v>0</v>
      </c>
      <c r="AA435">
        <f>ROUND(IF(FALSE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,0)</f>
        <v>0</v>
      </c>
    </row>
    <row r="436" spans="1:27">
      <c r="A436" s="30">
        <f>431</f>
        <v>431</v>
      </c>
      <c r="B436" s="31">
        <f>EDATE(入力!$B$6,A436-1)</f>
        <v>59323</v>
      </c>
      <c r="C436" s="32">
        <f t="shared" si="107"/>
        <v>0</v>
      </c>
      <c r="D436" s="32">
        <f t="shared" si="108"/>
        <v>0</v>
      </c>
      <c r="E436" s="33">
        <f>IF(AND(T435="",A436&lt;=S435),IF(A436&lt;入力!$B$11,入力!$B$10,入力!$B$12),0)</f>
        <v>0</v>
      </c>
      <c r="F436" s="32">
        <f t="shared" si="109"/>
        <v>0</v>
      </c>
      <c r="G436" s="32">
        <f>ROUND(IF(NOT(AND(T435="",A436&lt;=S435)),0,IF(FALSE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),0)</f>
        <v>0</v>
      </c>
      <c r="H436" s="32">
        <f t="shared" si="110"/>
        <v>0</v>
      </c>
      <c r="I436" s="32">
        <f t="shared" si="111"/>
        <v>0</v>
      </c>
      <c r="J436" s="32">
        <f t="shared" si="112"/>
        <v>0</v>
      </c>
      <c r="K436" s="32">
        <f t="shared" si="113"/>
        <v>0</v>
      </c>
      <c r="L436" s="32">
        <f t="shared" si="114"/>
        <v>0</v>
      </c>
      <c r="M436" s="32">
        <f>0</f>
        <v>0</v>
      </c>
      <c r="N436" s="32">
        <f t="shared" si="115"/>
        <v>0</v>
      </c>
      <c r="O436" s="32">
        <f t="shared" si="116"/>
        <v>14115936</v>
      </c>
      <c r="P436" s="34" t="str">
        <f>IF(NOT(AND(T435="",A436&lt;=S435)),"",IF(FALSE,"繰上返済後再計算","")&amp;IF(AND(入力!$B$13="有効",A436&gt;1,MOD(A436-1,60)=0),IF(FALSE,"・","")&amp;"5年見直し","")&amp;IF(AND(A436=入力!$B$11,A436&gt;1),IF(OR(FALSE,AND(入力!$B$13="有効",A436&gt;1,MOD(A436-1,60)=0)),"・","")&amp;"金利変更","")&amp;IF(AND(OR(AND(入力!$B$13="有効",A436&gt;1,MOD(A436-1,60)=0),AND(A436=入力!$B$11,A436&gt;1)),入力!$B$14="有効",IF(E436=0,ROUND(C436/MAX(1,S435-A436+1),0),ROUND(-PMT(E436/12,MAX(1,S435-A436+1),C436),0))&gt;ROUND(G435*1.25,0),NOT(FALSE)),"・上限適用",""))</f>
        <v/>
      </c>
      <c r="Q436" s="35" t="str">
        <f>IF(AND(T435="",A436&lt;=S435),入力!$B$13,"")</f>
        <v/>
      </c>
      <c r="R436" s="32" t="str">
        <f>IF(AND(AND(T435="",A436&lt;=S435),OR(AND(入力!$B$13="有効",A436&gt;1,MOD(A436-1,60)=0),AND(A436=入力!$B$11,A436&gt;1)),入力!$B$14="有効"),ROUND(G435*1.25,0),"")</f>
        <v/>
      </c>
      <c r="S436" s="36">
        <f t="shared" si="117"/>
        <v>420</v>
      </c>
      <c r="T436" s="35" t="str">
        <f t="shared" si="118"/>
        <v/>
      </c>
      <c r="U436" s="3">
        <f t="shared" si="102"/>
        <v>0</v>
      </c>
      <c r="V436" s="3">
        <f t="shared" si="103"/>
        <v>0</v>
      </c>
      <c r="W436" s="3">
        <f t="shared" si="104"/>
        <v>0</v>
      </c>
      <c r="X436" s="3">
        <f t="shared" si="105"/>
        <v>0</v>
      </c>
      <c r="Y436" s="3">
        <f>0</f>
        <v>0</v>
      </c>
      <c r="Z436" s="3">
        <f t="shared" si="106"/>
        <v>0</v>
      </c>
      <c r="AA436">
        <f>ROUND(IF(FALSE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,0)</f>
        <v>0</v>
      </c>
    </row>
    <row r="437" spans="1:27">
      <c r="A437" s="30">
        <f>432</f>
        <v>432</v>
      </c>
      <c r="B437" s="31">
        <f>EDATE(入力!$B$6,A437-1)</f>
        <v>59353</v>
      </c>
      <c r="C437" s="32">
        <f t="shared" si="107"/>
        <v>0</v>
      </c>
      <c r="D437" s="32">
        <f t="shared" si="108"/>
        <v>0</v>
      </c>
      <c r="E437" s="33">
        <f>IF(AND(T436="",A437&lt;=S436),IF(A437&lt;入力!$B$11,入力!$B$10,入力!$B$12),0)</f>
        <v>0</v>
      </c>
      <c r="F437" s="32">
        <f t="shared" si="109"/>
        <v>0</v>
      </c>
      <c r="G437" s="32">
        <f>ROUND(IF(NOT(AND(T436="",A437&lt;=S436)),0,IF(FALSE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),0)</f>
        <v>0</v>
      </c>
      <c r="H437" s="32">
        <f t="shared" si="110"/>
        <v>0</v>
      </c>
      <c r="I437" s="32">
        <f t="shared" si="111"/>
        <v>0</v>
      </c>
      <c r="J437" s="32">
        <f t="shared" si="112"/>
        <v>0</v>
      </c>
      <c r="K437" s="32">
        <f t="shared" si="113"/>
        <v>0</v>
      </c>
      <c r="L437" s="32">
        <f t="shared" si="114"/>
        <v>0</v>
      </c>
      <c r="M437" s="32">
        <f>0</f>
        <v>0</v>
      </c>
      <c r="N437" s="32">
        <f t="shared" si="115"/>
        <v>0</v>
      </c>
      <c r="O437" s="32">
        <f t="shared" si="116"/>
        <v>14115936</v>
      </c>
      <c r="P437" s="34" t="str">
        <f>IF(NOT(AND(T436="",A437&lt;=S436)),"",IF(FALSE,"繰上返済後再計算","")&amp;IF(AND(入力!$B$13="有効",A437&gt;1,MOD(A437-1,60)=0),IF(FALSE,"・","")&amp;"5年見直し","")&amp;IF(AND(A437=入力!$B$11,A437&gt;1),IF(OR(FALSE,AND(入力!$B$13="有効",A437&gt;1,MOD(A437-1,60)=0)),"・","")&amp;"金利変更","")&amp;IF(AND(OR(AND(入力!$B$13="有効",A437&gt;1,MOD(A437-1,60)=0),AND(A437=入力!$B$11,A437&gt;1)),入力!$B$14="有効",IF(E437=0,ROUND(C437/MAX(1,S436-A437+1),0),ROUND(-PMT(E437/12,MAX(1,S436-A437+1),C437),0))&gt;ROUND(G436*1.25,0),NOT(FALSE)),"・上限適用",""))</f>
        <v/>
      </c>
      <c r="Q437" s="35" t="str">
        <f>IF(AND(T436="",A437&lt;=S436),入力!$B$13,"")</f>
        <v/>
      </c>
      <c r="R437" s="32" t="str">
        <f>IF(AND(AND(T436="",A437&lt;=S436),OR(AND(入力!$B$13="有効",A437&gt;1,MOD(A437-1,60)=0),AND(A437=入力!$B$11,A437&gt;1)),入力!$B$14="有効"),ROUND(G436*1.25,0),"")</f>
        <v/>
      </c>
      <c r="S437" s="36">
        <f t="shared" si="117"/>
        <v>420</v>
      </c>
      <c r="T437" s="35" t="str">
        <f t="shared" si="118"/>
        <v/>
      </c>
      <c r="U437" s="3">
        <f t="shared" si="102"/>
        <v>0</v>
      </c>
      <c r="V437" s="3">
        <f t="shared" si="103"/>
        <v>0</v>
      </c>
      <c r="W437" s="3">
        <f t="shared" si="104"/>
        <v>0</v>
      </c>
      <c r="X437" s="3">
        <f t="shared" si="105"/>
        <v>0</v>
      </c>
      <c r="Y437" s="3">
        <f>0</f>
        <v>0</v>
      </c>
      <c r="Z437" s="3">
        <f t="shared" si="106"/>
        <v>0</v>
      </c>
      <c r="AA437">
        <f>ROUND(IF(FALSE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,0)</f>
        <v>0</v>
      </c>
    </row>
    <row r="438" spans="1:27">
      <c r="A438" s="30">
        <f>433</f>
        <v>433</v>
      </c>
      <c r="B438" s="31">
        <f>EDATE(入力!$B$6,A438-1)</f>
        <v>59384</v>
      </c>
      <c r="C438" s="32">
        <f t="shared" si="107"/>
        <v>0</v>
      </c>
      <c r="D438" s="32">
        <f t="shared" si="108"/>
        <v>0</v>
      </c>
      <c r="E438" s="33">
        <f>IF(AND(T437="",A438&lt;=S437),IF(A438&lt;入力!$B$11,入力!$B$10,入力!$B$12),0)</f>
        <v>0</v>
      </c>
      <c r="F438" s="32">
        <f t="shared" si="109"/>
        <v>0</v>
      </c>
      <c r="G438" s="32">
        <f>ROUND(IF(NOT(AND(T437="",A438&lt;=S437)),0,IF(FALSE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),0)</f>
        <v>0</v>
      </c>
      <c r="H438" s="32">
        <f t="shared" si="110"/>
        <v>0</v>
      </c>
      <c r="I438" s="32">
        <f t="shared" si="111"/>
        <v>0</v>
      </c>
      <c r="J438" s="32">
        <f t="shared" si="112"/>
        <v>0</v>
      </c>
      <c r="K438" s="32">
        <f t="shared" si="113"/>
        <v>0</v>
      </c>
      <c r="L438" s="32">
        <f t="shared" si="114"/>
        <v>0</v>
      </c>
      <c r="M438" s="32">
        <f>0</f>
        <v>0</v>
      </c>
      <c r="N438" s="32">
        <f t="shared" si="115"/>
        <v>0</v>
      </c>
      <c r="O438" s="32">
        <f t="shared" si="116"/>
        <v>14115936</v>
      </c>
      <c r="P438" s="34" t="str">
        <f>IF(NOT(AND(T437="",A438&lt;=S437)),"",IF(FALSE,"繰上返済後再計算","")&amp;IF(AND(入力!$B$13="有効",A438&gt;1,MOD(A438-1,60)=0),IF(FALSE,"・","")&amp;"5年見直し","")&amp;IF(AND(A438=入力!$B$11,A438&gt;1),IF(OR(FALSE,AND(入力!$B$13="有効",A438&gt;1,MOD(A438-1,60)=0)),"・","")&amp;"金利変更","")&amp;IF(AND(OR(AND(入力!$B$13="有効",A438&gt;1,MOD(A438-1,60)=0),AND(A438=入力!$B$11,A438&gt;1)),入力!$B$14="有効",IF(E438=0,ROUND(C438/MAX(1,S437-A438+1),0),ROUND(-PMT(E438/12,MAX(1,S437-A438+1),C438),0))&gt;ROUND(G437*1.25,0),NOT(FALSE)),"・上限適用",""))</f>
        <v/>
      </c>
      <c r="Q438" s="35" t="str">
        <f>IF(AND(T437="",A438&lt;=S437),入力!$B$13,"")</f>
        <v/>
      </c>
      <c r="R438" s="32" t="str">
        <f>IF(AND(AND(T437="",A438&lt;=S437),OR(AND(入力!$B$13="有効",A438&gt;1,MOD(A438-1,60)=0),AND(A438=入力!$B$11,A438&gt;1)),入力!$B$14="有効"),ROUND(G437*1.25,0),"")</f>
        <v/>
      </c>
      <c r="S438" s="36">
        <f t="shared" si="117"/>
        <v>420</v>
      </c>
      <c r="T438" s="35" t="str">
        <f t="shared" si="118"/>
        <v/>
      </c>
      <c r="U438" s="3">
        <f t="shared" si="102"/>
        <v>0</v>
      </c>
      <c r="V438" s="3">
        <f t="shared" si="103"/>
        <v>0</v>
      </c>
      <c r="W438" s="3">
        <f t="shared" si="104"/>
        <v>0</v>
      </c>
      <c r="X438" s="3">
        <f t="shared" si="105"/>
        <v>0</v>
      </c>
      <c r="Y438" s="3">
        <f>0</f>
        <v>0</v>
      </c>
      <c r="Z438" s="3">
        <f t="shared" si="106"/>
        <v>0</v>
      </c>
      <c r="AA438">
        <f>ROUND(IF(FALSE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,0)</f>
        <v>0</v>
      </c>
    </row>
    <row r="439" spans="1:27">
      <c r="A439" s="30">
        <f>434</f>
        <v>434</v>
      </c>
      <c r="B439" s="31">
        <f>EDATE(入力!$B$6,A439-1)</f>
        <v>59415</v>
      </c>
      <c r="C439" s="32">
        <f t="shared" si="107"/>
        <v>0</v>
      </c>
      <c r="D439" s="32">
        <f t="shared" si="108"/>
        <v>0</v>
      </c>
      <c r="E439" s="33">
        <f>IF(AND(T438="",A439&lt;=S438),IF(A439&lt;入力!$B$11,入力!$B$10,入力!$B$12),0)</f>
        <v>0</v>
      </c>
      <c r="F439" s="32">
        <f t="shared" si="109"/>
        <v>0</v>
      </c>
      <c r="G439" s="32">
        <f>ROUND(IF(NOT(AND(T438="",A439&lt;=S438)),0,IF(FALSE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),0)</f>
        <v>0</v>
      </c>
      <c r="H439" s="32">
        <f t="shared" si="110"/>
        <v>0</v>
      </c>
      <c r="I439" s="32">
        <f t="shared" si="111"/>
        <v>0</v>
      </c>
      <c r="J439" s="32">
        <f t="shared" si="112"/>
        <v>0</v>
      </c>
      <c r="K439" s="32">
        <f t="shared" si="113"/>
        <v>0</v>
      </c>
      <c r="L439" s="32">
        <f t="shared" si="114"/>
        <v>0</v>
      </c>
      <c r="M439" s="32">
        <f>0</f>
        <v>0</v>
      </c>
      <c r="N439" s="32">
        <f t="shared" si="115"/>
        <v>0</v>
      </c>
      <c r="O439" s="32">
        <f t="shared" si="116"/>
        <v>14115936</v>
      </c>
      <c r="P439" s="34" t="str">
        <f>IF(NOT(AND(T438="",A439&lt;=S438)),"",IF(FALSE,"繰上返済後再計算","")&amp;IF(AND(入力!$B$13="有効",A439&gt;1,MOD(A439-1,60)=0),IF(FALSE,"・","")&amp;"5年見直し","")&amp;IF(AND(A439=入力!$B$11,A439&gt;1),IF(OR(FALSE,AND(入力!$B$13="有効",A439&gt;1,MOD(A439-1,60)=0)),"・","")&amp;"金利変更","")&amp;IF(AND(OR(AND(入力!$B$13="有効",A439&gt;1,MOD(A439-1,60)=0),AND(A439=入力!$B$11,A439&gt;1)),入力!$B$14="有効",IF(E439=0,ROUND(C439/MAX(1,S438-A439+1),0),ROUND(-PMT(E439/12,MAX(1,S438-A439+1),C439),0))&gt;ROUND(G438*1.25,0),NOT(FALSE)),"・上限適用",""))</f>
        <v/>
      </c>
      <c r="Q439" s="35" t="str">
        <f>IF(AND(T438="",A439&lt;=S438),入力!$B$13,"")</f>
        <v/>
      </c>
      <c r="R439" s="32" t="str">
        <f>IF(AND(AND(T438="",A439&lt;=S438),OR(AND(入力!$B$13="有効",A439&gt;1,MOD(A439-1,60)=0),AND(A439=入力!$B$11,A439&gt;1)),入力!$B$14="有効"),ROUND(G438*1.25,0),"")</f>
        <v/>
      </c>
      <c r="S439" s="36">
        <f t="shared" si="117"/>
        <v>420</v>
      </c>
      <c r="T439" s="35" t="str">
        <f t="shared" si="118"/>
        <v/>
      </c>
      <c r="U439" s="3">
        <f t="shared" si="102"/>
        <v>0</v>
      </c>
      <c r="V439" s="3">
        <f t="shared" si="103"/>
        <v>0</v>
      </c>
      <c r="W439" s="3">
        <f t="shared" si="104"/>
        <v>0</v>
      </c>
      <c r="X439" s="3">
        <f t="shared" si="105"/>
        <v>0</v>
      </c>
      <c r="Y439" s="3">
        <f>0</f>
        <v>0</v>
      </c>
      <c r="Z439" s="3">
        <f t="shared" si="106"/>
        <v>0</v>
      </c>
      <c r="AA439">
        <f>ROUND(IF(FALSE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,0)</f>
        <v>0</v>
      </c>
    </row>
    <row r="440" spans="1:27">
      <c r="A440" s="30">
        <f>435</f>
        <v>435</v>
      </c>
      <c r="B440" s="31">
        <f>EDATE(入力!$B$6,A440-1)</f>
        <v>59445</v>
      </c>
      <c r="C440" s="32">
        <f t="shared" si="107"/>
        <v>0</v>
      </c>
      <c r="D440" s="32">
        <f t="shared" si="108"/>
        <v>0</v>
      </c>
      <c r="E440" s="33">
        <f>IF(AND(T439="",A440&lt;=S439),IF(A440&lt;入力!$B$11,入力!$B$10,入力!$B$12),0)</f>
        <v>0</v>
      </c>
      <c r="F440" s="32">
        <f t="shared" si="109"/>
        <v>0</v>
      </c>
      <c r="G440" s="32">
        <f>ROUND(IF(NOT(AND(T439="",A440&lt;=S439)),0,IF(FALSE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),0)</f>
        <v>0</v>
      </c>
      <c r="H440" s="32">
        <f t="shared" si="110"/>
        <v>0</v>
      </c>
      <c r="I440" s="32">
        <f t="shared" si="111"/>
        <v>0</v>
      </c>
      <c r="J440" s="32">
        <f t="shared" si="112"/>
        <v>0</v>
      </c>
      <c r="K440" s="32">
        <f t="shared" si="113"/>
        <v>0</v>
      </c>
      <c r="L440" s="32">
        <f t="shared" si="114"/>
        <v>0</v>
      </c>
      <c r="M440" s="32">
        <f>0</f>
        <v>0</v>
      </c>
      <c r="N440" s="32">
        <f t="shared" si="115"/>
        <v>0</v>
      </c>
      <c r="O440" s="32">
        <f t="shared" si="116"/>
        <v>14115936</v>
      </c>
      <c r="P440" s="34" t="str">
        <f>IF(NOT(AND(T439="",A440&lt;=S439)),"",IF(FALSE,"繰上返済後再計算","")&amp;IF(AND(入力!$B$13="有効",A440&gt;1,MOD(A440-1,60)=0),IF(FALSE,"・","")&amp;"5年見直し","")&amp;IF(AND(A440=入力!$B$11,A440&gt;1),IF(OR(FALSE,AND(入力!$B$13="有効",A440&gt;1,MOD(A440-1,60)=0)),"・","")&amp;"金利変更","")&amp;IF(AND(OR(AND(入力!$B$13="有効",A440&gt;1,MOD(A440-1,60)=0),AND(A440=入力!$B$11,A440&gt;1)),入力!$B$14="有効",IF(E440=0,ROUND(C440/MAX(1,S439-A440+1),0),ROUND(-PMT(E440/12,MAX(1,S439-A440+1),C440),0))&gt;ROUND(G439*1.25,0),NOT(FALSE)),"・上限適用",""))</f>
        <v/>
      </c>
      <c r="Q440" s="35" t="str">
        <f>IF(AND(T439="",A440&lt;=S439),入力!$B$13,"")</f>
        <v/>
      </c>
      <c r="R440" s="32" t="str">
        <f>IF(AND(AND(T439="",A440&lt;=S439),OR(AND(入力!$B$13="有効",A440&gt;1,MOD(A440-1,60)=0),AND(A440=入力!$B$11,A440&gt;1)),入力!$B$14="有効"),ROUND(G439*1.25,0),"")</f>
        <v/>
      </c>
      <c r="S440" s="36">
        <f t="shared" si="117"/>
        <v>420</v>
      </c>
      <c r="T440" s="35" t="str">
        <f t="shared" si="118"/>
        <v/>
      </c>
      <c r="U440" s="3">
        <f t="shared" si="102"/>
        <v>0</v>
      </c>
      <c r="V440" s="3">
        <f t="shared" si="103"/>
        <v>0</v>
      </c>
      <c r="W440" s="3">
        <f t="shared" si="104"/>
        <v>0</v>
      </c>
      <c r="X440" s="3">
        <f t="shared" si="105"/>
        <v>0</v>
      </c>
      <c r="Y440" s="3">
        <f>0</f>
        <v>0</v>
      </c>
      <c r="Z440" s="3">
        <f t="shared" si="106"/>
        <v>0</v>
      </c>
      <c r="AA440">
        <f>ROUND(IF(FALSE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,0)</f>
        <v>0</v>
      </c>
    </row>
    <row r="441" spans="1:27">
      <c r="A441" s="30">
        <f>436</f>
        <v>436</v>
      </c>
      <c r="B441" s="31">
        <f>EDATE(入力!$B$6,A441-1)</f>
        <v>59476</v>
      </c>
      <c r="C441" s="32">
        <f t="shared" si="107"/>
        <v>0</v>
      </c>
      <c r="D441" s="32">
        <f t="shared" si="108"/>
        <v>0</v>
      </c>
      <c r="E441" s="33">
        <f>IF(AND(T440="",A441&lt;=S440),IF(A441&lt;入力!$B$11,入力!$B$10,入力!$B$12),0)</f>
        <v>0</v>
      </c>
      <c r="F441" s="32">
        <f t="shared" si="109"/>
        <v>0</v>
      </c>
      <c r="G441" s="32">
        <f>ROUND(IF(NOT(AND(T440="",A441&lt;=S440)),0,IF(FALSE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),0)</f>
        <v>0</v>
      </c>
      <c r="H441" s="32">
        <f t="shared" si="110"/>
        <v>0</v>
      </c>
      <c r="I441" s="32">
        <f t="shared" si="111"/>
        <v>0</v>
      </c>
      <c r="J441" s="32">
        <f t="shared" si="112"/>
        <v>0</v>
      </c>
      <c r="K441" s="32">
        <f t="shared" si="113"/>
        <v>0</v>
      </c>
      <c r="L441" s="32">
        <f t="shared" si="114"/>
        <v>0</v>
      </c>
      <c r="M441" s="32">
        <f>0</f>
        <v>0</v>
      </c>
      <c r="N441" s="32">
        <f t="shared" si="115"/>
        <v>0</v>
      </c>
      <c r="O441" s="32">
        <f t="shared" si="116"/>
        <v>14115936</v>
      </c>
      <c r="P441" s="34" t="str">
        <f>IF(NOT(AND(T440="",A441&lt;=S440)),"",IF(FALSE,"繰上返済後再計算","")&amp;IF(AND(入力!$B$13="有効",A441&gt;1,MOD(A441-1,60)=0),IF(FALSE,"・","")&amp;"5年見直し","")&amp;IF(AND(A441=入力!$B$11,A441&gt;1),IF(OR(FALSE,AND(入力!$B$13="有効",A441&gt;1,MOD(A441-1,60)=0)),"・","")&amp;"金利変更","")&amp;IF(AND(OR(AND(入力!$B$13="有効",A441&gt;1,MOD(A441-1,60)=0),AND(A441=入力!$B$11,A441&gt;1)),入力!$B$14="有効",IF(E441=0,ROUND(C441/MAX(1,S440-A441+1),0),ROUND(-PMT(E441/12,MAX(1,S440-A441+1),C441),0))&gt;ROUND(G440*1.25,0),NOT(FALSE)),"・上限適用",""))</f>
        <v/>
      </c>
      <c r="Q441" s="35" t="str">
        <f>IF(AND(T440="",A441&lt;=S440),入力!$B$13,"")</f>
        <v/>
      </c>
      <c r="R441" s="32" t="str">
        <f>IF(AND(AND(T440="",A441&lt;=S440),OR(AND(入力!$B$13="有効",A441&gt;1,MOD(A441-1,60)=0),AND(A441=入力!$B$11,A441&gt;1)),入力!$B$14="有効"),ROUND(G440*1.25,0),"")</f>
        <v/>
      </c>
      <c r="S441" s="36">
        <f t="shared" si="117"/>
        <v>420</v>
      </c>
      <c r="T441" s="35" t="str">
        <f t="shared" si="118"/>
        <v/>
      </c>
      <c r="U441" s="3">
        <f t="shared" si="102"/>
        <v>0</v>
      </c>
      <c r="V441" s="3">
        <f t="shared" si="103"/>
        <v>0</v>
      </c>
      <c r="W441" s="3">
        <f t="shared" si="104"/>
        <v>0</v>
      </c>
      <c r="X441" s="3">
        <f t="shared" si="105"/>
        <v>0</v>
      </c>
      <c r="Y441" s="3">
        <f>0</f>
        <v>0</v>
      </c>
      <c r="Z441" s="3">
        <f t="shared" si="106"/>
        <v>0</v>
      </c>
      <c r="AA441">
        <f>ROUND(IF(FALSE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,0)</f>
        <v>0</v>
      </c>
    </row>
    <row r="442" spans="1:27">
      <c r="A442" s="30">
        <f>437</f>
        <v>437</v>
      </c>
      <c r="B442" s="31">
        <f>EDATE(入力!$B$6,A442-1)</f>
        <v>59506</v>
      </c>
      <c r="C442" s="32">
        <f t="shared" si="107"/>
        <v>0</v>
      </c>
      <c r="D442" s="32">
        <f t="shared" si="108"/>
        <v>0</v>
      </c>
      <c r="E442" s="33">
        <f>IF(AND(T441="",A442&lt;=S441),IF(A442&lt;入力!$B$11,入力!$B$10,入力!$B$12),0)</f>
        <v>0</v>
      </c>
      <c r="F442" s="32">
        <f t="shared" si="109"/>
        <v>0</v>
      </c>
      <c r="G442" s="32">
        <f>ROUND(IF(NOT(AND(T441="",A442&lt;=S441)),0,IF(FALSE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),0)</f>
        <v>0</v>
      </c>
      <c r="H442" s="32">
        <f t="shared" si="110"/>
        <v>0</v>
      </c>
      <c r="I442" s="32">
        <f t="shared" si="111"/>
        <v>0</v>
      </c>
      <c r="J442" s="32">
        <f t="shared" si="112"/>
        <v>0</v>
      </c>
      <c r="K442" s="32">
        <f t="shared" si="113"/>
        <v>0</v>
      </c>
      <c r="L442" s="32">
        <f t="shared" si="114"/>
        <v>0</v>
      </c>
      <c r="M442" s="32">
        <f>0</f>
        <v>0</v>
      </c>
      <c r="N442" s="32">
        <f t="shared" si="115"/>
        <v>0</v>
      </c>
      <c r="O442" s="32">
        <f t="shared" si="116"/>
        <v>14115936</v>
      </c>
      <c r="P442" s="34" t="str">
        <f>IF(NOT(AND(T441="",A442&lt;=S441)),"",IF(FALSE,"繰上返済後再計算","")&amp;IF(AND(入力!$B$13="有効",A442&gt;1,MOD(A442-1,60)=0),IF(FALSE,"・","")&amp;"5年見直し","")&amp;IF(AND(A442=入力!$B$11,A442&gt;1),IF(OR(FALSE,AND(入力!$B$13="有効",A442&gt;1,MOD(A442-1,60)=0)),"・","")&amp;"金利変更","")&amp;IF(AND(OR(AND(入力!$B$13="有効",A442&gt;1,MOD(A442-1,60)=0),AND(A442=入力!$B$11,A442&gt;1)),入力!$B$14="有効",IF(E442=0,ROUND(C442/MAX(1,S441-A442+1),0),ROUND(-PMT(E442/12,MAX(1,S441-A442+1),C442),0))&gt;ROUND(G441*1.25,0),NOT(FALSE)),"・上限適用",""))</f>
        <v/>
      </c>
      <c r="Q442" s="35" t="str">
        <f>IF(AND(T441="",A442&lt;=S441),入力!$B$13,"")</f>
        <v/>
      </c>
      <c r="R442" s="32" t="str">
        <f>IF(AND(AND(T441="",A442&lt;=S441),OR(AND(入力!$B$13="有効",A442&gt;1,MOD(A442-1,60)=0),AND(A442=入力!$B$11,A442&gt;1)),入力!$B$14="有効"),ROUND(G441*1.25,0),"")</f>
        <v/>
      </c>
      <c r="S442" s="36">
        <f t="shared" si="117"/>
        <v>420</v>
      </c>
      <c r="T442" s="35" t="str">
        <f t="shared" si="118"/>
        <v/>
      </c>
      <c r="U442" s="3">
        <f t="shared" si="102"/>
        <v>0</v>
      </c>
      <c r="V442" s="3">
        <f t="shared" si="103"/>
        <v>0</v>
      </c>
      <c r="W442" s="3">
        <f t="shared" si="104"/>
        <v>0</v>
      </c>
      <c r="X442" s="3">
        <f t="shared" si="105"/>
        <v>0</v>
      </c>
      <c r="Y442" s="3">
        <f>0</f>
        <v>0</v>
      </c>
      <c r="Z442" s="3">
        <f t="shared" si="106"/>
        <v>0</v>
      </c>
      <c r="AA442">
        <f>ROUND(IF(FALSE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,0)</f>
        <v>0</v>
      </c>
    </row>
    <row r="443" spans="1:27">
      <c r="A443" s="30">
        <f>438</f>
        <v>438</v>
      </c>
      <c r="B443" s="31">
        <f>EDATE(入力!$B$6,A443-1)</f>
        <v>59537</v>
      </c>
      <c r="C443" s="32">
        <f t="shared" si="107"/>
        <v>0</v>
      </c>
      <c r="D443" s="32">
        <f t="shared" si="108"/>
        <v>0</v>
      </c>
      <c r="E443" s="33">
        <f>IF(AND(T442="",A443&lt;=S442),IF(A443&lt;入力!$B$11,入力!$B$10,入力!$B$12),0)</f>
        <v>0</v>
      </c>
      <c r="F443" s="32">
        <f t="shared" si="109"/>
        <v>0</v>
      </c>
      <c r="G443" s="32">
        <f>ROUND(IF(NOT(AND(T442="",A443&lt;=S442)),0,IF(FALSE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),0)</f>
        <v>0</v>
      </c>
      <c r="H443" s="32">
        <f t="shared" si="110"/>
        <v>0</v>
      </c>
      <c r="I443" s="32">
        <f t="shared" si="111"/>
        <v>0</v>
      </c>
      <c r="J443" s="32">
        <f t="shared" si="112"/>
        <v>0</v>
      </c>
      <c r="K443" s="32">
        <f t="shared" si="113"/>
        <v>0</v>
      </c>
      <c r="L443" s="32">
        <f t="shared" si="114"/>
        <v>0</v>
      </c>
      <c r="M443" s="32">
        <f>0</f>
        <v>0</v>
      </c>
      <c r="N443" s="32">
        <f t="shared" si="115"/>
        <v>0</v>
      </c>
      <c r="O443" s="32">
        <f t="shared" si="116"/>
        <v>14115936</v>
      </c>
      <c r="P443" s="34" t="str">
        <f>IF(NOT(AND(T442="",A443&lt;=S442)),"",IF(FALSE,"繰上返済後再計算","")&amp;IF(AND(入力!$B$13="有効",A443&gt;1,MOD(A443-1,60)=0),IF(FALSE,"・","")&amp;"5年見直し","")&amp;IF(AND(A443=入力!$B$11,A443&gt;1),IF(OR(FALSE,AND(入力!$B$13="有効",A443&gt;1,MOD(A443-1,60)=0)),"・","")&amp;"金利変更","")&amp;IF(AND(OR(AND(入力!$B$13="有効",A443&gt;1,MOD(A443-1,60)=0),AND(A443=入力!$B$11,A443&gt;1)),入力!$B$14="有効",IF(E443=0,ROUND(C443/MAX(1,S442-A443+1),0),ROUND(-PMT(E443/12,MAX(1,S442-A443+1),C443),0))&gt;ROUND(G442*1.25,0),NOT(FALSE)),"・上限適用",""))</f>
        <v/>
      </c>
      <c r="Q443" s="35" t="str">
        <f>IF(AND(T442="",A443&lt;=S442),入力!$B$13,"")</f>
        <v/>
      </c>
      <c r="R443" s="32" t="str">
        <f>IF(AND(AND(T442="",A443&lt;=S442),OR(AND(入力!$B$13="有効",A443&gt;1,MOD(A443-1,60)=0),AND(A443=入力!$B$11,A443&gt;1)),入力!$B$14="有効"),ROUND(G442*1.25,0),"")</f>
        <v/>
      </c>
      <c r="S443" s="36">
        <f t="shared" si="117"/>
        <v>420</v>
      </c>
      <c r="T443" s="35" t="str">
        <f t="shared" si="118"/>
        <v/>
      </c>
      <c r="U443" s="3">
        <f t="shared" si="102"/>
        <v>0</v>
      </c>
      <c r="V443" s="3">
        <f t="shared" si="103"/>
        <v>0</v>
      </c>
      <c r="W443" s="3">
        <f t="shared" si="104"/>
        <v>0</v>
      </c>
      <c r="X443" s="3">
        <f t="shared" si="105"/>
        <v>0</v>
      </c>
      <c r="Y443" s="3">
        <f>0</f>
        <v>0</v>
      </c>
      <c r="Z443" s="3">
        <f t="shared" si="106"/>
        <v>0</v>
      </c>
      <c r="AA443">
        <f>ROUND(IF(FALSE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,0)</f>
        <v>0</v>
      </c>
    </row>
    <row r="444" spans="1:27">
      <c r="A444" s="30">
        <f>439</f>
        <v>439</v>
      </c>
      <c r="B444" s="31">
        <f>EDATE(入力!$B$6,A444-1)</f>
        <v>59568</v>
      </c>
      <c r="C444" s="32">
        <f t="shared" si="107"/>
        <v>0</v>
      </c>
      <c r="D444" s="32">
        <f t="shared" si="108"/>
        <v>0</v>
      </c>
      <c r="E444" s="33">
        <f>IF(AND(T443="",A444&lt;=S443),IF(A444&lt;入力!$B$11,入力!$B$10,入力!$B$12),0)</f>
        <v>0</v>
      </c>
      <c r="F444" s="32">
        <f t="shared" si="109"/>
        <v>0</v>
      </c>
      <c r="G444" s="32">
        <f>ROUND(IF(NOT(AND(T443="",A444&lt;=S443)),0,IF(FALSE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),0)</f>
        <v>0</v>
      </c>
      <c r="H444" s="32">
        <f t="shared" si="110"/>
        <v>0</v>
      </c>
      <c r="I444" s="32">
        <f t="shared" si="111"/>
        <v>0</v>
      </c>
      <c r="J444" s="32">
        <f t="shared" si="112"/>
        <v>0</v>
      </c>
      <c r="K444" s="32">
        <f t="shared" si="113"/>
        <v>0</v>
      </c>
      <c r="L444" s="32">
        <f t="shared" si="114"/>
        <v>0</v>
      </c>
      <c r="M444" s="32">
        <f>0</f>
        <v>0</v>
      </c>
      <c r="N444" s="32">
        <f t="shared" si="115"/>
        <v>0</v>
      </c>
      <c r="O444" s="32">
        <f t="shared" si="116"/>
        <v>14115936</v>
      </c>
      <c r="P444" s="34" t="str">
        <f>IF(NOT(AND(T443="",A444&lt;=S443)),"",IF(FALSE,"繰上返済後再計算","")&amp;IF(AND(入力!$B$13="有効",A444&gt;1,MOD(A444-1,60)=0),IF(FALSE,"・","")&amp;"5年見直し","")&amp;IF(AND(A444=入力!$B$11,A444&gt;1),IF(OR(FALSE,AND(入力!$B$13="有効",A444&gt;1,MOD(A444-1,60)=0)),"・","")&amp;"金利変更","")&amp;IF(AND(OR(AND(入力!$B$13="有効",A444&gt;1,MOD(A444-1,60)=0),AND(A444=入力!$B$11,A444&gt;1)),入力!$B$14="有効",IF(E444=0,ROUND(C444/MAX(1,S443-A444+1),0),ROUND(-PMT(E444/12,MAX(1,S443-A444+1),C444),0))&gt;ROUND(G443*1.25,0),NOT(FALSE)),"・上限適用",""))</f>
        <v/>
      </c>
      <c r="Q444" s="35" t="str">
        <f>IF(AND(T443="",A444&lt;=S443),入力!$B$13,"")</f>
        <v/>
      </c>
      <c r="R444" s="32" t="str">
        <f>IF(AND(AND(T443="",A444&lt;=S443),OR(AND(入力!$B$13="有効",A444&gt;1,MOD(A444-1,60)=0),AND(A444=入力!$B$11,A444&gt;1)),入力!$B$14="有効"),ROUND(G443*1.25,0),"")</f>
        <v/>
      </c>
      <c r="S444" s="36">
        <f t="shared" si="117"/>
        <v>420</v>
      </c>
      <c r="T444" s="35" t="str">
        <f t="shared" si="118"/>
        <v/>
      </c>
      <c r="U444" s="3">
        <f t="shared" si="102"/>
        <v>0</v>
      </c>
      <c r="V444" s="3">
        <f t="shared" si="103"/>
        <v>0</v>
      </c>
      <c r="W444" s="3">
        <f t="shared" si="104"/>
        <v>0</v>
      </c>
      <c r="X444" s="3">
        <f t="shared" si="105"/>
        <v>0</v>
      </c>
      <c r="Y444" s="3">
        <f>0</f>
        <v>0</v>
      </c>
      <c r="Z444" s="3">
        <f t="shared" si="106"/>
        <v>0</v>
      </c>
      <c r="AA444">
        <f>ROUND(IF(FALSE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,0)</f>
        <v>0</v>
      </c>
    </row>
    <row r="445" spans="1:27">
      <c r="A445" s="30">
        <f>440</f>
        <v>440</v>
      </c>
      <c r="B445" s="31">
        <f>EDATE(入力!$B$6,A445-1)</f>
        <v>59596</v>
      </c>
      <c r="C445" s="32">
        <f t="shared" si="107"/>
        <v>0</v>
      </c>
      <c r="D445" s="32">
        <f t="shared" si="108"/>
        <v>0</v>
      </c>
      <c r="E445" s="33">
        <f>IF(AND(T444="",A445&lt;=S444),IF(A445&lt;入力!$B$11,入力!$B$10,入力!$B$12),0)</f>
        <v>0</v>
      </c>
      <c r="F445" s="32">
        <f t="shared" si="109"/>
        <v>0</v>
      </c>
      <c r="G445" s="32">
        <f>ROUND(IF(NOT(AND(T444="",A445&lt;=S444)),0,IF(FALSE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),0)</f>
        <v>0</v>
      </c>
      <c r="H445" s="32">
        <f t="shared" si="110"/>
        <v>0</v>
      </c>
      <c r="I445" s="32">
        <f t="shared" si="111"/>
        <v>0</v>
      </c>
      <c r="J445" s="32">
        <f t="shared" si="112"/>
        <v>0</v>
      </c>
      <c r="K445" s="32">
        <f t="shared" si="113"/>
        <v>0</v>
      </c>
      <c r="L445" s="32">
        <f t="shared" si="114"/>
        <v>0</v>
      </c>
      <c r="M445" s="32">
        <f>0</f>
        <v>0</v>
      </c>
      <c r="N445" s="32">
        <f t="shared" si="115"/>
        <v>0</v>
      </c>
      <c r="O445" s="32">
        <f t="shared" si="116"/>
        <v>14115936</v>
      </c>
      <c r="P445" s="34" t="str">
        <f>IF(NOT(AND(T444="",A445&lt;=S444)),"",IF(FALSE,"繰上返済後再計算","")&amp;IF(AND(入力!$B$13="有効",A445&gt;1,MOD(A445-1,60)=0),IF(FALSE,"・","")&amp;"5年見直し","")&amp;IF(AND(A445=入力!$B$11,A445&gt;1),IF(OR(FALSE,AND(入力!$B$13="有効",A445&gt;1,MOD(A445-1,60)=0)),"・","")&amp;"金利変更","")&amp;IF(AND(OR(AND(入力!$B$13="有効",A445&gt;1,MOD(A445-1,60)=0),AND(A445=入力!$B$11,A445&gt;1)),入力!$B$14="有効",IF(E445=0,ROUND(C445/MAX(1,S444-A445+1),0),ROUND(-PMT(E445/12,MAX(1,S444-A445+1),C445),0))&gt;ROUND(G444*1.25,0),NOT(FALSE)),"・上限適用",""))</f>
        <v/>
      </c>
      <c r="Q445" s="35" t="str">
        <f>IF(AND(T444="",A445&lt;=S444),入力!$B$13,"")</f>
        <v/>
      </c>
      <c r="R445" s="32" t="str">
        <f>IF(AND(AND(T444="",A445&lt;=S444),OR(AND(入力!$B$13="有効",A445&gt;1,MOD(A445-1,60)=0),AND(A445=入力!$B$11,A445&gt;1)),入力!$B$14="有効"),ROUND(G444*1.25,0),"")</f>
        <v/>
      </c>
      <c r="S445" s="36">
        <f t="shared" si="117"/>
        <v>420</v>
      </c>
      <c r="T445" s="35" t="str">
        <f t="shared" si="118"/>
        <v/>
      </c>
      <c r="U445" s="3">
        <f t="shared" si="102"/>
        <v>0</v>
      </c>
      <c r="V445" s="3">
        <f t="shared" si="103"/>
        <v>0</v>
      </c>
      <c r="W445" s="3">
        <f t="shared" si="104"/>
        <v>0</v>
      </c>
      <c r="X445" s="3">
        <f t="shared" si="105"/>
        <v>0</v>
      </c>
      <c r="Y445" s="3">
        <f>0</f>
        <v>0</v>
      </c>
      <c r="Z445" s="3">
        <f t="shared" si="106"/>
        <v>0</v>
      </c>
      <c r="AA445">
        <f>ROUND(IF(FALSE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,0)</f>
        <v>0</v>
      </c>
    </row>
    <row r="446" spans="1:27">
      <c r="A446" s="30">
        <f>441</f>
        <v>441</v>
      </c>
      <c r="B446" s="31">
        <f>EDATE(入力!$B$6,A446-1)</f>
        <v>59627</v>
      </c>
      <c r="C446" s="32">
        <f t="shared" si="107"/>
        <v>0</v>
      </c>
      <c r="D446" s="32">
        <f t="shared" si="108"/>
        <v>0</v>
      </c>
      <c r="E446" s="33">
        <f>IF(AND(T445="",A446&lt;=S445),IF(A446&lt;入力!$B$11,入力!$B$10,入力!$B$12),0)</f>
        <v>0</v>
      </c>
      <c r="F446" s="32">
        <f t="shared" si="109"/>
        <v>0</v>
      </c>
      <c r="G446" s="32">
        <f>ROUND(IF(NOT(AND(T445="",A446&lt;=S445)),0,IF(FALSE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),0)</f>
        <v>0</v>
      </c>
      <c r="H446" s="32">
        <f t="shared" si="110"/>
        <v>0</v>
      </c>
      <c r="I446" s="32">
        <f t="shared" si="111"/>
        <v>0</v>
      </c>
      <c r="J446" s="32">
        <f t="shared" si="112"/>
        <v>0</v>
      </c>
      <c r="K446" s="32">
        <f t="shared" si="113"/>
        <v>0</v>
      </c>
      <c r="L446" s="32">
        <f t="shared" si="114"/>
        <v>0</v>
      </c>
      <c r="M446" s="32">
        <f>0</f>
        <v>0</v>
      </c>
      <c r="N446" s="32">
        <f t="shared" si="115"/>
        <v>0</v>
      </c>
      <c r="O446" s="32">
        <f t="shared" si="116"/>
        <v>14115936</v>
      </c>
      <c r="P446" s="34" t="str">
        <f>IF(NOT(AND(T445="",A446&lt;=S445)),"",IF(FALSE,"繰上返済後再計算","")&amp;IF(AND(入力!$B$13="有効",A446&gt;1,MOD(A446-1,60)=0),IF(FALSE,"・","")&amp;"5年見直し","")&amp;IF(AND(A446=入力!$B$11,A446&gt;1),IF(OR(FALSE,AND(入力!$B$13="有効",A446&gt;1,MOD(A446-1,60)=0)),"・","")&amp;"金利変更","")&amp;IF(AND(OR(AND(入力!$B$13="有効",A446&gt;1,MOD(A446-1,60)=0),AND(A446=入力!$B$11,A446&gt;1)),入力!$B$14="有効",IF(E446=0,ROUND(C446/MAX(1,S445-A446+1),0),ROUND(-PMT(E446/12,MAX(1,S445-A446+1),C446),0))&gt;ROUND(G445*1.25,0),NOT(FALSE)),"・上限適用",""))</f>
        <v/>
      </c>
      <c r="Q446" s="35" t="str">
        <f>IF(AND(T445="",A446&lt;=S445),入力!$B$13,"")</f>
        <v/>
      </c>
      <c r="R446" s="32" t="str">
        <f>IF(AND(AND(T445="",A446&lt;=S445),OR(AND(入力!$B$13="有効",A446&gt;1,MOD(A446-1,60)=0),AND(A446=入力!$B$11,A446&gt;1)),入力!$B$14="有効"),ROUND(G445*1.25,0),"")</f>
        <v/>
      </c>
      <c r="S446" s="36">
        <f t="shared" si="117"/>
        <v>420</v>
      </c>
      <c r="T446" s="35" t="str">
        <f t="shared" si="118"/>
        <v/>
      </c>
      <c r="U446" s="3">
        <f t="shared" si="102"/>
        <v>0</v>
      </c>
      <c r="V446" s="3">
        <f t="shared" si="103"/>
        <v>0</v>
      </c>
      <c r="W446" s="3">
        <f t="shared" si="104"/>
        <v>0</v>
      </c>
      <c r="X446" s="3">
        <f t="shared" si="105"/>
        <v>0</v>
      </c>
      <c r="Y446" s="3">
        <f>0</f>
        <v>0</v>
      </c>
      <c r="Z446" s="3">
        <f t="shared" si="106"/>
        <v>0</v>
      </c>
      <c r="AA446">
        <f>ROUND(IF(FALSE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,0)</f>
        <v>0</v>
      </c>
    </row>
    <row r="447" spans="1:27">
      <c r="A447" s="30">
        <f>442</f>
        <v>442</v>
      </c>
      <c r="B447" s="31">
        <f>EDATE(入力!$B$6,A447-1)</f>
        <v>59657</v>
      </c>
      <c r="C447" s="32">
        <f t="shared" si="107"/>
        <v>0</v>
      </c>
      <c r="D447" s="32">
        <f t="shared" si="108"/>
        <v>0</v>
      </c>
      <c r="E447" s="33">
        <f>IF(AND(T446="",A447&lt;=S446),IF(A447&lt;入力!$B$11,入力!$B$10,入力!$B$12),0)</f>
        <v>0</v>
      </c>
      <c r="F447" s="32">
        <f t="shared" si="109"/>
        <v>0</v>
      </c>
      <c r="G447" s="32">
        <f>ROUND(IF(NOT(AND(T446="",A447&lt;=S446)),0,IF(FALSE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),0)</f>
        <v>0</v>
      </c>
      <c r="H447" s="32">
        <f t="shared" si="110"/>
        <v>0</v>
      </c>
      <c r="I447" s="32">
        <f t="shared" si="111"/>
        <v>0</v>
      </c>
      <c r="J447" s="32">
        <f t="shared" si="112"/>
        <v>0</v>
      </c>
      <c r="K447" s="32">
        <f t="shared" si="113"/>
        <v>0</v>
      </c>
      <c r="L447" s="32">
        <f t="shared" si="114"/>
        <v>0</v>
      </c>
      <c r="M447" s="32">
        <f>0</f>
        <v>0</v>
      </c>
      <c r="N447" s="32">
        <f t="shared" si="115"/>
        <v>0</v>
      </c>
      <c r="O447" s="32">
        <f t="shared" si="116"/>
        <v>14115936</v>
      </c>
      <c r="P447" s="34" t="str">
        <f>IF(NOT(AND(T446="",A447&lt;=S446)),"",IF(FALSE,"繰上返済後再計算","")&amp;IF(AND(入力!$B$13="有効",A447&gt;1,MOD(A447-1,60)=0),IF(FALSE,"・","")&amp;"5年見直し","")&amp;IF(AND(A447=入力!$B$11,A447&gt;1),IF(OR(FALSE,AND(入力!$B$13="有効",A447&gt;1,MOD(A447-1,60)=0)),"・","")&amp;"金利変更","")&amp;IF(AND(OR(AND(入力!$B$13="有効",A447&gt;1,MOD(A447-1,60)=0),AND(A447=入力!$B$11,A447&gt;1)),入力!$B$14="有効",IF(E447=0,ROUND(C447/MAX(1,S446-A447+1),0),ROUND(-PMT(E447/12,MAX(1,S446-A447+1),C447),0))&gt;ROUND(G446*1.25,0),NOT(FALSE)),"・上限適用",""))</f>
        <v/>
      </c>
      <c r="Q447" s="35" t="str">
        <f>IF(AND(T446="",A447&lt;=S446),入力!$B$13,"")</f>
        <v/>
      </c>
      <c r="R447" s="32" t="str">
        <f>IF(AND(AND(T446="",A447&lt;=S446),OR(AND(入力!$B$13="有効",A447&gt;1,MOD(A447-1,60)=0),AND(A447=入力!$B$11,A447&gt;1)),入力!$B$14="有効"),ROUND(G446*1.25,0),"")</f>
        <v/>
      </c>
      <c r="S447" s="36">
        <f t="shared" si="117"/>
        <v>420</v>
      </c>
      <c r="T447" s="35" t="str">
        <f t="shared" si="118"/>
        <v/>
      </c>
      <c r="U447" s="3">
        <f t="shared" si="102"/>
        <v>0</v>
      </c>
      <c r="V447" s="3">
        <f t="shared" si="103"/>
        <v>0</v>
      </c>
      <c r="W447" s="3">
        <f t="shared" si="104"/>
        <v>0</v>
      </c>
      <c r="X447" s="3">
        <f t="shared" si="105"/>
        <v>0</v>
      </c>
      <c r="Y447" s="3">
        <f>0</f>
        <v>0</v>
      </c>
      <c r="Z447" s="3">
        <f t="shared" si="106"/>
        <v>0</v>
      </c>
      <c r="AA447">
        <f>ROUND(IF(FALSE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,0)</f>
        <v>0</v>
      </c>
    </row>
    <row r="448" spans="1:27">
      <c r="A448" s="30">
        <f>443</f>
        <v>443</v>
      </c>
      <c r="B448" s="31">
        <f>EDATE(入力!$B$6,A448-1)</f>
        <v>59688</v>
      </c>
      <c r="C448" s="32">
        <f t="shared" si="107"/>
        <v>0</v>
      </c>
      <c r="D448" s="32">
        <f t="shared" si="108"/>
        <v>0</v>
      </c>
      <c r="E448" s="33">
        <f>IF(AND(T447="",A448&lt;=S447),IF(A448&lt;入力!$B$11,入力!$B$10,入力!$B$12),0)</f>
        <v>0</v>
      </c>
      <c r="F448" s="32">
        <f t="shared" si="109"/>
        <v>0</v>
      </c>
      <c r="G448" s="32">
        <f>ROUND(IF(NOT(AND(T447="",A448&lt;=S447)),0,IF(FALSE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),0)</f>
        <v>0</v>
      </c>
      <c r="H448" s="32">
        <f t="shared" si="110"/>
        <v>0</v>
      </c>
      <c r="I448" s="32">
        <f t="shared" si="111"/>
        <v>0</v>
      </c>
      <c r="J448" s="32">
        <f t="shared" si="112"/>
        <v>0</v>
      </c>
      <c r="K448" s="32">
        <f t="shared" si="113"/>
        <v>0</v>
      </c>
      <c r="L448" s="32">
        <f t="shared" si="114"/>
        <v>0</v>
      </c>
      <c r="M448" s="32">
        <f>0</f>
        <v>0</v>
      </c>
      <c r="N448" s="32">
        <f t="shared" si="115"/>
        <v>0</v>
      </c>
      <c r="O448" s="32">
        <f t="shared" si="116"/>
        <v>14115936</v>
      </c>
      <c r="P448" s="34" t="str">
        <f>IF(NOT(AND(T447="",A448&lt;=S447)),"",IF(FALSE,"繰上返済後再計算","")&amp;IF(AND(入力!$B$13="有効",A448&gt;1,MOD(A448-1,60)=0),IF(FALSE,"・","")&amp;"5年見直し","")&amp;IF(AND(A448=入力!$B$11,A448&gt;1),IF(OR(FALSE,AND(入力!$B$13="有効",A448&gt;1,MOD(A448-1,60)=0)),"・","")&amp;"金利変更","")&amp;IF(AND(OR(AND(入力!$B$13="有効",A448&gt;1,MOD(A448-1,60)=0),AND(A448=入力!$B$11,A448&gt;1)),入力!$B$14="有効",IF(E448=0,ROUND(C448/MAX(1,S447-A448+1),0),ROUND(-PMT(E448/12,MAX(1,S447-A448+1),C448),0))&gt;ROUND(G447*1.25,0),NOT(FALSE)),"・上限適用",""))</f>
        <v/>
      </c>
      <c r="Q448" s="35" t="str">
        <f>IF(AND(T447="",A448&lt;=S447),入力!$B$13,"")</f>
        <v/>
      </c>
      <c r="R448" s="32" t="str">
        <f>IF(AND(AND(T447="",A448&lt;=S447),OR(AND(入力!$B$13="有効",A448&gt;1,MOD(A448-1,60)=0),AND(A448=入力!$B$11,A448&gt;1)),入力!$B$14="有効"),ROUND(G447*1.25,0),"")</f>
        <v/>
      </c>
      <c r="S448" s="36">
        <f t="shared" si="117"/>
        <v>420</v>
      </c>
      <c r="T448" s="35" t="str">
        <f t="shared" si="118"/>
        <v/>
      </c>
      <c r="U448" s="3">
        <f t="shared" si="102"/>
        <v>0</v>
      </c>
      <c r="V448" s="3">
        <f t="shared" si="103"/>
        <v>0</v>
      </c>
      <c r="W448" s="3">
        <f t="shared" si="104"/>
        <v>0</v>
      </c>
      <c r="X448" s="3">
        <f t="shared" si="105"/>
        <v>0</v>
      </c>
      <c r="Y448" s="3">
        <f>0</f>
        <v>0</v>
      </c>
      <c r="Z448" s="3">
        <f t="shared" si="106"/>
        <v>0</v>
      </c>
      <c r="AA448">
        <f>ROUND(IF(FALSE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,0)</f>
        <v>0</v>
      </c>
    </row>
    <row r="449" spans="1:27">
      <c r="A449" s="30">
        <f>444</f>
        <v>444</v>
      </c>
      <c r="B449" s="31">
        <f>EDATE(入力!$B$6,A449-1)</f>
        <v>59718</v>
      </c>
      <c r="C449" s="32">
        <f t="shared" si="107"/>
        <v>0</v>
      </c>
      <c r="D449" s="32">
        <f t="shared" si="108"/>
        <v>0</v>
      </c>
      <c r="E449" s="33">
        <f>IF(AND(T448="",A449&lt;=S448),IF(A449&lt;入力!$B$11,入力!$B$10,入力!$B$12),0)</f>
        <v>0</v>
      </c>
      <c r="F449" s="32">
        <f t="shared" si="109"/>
        <v>0</v>
      </c>
      <c r="G449" s="32">
        <f>ROUND(IF(NOT(AND(T448="",A449&lt;=S448)),0,IF(FALSE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),0)</f>
        <v>0</v>
      </c>
      <c r="H449" s="32">
        <f t="shared" si="110"/>
        <v>0</v>
      </c>
      <c r="I449" s="32">
        <f t="shared" si="111"/>
        <v>0</v>
      </c>
      <c r="J449" s="32">
        <f t="shared" si="112"/>
        <v>0</v>
      </c>
      <c r="K449" s="32">
        <f t="shared" si="113"/>
        <v>0</v>
      </c>
      <c r="L449" s="32">
        <f t="shared" si="114"/>
        <v>0</v>
      </c>
      <c r="M449" s="32">
        <f>0</f>
        <v>0</v>
      </c>
      <c r="N449" s="32">
        <f t="shared" si="115"/>
        <v>0</v>
      </c>
      <c r="O449" s="32">
        <f t="shared" si="116"/>
        <v>14115936</v>
      </c>
      <c r="P449" s="34" t="str">
        <f>IF(NOT(AND(T448="",A449&lt;=S448)),"",IF(FALSE,"繰上返済後再計算","")&amp;IF(AND(入力!$B$13="有効",A449&gt;1,MOD(A449-1,60)=0),IF(FALSE,"・","")&amp;"5年見直し","")&amp;IF(AND(A449=入力!$B$11,A449&gt;1),IF(OR(FALSE,AND(入力!$B$13="有効",A449&gt;1,MOD(A449-1,60)=0)),"・","")&amp;"金利変更","")&amp;IF(AND(OR(AND(入力!$B$13="有効",A449&gt;1,MOD(A449-1,60)=0),AND(A449=入力!$B$11,A449&gt;1)),入力!$B$14="有効",IF(E449=0,ROUND(C449/MAX(1,S448-A449+1),0),ROUND(-PMT(E449/12,MAX(1,S448-A449+1),C449),0))&gt;ROUND(G448*1.25,0),NOT(FALSE)),"・上限適用",""))</f>
        <v/>
      </c>
      <c r="Q449" s="35" t="str">
        <f>IF(AND(T448="",A449&lt;=S448),入力!$B$13,"")</f>
        <v/>
      </c>
      <c r="R449" s="32" t="str">
        <f>IF(AND(AND(T448="",A449&lt;=S448),OR(AND(入力!$B$13="有効",A449&gt;1,MOD(A449-1,60)=0),AND(A449=入力!$B$11,A449&gt;1)),入力!$B$14="有効"),ROUND(G448*1.25,0),"")</f>
        <v/>
      </c>
      <c r="S449" s="36">
        <f t="shared" si="117"/>
        <v>420</v>
      </c>
      <c r="T449" s="35" t="str">
        <f t="shared" si="118"/>
        <v/>
      </c>
      <c r="U449" s="3">
        <f t="shared" si="102"/>
        <v>0</v>
      </c>
      <c r="V449" s="3">
        <f t="shared" si="103"/>
        <v>0</v>
      </c>
      <c r="W449" s="3">
        <f t="shared" si="104"/>
        <v>0</v>
      </c>
      <c r="X449" s="3">
        <f t="shared" si="105"/>
        <v>0</v>
      </c>
      <c r="Y449" s="3">
        <f>0</f>
        <v>0</v>
      </c>
      <c r="Z449" s="3">
        <f t="shared" si="106"/>
        <v>0</v>
      </c>
      <c r="AA449">
        <f>ROUND(IF(FALSE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,0)</f>
        <v>0</v>
      </c>
    </row>
    <row r="450" spans="1:27">
      <c r="A450" s="30">
        <f>445</f>
        <v>445</v>
      </c>
      <c r="B450" s="31">
        <f>EDATE(入力!$B$6,A450-1)</f>
        <v>59749</v>
      </c>
      <c r="C450" s="32">
        <f t="shared" si="107"/>
        <v>0</v>
      </c>
      <c r="D450" s="32">
        <f t="shared" si="108"/>
        <v>0</v>
      </c>
      <c r="E450" s="33">
        <f>IF(AND(T449="",A450&lt;=S449),IF(A450&lt;入力!$B$11,入力!$B$10,入力!$B$12),0)</f>
        <v>0</v>
      </c>
      <c r="F450" s="32">
        <f t="shared" si="109"/>
        <v>0</v>
      </c>
      <c r="G450" s="32">
        <f>ROUND(IF(NOT(AND(T449="",A450&lt;=S449)),0,IF(FALSE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),0)</f>
        <v>0</v>
      </c>
      <c r="H450" s="32">
        <f t="shared" si="110"/>
        <v>0</v>
      </c>
      <c r="I450" s="32">
        <f t="shared" si="111"/>
        <v>0</v>
      </c>
      <c r="J450" s="32">
        <f t="shared" si="112"/>
        <v>0</v>
      </c>
      <c r="K450" s="32">
        <f t="shared" si="113"/>
        <v>0</v>
      </c>
      <c r="L450" s="32">
        <f t="shared" si="114"/>
        <v>0</v>
      </c>
      <c r="M450" s="32">
        <f>0</f>
        <v>0</v>
      </c>
      <c r="N450" s="32">
        <f t="shared" si="115"/>
        <v>0</v>
      </c>
      <c r="O450" s="32">
        <f t="shared" si="116"/>
        <v>14115936</v>
      </c>
      <c r="P450" s="34" t="str">
        <f>IF(NOT(AND(T449="",A450&lt;=S449)),"",IF(FALSE,"繰上返済後再計算","")&amp;IF(AND(入力!$B$13="有効",A450&gt;1,MOD(A450-1,60)=0),IF(FALSE,"・","")&amp;"5年見直し","")&amp;IF(AND(A450=入力!$B$11,A450&gt;1),IF(OR(FALSE,AND(入力!$B$13="有効",A450&gt;1,MOD(A450-1,60)=0)),"・","")&amp;"金利変更","")&amp;IF(AND(OR(AND(入力!$B$13="有効",A450&gt;1,MOD(A450-1,60)=0),AND(A450=入力!$B$11,A450&gt;1)),入力!$B$14="有効",IF(E450=0,ROUND(C450/MAX(1,S449-A450+1),0),ROUND(-PMT(E450/12,MAX(1,S449-A450+1),C450),0))&gt;ROUND(G449*1.25,0),NOT(FALSE)),"・上限適用",""))</f>
        <v/>
      </c>
      <c r="Q450" s="35" t="str">
        <f>IF(AND(T449="",A450&lt;=S449),入力!$B$13,"")</f>
        <v/>
      </c>
      <c r="R450" s="32" t="str">
        <f>IF(AND(AND(T449="",A450&lt;=S449),OR(AND(入力!$B$13="有効",A450&gt;1,MOD(A450-1,60)=0),AND(A450=入力!$B$11,A450&gt;1)),入力!$B$14="有効"),ROUND(G449*1.25,0),"")</f>
        <v/>
      </c>
      <c r="S450" s="36">
        <f t="shared" si="117"/>
        <v>420</v>
      </c>
      <c r="T450" s="35" t="str">
        <f t="shared" si="118"/>
        <v/>
      </c>
      <c r="U450" s="3">
        <f t="shared" si="102"/>
        <v>0</v>
      </c>
      <c r="V450" s="3">
        <f t="shared" si="103"/>
        <v>0</v>
      </c>
      <c r="W450" s="3">
        <f t="shared" si="104"/>
        <v>0</v>
      </c>
      <c r="X450" s="3">
        <f t="shared" si="105"/>
        <v>0</v>
      </c>
      <c r="Y450" s="3">
        <f>0</f>
        <v>0</v>
      </c>
      <c r="Z450" s="3">
        <f t="shared" si="106"/>
        <v>0</v>
      </c>
      <c r="AA450">
        <f>ROUND(IF(FALSE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,0)</f>
        <v>0</v>
      </c>
    </row>
    <row r="451" spans="1:27">
      <c r="A451" s="30">
        <f>446</f>
        <v>446</v>
      </c>
      <c r="B451" s="31">
        <f>EDATE(入力!$B$6,A451-1)</f>
        <v>59780</v>
      </c>
      <c r="C451" s="32">
        <f t="shared" si="107"/>
        <v>0</v>
      </c>
      <c r="D451" s="32">
        <f t="shared" si="108"/>
        <v>0</v>
      </c>
      <c r="E451" s="33">
        <f>IF(AND(T450="",A451&lt;=S450),IF(A451&lt;入力!$B$11,入力!$B$10,入力!$B$12),0)</f>
        <v>0</v>
      </c>
      <c r="F451" s="32">
        <f t="shared" si="109"/>
        <v>0</v>
      </c>
      <c r="G451" s="32">
        <f>ROUND(IF(NOT(AND(T450="",A451&lt;=S450)),0,IF(FALSE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),0)</f>
        <v>0</v>
      </c>
      <c r="H451" s="32">
        <f t="shared" si="110"/>
        <v>0</v>
      </c>
      <c r="I451" s="32">
        <f t="shared" si="111"/>
        <v>0</v>
      </c>
      <c r="J451" s="32">
        <f t="shared" si="112"/>
        <v>0</v>
      </c>
      <c r="K451" s="32">
        <f t="shared" si="113"/>
        <v>0</v>
      </c>
      <c r="L451" s="32">
        <f t="shared" si="114"/>
        <v>0</v>
      </c>
      <c r="M451" s="32">
        <f>0</f>
        <v>0</v>
      </c>
      <c r="N451" s="32">
        <f t="shared" si="115"/>
        <v>0</v>
      </c>
      <c r="O451" s="32">
        <f t="shared" si="116"/>
        <v>14115936</v>
      </c>
      <c r="P451" s="34" t="str">
        <f>IF(NOT(AND(T450="",A451&lt;=S450)),"",IF(FALSE,"繰上返済後再計算","")&amp;IF(AND(入力!$B$13="有効",A451&gt;1,MOD(A451-1,60)=0),IF(FALSE,"・","")&amp;"5年見直し","")&amp;IF(AND(A451=入力!$B$11,A451&gt;1),IF(OR(FALSE,AND(入力!$B$13="有効",A451&gt;1,MOD(A451-1,60)=0)),"・","")&amp;"金利変更","")&amp;IF(AND(OR(AND(入力!$B$13="有効",A451&gt;1,MOD(A451-1,60)=0),AND(A451=入力!$B$11,A451&gt;1)),入力!$B$14="有効",IF(E451=0,ROUND(C451/MAX(1,S450-A451+1),0),ROUND(-PMT(E451/12,MAX(1,S450-A451+1),C451),0))&gt;ROUND(G450*1.25,0),NOT(FALSE)),"・上限適用",""))</f>
        <v/>
      </c>
      <c r="Q451" s="35" t="str">
        <f>IF(AND(T450="",A451&lt;=S450),入力!$B$13,"")</f>
        <v/>
      </c>
      <c r="R451" s="32" t="str">
        <f>IF(AND(AND(T450="",A451&lt;=S450),OR(AND(入力!$B$13="有効",A451&gt;1,MOD(A451-1,60)=0),AND(A451=入力!$B$11,A451&gt;1)),入力!$B$14="有効"),ROUND(G450*1.25,0),"")</f>
        <v/>
      </c>
      <c r="S451" s="36">
        <f t="shared" si="117"/>
        <v>420</v>
      </c>
      <c r="T451" s="35" t="str">
        <f t="shared" si="118"/>
        <v/>
      </c>
      <c r="U451" s="3">
        <f t="shared" si="102"/>
        <v>0</v>
      </c>
      <c r="V451" s="3">
        <f t="shared" si="103"/>
        <v>0</v>
      </c>
      <c r="W451" s="3">
        <f t="shared" si="104"/>
        <v>0</v>
      </c>
      <c r="X451" s="3">
        <f t="shared" si="105"/>
        <v>0</v>
      </c>
      <c r="Y451" s="3">
        <f>0</f>
        <v>0</v>
      </c>
      <c r="Z451" s="3">
        <f t="shared" si="106"/>
        <v>0</v>
      </c>
      <c r="AA451">
        <f>ROUND(IF(FALSE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,0)</f>
        <v>0</v>
      </c>
    </row>
    <row r="452" spans="1:27">
      <c r="A452" s="30">
        <f>447</f>
        <v>447</v>
      </c>
      <c r="B452" s="31">
        <f>EDATE(入力!$B$6,A452-1)</f>
        <v>59810</v>
      </c>
      <c r="C452" s="32">
        <f t="shared" si="107"/>
        <v>0</v>
      </c>
      <c r="D452" s="32">
        <f t="shared" si="108"/>
        <v>0</v>
      </c>
      <c r="E452" s="33">
        <f>IF(AND(T451="",A452&lt;=S451),IF(A452&lt;入力!$B$11,入力!$B$10,入力!$B$12),0)</f>
        <v>0</v>
      </c>
      <c r="F452" s="32">
        <f t="shared" si="109"/>
        <v>0</v>
      </c>
      <c r="G452" s="32">
        <f>ROUND(IF(NOT(AND(T451="",A452&lt;=S451)),0,IF(FALSE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),0)</f>
        <v>0</v>
      </c>
      <c r="H452" s="32">
        <f t="shared" si="110"/>
        <v>0</v>
      </c>
      <c r="I452" s="32">
        <f t="shared" si="111"/>
        <v>0</v>
      </c>
      <c r="J452" s="32">
        <f t="shared" si="112"/>
        <v>0</v>
      </c>
      <c r="K452" s="32">
        <f t="shared" si="113"/>
        <v>0</v>
      </c>
      <c r="L452" s="32">
        <f t="shared" si="114"/>
        <v>0</v>
      </c>
      <c r="M452" s="32">
        <f>0</f>
        <v>0</v>
      </c>
      <c r="N452" s="32">
        <f t="shared" si="115"/>
        <v>0</v>
      </c>
      <c r="O452" s="32">
        <f t="shared" si="116"/>
        <v>14115936</v>
      </c>
      <c r="P452" s="34" t="str">
        <f>IF(NOT(AND(T451="",A452&lt;=S451)),"",IF(FALSE,"繰上返済後再計算","")&amp;IF(AND(入力!$B$13="有効",A452&gt;1,MOD(A452-1,60)=0),IF(FALSE,"・","")&amp;"5年見直し","")&amp;IF(AND(A452=入力!$B$11,A452&gt;1),IF(OR(FALSE,AND(入力!$B$13="有効",A452&gt;1,MOD(A452-1,60)=0)),"・","")&amp;"金利変更","")&amp;IF(AND(OR(AND(入力!$B$13="有効",A452&gt;1,MOD(A452-1,60)=0),AND(A452=入力!$B$11,A452&gt;1)),入力!$B$14="有効",IF(E452=0,ROUND(C452/MAX(1,S451-A452+1),0),ROUND(-PMT(E452/12,MAX(1,S451-A452+1),C452),0))&gt;ROUND(G451*1.25,0),NOT(FALSE)),"・上限適用",""))</f>
        <v/>
      </c>
      <c r="Q452" s="35" t="str">
        <f>IF(AND(T451="",A452&lt;=S451),入力!$B$13,"")</f>
        <v/>
      </c>
      <c r="R452" s="32" t="str">
        <f>IF(AND(AND(T451="",A452&lt;=S451),OR(AND(入力!$B$13="有効",A452&gt;1,MOD(A452-1,60)=0),AND(A452=入力!$B$11,A452&gt;1)),入力!$B$14="有効"),ROUND(G451*1.25,0),"")</f>
        <v/>
      </c>
      <c r="S452" s="36">
        <f t="shared" si="117"/>
        <v>420</v>
      </c>
      <c r="T452" s="35" t="str">
        <f t="shared" si="118"/>
        <v/>
      </c>
      <c r="U452" s="3">
        <f t="shared" si="102"/>
        <v>0</v>
      </c>
      <c r="V452" s="3">
        <f t="shared" si="103"/>
        <v>0</v>
      </c>
      <c r="W452" s="3">
        <f t="shared" si="104"/>
        <v>0</v>
      </c>
      <c r="X452" s="3">
        <f t="shared" si="105"/>
        <v>0</v>
      </c>
      <c r="Y452" s="3">
        <f>0</f>
        <v>0</v>
      </c>
      <c r="Z452" s="3">
        <f t="shared" si="106"/>
        <v>0</v>
      </c>
      <c r="AA452">
        <f>ROUND(IF(FALSE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,0)</f>
        <v>0</v>
      </c>
    </row>
    <row r="453" spans="1:27">
      <c r="A453" s="30">
        <f>448</f>
        <v>448</v>
      </c>
      <c r="B453" s="31">
        <f>EDATE(入力!$B$6,A453-1)</f>
        <v>59841</v>
      </c>
      <c r="C453" s="32">
        <f t="shared" si="107"/>
        <v>0</v>
      </c>
      <c r="D453" s="32">
        <f t="shared" si="108"/>
        <v>0</v>
      </c>
      <c r="E453" s="33">
        <f>IF(AND(T452="",A453&lt;=S452),IF(A453&lt;入力!$B$11,入力!$B$10,入力!$B$12),0)</f>
        <v>0</v>
      </c>
      <c r="F453" s="32">
        <f t="shared" si="109"/>
        <v>0</v>
      </c>
      <c r="G453" s="32">
        <f>ROUND(IF(NOT(AND(T452="",A453&lt;=S452)),0,IF(FALSE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),0)</f>
        <v>0</v>
      </c>
      <c r="H453" s="32">
        <f t="shared" si="110"/>
        <v>0</v>
      </c>
      <c r="I453" s="32">
        <f t="shared" si="111"/>
        <v>0</v>
      </c>
      <c r="J453" s="32">
        <f t="shared" si="112"/>
        <v>0</v>
      </c>
      <c r="K453" s="32">
        <f t="shared" si="113"/>
        <v>0</v>
      </c>
      <c r="L453" s="32">
        <f t="shared" si="114"/>
        <v>0</v>
      </c>
      <c r="M453" s="32">
        <f>0</f>
        <v>0</v>
      </c>
      <c r="N453" s="32">
        <f t="shared" si="115"/>
        <v>0</v>
      </c>
      <c r="O453" s="32">
        <f t="shared" si="116"/>
        <v>14115936</v>
      </c>
      <c r="P453" s="34" t="str">
        <f>IF(NOT(AND(T452="",A453&lt;=S452)),"",IF(FALSE,"繰上返済後再計算","")&amp;IF(AND(入力!$B$13="有効",A453&gt;1,MOD(A453-1,60)=0),IF(FALSE,"・","")&amp;"5年見直し","")&amp;IF(AND(A453=入力!$B$11,A453&gt;1),IF(OR(FALSE,AND(入力!$B$13="有効",A453&gt;1,MOD(A453-1,60)=0)),"・","")&amp;"金利変更","")&amp;IF(AND(OR(AND(入力!$B$13="有効",A453&gt;1,MOD(A453-1,60)=0),AND(A453=入力!$B$11,A453&gt;1)),入力!$B$14="有効",IF(E453=0,ROUND(C453/MAX(1,S452-A453+1),0),ROUND(-PMT(E453/12,MAX(1,S452-A453+1),C453),0))&gt;ROUND(G452*1.25,0),NOT(FALSE)),"・上限適用",""))</f>
        <v/>
      </c>
      <c r="Q453" s="35" t="str">
        <f>IF(AND(T452="",A453&lt;=S452),入力!$B$13,"")</f>
        <v/>
      </c>
      <c r="R453" s="32" t="str">
        <f>IF(AND(AND(T452="",A453&lt;=S452),OR(AND(入力!$B$13="有効",A453&gt;1,MOD(A453-1,60)=0),AND(A453=入力!$B$11,A453&gt;1)),入力!$B$14="有効"),ROUND(G452*1.25,0),"")</f>
        <v/>
      </c>
      <c r="S453" s="36">
        <f t="shared" si="117"/>
        <v>420</v>
      </c>
      <c r="T453" s="35" t="str">
        <f t="shared" si="118"/>
        <v/>
      </c>
      <c r="U453" s="3">
        <f t="shared" si="102"/>
        <v>0</v>
      </c>
      <c r="V453" s="3">
        <f t="shared" si="103"/>
        <v>0</v>
      </c>
      <c r="W453" s="3">
        <f t="shared" si="104"/>
        <v>0</v>
      </c>
      <c r="X453" s="3">
        <f t="shared" si="105"/>
        <v>0</v>
      </c>
      <c r="Y453" s="3">
        <f>0</f>
        <v>0</v>
      </c>
      <c r="Z453" s="3">
        <f t="shared" si="106"/>
        <v>0</v>
      </c>
      <c r="AA453">
        <f>ROUND(IF(FALSE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,0)</f>
        <v>0</v>
      </c>
    </row>
    <row r="454" spans="1:27">
      <c r="A454" s="30">
        <f>449</f>
        <v>449</v>
      </c>
      <c r="B454" s="31">
        <f>EDATE(入力!$B$6,A454-1)</f>
        <v>59871</v>
      </c>
      <c r="C454" s="32">
        <f t="shared" si="107"/>
        <v>0</v>
      </c>
      <c r="D454" s="32">
        <f t="shared" si="108"/>
        <v>0</v>
      </c>
      <c r="E454" s="33">
        <f>IF(AND(T453="",A454&lt;=S453),IF(A454&lt;入力!$B$11,入力!$B$10,入力!$B$12),0)</f>
        <v>0</v>
      </c>
      <c r="F454" s="32">
        <f t="shared" si="109"/>
        <v>0</v>
      </c>
      <c r="G454" s="32">
        <f>ROUND(IF(NOT(AND(T453="",A454&lt;=S453)),0,IF(FALSE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),0)</f>
        <v>0</v>
      </c>
      <c r="H454" s="32">
        <f t="shared" si="110"/>
        <v>0</v>
      </c>
      <c r="I454" s="32">
        <f t="shared" si="111"/>
        <v>0</v>
      </c>
      <c r="J454" s="32">
        <f t="shared" si="112"/>
        <v>0</v>
      </c>
      <c r="K454" s="32">
        <f t="shared" si="113"/>
        <v>0</v>
      </c>
      <c r="L454" s="32">
        <f t="shared" si="114"/>
        <v>0</v>
      </c>
      <c r="M454" s="32">
        <f>0</f>
        <v>0</v>
      </c>
      <c r="N454" s="32">
        <f t="shared" si="115"/>
        <v>0</v>
      </c>
      <c r="O454" s="32">
        <f t="shared" si="116"/>
        <v>14115936</v>
      </c>
      <c r="P454" s="34" t="str">
        <f>IF(NOT(AND(T453="",A454&lt;=S453)),"",IF(FALSE,"繰上返済後再計算","")&amp;IF(AND(入力!$B$13="有効",A454&gt;1,MOD(A454-1,60)=0),IF(FALSE,"・","")&amp;"5年見直し","")&amp;IF(AND(A454=入力!$B$11,A454&gt;1),IF(OR(FALSE,AND(入力!$B$13="有効",A454&gt;1,MOD(A454-1,60)=0)),"・","")&amp;"金利変更","")&amp;IF(AND(OR(AND(入力!$B$13="有効",A454&gt;1,MOD(A454-1,60)=0),AND(A454=入力!$B$11,A454&gt;1)),入力!$B$14="有効",IF(E454=0,ROUND(C454/MAX(1,S453-A454+1),0),ROUND(-PMT(E454/12,MAX(1,S453-A454+1),C454),0))&gt;ROUND(G453*1.25,0),NOT(FALSE)),"・上限適用",""))</f>
        <v/>
      </c>
      <c r="Q454" s="35" t="str">
        <f>IF(AND(T453="",A454&lt;=S453),入力!$B$13,"")</f>
        <v/>
      </c>
      <c r="R454" s="32" t="str">
        <f>IF(AND(AND(T453="",A454&lt;=S453),OR(AND(入力!$B$13="有効",A454&gt;1,MOD(A454-1,60)=0),AND(A454=入力!$B$11,A454&gt;1)),入力!$B$14="有効"),ROUND(G453*1.25,0),"")</f>
        <v/>
      </c>
      <c r="S454" s="36">
        <f t="shared" si="117"/>
        <v>420</v>
      </c>
      <c r="T454" s="35" t="str">
        <f t="shared" si="118"/>
        <v/>
      </c>
      <c r="U454" s="3">
        <f t="shared" ref="U454:U517" si="119">ABS(I454-MIN(H454,D454+F454))</f>
        <v>0</v>
      </c>
      <c r="V454" s="3">
        <f t="shared" ref="V454:V517" si="120">ABS(L454-(H454-I454))</f>
        <v>0</v>
      </c>
      <c r="W454" s="3">
        <f t="shared" ref="W454:W517" si="121">ABS(K454-(D454+J454))</f>
        <v>0</v>
      </c>
      <c r="X454" s="3">
        <f t="shared" ref="X454:X517" si="122">ABS(F454-ROUND(F454,0))+ABS(G454-ROUND(G454,0))+ABS(H454-ROUND(H454,0))+ABS(I454-ROUND(I454,0))+ABS(J454-ROUND(J454,0))+ABS(K454-ROUND(K454,0))+ABS(L454-ROUND(L454,0))+ABS(M454-ROUND(M454,0))+ABS(N454-ROUND(N454,0))+ABS(O454-ROUND(O454,0))</f>
        <v>0</v>
      </c>
      <c r="Y454" s="3">
        <f>0</f>
        <v>0</v>
      </c>
      <c r="Z454" s="3">
        <f t="shared" ref="Z454:Z517" si="123">SUM(--ISERROR(A454),--ISERROR(B454),--ISERROR(C454),--ISERROR(D454),--ISERROR(E454),--ISERROR(F454),--ISERROR(G454),--ISERROR(H454),--ISERROR(I454),--ISERROR(J454),--ISERROR(K454),--ISERROR(L454),--ISERROR(M454),--ISERROR(N454),--ISERROR(O454),--ISERROR(P454),--ISERROR(Q454),--ISERROR(R454),--ISERROR(S454),--ISERROR(T454))</f>
        <v>0</v>
      </c>
      <c r="AA454">
        <f>ROUND(IF(FALSE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,0)</f>
        <v>0</v>
      </c>
    </row>
    <row r="455" spans="1:27">
      <c r="A455" s="30">
        <f>450</f>
        <v>450</v>
      </c>
      <c r="B455" s="31">
        <f>EDATE(入力!$B$6,A455-1)</f>
        <v>59902</v>
      </c>
      <c r="C455" s="32">
        <f t="shared" ref="C455:C518" si="124">IF(AND(T454="",A455&lt;=S454),N454,0)</f>
        <v>0</v>
      </c>
      <c r="D455" s="32">
        <f t="shared" ref="D455:D518" si="125">IF(AND(T454="",A455&lt;=S454),K454,0)</f>
        <v>0</v>
      </c>
      <c r="E455" s="33">
        <f>IF(AND(T454="",A455&lt;=S454),IF(A455&lt;入力!$B$11,入力!$B$10,入力!$B$12),0)</f>
        <v>0</v>
      </c>
      <c r="F455" s="32">
        <f t="shared" ref="F455:F518" si="126">IF(AND(T454="",A455&lt;=S454),ROUND(C455*E455/12,0),0)</f>
        <v>0</v>
      </c>
      <c r="G455" s="32">
        <f>ROUND(IF(NOT(AND(T454="",A455&lt;=S454)),0,IF(FALSE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),0)</f>
        <v>0</v>
      </c>
      <c r="H455" s="32">
        <f t="shared" ref="H455:H518" si="127">IF(AND(T454="",A455&lt;=S454),ROUND(MIN(G455,C455+D455+F455),0),0)</f>
        <v>0</v>
      </c>
      <c r="I455" s="32">
        <f t="shared" ref="I455:I518" si="128">IF(AND(T454="",A455&lt;=S454),ROUND(MIN(H455,D455+F455),0),0)</f>
        <v>0</v>
      </c>
      <c r="J455" s="32">
        <f t="shared" ref="J455:J518" si="129">IF(AND(T454="",A455&lt;=S454),ROUND(F455-I455,0),0)</f>
        <v>0</v>
      </c>
      <c r="K455" s="32">
        <f t="shared" ref="K455:K518" si="130">IF(AND(T454="",A455&lt;=S454),ROUND(D455+J455,0),0)</f>
        <v>0</v>
      </c>
      <c r="L455" s="32">
        <f t="shared" ref="L455:L518" si="131">IF(AND(T454="",A455&lt;=S454),ROUND(H455-I455,0),0)</f>
        <v>0</v>
      </c>
      <c r="M455" s="32">
        <f>0</f>
        <v>0</v>
      </c>
      <c r="N455" s="32">
        <f t="shared" ref="N455:N518" si="132">IF(AND(T454="",A455&lt;=S454),ROUND(MAX(0,C455-L455-M455),0),0)</f>
        <v>0</v>
      </c>
      <c r="O455" s="32">
        <f t="shared" ref="O455:O518" si="133">IF(AND(T454="",A455&lt;=S454),ROUND(O454+F455,0),O454)</f>
        <v>14115936</v>
      </c>
      <c r="P455" s="34" t="str">
        <f>IF(NOT(AND(T454="",A455&lt;=S454)),"",IF(FALSE,"繰上返済後再計算","")&amp;IF(AND(入力!$B$13="有効",A455&gt;1,MOD(A455-1,60)=0),IF(FALSE,"・","")&amp;"5年見直し","")&amp;IF(AND(A455=入力!$B$11,A455&gt;1),IF(OR(FALSE,AND(入力!$B$13="有効",A455&gt;1,MOD(A455-1,60)=0)),"・","")&amp;"金利変更","")&amp;IF(AND(OR(AND(入力!$B$13="有効",A455&gt;1,MOD(A455-1,60)=0),AND(A455=入力!$B$11,A455&gt;1)),入力!$B$14="有効",IF(E455=0,ROUND(C455/MAX(1,S454-A455+1),0),ROUND(-PMT(E455/12,MAX(1,S454-A455+1),C455),0))&gt;ROUND(G454*1.25,0),NOT(FALSE)),"・上限適用",""))</f>
        <v/>
      </c>
      <c r="Q455" s="35" t="str">
        <f>IF(AND(T454="",A455&lt;=S454),入力!$B$13,"")</f>
        <v/>
      </c>
      <c r="R455" s="32" t="str">
        <f>IF(AND(AND(T454="",A455&lt;=S454),OR(AND(入力!$B$13="有効",A455&gt;1,MOD(A455-1,60)=0),AND(A455=入力!$B$11,A455&gt;1)),入力!$B$14="有効"),ROUND(G454*1.25,0),"")</f>
        <v/>
      </c>
      <c r="S455" s="36">
        <f t="shared" ref="S455:S518" si="134">S454</f>
        <v>420</v>
      </c>
      <c r="T455" s="35" t="str">
        <f t="shared" ref="T455:T518" si="135">IF(NOT(AND(T454="",A455&lt;=S454)),"",IF(AND(N455=0,K455=0),"完済",IF(A455=S455,"最終回清算","")))</f>
        <v/>
      </c>
      <c r="U455" s="3">
        <f t="shared" si="119"/>
        <v>0</v>
      </c>
      <c r="V455" s="3">
        <f t="shared" si="120"/>
        <v>0</v>
      </c>
      <c r="W455" s="3">
        <f t="shared" si="121"/>
        <v>0</v>
      </c>
      <c r="X455" s="3">
        <f t="shared" si="122"/>
        <v>0</v>
      </c>
      <c r="Y455" s="3">
        <f>0</f>
        <v>0</v>
      </c>
      <c r="Z455" s="3">
        <f t="shared" si="123"/>
        <v>0</v>
      </c>
      <c r="AA455">
        <f>ROUND(IF(FALSE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,0)</f>
        <v>0</v>
      </c>
    </row>
    <row r="456" spans="1:27">
      <c r="A456" s="30">
        <f>451</f>
        <v>451</v>
      </c>
      <c r="B456" s="31">
        <f>EDATE(入力!$B$6,A456-1)</f>
        <v>59933</v>
      </c>
      <c r="C456" s="32">
        <f t="shared" si="124"/>
        <v>0</v>
      </c>
      <c r="D456" s="32">
        <f t="shared" si="125"/>
        <v>0</v>
      </c>
      <c r="E456" s="33">
        <f>IF(AND(T455="",A456&lt;=S455),IF(A456&lt;入力!$B$11,入力!$B$10,入力!$B$12),0)</f>
        <v>0</v>
      </c>
      <c r="F456" s="32">
        <f t="shared" si="126"/>
        <v>0</v>
      </c>
      <c r="G456" s="32">
        <f>ROUND(IF(NOT(AND(T455="",A456&lt;=S455)),0,IF(FALSE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),0)</f>
        <v>0</v>
      </c>
      <c r="H456" s="32">
        <f t="shared" si="127"/>
        <v>0</v>
      </c>
      <c r="I456" s="32">
        <f t="shared" si="128"/>
        <v>0</v>
      </c>
      <c r="J456" s="32">
        <f t="shared" si="129"/>
        <v>0</v>
      </c>
      <c r="K456" s="32">
        <f t="shared" si="130"/>
        <v>0</v>
      </c>
      <c r="L456" s="32">
        <f t="shared" si="131"/>
        <v>0</v>
      </c>
      <c r="M456" s="32">
        <f>0</f>
        <v>0</v>
      </c>
      <c r="N456" s="32">
        <f t="shared" si="132"/>
        <v>0</v>
      </c>
      <c r="O456" s="32">
        <f t="shared" si="133"/>
        <v>14115936</v>
      </c>
      <c r="P456" s="34" t="str">
        <f>IF(NOT(AND(T455="",A456&lt;=S455)),"",IF(FALSE,"繰上返済後再計算","")&amp;IF(AND(入力!$B$13="有効",A456&gt;1,MOD(A456-1,60)=0),IF(FALSE,"・","")&amp;"5年見直し","")&amp;IF(AND(A456=入力!$B$11,A456&gt;1),IF(OR(FALSE,AND(入力!$B$13="有効",A456&gt;1,MOD(A456-1,60)=0)),"・","")&amp;"金利変更","")&amp;IF(AND(OR(AND(入力!$B$13="有効",A456&gt;1,MOD(A456-1,60)=0),AND(A456=入力!$B$11,A456&gt;1)),入力!$B$14="有効",IF(E456=0,ROUND(C456/MAX(1,S455-A456+1),0),ROUND(-PMT(E456/12,MAX(1,S455-A456+1),C456),0))&gt;ROUND(G455*1.25,0),NOT(FALSE)),"・上限適用",""))</f>
        <v/>
      </c>
      <c r="Q456" s="35" t="str">
        <f>IF(AND(T455="",A456&lt;=S455),入力!$B$13,"")</f>
        <v/>
      </c>
      <c r="R456" s="32" t="str">
        <f>IF(AND(AND(T455="",A456&lt;=S455),OR(AND(入力!$B$13="有効",A456&gt;1,MOD(A456-1,60)=0),AND(A456=入力!$B$11,A456&gt;1)),入力!$B$14="有効"),ROUND(G455*1.25,0),"")</f>
        <v/>
      </c>
      <c r="S456" s="36">
        <f t="shared" si="134"/>
        <v>420</v>
      </c>
      <c r="T456" s="35" t="str">
        <f t="shared" si="135"/>
        <v/>
      </c>
      <c r="U456" s="3">
        <f t="shared" si="119"/>
        <v>0</v>
      </c>
      <c r="V456" s="3">
        <f t="shared" si="120"/>
        <v>0</v>
      </c>
      <c r="W456" s="3">
        <f t="shared" si="121"/>
        <v>0</v>
      </c>
      <c r="X456" s="3">
        <f t="shared" si="122"/>
        <v>0</v>
      </c>
      <c r="Y456" s="3">
        <f>0</f>
        <v>0</v>
      </c>
      <c r="Z456" s="3">
        <f t="shared" si="123"/>
        <v>0</v>
      </c>
      <c r="AA456">
        <f>ROUND(IF(FALSE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,0)</f>
        <v>0</v>
      </c>
    </row>
    <row r="457" spans="1:27">
      <c r="A457" s="30">
        <f>452</f>
        <v>452</v>
      </c>
      <c r="B457" s="31">
        <f>EDATE(入力!$B$6,A457-1)</f>
        <v>59962</v>
      </c>
      <c r="C457" s="32">
        <f t="shared" si="124"/>
        <v>0</v>
      </c>
      <c r="D457" s="32">
        <f t="shared" si="125"/>
        <v>0</v>
      </c>
      <c r="E457" s="33">
        <f>IF(AND(T456="",A457&lt;=S456),IF(A457&lt;入力!$B$11,入力!$B$10,入力!$B$12),0)</f>
        <v>0</v>
      </c>
      <c r="F457" s="32">
        <f t="shared" si="126"/>
        <v>0</v>
      </c>
      <c r="G457" s="32">
        <f>ROUND(IF(NOT(AND(T456="",A457&lt;=S456)),0,IF(FALSE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),0)</f>
        <v>0</v>
      </c>
      <c r="H457" s="32">
        <f t="shared" si="127"/>
        <v>0</v>
      </c>
      <c r="I457" s="32">
        <f t="shared" si="128"/>
        <v>0</v>
      </c>
      <c r="J457" s="32">
        <f t="shared" si="129"/>
        <v>0</v>
      </c>
      <c r="K457" s="32">
        <f t="shared" si="130"/>
        <v>0</v>
      </c>
      <c r="L457" s="32">
        <f t="shared" si="131"/>
        <v>0</v>
      </c>
      <c r="M457" s="32">
        <f>0</f>
        <v>0</v>
      </c>
      <c r="N457" s="32">
        <f t="shared" si="132"/>
        <v>0</v>
      </c>
      <c r="O457" s="32">
        <f t="shared" si="133"/>
        <v>14115936</v>
      </c>
      <c r="P457" s="34" t="str">
        <f>IF(NOT(AND(T456="",A457&lt;=S456)),"",IF(FALSE,"繰上返済後再計算","")&amp;IF(AND(入力!$B$13="有効",A457&gt;1,MOD(A457-1,60)=0),IF(FALSE,"・","")&amp;"5年見直し","")&amp;IF(AND(A457=入力!$B$11,A457&gt;1),IF(OR(FALSE,AND(入力!$B$13="有効",A457&gt;1,MOD(A457-1,60)=0)),"・","")&amp;"金利変更","")&amp;IF(AND(OR(AND(入力!$B$13="有効",A457&gt;1,MOD(A457-1,60)=0),AND(A457=入力!$B$11,A457&gt;1)),入力!$B$14="有効",IF(E457=0,ROUND(C457/MAX(1,S456-A457+1),0),ROUND(-PMT(E457/12,MAX(1,S456-A457+1),C457),0))&gt;ROUND(G456*1.25,0),NOT(FALSE)),"・上限適用",""))</f>
        <v/>
      </c>
      <c r="Q457" s="35" t="str">
        <f>IF(AND(T456="",A457&lt;=S456),入力!$B$13,"")</f>
        <v/>
      </c>
      <c r="R457" s="32" t="str">
        <f>IF(AND(AND(T456="",A457&lt;=S456),OR(AND(入力!$B$13="有効",A457&gt;1,MOD(A457-1,60)=0),AND(A457=入力!$B$11,A457&gt;1)),入力!$B$14="有効"),ROUND(G456*1.25,0),"")</f>
        <v/>
      </c>
      <c r="S457" s="36">
        <f t="shared" si="134"/>
        <v>420</v>
      </c>
      <c r="T457" s="35" t="str">
        <f t="shared" si="135"/>
        <v/>
      </c>
      <c r="U457" s="3">
        <f t="shared" si="119"/>
        <v>0</v>
      </c>
      <c r="V457" s="3">
        <f t="shared" si="120"/>
        <v>0</v>
      </c>
      <c r="W457" s="3">
        <f t="shared" si="121"/>
        <v>0</v>
      </c>
      <c r="X457" s="3">
        <f t="shared" si="122"/>
        <v>0</v>
      </c>
      <c r="Y457" s="3">
        <f>0</f>
        <v>0</v>
      </c>
      <c r="Z457" s="3">
        <f t="shared" si="123"/>
        <v>0</v>
      </c>
      <c r="AA457">
        <f>ROUND(IF(FALSE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,0)</f>
        <v>0</v>
      </c>
    </row>
    <row r="458" spans="1:27">
      <c r="A458" s="30">
        <f>453</f>
        <v>453</v>
      </c>
      <c r="B458" s="31">
        <f>EDATE(入力!$B$6,A458-1)</f>
        <v>59993</v>
      </c>
      <c r="C458" s="32">
        <f t="shared" si="124"/>
        <v>0</v>
      </c>
      <c r="D458" s="32">
        <f t="shared" si="125"/>
        <v>0</v>
      </c>
      <c r="E458" s="33">
        <f>IF(AND(T457="",A458&lt;=S457),IF(A458&lt;入力!$B$11,入力!$B$10,入力!$B$12),0)</f>
        <v>0</v>
      </c>
      <c r="F458" s="32">
        <f t="shared" si="126"/>
        <v>0</v>
      </c>
      <c r="G458" s="32">
        <f>ROUND(IF(NOT(AND(T457="",A458&lt;=S457)),0,IF(FALSE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),0)</f>
        <v>0</v>
      </c>
      <c r="H458" s="32">
        <f t="shared" si="127"/>
        <v>0</v>
      </c>
      <c r="I458" s="32">
        <f t="shared" si="128"/>
        <v>0</v>
      </c>
      <c r="J458" s="32">
        <f t="shared" si="129"/>
        <v>0</v>
      </c>
      <c r="K458" s="32">
        <f t="shared" si="130"/>
        <v>0</v>
      </c>
      <c r="L458" s="32">
        <f t="shared" si="131"/>
        <v>0</v>
      </c>
      <c r="M458" s="32">
        <f>0</f>
        <v>0</v>
      </c>
      <c r="N458" s="32">
        <f t="shared" si="132"/>
        <v>0</v>
      </c>
      <c r="O458" s="32">
        <f t="shared" si="133"/>
        <v>14115936</v>
      </c>
      <c r="P458" s="34" t="str">
        <f>IF(NOT(AND(T457="",A458&lt;=S457)),"",IF(FALSE,"繰上返済後再計算","")&amp;IF(AND(入力!$B$13="有効",A458&gt;1,MOD(A458-1,60)=0),IF(FALSE,"・","")&amp;"5年見直し","")&amp;IF(AND(A458=入力!$B$11,A458&gt;1),IF(OR(FALSE,AND(入力!$B$13="有効",A458&gt;1,MOD(A458-1,60)=0)),"・","")&amp;"金利変更","")&amp;IF(AND(OR(AND(入力!$B$13="有効",A458&gt;1,MOD(A458-1,60)=0),AND(A458=入力!$B$11,A458&gt;1)),入力!$B$14="有効",IF(E458=0,ROUND(C458/MAX(1,S457-A458+1),0),ROUND(-PMT(E458/12,MAX(1,S457-A458+1),C458),0))&gt;ROUND(G457*1.25,0),NOT(FALSE)),"・上限適用",""))</f>
        <v/>
      </c>
      <c r="Q458" s="35" t="str">
        <f>IF(AND(T457="",A458&lt;=S457),入力!$B$13,"")</f>
        <v/>
      </c>
      <c r="R458" s="32" t="str">
        <f>IF(AND(AND(T457="",A458&lt;=S457),OR(AND(入力!$B$13="有効",A458&gt;1,MOD(A458-1,60)=0),AND(A458=入力!$B$11,A458&gt;1)),入力!$B$14="有効"),ROUND(G457*1.25,0),"")</f>
        <v/>
      </c>
      <c r="S458" s="36">
        <f t="shared" si="134"/>
        <v>420</v>
      </c>
      <c r="T458" s="35" t="str">
        <f t="shared" si="135"/>
        <v/>
      </c>
      <c r="U458" s="3">
        <f t="shared" si="119"/>
        <v>0</v>
      </c>
      <c r="V458" s="3">
        <f t="shared" si="120"/>
        <v>0</v>
      </c>
      <c r="W458" s="3">
        <f t="shared" si="121"/>
        <v>0</v>
      </c>
      <c r="X458" s="3">
        <f t="shared" si="122"/>
        <v>0</v>
      </c>
      <c r="Y458" s="3">
        <f>0</f>
        <v>0</v>
      </c>
      <c r="Z458" s="3">
        <f t="shared" si="123"/>
        <v>0</v>
      </c>
      <c r="AA458">
        <f>ROUND(IF(FALSE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,0)</f>
        <v>0</v>
      </c>
    </row>
    <row r="459" spans="1:27">
      <c r="A459" s="30">
        <f>454</f>
        <v>454</v>
      </c>
      <c r="B459" s="31">
        <f>EDATE(入力!$B$6,A459-1)</f>
        <v>60023</v>
      </c>
      <c r="C459" s="32">
        <f t="shared" si="124"/>
        <v>0</v>
      </c>
      <c r="D459" s="32">
        <f t="shared" si="125"/>
        <v>0</v>
      </c>
      <c r="E459" s="33">
        <f>IF(AND(T458="",A459&lt;=S458),IF(A459&lt;入力!$B$11,入力!$B$10,入力!$B$12),0)</f>
        <v>0</v>
      </c>
      <c r="F459" s="32">
        <f t="shared" si="126"/>
        <v>0</v>
      </c>
      <c r="G459" s="32">
        <f>ROUND(IF(NOT(AND(T458="",A459&lt;=S458)),0,IF(FALSE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),0)</f>
        <v>0</v>
      </c>
      <c r="H459" s="32">
        <f t="shared" si="127"/>
        <v>0</v>
      </c>
      <c r="I459" s="32">
        <f t="shared" si="128"/>
        <v>0</v>
      </c>
      <c r="J459" s="32">
        <f t="shared" si="129"/>
        <v>0</v>
      </c>
      <c r="K459" s="32">
        <f t="shared" si="130"/>
        <v>0</v>
      </c>
      <c r="L459" s="32">
        <f t="shared" si="131"/>
        <v>0</v>
      </c>
      <c r="M459" s="32">
        <f>0</f>
        <v>0</v>
      </c>
      <c r="N459" s="32">
        <f t="shared" si="132"/>
        <v>0</v>
      </c>
      <c r="O459" s="32">
        <f t="shared" si="133"/>
        <v>14115936</v>
      </c>
      <c r="P459" s="34" t="str">
        <f>IF(NOT(AND(T458="",A459&lt;=S458)),"",IF(FALSE,"繰上返済後再計算","")&amp;IF(AND(入力!$B$13="有効",A459&gt;1,MOD(A459-1,60)=0),IF(FALSE,"・","")&amp;"5年見直し","")&amp;IF(AND(A459=入力!$B$11,A459&gt;1),IF(OR(FALSE,AND(入力!$B$13="有効",A459&gt;1,MOD(A459-1,60)=0)),"・","")&amp;"金利変更","")&amp;IF(AND(OR(AND(入力!$B$13="有効",A459&gt;1,MOD(A459-1,60)=0),AND(A459=入力!$B$11,A459&gt;1)),入力!$B$14="有効",IF(E459=0,ROUND(C459/MAX(1,S458-A459+1),0),ROUND(-PMT(E459/12,MAX(1,S458-A459+1),C459),0))&gt;ROUND(G458*1.25,0),NOT(FALSE)),"・上限適用",""))</f>
        <v/>
      </c>
      <c r="Q459" s="35" t="str">
        <f>IF(AND(T458="",A459&lt;=S458),入力!$B$13,"")</f>
        <v/>
      </c>
      <c r="R459" s="32" t="str">
        <f>IF(AND(AND(T458="",A459&lt;=S458),OR(AND(入力!$B$13="有効",A459&gt;1,MOD(A459-1,60)=0),AND(A459=入力!$B$11,A459&gt;1)),入力!$B$14="有効"),ROUND(G458*1.25,0),"")</f>
        <v/>
      </c>
      <c r="S459" s="36">
        <f t="shared" si="134"/>
        <v>420</v>
      </c>
      <c r="T459" s="35" t="str">
        <f t="shared" si="135"/>
        <v/>
      </c>
      <c r="U459" s="3">
        <f t="shared" si="119"/>
        <v>0</v>
      </c>
      <c r="V459" s="3">
        <f t="shared" si="120"/>
        <v>0</v>
      </c>
      <c r="W459" s="3">
        <f t="shared" si="121"/>
        <v>0</v>
      </c>
      <c r="X459" s="3">
        <f t="shared" si="122"/>
        <v>0</v>
      </c>
      <c r="Y459" s="3">
        <f>0</f>
        <v>0</v>
      </c>
      <c r="Z459" s="3">
        <f t="shared" si="123"/>
        <v>0</v>
      </c>
      <c r="AA459">
        <f>ROUND(IF(FALSE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,0)</f>
        <v>0</v>
      </c>
    </row>
    <row r="460" spans="1:27">
      <c r="A460" s="30">
        <f>455</f>
        <v>455</v>
      </c>
      <c r="B460" s="31">
        <f>EDATE(入力!$B$6,A460-1)</f>
        <v>60054</v>
      </c>
      <c r="C460" s="32">
        <f t="shared" si="124"/>
        <v>0</v>
      </c>
      <c r="D460" s="32">
        <f t="shared" si="125"/>
        <v>0</v>
      </c>
      <c r="E460" s="33">
        <f>IF(AND(T459="",A460&lt;=S459),IF(A460&lt;入力!$B$11,入力!$B$10,入力!$B$12),0)</f>
        <v>0</v>
      </c>
      <c r="F460" s="32">
        <f t="shared" si="126"/>
        <v>0</v>
      </c>
      <c r="G460" s="32">
        <f>ROUND(IF(NOT(AND(T459="",A460&lt;=S459)),0,IF(FALSE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),0)</f>
        <v>0</v>
      </c>
      <c r="H460" s="32">
        <f t="shared" si="127"/>
        <v>0</v>
      </c>
      <c r="I460" s="32">
        <f t="shared" si="128"/>
        <v>0</v>
      </c>
      <c r="J460" s="32">
        <f t="shared" si="129"/>
        <v>0</v>
      </c>
      <c r="K460" s="32">
        <f t="shared" si="130"/>
        <v>0</v>
      </c>
      <c r="L460" s="32">
        <f t="shared" si="131"/>
        <v>0</v>
      </c>
      <c r="M460" s="32">
        <f>0</f>
        <v>0</v>
      </c>
      <c r="N460" s="32">
        <f t="shared" si="132"/>
        <v>0</v>
      </c>
      <c r="O460" s="32">
        <f t="shared" si="133"/>
        <v>14115936</v>
      </c>
      <c r="P460" s="34" t="str">
        <f>IF(NOT(AND(T459="",A460&lt;=S459)),"",IF(FALSE,"繰上返済後再計算","")&amp;IF(AND(入力!$B$13="有効",A460&gt;1,MOD(A460-1,60)=0),IF(FALSE,"・","")&amp;"5年見直し","")&amp;IF(AND(A460=入力!$B$11,A460&gt;1),IF(OR(FALSE,AND(入力!$B$13="有効",A460&gt;1,MOD(A460-1,60)=0)),"・","")&amp;"金利変更","")&amp;IF(AND(OR(AND(入力!$B$13="有効",A460&gt;1,MOD(A460-1,60)=0),AND(A460=入力!$B$11,A460&gt;1)),入力!$B$14="有効",IF(E460=0,ROUND(C460/MAX(1,S459-A460+1),0),ROUND(-PMT(E460/12,MAX(1,S459-A460+1),C460),0))&gt;ROUND(G459*1.25,0),NOT(FALSE)),"・上限適用",""))</f>
        <v/>
      </c>
      <c r="Q460" s="35" t="str">
        <f>IF(AND(T459="",A460&lt;=S459),入力!$B$13,"")</f>
        <v/>
      </c>
      <c r="R460" s="32" t="str">
        <f>IF(AND(AND(T459="",A460&lt;=S459),OR(AND(入力!$B$13="有効",A460&gt;1,MOD(A460-1,60)=0),AND(A460=入力!$B$11,A460&gt;1)),入力!$B$14="有効"),ROUND(G459*1.25,0),"")</f>
        <v/>
      </c>
      <c r="S460" s="36">
        <f t="shared" si="134"/>
        <v>420</v>
      </c>
      <c r="T460" s="35" t="str">
        <f t="shared" si="135"/>
        <v/>
      </c>
      <c r="U460" s="3">
        <f t="shared" si="119"/>
        <v>0</v>
      </c>
      <c r="V460" s="3">
        <f t="shared" si="120"/>
        <v>0</v>
      </c>
      <c r="W460" s="3">
        <f t="shared" si="121"/>
        <v>0</v>
      </c>
      <c r="X460" s="3">
        <f t="shared" si="122"/>
        <v>0</v>
      </c>
      <c r="Y460" s="3">
        <f>0</f>
        <v>0</v>
      </c>
      <c r="Z460" s="3">
        <f t="shared" si="123"/>
        <v>0</v>
      </c>
      <c r="AA460">
        <f>ROUND(IF(FALSE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,0)</f>
        <v>0</v>
      </c>
    </row>
    <row r="461" spans="1:27">
      <c r="A461" s="30">
        <f>456</f>
        <v>456</v>
      </c>
      <c r="B461" s="31">
        <f>EDATE(入力!$B$6,A461-1)</f>
        <v>60084</v>
      </c>
      <c r="C461" s="32">
        <f t="shared" si="124"/>
        <v>0</v>
      </c>
      <c r="D461" s="32">
        <f t="shared" si="125"/>
        <v>0</v>
      </c>
      <c r="E461" s="33">
        <f>IF(AND(T460="",A461&lt;=S460),IF(A461&lt;入力!$B$11,入力!$B$10,入力!$B$12),0)</f>
        <v>0</v>
      </c>
      <c r="F461" s="32">
        <f t="shared" si="126"/>
        <v>0</v>
      </c>
      <c r="G461" s="32">
        <f>ROUND(IF(NOT(AND(T460="",A461&lt;=S460)),0,IF(FALSE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),0)</f>
        <v>0</v>
      </c>
      <c r="H461" s="32">
        <f t="shared" si="127"/>
        <v>0</v>
      </c>
      <c r="I461" s="32">
        <f t="shared" si="128"/>
        <v>0</v>
      </c>
      <c r="J461" s="32">
        <f t="shared" si="129"/>
        <v>0</v>
      </c>
      <c r="K461" s="32">
        <f t="shared" si="130"/>
        <v>0</v>
      </c>
      <c r="L461" s="32">
        <f t="shared" si="131"/>
        <v>0</v>
      </c>
      <c r="M461" s="32">
        <f>0</f>
        <v>0</v>
      </c>
      <c r="N461" s="32">
        <f t="shared" si="132"/>
        <v>0</v>
      </c>
      <c r="O461" s="32">
        <f t="shared" si="133"/>
        <v>14115936</v>
      </c>
      <c r="P461" s="34" t="str">
        <f>IF(NOT(AND(T460="",A461&lt;=S460)),"",IF(FALSE,"繰上返済後再計算","")&amp;IF(AND(入力!$B$13="有効",A461&gt;1,MOD(A461-1,60)=0),IF(FALSE,"・","")&amp;"5年見直し","")&amp;IF(AND(A461=入力!$B$11,A461&gt;1),IF(OR(FALSE,AND(入力!$B$13="有効",A461&gt;1,MOD(A461-1,60)=0)),"・","")&amp;"金利変更","")&amp;IF(AND(OR(AND(入力!$B$13="有効",A461&gt;1,MOD(A461-1,60)=0),AND(A461=入力!$B$11,A461&gt;1)),入力!$B$14="有効",IF(E461=0,ROUND(C461/MAX(1,S460-A461+1),0),ROUND(-PMT(E461/12,MAX(1,S460-A461+1),C461),0))&gt;ROUND(G460*1.25,0),NOT(FALSE)),"・上限適用",""))</f>
        <v/>
      </c>
      <c r="Q461" s="35" t="str">
        <f>IF(AND(T460="",A461&lt;=S460),入力!$B$13,"")</f>
        <v/>
      </c>
      <c r="R461" s="32" t="str">
        <f>IF(AND(AND(T460="",A461&lt;=S460),OR(AND(入力!$B$13="有効",A461&gt;1,MOD(A461-1,60)=0),AND(A461=入力!$B$11,A461&gt;1)),入力!$B$14="有効"),ROUND(G460*1.25,0),"")</f>
        <v/>
      </c>
      <c r="S461" s="36">
        <f t="shared" si="134"/>
        <v>420</v>
      </c>
      <c r="T461" s="35" t="str">
        <f t="shared" si="135"/>
        <v/>
      </c>
      <c r="U461" s="3">
        <f t="shared" si="119"/>
        <v>0</v>
      </c>
      <c r="V461" s="3">
        <f t="shared" si="120"/>
        <v>0</v>
      </c>
      <c r="W461" s="3">
        <f t="shared" si="121"/>
        <v>0</v>
      </c>
      <c r="X461" s="3">
        <f t="shared" si="122"/>
        <v>0</v>
      </c>
      <c r="Y461" s="3">
        <f>0</f>
        <v>0</v>
      </c>
      <c r="Z461" s="3">
        <f t="shared" si="123"/>
        <v>0</v>
      </c>
      <c r="AA461">
        <f>ROUND(IF(FALSE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,0)</f>
        <v>0</v>
      </c>
    </row>
    <row r="462" spans="1:27">
      <c r="A462" s="30">
        <f>457</f>
        <v>457</v>
      </c>
      <c r="B462" s="31">
        <f>EDATE(入力!$B$6,A462-1)</f>
        <v>60115</v>
      </c>
      <c r="C462" s="32">
        <f t="shared" si="124"/>
        <v>0</v>
      </c>
      <c r="D462" s="32">
        <f t="shared" si="125"/>
        <v>0</v>
      </c>
      <c r="E462" s="33">
        <f>IF(AND(T461="",A462&lt;=S461),IF(A462&lt;入力!$B$11,入力!$B$10,入力!$B$12),0)</f>
        <v>0</v>
      </c>
      <c r="F462" s="32">
        <f t="shared" si="126"/>
        <v>0</v>
      </c>
      <c r="G462" s="32">
        <f>ROUND(IF(NOT(AND(T461="",A462&lt;=S461)),0,IF(FALSE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),0)</f>
        <v>0</v>
      </c>
      <c r="H462" s="32">
        <f t="shared" si="127"/>
        <v>0</v>
      </c>
      <c r="I462" s="32">
        <f t="shared" si="128"/>
        <v>0</v>
      </c>
      <c r="J462" s="32">
        <f t="shared" si="129"/>
        <v>0</v>
      </c>
      <c r="K462" s="32">
        <f t="shared" si="130"/>
        <v>0</v>
      </c>
      <c r="L462" s="32">
        <f t="shared" si="131"/>
        <v>0</v>
      </c>
      <c r="M462" s="32">
        <f>0</f>
        <v>0</v>
      </c>
      <c r="N462" s="32">
        <f t="shared" si="132"/>
        <v>0</v>
      </c>
      <c r="O462" s="32">
        <f t="shared" si="133"/>
        <v>14115936</v>
      </c>
      <c r="P462" s="34" t="str">
        <f>IF(NOT(AND(T461="",A462&lt;=S461)),"",IF(FALSE,"繰上返済後再計算","")&amp;IF(AND(入力!$B$13="有効",A462&gt;1,MOD(A462-1,60)=0),IF(FALSE,"・","")&amp;"5年見直し","")&amp;IF(AND(A462=入力!$B$11,A462&gt;1),IF(OR(FALSE,AND(入力!$B$13="有効",A462&gt;1,MOD(A462-1,60)=0)),"・","")&amp;"金利変更","")&amp;IF(AND(OR(AND(入力!$B$13="有効",A462&gt;1,MOD(A462-1,60)=0),AND(A462=入力!$B$11,A462&gt;1)),入力!$B$14="有効",IF(E462=0,ROUND(C462/MAX(1,S461-A462+1),0),ROUND(-PMT(E462/12,MAX(1,S461-A462+1),C462),0))&gt;ROUND(G461*1.25,0),NOT(FALSE)),"・上限適用",""))</f>
        <v/>
      </c>
      <c r="Q462" s="35" t="str">
        <f>IF(AND(T461="",A462&lt;=S461),入力!$B$13,"")</f>
        <v/>
      </c>
      <c r="R462" s="32" t="str">
        <f>IF(AND(AND(T461="",A462&lt;=S461),OR(AND(入力!$B$13="有効",A462&gt;1,MOD(A462-1,60)=0),AND(A462=入力!$B$11,A462&gt;1)),入力!$B$14="有効"),ROUND(G461*1.25,0),"")</f>
        <v/>
      </c>
      <c r="S462" s="36">
        <f t="shared" si="134"/>
        <v>420</v>
      </c>
      <c r="T462" s="35" t="str">
        <f t="shared" si="135"/>
        <v/>
      </c>
      <c r="U462" s="3">
        <f t="shared" si="119"/>
        <v>0</v>
      </c>
      <c r="V462" s="3">
        <f t="shared" si="120"/>
        <v>0</v>
      </c>
      <c r="W462" s="3">
        <f t="shared" si="121"/>
        <v>0</v>
      </c>
      <c r="X462" s="3">
        <f t="shared" si="122"/>
        <v>0</v>
      </c>
      <c r="Y462" s="3">
        <f>0</f>
        <v>0</v>
      </c>
      <c r="Z462" s="3">
        <f t="shared" si="123"/>
        <v>0</v>
      </c>
      <c r="AA462">
        <f>ROUND(IF(FALSE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,0)</f>
        <v>0</v>
      </c>
    </row>
    <row r="463" spans="1:27">
      <c r="A463" s="30">
        <f>458</f>
        <v>458</v>
      </c>
      <c r="B463" s="31">
        <f>EDATE(入力!$B$6,A463-1)</f>
        <v>60146</v>
      </c>
      <c r="C463" s="32">
        <f t="shared" si="124"/>
        <v>0</v>
      </c>
      <c r="D463" s="32">
        <f t="shared" si="125"/>
        <v>0</v>
      </c>
      <c r="E463" s="33">
        <f>IF(AND(T462="",A463&lt;=S462),IF(A463&lt;入力!$B$11,入力!$B$10,入力!$B$12),0)</f>
        <v>0</v>
      </c>
      <c r="F463" s="32">
        <f t="shared" si="126"/>
        <v>0</v>
      </c>
      <c r="G463" s="32">
        <f>ROUND(IF(NOT(AND(T462="",A463&lt;=S462)),0,IF(FALSE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),0)</f>
        <v>0</v>
      </c>
      <c r="H463" s="32">
        <f t="shared" si="127"/>
        <v>0</v>
      </c>
      <c r="I463" s="32">
        <f t="shared" si="128"/>
        <v>0</v>
      </c>
      <c r="J463" s="32">
        <f t="shared" si="129"/>
        <v>0</v>
      </c>
      <c r="K463" s="32">
        <f t="shared" si="130"/>
        <v>0</v>
      </c>
      <c r="L463" s="32">
        <f t="shared" si="131"/>
        <v>0</v>
      </c>
      <c r="M463" s="32">
        <f>0</f>
        <v>0</v>
      </c>
      <c r="N463" s="32">
        <f t="shared" si="132"/>
        <v>0</v>
      </c>
      <c r="O463" s="32">
        <f t="shared" si="133"/>
        <v>14115936</v>
      </c>
      <c r="P463" s="34" t="str">
        <f>IF(NOT(AND(T462="",A463&lt;=S462)),"",IF(FALSE,"繰上返済後再計算","")&amp;IF(AND(入力!$B$13="有効",A463&gt;1,MOD(A463-1,60)=0),IF(FALSE,"・","")&amp;"5年見直し","")&amp;IF(AND(A463=入力!$B$11,A463&gt;1),IF(OR(FALSE,AND(入力!$B$13="有効",A463&gt;1,MOD(A463-1,60)=0)),"・","")&amp;"金利変更","")&amp;IF(AND(OR(AND(入力!$B$13="有効",A463&gt;1,MOD(A463-1,60)=0),AND(A463=入力!$B$11,A463&gt;1)),入力!$B$14="有効",IF(E463=0,ROUND(C463/MAX(1,S462-A463+1),0),ROUND(-PMT(E463/12,MAX(1,S462-A463+1),C463),0))&gt;ROUND(G462*1.25,0),NOT(FALSE)),"・上限適用",""))</f>
        <v/>
      </c>
      <c r="Q463" s="35" t="str">
        <f>IF(AND(T462="",A463&lt;=S462),入力!$B$13,"")</f>
        <v/>
      </c>
      <c r="R463" s="32" t="str">
        <f>IF(AND(AND(T462="",A463&lt;=S462),OR(AND(入力!$B$13="有効",A463&gt;1,MOD(A463-1,60)=0),AND(A463=入力!$B$11,A463&gt;1)),入力!$B$14="有効"),ROUND(G462*1.25,0),"")</f>
        <v/>
      </c>
      <c r="S463" s="36">
        <f t="shared" si="134"/>
        <v>420</v>
      </c>
      <c r="T463" s="35" t="str">
        <f t="shared" si="135"/>
        <v/>
      </c>
      <c r="U463" s="3">
        <f t="shared" si="119"/>
        <v>0</v>
      </c>
      <c r="V463" s="3">
        <f t="shared" si="120"/>
        <v>0</v>
      </c>
      <c r="W463" s="3">
        <f t="shared" si="121"/>
        <v>0</v>
      </c>
      <c r="X463" s="3">
        <f t="shared" si="122"/>
        <v>0</v>
      </c>
      <c r="Y463" s="3">
        <f>0</f>
        <v>0</v>
      </c>
      <c r="Z463" s="3">
        <f t="shared" si="123"/>
        <v>0</v>
      </c>
      <c r="AA463">
        <f>ROUND(IF(FALSE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,0)</f>
        <v>0</v>
      </c>
    </row>
    <row r="464" spans="1:27">
      <c r="A464" s="30">
        <f>459</f>
        <v>459</v>
      </c>
      <c r="B464" s="31">
        <f>EDATE(入力!$B$6,A464-1)</f>
        <v>60176</v>
      </c>
      <c r="C464" s="32">
        <f t="shared" si="124"/>
        <v>0</v>
      </c>
      <c r="D464" s="32">
        <f t="shared" si="125"/>
        <v>0</v>
      </c>
      <c r="E464" s="33">
        <f>IF(AND(T463="",A464&lt;=S463),IF(A464&lt;入力!$B$11,入力!$B$10,入力!$B$12),0)</f>
        <v>0</v>
      </c>
      <c r="F464" s="32">
        <f t="shared" si="126"/>
        <v>0</v>
      </c>
      <c r="G464" s="32">
        <f>ROUND(IF(NOT(AND(T463="",A464&lt;=S463)),0,IF(FALSE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),0)</f>
        <v>0</v>
      </c>
      <c r="H464" s="32">
        <f t="shared" si="127"/>
        <v>0</v>
      </c>
      <c r="I464" s="32">
        <f t="shared" si="128"/>
        <v>0</v>
      </c>
      <c r="J464" s="32">
        <f t="shared" si="129"/>
        <v>0</v>
      </c>
      <c r="K464" s="32">
        <f t="shared" si="130"/>
        <v>0</v>
      </c>
      <c r="L464" s="32">
        <f t="shared" si="131"/>
        <v>0</v>
      </c>
      <c r="M464" s="32">
        <f>0</f>
        <v>0</v>
      </c>
      <c r="N464" s="32">
        <f t="shared" si="132"/>
        <v>0</v>
      </c>
      <c r="O464" s="32">
        <f t="shared" si="133"/>
        <v>14115936</v>
      </c>
      <c r="P464" s="34" t="str">
        <f>IF(NOT(AND(T463="",A464&lt;=S463)),"",IF(FALSE,"繰上返済後再計算","")&amp;IF(AND(入力!$B$13="有効",A464&gt;1,MOD(A464-1,60)=0),IF(FALSE,"・","")&amp;"5年見直し","")&amp;IF(AND(A464=入力!$B$11,A464&gt;1),IF(OR(FALSE,AND(入力!$B$13="有効",A464&gt;1,MOD(A464-1,60)=0)),"・","")&amp;"金利変更","")&amp;IF(AND(OR(AND(入力!$B$13="有効",A464&gt;1,MOD(A464-1,60)=0),AND(A464=入力!$B$11,A464&gt;1)),入力!$B$14="有効",IF(E464=0,ROUND(C464/MAX(1,S463-A464+1),0),ROUND(-PMT(E464/12,MAX(1,S463-A464+1),C464),0))&gt;ROUND(G463*1.25,0),NOT(FALSE)),"・上限適用",""))</f>
        <v/>
      </c>
      <c r="Q464" s="35" t="str">
        <f>IF(AND(T463="",A464&lt;=S463),入力!$B$13,"")</f>
        <v/>
      </c>
      <c r="R464" s="32" t="str">
        <f>IF(AND(AND(T463="",A464&lt;=S463),OR(AND(入力!$B$13="有効",A464&gt;1,MOD(A464-1,60)=0),AND(A464=入力!$B$11,A464&gt;1)),入力!$B$14="有効"),ROUND(G463*1.25,0),"")</f>
        <v/>
      </c>
      <c r="S464" s="36">
        <f t="shared" si="134"/>
        <v>420</v>
      </c>
      <c r="T464" s="35" t="str">
        <f t="shared" si="135"/>
        <v/>
      </c>
      <c r="U464" s="3">
        <f t="shared" si="119"/>
        <v>0</v>
      </c>
      <c r="V464" s="3">
        <f t="shared" si="120"/>
        <v>0</v>
      </c>
      <c r="W464" s="3">
        <f t="shared" si="121"/>
        <v>0</v>
      </c>
      <c r="X464" s="3">
        <f t="shared" si="122"/>
        <v>0</v>
      </c>
      <c r="Y464" s="3">
        <f>0</f>
        <v>0</v>
      </c>
      <c r="Z464" s="3">
        <f t="shared" si="123"/>
        <v>0</v>
      </c>
      <c r="AA464">
        <f>ROUND(IF(FALSE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,0)</f>
        <v>0</v>
      </c>
    </row>
    <row r="465" spans="1:27">
      <c r="A465" s="30">
        <f>460</f>
        <v>460</v>
      </c>
      <c r="B465" s="31">
        <f>EDATE(入力!$B$6,A465-1)</f>
        <v>60207</v>
      </c>
      <c r="C465" s="32">
        <f t="shared" si="124"/>
        <v>0</v>
      </c>
      <c r="D465" s="32">
        <f t="shared" si="125"/>
        <v>0</v>
      </c>
      <c r="E465" s="33">
        <f>IF(AND(T464="",A465&lt;=S464),IF(A465&lt;入力!$B$11,入力!$B$10,入力!$B$12),0)</f>
        <v>0</v>
      </c>
      <c r="F465" s="32">
        <f t="shared" si="126"/>
        <v>0</v>
      </c>
      <c r="G465" s="32">
        <f>ROUND(IF(NOT(AND(T464="",A465&lt;=S464)),0,IF(FALSE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),0)</f>
        <v>0</v>
      </c>
      <c r="H465" s="32">
        <f t="shared" si="127"/>
        <v>0</v>
      </c>
      <c r="I465" s="32">
        <f t="shared" si="128"/>
        <v>0</v>
      </c>
      <c r="J465" s="32">
        <f t="shared" si="129"/>
        <v>0</v>
      </c>
      <c r="K465" s="32">
        <f t="shared" si="130"/>
        <v>0</v>
      </c>
      <c r="L465" s="32">
        <f t="shared" si="131"/>
        <v>0</v>
      </c>
      <c r="M465" s="32">
        <f>0</f>
        <v>0</v>
      </c>
      <c r="N465" s="32">
        <f t="shared" si="132"/>
        <v>0</v>
      </c>
      <c r="O465" s="32">
        <f t="shared" si="133"/>
        <v>14115936</v>
      </c>
      <c r="P465" s="34" t="str">
        <f>IF(NOT(AND(T464="",A465&lt;=S464)),"",IF(FALSE,"繰上返済後再計算","")&amp;IF(AND(入力!$B$13="有効",A465&gt;1,MOD(A465-1,60)=0),IF(FALSE,"・","")&amp;"5年見直し","")&amp;IF(AND(A465=入力!$B$11,A465&gt;1),IF(OR(FALSE,AND(入力!$B$13="有効",A465&gt;1,MOD(A465-1,60)=0)),"・","")&amp;"金利変更","")&amp;IF(AND(OR(AND(入力!$B$13="有効",A465&gt;1,MOD(A465-1,60)=0),AND(A465=入力!$B$11,A465&gt;1)),入力!$B$14="有効",IF(E465=0,ROUND(C465/MAX(1,S464-A465+1),0),ROUND(-PMT(E465/12,MAX(1,S464-A465+1),C465),0))&gt;ROUND(G464*1.25,0),NOT(FALSE)),"・上限適用",""))</f>
        <v/>
      </c>
      <c r="Q465" s="35" t="str">
        <f>IF(AND(T464="",A465&lt;=S464),入力!$B$13,"")</f>
        <v/>
      </c>
      <c r="R465" s="32" t="str">
        <f>IF(AND(AND(T464="",A465&lt;=S464),OR(AND(入力!$B$13="有効",A465&gt;1,MOD(A465-1,60)=0),AND(A465=入力!$B$11,A465&gt;1)),入力!$B$14="有効"),ROUND(G464*1.25,0),"")</f>
        <v/>
      </c>
      <c r="S465" s="36">
        <f t="shared" si="134"/>
        <v>420</v>
      </c>
      <c r="T465" s="35" t="str">
        <f t="shared" si="135"/>
        <v/>
      </c>
      <c r="U465" s="3">
        <f t="shared" si="119"/>
        <v>0</v>
      </c>
      <c r="V465" s="3">
        <f t="shared" si="120"/>
        <v>0</v>
      </c>
      <c r="W465" s="3">
        <f t="shared" si="121"/>
        <v>0</v>
      </c>
      <c r="X465" s="3">
        <f t="shared" si="122"/>
        <v>0</v>
      </c>
      <c r="Y465" s="3">
        <f>0</f>
        <v>0</v>
      </c>
      <c r="Z465" s="3">
        <f t="shared" si="123"/>
        <v>0</v>
      </c>
      <c r="AA465">
        <f>ROUND(IF(FALSE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,0)</f>
        <v>0</v>
      </c>
    </row>
    <row r="466" spans="1:27">
      <c r="A466" s="30">
        <f>461</f>
        <v>461</v>
      </c>
      <c r="B466" s="31">
        <f>EDATE(入力!$B$6,A466-1)</f>
        <v>60237</v>
      </c>
      <c r="C466" s="32">
        <f t="shared" si="124"/>
        <v>0</v>
      </c>
      <c r="D466" s="32">
        <f t="shared" si="125"/>
        <v>0</v>
      </c>
      <c r="E466" s="33">
        <f>IF(AND(T465="",A466&lt;=S465),IF(A466&lt;入力!$B$11,入力!$B$10,入力!$B$12),0)</f>
        <v>0</v>
      </c>
      <c r="F466" s="32">
        <f t="shared" si="126"/>
        <v>0</v>
      </c>
      <c r="G466" s="32">
        <f>ROUND(IF(NOT(AND(T465="",A466&lt;=S465)),0,IF(FALSE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),0)</f>
        <v>0</v>
      </c>
      <c r="H466" s="32">
        <f t="shared" si="127"/>
        <v>0</v>
      </c>
      <c r="I466" s="32">
        <f t="shared" si="128"/>
        <v>0</v>
      </c>
      <c r="J466" s="32">
        <f t="shared" si="129"/>
        <v>0</v>
      </c>
      <c r="K466" s="32">
        <f t="shared" si="130"/>
        <v>0</v>
      </c>
      <c r="L466" s="32">
        <f t="shared" si="131"/>
        <v>0</v>
      </c>
      <c r="M466" s="32">
        <f>0</f>
        <v>0</v>
      </c>
      <c r="N466" s="32">
        <f t="shared" si="132"/>
        <v>0</v>
      </c>
      <c r="O466" s="32">
        <f t="shared" si="133"/>
        <v>14115936</v>
      </c>
      <c r="P466" s="34" t="str">
        <f>IF(NOT(AND(T465="",A466&lt;=S465)),"",IF(FALSE,"繰上返済後再計算","")&amp;IF(AND(入力!$B$13="有効",A466&gt;1,MOD(A466-1,60)=0),IF(FALSE,"・","")&amp;"5年見直し","")&amp;IF(AND(A466=入力!$B$11,A466&gt;1),IF(OR(FALSE,AND(入力!$B$13="有効",A466&gt;1,MOD(A466-1,60)=0)),"・","")&amp;"金利変更","")&amp;IF(AND(OR(AND(入力!$B$13="有効",A466&gt;1,MOD(A466-1,60)=0),AND(A466=入力!$B$11,A466&gt;1)),入力!$B$14="有効",IF(E466=0,ROUND(C466/MAX(1,S465-A466+1),0),ROUND(-PMT(E466/12,MAX(1,S465-A466+1),C466),0))&gt;ROUND(G465*1.25,0),NOT(FALSE)),"・上限適用",""))</f>
        <v/>
      </c>
      <c r="Q466" s="35" t="str">
        <f>IF(AND(T465="",A466&lt;=S465),入力!$B$13,"")</f>
        <v/>
      </c>
      <c r="R466" s="32" t="str">
        <f>IF(AND(AND(T465="",A466&lt;=S465),OR(AND(入力!$B$13="有効",A466&gt;1,MOD(A466-1,60)=0),AND(A466=入力!$B$11,A466&gt;1)),入力!$B$14="有効"),ROUND(G465*1.25,0),"")</f>
        <v/>
      </c>
      <c r="S466" s="36">
        <f t="shared" si="134"/>
        <v>420</v>
      </c>
      <c r="T466" s="35" t="str">
        <f t="shared" si="135"/>
        <v/>
      </c>
      <c r="U466" s="3">
        <f t="shared" si="119"/>
        <v>0</v>
      </c>
      <c r="V466" s="3">
        <f t="shared" si="120"/>
        <v>0</v>
      </c>
      <c r="W466" s="3">
        <f t="shared" si="121"/>
        <v>0</v>
      </c>
      <c r="X466" s="3">
        <f t="shared" si="122"/>
        <v>0</v>
      </c>
      <c r="Y466" s="3">
        <f>0</f>
        <v>0</v>
      </c>
      <c r="Z466" s="3">
        <f t="shared" si="123"/>
        <v>0</v>
      </c>
      <c r="AA466">
        <f>ROUND(IF(FALSE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,0)</f>
        <v>0</v>
      </c>
    </row>
    <row r="467" spans="1:27">
      <c r="A467" s="30">
        <f>462</f>
        <v>462</v>
      </c>
      <c r="B467" s="31">
        <f>EDATE(入力!$B$6,A467-1)</f>
        <v>60268</v>
      </c>
      <c r="C467" s="32">
        <f t="shared" si="124"/>
        <v>0</v>
      </c>
      <c r="D467" s="32">
        <f t="shared" si="125"/>
        <v>0</v>
      </c>
      <c r="E467" s="33">
        <f>IF(AND(T466="",A467&lt;=S466),IF(A467&lt;入力!$B$11,入力!$B$10,入力!$B$12),0)</f>
        <v>0</v>
      </c>
      <c r="F467" s="32">
        <f t="shared" si="126"/>
        <v>0</v>
      </c>
      <c r="G467" s="32">
        <f>ROUND(IF(NOT(AND(T466="",A467&lt;=S466)),0,IF(FALSE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),0)</f>
        <v>0</v>
      </c>
      <c r="H467" s="32">
        <f t="shared" si="127"/>
        <v>0</v>
      </c>
      <c r="I467" s="32">
        <f t="shared" si="128"/>
        <v>0</v>
      </c>
      <c r="J467" s="32">
        <f t="shared" si="129"/>
        <v>0</v>
      </c>
      <c r="K467" s="32">
        <f t="shared" si="130"/>
        <v>0</v>
      </c>
      <c r="L467" s="32">
        <f t="shared" si="131"/>
        <v>0</v>
      </c>
      <c r="M467" s="32">
        <f>0</f>
        <v>0</v>
      </c>
      <c r="N467" s="32">
        <f t="shared" si="132"/>
        <v>0</v>
      </c>
      <c r="O467" s="32">
        <f t="shared" si="133"/>
        <v>14115936</v>
      </c>
      <c r="P467" s="34" t="str">
        <f>IF(NOT(AND(T466="",A467&lt;=S466)),"",IF(FALSE,"繰上返済後再計算","")&amp;IF(AND(入力!$B$13="有効",A467&gt;1,MOD(A467-1,60)=0),IF(FALSE,"・","")&amp;"5年見直し","")&amp;IF(AND(A467=入力!$B$11,A467&gt;1),IF(OR(FALSE,AND(入力!$B$13="有効",A467&gt;1,MOD(A467-1,60)=0)),"・","")&amp;"金利変更","")&amp;IF(AND(OR(AND(入力!$B$13="有効",A467&gt;1,MOD(A467-1,60)=0),AND(A467=入力!$B$11,A467&gt;1)),入力!$B$14="有効",IF(E467=0,ROUND(C467/MAX(1,S466-A467+1),0),ROUND(-PMT(E467/12,MAX(1,S466-A467+1),C467),0))&gt;ROUND(G466*1.25,0),NOT(FALSE)),"・上限適用",""))</f>
        <v/>
      </c>
      <c r="Q467" s="35" t="str">
        <f>IF(AND(T466="",A467&lt;=S466),入力!$B$13,"")</f>
        <v/>
      </c>
      <c r="R467" s="32" t="str">
        <f>IF(AND(AND(T466="",A467&lt;=S466),OR(AND(入力!$B$13="有効",A467&gt;1,MOD(A467-1,60)=0),AND(A467=入力!$B$11,A467&gt;1)),入力!$B$14="有効"),ROUND(G466*1.25,0),"")</f>
        <v/>
      </c>
      <c r="S467" s="36">
        <f t="shared" si="134"/>
        <v>420</v>
      </c>
      <c r="T467" s="35" t="str">
        <f t="shared" si="135"/>
        <v/>
      </c>
      <c r="U467" s="3">
        <f t="shared" si="119"/>
        <v>0</v>
      </c>
      <c r="V467" s="3">
        <f t="shared" si="120"/>
        <v>0</v>
      </c>
      <c r="W467" s="3">
        <f t="shared" si="121"/>
        <v>0</v>
      </c>
      <c r="X467" s="3">
        <f t="shared" si="122"/>
        <v>0</v>
      </c>
      <c r="Y467" s="3">
        <f>0</f>
        <v>0</v>
      </c>
      <c r="Z467" s="3">
        <f t="shared" si="123"/>
        <v>0</v>
      </c>
      <c r="AA467">
        <f>ROUND(IF(FALSE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,0)</f>
        <v>0</v>
      </c>
    </row>
    <row r="468" spans="1:27">
      <c r="A468" s="30">
        <f>463</f>
        <v>463</v>
      </c>
      <c r="B468" s="31">
        <f>EDATE(入力!$B$6,A468-1)</f>
        <v>60299</v>
      </c>
      <c r="C468" s="32">
        <f t="shared" si="124"/>
        <v>0</v>
      </c>
      <c r="D468" s="32">
        <f t="shared" si="125"/>
        <v>0</v>
      </c>
      <c r="E468" s="33">
        <f>IF(AND(T467="",A468&lt;=S467),IF(A468&lt;入力!$B$11,入力!$B$10,入力!$B$12),0)</f>
        <v>0</v>
      </c>
      <c r="F468" s="32">
        <f t="shared" si="126"/>
        <v>0</v>
      </c>
      <c r="G468" s="32">
        <f>ROUND(IF(NOT(AND(T467="",A468&lt;=S467)),0,IF(FALSE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),0)</f>
        <v>0</v>
      </c>
      <c r="H468" s="32">
        <f t="shared" si="127"/>
        <v>0</v>
      </c>
      <c r="I468" s="32">
        <f t="shared" si="128"/>
        <v>0</v>
      </c>
      <c r="J468" s="32">
        <f t="shared" si="129"/>
        <v>0</v>
      </c>
      <c r="K468" s="32">
        <f t="shared" si="130"/>
        <v>0</v>
      </c>
      <c r="L468" s="32">
        <f t="shared" si="131"/>
        <v>0</v>
      </c>
      <c r="M468" s="32">
        <f>0</f>
        <v>0</v>
      </c>
      <c r="N468" s="32">
        <f t="shared" si="132"/>
        <v>0</v>
      </c>
      <c r="O468" s="32">
        <f t="shared" si="133"/>
        <v>14115936</v>
      </c>
      <c r="P468" s="34" t="str">
        <f>IF(NOT(AND(T467="",A468&lt;=S467)),"",IF(FALSE,"繰上返済後再計算","")&amp;IF(AND(入力!$B$13="有効",A468&gt;1,MOD(A468-1,60)=0),IF(FALSE,"・","")&amp;"5年見直し","")&amp;IF(AND(A468=入力!$B$11,A468&gt;1),IF(OR(FALSE,AND(入力!$B$13="有効",A468&gt;1,MOD(A468-1,60)=0)),"・","")&amp;"金利変更","")&amp;IF(AND(OR(AND(入力!$B$13="有効",A468&gt;1,MOD(A468-1,60)=0),AND(A468=入力!$B$11,A468&gt;1)),入力!$B$14="有効",IF(E468=0,ROUND(C468/MAX(1,S467-A468+1),0),ROUND(-PMT(E468/12,MAX(1,S467-A468+1),C468),0))&gt;ROUND(G467*1.25,0),NOT(FALSE)),"・上限適用",""))</f>
        <v/>
      </c>
      <c r="Q468" s="35" t="str">
        <f>IF(AND(T467="",A468&lt;=S467),入力!$B$13,"")</f>
        <v/>
      </c>
      <c r="R468" s="32" t="str">
        <f>IF(AND(AND(T467="",A468&lt;=S467),OR(AND(入力!$B$13="有効",A468&gt;1,MOD(A468-1,60)=0),AND(A468=入力!$B$11,A468&gt;1)),入力!$B$14="有効"),ROUND(G467*1.25,0),"")</f>
        <v/>
      </c>
      <c r="S468" s="36">
        <f t="shared" si="134"/>
        <v>420</v>
      </c>
      <c r="T468" s="35" t="str">
        <f t="shared" si="135"/>
        <v/>
      </c>
      <c r="U468" s="3">
        <f t="shared" si="119"/>
        <v>0</v>
      </c>
      <c r="V468" s="3">
        <f t="shared" si="120"/>
        <v>0</v>
      </c>
      <c r="W468" s="3">
        <f t="shared" si="121"/>
        <v>0</v>
      </c>
      <c r="X468" s="3">
        <f t="shared" si="122"/>
        <v>0</v>
      </c>
      <c r="Y468" s="3">
        <f>0</f>
        <v>0</v>
      </c>
      <c r="Z468" s="3">
        <f t="shared" si="123"/>
        <v>0</v>
      </c>
      <c r="AA468">
        <f>ROUND(IF(FALSE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,0)</f>
        <v>0</v>
      </c>
    </row>
    <row r="469" spans="1:27">
      <c r="A469" s="30">
        <f>464</f>
        <v>464</v>
      </c>
      <c r="B469" s="31">
        <f>EDATE(入力!$B$6,A469-1)</f>
        <v>60327</v>
      </c>
      <c r="C469" s="32">
        <f t="shared" si="124"/>
        <v>0</v>
      </c>
      <c r="D469" s="32">
        <f t="shared" si="125"/>
        <v>0</v>
      </c>
      <c r="E469" s="33">
        <f>IF(AND(T468="",A469&lt;=S468),IF(A469&lt;入力!$B$11,入力!$B$10,入力!$B$12),0)</f>
        <v>0</v>
      </c>
      <c r="F469" s="32">
        <f t="shared" si="126"/>
        <v>0</v>
      </c>
      <c r="G469" s="32">
        <f>ROUND(IF(NOT(AND(T468="",A469&lt;=S468)),0,IF(FALSE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),0)</f>
        <v>0</v>
      </c>
      <c r="H469" s="32">
        <f t="shared" si="127"/>
        <v>0</v>
      </c>
      <c r="I469" s="32">
        <f t="shared" si="128"/>
        <v>0</v>
      </c>
      <c r="J469" s="32">
        <f t="shared" si="129"/>
        <v>0</v>
      </c>
      <c r="K469" s="32">
        <f t="shared" si="130"/>
        <v>0</v>
      </c>
      <c r="L469" s="32">
        <f t="shared" si="131"/>
        <v>0</v>
      </c>
      <c r="M469" s="32">
        <f>0</f>
        <v>0</v>
      </c>
      <c r="N469" s="32">
        <f t="shared" si="132"/>
        <v>0</v>
      </c>
      <c r="O469" s="32">
        <f t="shared" si="133"/>
        <v>14115936</v>
      </c>
      <c r="P469" s="34" t="str">
        <f>IF(NOT(AND(T468="",A469&lt;=S468)),"",IF(FALSE,"繰上返済後再計算","")&amp;IF(AND(入力!$B$13="有効",A469&gt;1,MOD(A469-1,60)=0),IF(FALSE,"・","")&amp;"5年見直し","")&amp;IF(AND(A469=入力!$B$11,A469&gt;1),IF(OR(FALSE,AND(入力!$B$13="有効",A469&gt;1,MOD(A469-1,60)=0)),"・","")&amp;"金利変更","")&amp;IF(AND(OR(AND(入力!$B$13="有効",A469&gt;1,MOD(A469-1,60)=0),AND(A469=入力!$B$11,A469&gt;1)),入力!$B$14="有効",IF(E469=0,ROUND(C469/MAX(1,S468-A469+1),0),ROUND(-PMT(E469/12,MAX(1,S468-A469+1),C469),0))&gt;ROUND(G468*1.25,0),NOT(FALSE)),"・上限適用",""))</f>
        <v/>
      </c>
      <c r="Q469" s="35" t="str">
        <f>IF(AND(T468="",A469&lt;=S468),入力!$B$13,"")</f>
        <v/>
      </c>
      <c r="R469" s="32" t="str">
        <f>IF(AND(AND(T468="",A469&lt;=S468),OR(AND(入力!$B$13="有効",A469&gt;1,MOD(A469-1,60)=0),AND(A469=入力!$B$11,A469&gt;1)),入力!$B$14="有効"),ROUND(G468*1.25,0),"")</f>
        <v/>
      </c>
      <c r="S469" s="36">
        <f t="shared" si="134"/>
        <v>420</v>
      </c>
      <c r="T469" s="35" t="str">
        <f t="shared" si="135"/>
        <v/>
      </c>
      <c r="U469" s="3">
        <f t="shared" si="119"/>
        <v>0</v>
      </c>
      <c r="V469" s="3">
        <f t="shared" si="120"/>
        <v>0</v>
      </c>
      <c r="W469" s="3">
        <f t="shared" si="121"/>
        <v>0</v>
      </c>
      <c r="X469" s="3">
        <f t="shared" si="122"/>
        <v>0</v>
      </c>
      <c r="Y469" s="3">
        <f>0</f>
        <v>0</v>
      </c>
      <c r="Z469" s="3">
        <f t="shared" si="123"/>
        <v>0</v>
      </c>
      <c r="AA469">
        <f>ROUND(IF(FALSE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,0)</f>
        <v>0</v>
      </c>
    </row>
    <row r="470" spans="1:27">
      <c r="A470" s="30">
        <f>465</f>
        <v>465</v>
      </c>
      <c r="B470" s="31">
        <f>EDATE(入力!$B$6,A470-1)</f>
        <v>60358</v>
      </c>
      <c r="C470" s="32">
        <f t="shared" si="124"/>
        <v>0</v>
      </c>
      <c r="D470" s="32">
        <f t="shared" si="125"/>
        <v>0</v>
      </c>
      <c r="E470" s="33">
        <f>IF(AND(T469="",A470&lt;=S469),IF(A470&lt;入力!$B$11,入力!$B$10,入力!$B$12),0)</f>
        <v>0</v>
      </c>
      <c r="F470" s="32">
        <f t="shared" si="126"/>
        <v>0</v>
      </c>
      <c r="G470" s="32">
        <f>ROUND(IF(NOT(AND(T469="",A470&lt;=S469)),0,IF(FALSE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),0)</f>
        <v>0</v>
      </c>
      <c r="H470" s="32">
        <f t="shared" si="127"/>
        <v>0</v>
      </c>
      <c r="I470" s="32">
        <f t="shared" si="128"/>
        <v>0</v>
      </c>
      <c r="J470" s="32">
        <f t="shared" si="129"/>
        <v>0</v>
      </c>
      <c r="K470" s="32">
        <f t="shared" si="130"/>
        <v>0</v>
      </c>
      <c r="L470" s="32">
        <f t="shared" si="131"/>
        <v>0</v>
      </c>
      <c r="M470" s="32">
        <f>0</f>
        <v>0</v>
      </c>
      <c r="N470" s="32">
        <f t="shared" si="132"/>
        <v>0</v>
      </c>
      <c r="O470" s="32">
        <f t="shared" si="133"/>
        <v>14115936</v>
      </c>
      <c r="P470" s="34" t="str">
        <f>IF(NOT(AND(T469="",A470&lt;=S469)),"",IF(FALSE,"繰上返済後再計算","")&amp;IF(AND(入力!$B$13="有効",A470&gt;1,MOD(A470-1,60)=0),IF(FALSE,"・","")&amp;"5年見直し","")&amp;IF(AND(A470=入力!$B$11,A470&gt;1),IF(OR(FALSE,AND(入力!$B$13="有効",A470&gt;1,MOD(A470-1,60)=0)),"・","")&amp;"金利変更","")&amp;IF(AND(OR(AND(入力!$B$13="有効",A470&gt;1,MOD(A470-1,60)=0),AND(A470=入力!$B$11,A470&gt;1)),入力!$B$14="有効",IF(E470=0,ROUND(C470/MAX(1,S469-A470+1),0),ROUND(-PMT(E470/12,MAX(1,S469-A470+1),C470),0))&gt;ROUND(G469*1.25,0),NOT(FALSE)),"・上限適用",""))</f>
        <v/>
      </c>
      <c r="Q470" s="35" t="str">
        <f>IF(AND(T469="",A470&lt;=S469),入力!$B$13,"")</f>
        <v/>
      </c>
      <c r="R470" s="32" t="str">
        <f>IF(AND(AND(T469="",A470&lt;=S469),OR(AND(入力!$B$13="有効",A470&gt;1,MOD(A470-1,60)=0),AND(A470=入力!$B$11,A470&gt;1)),入力!$B$14="有効"),ROUND(G469*1.25,0),"")</f>
        <v/>
      </c>
      <c r="S470" s="36">
        <f t="shared" si="134"/>
        <v>420</v>
      </c>
      <c r="T470" s="35" t="str">
        <f t="shared" si="135"/>
        <v/>
      </c>
      <c r="U470" s="3">
        <f t="shared" si="119"/>
        <v>0</v>
      </c>
      <c r="V470" s="3">
        <f t="shared" si="120"/>
        <v>0</v>
      </c>
      <c r="W470" s="3">
        <f t="shared" si="121"/>
        <v>0</v>
      </c>
      <c r="X470" s="3">
        <f t="shared" si="122"/>
        <v>0</v>
      </c>
      <c r="Y470" s="3">
        <f>0</f>
        <v>0</v>
      </c>
      <c r="Z470" s="3">
        <f t="shared" si="123"/>
        <v>0</v>
      </c>
      <c r="AA470">
        <f>ROUND(IF(FALSE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,0)</f>
        <v>0</v>
      </c>
    </row>
    <row r="471" spans="1:27">
      <c r="A471" s="30">
        <f>466</f>
        <v>466</v>
      </c>
      <c r="B471" s="31">
        <f>EDATE(入力!$B$6,A471-1)</f>
        <v>60388</v>
      </c>
      <c r="C471" s="32">
        <f t="shared" si="124"/>
        <v>0</v>
      </c>
      <c r="D471" s="32">
        <f t="shared" si="125"/>
        <v>0</v>
      </c>
      <c r="E471" s="33">
        <f>IF(AND(T470="",A471&lt;=S470),IF(A471&lt;入力!$B$11,入力!$B$10,入力!$B$12),0)</f>
        <v>0</v>
      </c>
      <c r="F471" s="32">
        <f t="shared" si="126"/>
        <v>0</v>
      </c>
      <c r="G471" s="32">
        <f>ROUND(IF(NOT(AND(T470="",A471&lt;=S470)),0,IF(FALSE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),0)</f>
        <v>0</v>
      </c>
      <c r="H471" s="32">
        <f t="shared" si="127"/>
        <v>0</v>
      </c>
      <c r="I471" s="32">
        <f t="shared" si="128"/>
        <v>0</v>
      </c>
      <c r="J471" s="32">
        <f t="shared" si="129"/>
        <v>0</v>
      </c>
      <c r="K471" s="32">
        <f t="shared" si="130"/>
        <v>0</v>
      </c>
      <c r="L471" s="32">
        <f t="shared" si="131"/>
        <v>0</v>
      </c>
      <c r="M471" s="32">
        <f>0</f>
        <v>0</v>
      </c>
      <c r="N471" s="32">
        <f t="shared" si="132"/>
        <v>0</v>
      </c>
      <c r="O471" s="32">
        <f t="shared" si="133"/>
        <v>14115936</v>
      </c>
      <c r="P471" s="34" t="str">
        <f>IF(NOT(AND(T470="",A471&lt;=S470)),"",IF(FALSE,"繰上返済後再計算","")&amp;IF(AND(入力!$B$13="有効",A471&gt;1,MOD(A471-1,60)=0),IF(FALSE,"・","")&amp;"5年見直し","")&amp;IF(AND(A471=入力!$B$11,A471&gt;1),IF(OR(FALSE,AND(入力!$B$13="有効",A471&gt;1,MOD(A471-1,60)=0)),"・","")&amp;"金利変更","")&amp;IF(AND(OR(AND(入力!$B$13="有効",A471&gt;1,MOD(A471-1,60)=0),AND(A471=入力!$B$11,A471&gt;1)),入力!$B$14="有効",IF(E471=0,ROUND(C471/MAX(1,S470-A471+1),0),ROUND(-PMT(E471/12,MAX(1,S470-A471+1),C471),0))&gt;ROUND(G470*1.25,0),NOT(FALSE)),"・上限適用",""))</f>
        <v/>
      </c>
      <c r="Q471" s="35" t="str">
        <f>IF(AND(T470="",A471&lt;=S470),入力!$B$13,"")</f>
        <v/>
      </c>
      <c r="R471" s="32" t="str">
        <f>IF(AND(AND(T470="",A471&lt;=S470),OR(AND(入力!$B$13="有効",A471&gt;1,MOD(A471-1,60)=0),AND(A471=入力!$B$11,A471&gt;1)),入力!$B$14="有効"),ROUND(G470*1.25,0),"")</f>
        <v/>
      </c>
      <c r="S471" s="36">
        <f t="shared" si="134"/>
        <v>420</v>
      </c>
      <c r="T471" s="35" t="str">
        <f t="shared" si="135"/>
        <v/>
      </c>
      <c r="U471" s="3">
        <f t="shared" si="119"/>
        <v>0</v>
      </c>
      <c r="V471" s="3">
        <f t="shared" si="120"/>
        <v>0</v>
      </c>
      <c r="W471" s="3">
        <f t="shared" si="121"/>
        <v>0</v>
      </c>
      <c r="X471" s="3">
        <f t="shared" si="122"/>
        <v>0</v>
      </c>
      <c r="Y471" s="3">
        <f>0</f>
        <v>0</v>
      </c>
      <c r="Z471" s="3">
        <f t="shared" si="123"/>
        <v>0</v>
      </c>
      <c r="AA471">
        <f>ROUND(IF(FALSE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,0)</f>
        <v>0</v>
      </c>
    </row>
    <row r="472" spans="1:27">
      <c r="A472" s="30">
        <f>467</f>
        <v>467</v>
      </c>
      <c r="B472" s="31">
        <f>EDATE(入力!$B$6,A472-1)</f>
        <v>60419</v>
      </c>
      <c r="C472" s="32">
        <f t="shared" si="124"/>
        <v>0</v>
      </c>
      <c r="D472" s="32">
        <f t="shared" si="125"/>
        <v>0</v>
      </c>
      <c r="E472" s="33">
        <f>IF(AND(T471="",A472&lt;=S471),IF(A472&lt;入力!$B$11,入力!$B$10,入力!$B$12),0)</f>
        <v>0</v>
      </c>
      <c r="F472" s="32">
        <f t="shared" si="126"/>
        <v>0</v>
      </c>
      <c r="G472" s="32">
        <f>ROUND(IF(NOT(AND(T471="",A472&lt;=S471)),0,IF(FALSE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),0)</f>
        <v>0</v>
      </c>
      <c r="H472" s="32">
        <f t="shared" si="127"/>
        <v>0</v>
      </c>
      <c r="I472" s="32">
        <f t="shared" si="128"/>
        <v>0</v>
      </c>
      <c r="J472" s="32">
        <f t="shared" si="129"/>
        <v>0</v>
      </c>
      <c r="K472" s="32">
        <f t="shared" si="130"/>
        <v>0</v>
      </c>
      <c r="L472" s="32">
        <f t="shared" si="131"/>
        <v>0</v>
      </c>
      <c r="M472" s="32">
        <f>0</f>
        <v>0</v>
      </c>
      <c r="N472" s="32">
        <f t="shared" si="132"/>
        <v>0</v>
      </c>
      <c r="O472" s="32">
        <f t="shared" si="133"/>
        <v>14115936</v>
      </c>
      <c r="P472" s="34" t="str">
        <f>IF(NOT(AND(T471="",A472&lt;=S471)),"",IF(FALSE,"繰上返済後再計算","")&amp;IF(AND(入力!$B$13="有効",A472&gt;1,MOD(A472-1,60)=0),IF(FALSE,"・","")&amp;"5年見直し","")&amp;IF(AND(A472=入力!$B$11,A472&gt;1),IF(OR(FALSE,AND(入力!$B$13="有効",A472&gt;1,MOD(A472-1,60)=0)),"・","")&amp;"金利変更","")&amp;IF(AND(OR(AND(入力!$B$13="有効",A472&gt;1,MOD(A472-1,60)=0),AND(A472=入力!$B$11,A472&gt;1)),入力!$B$14="有効",IF(E472=0,ROUND(C472/MAX(1,S471-A472+1),0),ROUND(-PMT(E472/12,MAX(1,S471-A472+1),C472),0))&gt;ROUND(G471*1.25,0),NOT(FALSE)),"・上限適用",""))</f>
        <v/>
      </c>
      <c r="Q472" s="35" t="str">
        <f>IF(AND(T471="",A472&lt;=S471),入力!$B$13,"")</f>
        <v/>
      </c>
      <c r="R472" s="32" t="str">
        <f>IF(AND(AND(T471="",A472&lt;=S471),OR(AND(入力!$B$13="有効",A472&gt;1,MOD(A472-1,60)=0),AND(A472=入力!$B$11,A472&gt;1)),入力!$B$14="有効"),ROUND(G471*1.25,0),"")</f>
        <v/>
      </c>
      <c r="S472" s="36">
        <f t="shared" si="134"/>
        <v>420</v>
      </c>
      <c r="T472" s="35" t="str">
        <f t="shared" si="135"/>
        <v/>
      </c>
      <c r="U472" s="3">
        <f t="shared" si="119"/>
        <v>0</v>
      </c>
      <c r="V472" s="3">
        <f t="shared" si="120"/>
        <v>0</v>
      </c>
      <c r="W472" s="3">
        <f t="shared" si="121"/>
        <v>0</v>
      </c>
      <c r="X472" s="3">
        <f t="shared" si="122"/>
        <v>0</v>
      </c>
      <c r="Y472" s="3">
        <f>0</f>
        <v>0</v>
      </c>
      <c r="Z472" s="3">
        <f t="shared" si="123"/>
        <v>0</v>
      </c>
      <c r="AA472">
        <f>ROUND(IF(FALSE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,0)</f>
        <v>0</v>
      </c>
    </row>
    <row r="473" spans="1:27">
      <c r="A473" s="30">
        <f>468</f>
        <v>468</v>
      </c>
      <c r="B473" s="31">
        <f>EDATE(入力!$B$6,A473-1)</f>
        <v>60449</v>
      </c>
      <c r="C473" s="32">
        <f t="shared" si="124"/>
        <v>0</v>
      </c>
      <c r="D473" s="32">
        <f t="shared" si="125"/>
        <v>0</v>
      </c>
      <c r="E473" s="33">
        <f>IF(AND(T472="",A473&lt;=S472),IF(A473&lt;入力!$B$11,入力!$B$10,入力!$B$12),0)</f>
        <v>0</v>
      </c>
      <c r="F473" s="32">
        <f t="shared" si="126"/>
        <v>0</v>
      </c>
      <c r="G473" s="32">
        <f>ROUND(IF(NOT(AND(T472="",A473&lt;=S472)),0,IF(FALSE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),0)</f>
        <v>0</v>
      </c>
      <c r="H473" s="32">
        <f t="shared" si="127"/>
        <v>0</v>
      </c>
      <c r="I473" s="32">
        <f t="shared" si="128"/>
        <v>0</v>
      </c>
      <c r="J473" s="32">
        <f t="shared" si="129"/>
        <v>0</v>
      </c>
      <c r="K473" s="32">
        <f t="shared" si="130"/>
        <v>0</v>
      </c>
      <c r="L473" s="32">
        <f t="shared" si="131"/>
        <v>0</v>
      </c>
      <c r="M473" s="32">
        <f>0</f>
        <v>0</v>
      </c>
      <c r="N473" s="32">
        <f t="shared" si="132"/>
        <v>0</v>
      </c>
      <c r="O473" s="32">
        <f t="shared" si="133"/>
        <v>14115936</v>
      </c>
      <c r="P473" s="34" t="str">
        <f>IF(NOT(AND(T472="",A473&lt;=S472)),"",IF(FALSE,"繰上返済後再計算","")&amp;IF(AND(入力!$B$13="有効",A473&gt;1,MOD(A473-1,60)=0),IF(FALSE,"・","")&amp;"5年見直し","")&amp;IF(AND(A473=入力!$B$11,A473&gt;1),IF(OR(FALSE,AND(入力!$B$13="有効",A473&gt;1,MOD(A473-1,60)=0)),"・","")&amp;"金利変更","")&amp;IF(AND(OR(AND(入力!$B$13="有効",A473&gt;1,MOD(A473-1,60)=0),AND(A473=入力!$B$11,A473&gt;1)),入力!$B$14="有効",IF(E473=0,ROUND(C473/MAX(1,S472-A473+1),0),ROUND(-PMT(E473/12,MAX(1,S472-A473+1),C473),0))&gt;ROUND(G472*1.25,0),NOT(FALSE)),"・上限適用",""))</f>
        <v/>
      </c>
      <c r="Q473" s="35" t="str">
        <f>IF(AND(T472="",A473&lt;=S472),入力!$B$13,"")</f>
        <v/>
      </c>
      <c r="R473" s="32" t="str">
        <f>IF(AND(AND(T472="",A473&lt;=S472),OR(AND(入力!$B$13="有効",A473&gt;1,MOD(A473-1,60)=0),AND(A473=入力!$B$11,A473&gt;1)),入力!$B$14="有効"),ROUND(G472*1.25,0),"")</f>
        <v/>
      </c>
      <c r="S473" s="36">
        <f t="shared" si="134"/>
        <v>420</v>
      </c>
      <c r="T473" s="35" t="str">
        <f t="shared" si="135"/>
        <v/>
      </c>
      <c r="U473" s="3">
        <f t="shared" si="119"/>
        <v>0</v>
      </c>
      <c r="V473" s="3">
        <f t="shared" si="120"/>
        <v>0</v>
      </c>
      <c r="W473" s="3">
        <f t="shared" si="121"/>
        <v>0</v>
      </c>
      <c r="X473" s="3">
        <f t="shared" si="122"/>
        <v>0</v>
      </c>
      <c r="Y473" s="3">
        <f>0</f>
        <v>0</v>
      </c>
      <c r="Z473" s="3">
        <f t="shared" si="123"/>
        <v>0</v>
      </c>
      <c r="AA473">
        <f>ROUND(IF(FALSE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,0)</f>
        <v>0</v>
      </c>
    </row>
    <row r="474" spans="1:27">
      <c r="A474" s="30">
        <f>469</f>
        <v>469</v>
      </c>
      <c r="B474" s="31">
        <f>EDATE(入力!$B$6,A474-1)</f>
        <v>60480</v>
      </c>
      <c r="C474" s="32">
        <f t="shared" si="124"/>
        <v>0</v>
      </c>
      <c r="D474" s="32">
        <f t="shared" si="125"/>
        <v>0</v>
      </c>
      <c r="E474" s="33">
        <f>IF(AND(T473="",A474&lt;=S473),IF(A474&lt;入力!$B$11,入力!$B$10,入力!$B$12),0)</f>
        <v>0</v>
      </c>
      <c r="F474" s="32">
        <f t="shared" si="126"/>
        <v>0</v>
      </c>
      <c r="G474" s="32">
        <f>ROUND(IF(NOT(AND(T473="",A474&lt;=S473)),0,IF(FALSE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),0)</f>
        <v>0</v>
      </c>
      <c r="H474" s="32">
        <f t="shared" si="127"/>
        <v>0</v>
      </c>
      <c r="I474" s="32">
        <f t="shared" si="128"/>
        <v>0</v>
      </c>
      <c r="J474" s="32">
        <f t="shared" si="129"/>
        <v>0</v>
      </c>
      <c r="K474" s="32">
        <f t="shared" si="130"/>
        <v>0</v>
      </c>
      <c r="L474" s="32">
        <f t="shared" si="131"/>
        <v>0</v>
      </c>
      <c r="M474" s="32">
        <f>0</f>
        <v>0</v>
      </c>
      <c r="N474" s="32">
        <f t="shared" si="132"/>
        <v>0</v>
      </c>
      <c r="O474" s="32">
        <f t="shared" si="133"/>
        <v>14115936</v>
      </c>
      <c r="P474" s="34" t="str">
        <f>IF(NOT(AND(T473="",A474&lt;=S473)),"",IF(FALSE,"繰上返済後再計算","")&amp;IF(AND(入力!$B$13="有効",A474&gt;1,MOD(A474-1,60)=0),IF(FALSE,"・","")&amp;"5年見直し","")&amp;IF(AND(A474=入力!$B$11,A474&gt;1),IF(OR(FALSE,AND(入力!$B$13="有効",A474&gt;1,MOD(A474-1,60)=0)),"・","")&amp;"金利変更","")&amp;IF(AND(OR(AND(入力!$B$13="有効",A474&gt;1,MOD(A474-1,60)=0),AND(A474=入力!$B$11,A474&gt;1)),入力!$B$14="有効",IF(E474=0,ROUND(C474/MAX(1,S473-A474+1),0),ROUND(-PMT(E474/12,MAX(1,S473-A474+1),C474),0))&gt;ROUND(G473*1.25,0),NOT(FALSE)),"・上限適用",""))</f>
        <v/>
      </c>
      <c r="Q474" s="35" t="str">
        <f>IF(AND(T473="",A474&lt;=S473),入力!$B$13,"")</f>
        <v/>
      </c>
      <c r="R474" s="32" t="str">
        <f>IF(AND(AND(T473="",A474&lt;=S473),OR(AND(入力!$B$13="有効",A474&gt;1,MOD(A474-1,60)=0),AND(A474=入力!$B$11,A474&gt;1)),入力!$B$14="有効"),ROUND(G473*1.25,0),"")</f>
        <v/>
      </c>
      <c r="S474" s="36">
        <f t="shared" si="134"/>
        <v>420</v>
      </c>
      <c r="T474" s="35" t="str">
        <f t="shared" si="135"/>
        <v/>
      </c>
      <c r="U474" s="3">
        <f t="shared" si="119"/>
        <v>0</v>
      </c>
      <c r="V474" s="3">
        <f t="shared" si="120"/>
        <v>0</v>
      </c>
      <c r="W474" s="3">
        <f t="shared" si="121"/>
        <v>0</v>
      </c>
      <c r="X474" s="3">
        <f t="shared" si="122"/>
        <v>0</v>
      </c>
      <c r="Y474" s="3">
        <f>0</f>
        <v>0</v>
      </c>
      <c r="Z474" s="3">
        <f t="shared" si="123"/>
        <v>0</v>
      </c>
      <c r="AA474">
        <f>ROUND(IF(FALSE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,0)</f>
        <v>0</v>
      </c>
    </row>
    <row r="475" spans="1:27">
      <c r="A475" s="30">
        <f>470</f>
        <v>470</v>
      </c>
      <c r="B475" s="31">
        <f>EDATE(入力!$B$6,A475-1)</f>
        <v>60511</v>
      </c>
      <c r="C475" s="32">
        <f t="shared" si="124"/>
        <v>0</v>
      </c>
      <c r="D475" s="32">
        <f t="shared" si="125"/>
        <v>0</v>
      </c>
      <c r="E475" s="33">
        <f>IF(AND(T474="",A475&lt;=S474),IF(A475&lt;入力!$B$11,入力!$B$10,入力!$B$12),0)</f>
        <v>0</v>
      </c>
      <c r="F475" s="32">
        <f t="shared" si="126"/>
        <v>0</v>
      </c>
      <c r="G475" s="32">
        <f>ROUND(IF(NOT(AND(T474="",A475&lt;=S474)),0,IF(FALSE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),0)</f>
        <v>0</v>
      </c>
      <c r="H475" s="32">
        <f t="shared" si="127"/>
        <v>0</v>
      </c>
      <c r="I475" s="32">
        <f t="shared" si="128"/>
        <v>0</v>
      </c>
      <c r="J475" s="32">
        <f t="shared" si="129"/>
        <v>0</v>
      </c>
      <c r="K475" s="32">
        <f t="shared" si="130"/>
        <v>0</v>
      </c>
      <c r="L475" s="32">
        <f t="shared" si="131"/>
        <v>0</v>
      </c>
      <c r="M475" s="32">
        <f>0</f>
        <v>0</v>
      </c>
      <c r="N475" s="32">
        <f t="shared" si="132"/>
        <v>0</v>
      </c>
      <c r="O475" s="32">
        <f t="shared" si="133"/>
        <v>14115936</v>
      </c>
      <c r="P475" s="34" t="str">
        <f>IF(NOT(AND(T474="",A475&lt;=S474)),"",IF(FALSE,"繰上返済後再計算","")&amp;IF(AND(入力!$B$13="有効",A475&gt;1,MOD(A475-1,60)=0),IF(FALSE,"・","")&amp;"5年見直し","")&amp;IF(AND(A475=入力!$B$11,A475&gt;1),IF(OR(FALSE,AND(入力!$B$13="有効",A475&gt;1,MOD(A475-1,60)=0)),"・","")&amp;"金利変更","")&amp;IF(AND(OR(AND(入力!$B$13="有効",A475&gt;1,MOD(A475-1,60)=0),AND(A475=入力!$B$11,A475&gt;1)),入力!$B$14="有効",IF(E475=0,ROUND(C475/MAX(1,S474-A475+1),0),ROUND(-PMT(E475/12,MAX(1,S474-A475+1),C475),0))&gt;ROUND(G474*1.25,0),NOT(FALSE)),"・上限適用",""))</f>
        <v/>
      </c>
      <c r="Q475" s="35" t="str">
        <f>IF(AND(T474="",A475&lt;=S474),入力!$B$13,"")</f>
        <v/>
      </c>
      <c r="R475" s="32" t="str">
        <f>IF(AND(AND(T474="",A475&lt;=S474),OR(AND(入力!$B$13="有効",A475&gt;1,MOD(A475-1,60)=0),AND(A475=入力!$B$11,A475&gt;1)),入力!$B$14="有効"),ROUND(G474*1.25,0),"")</f>
        <v/>
      </c>
      <c r="S475" s="36">
        <f t="shared" si="134"/>
        <v>420</v>
      </c>
      <c r="T475" s="35" t="str">
        <f t="shared" si="135"/>
        <v/>
      </c>
      <c r="U475" s="3">
        <f t="shared" si="119"/>
        <v>0</v>
      </c>
      <c r="V475" s="3">
        <f t="shared" si="120"/>
        <v>0</v>
      </c>
      <c r="W475" s="3">
        <f t="shared" si="121"/>
        <v>0</v>
      </c>
      <c r="X475" s="3">
        <f t="shared" si="122"/>
        <v>0</v>
      </c>
      <c r="Y475" s="3">
        <f>0</f>
        <v>0</v>
      </c>
      <c r="Z475" s="3">
        <f t="shared" si="123"/>
        <v>0</v>
      </c>
      <c r="AA475">
        <f>ROUND(IF(FALSE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,0)</f>
        <v>0</v>
      </c>
    </row>
    <row r="476" spans="1:27">
      <c r="A476" s="30">
        <f>471</f>
        <v>471</v>
      </c>
      <c r="B476" s="31">
        <f>EDATE(入力!$B$6,A476-1)</f>
        <v>60541</v>
      </c>
      <c r="C476" s="32">
        <f t="shared" si="124"/>
        <v>0</v>
      </c>
      <c r="D476" s="32">
        <f t="shared" si="125"/>
        <v>0</v>
      </c>
      <c r="E476" s="33">
        <f>IF(AND(T475="",A476&lt;=S475),IF(A476&lt;入力!$B$11,入力!$B$10,入力!$B$12),0)</f>
        <v>0</v>
      </c>
      <c r="F476" s="32">
        <f t="shared" si="126"/>
        <v>0</v>
      </c>
      <c r="G476" s="32">
        <f>ROUND(IF(NOT(AND(T475="",A476&lt;=S475)),0,IF(FALSE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),0)</f>
        <v>0</v>
      </c>
      <c r="H476" s="32">
        <f t="shared" si="127"/>
        <v>0</v>
      </c>
      <c r="I476" s="32">
        <f t="shared" si="128"/>
        <v>0</v>
      </c>
      <c r="J476" s="32">
        <f t="shared" si="129"/>
        <v>0</v>
      </c>
      <c r="K476" s="32">
        <f t="shared" si="130"/>
        <v>0</v>
      </c>
      <c r="L476" s="32">
        <f t="shared" si="131"/>
        <v>0</v>
      </c>
      <c r="M476" s="32">
        <f>0</f>
        <v>0</v>
      </c>
      <c r="N476" s="32">
        <f t="shared" si="132"/>
        <v>0</v>
      </c>
      <c r="O476" s="32">
        <f t="shared" si="133"/>
        <v>14115936</v>
      </c>
      <c r="P476" s="34" t="str">
        <f>IF(NOT(AND(T475="",A476&lt;=S475)),"",IF(FALSE,"繰上返済後再計算","")&amp;IF(AND(入力!$B$13="有効",A476&gt;1,MOD(A476-1,60)=0),IF(FALSE,"・","")&amp;"5年見直し","")&amp;IF(AND(A476=入力!$B$11,A476&gt;1),IF(OR(FALSE,AND(入力!$B$13="有効",A476&gt;1,MOD(A476-1,60)=0)),"・","")&amp;"金利変更","")&amp;IF(AND(OR(AND(入力!$B$13="有効",A476&gt;1,MOD(A476-1,60)=0),AND(A476=入力!$B$11,A476&gt;1)),入力!$B$14="有効",IF(E476=0,ROUND(C476/MAX(1,S475-A476+1),0),ROUND(-PMT(E476/12,MAX(1,S475-A476+1),C476),0))&gt;ROUND(G475*1.25,0),NOT(FALSE)),"・上限適用",""))</f>
        <v/>
      </c>
      <c r="Q476" s="35" t="str">
        <f>IF(AND(T475="",A476&lt;=S475),入力!$B$13,"")</f>
        <v/>
      </c>
      <c r="R476" s="32" t="str">
        <f>IF(AND(AND(T475="",A476&lt;=S475),OR(AND(入力!$B$13="有効",A476&gt;1,MOD(A476-1,60)=0),AND(A476=入力!$B$11,A476&gt;1)),入力!$B$14="有効"),ROUND(G475*1.25,0),"")</f>
        <v/>
      </c>
      <c r="S476" s="36">
        <f t="shared" si="134"/>
        <v>420</v>
      </c>
      <c r="T476" s="35" t="str">
        <f t="shared" si="135"/>
        <v/>
      </c>
      <c r="U476" s="3">
        <f t="shared" si="119"/>
        <v>0</v>
      </c>
      <c r="V476" s="3">
        <f t="shared" si="120"/>
        <v>0</v>
      </c>
      <c r="W476" s="3">
        <f t="shared" si="121"/>
        <v>0</v>
      </c>
      <c r="X476" s="3">
        <f t="shared" si="122"/>
        <v>0</v>
      </c>
      <c r="Y476" s="3">
        <f>0</f>
        <v>0</v>
      </c>
      <c r="Z476" s="3">
        <f t="shared" si="123"/>
        <v>0</v>
      </c>
      <c r="AA476">
        <f>ROUND(IF(FALSE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,0)</f>
        <v>0</v>
      </c>
    </row>
    <row r="477" spans="1:27">
      <c r="A477" s="30">
        <f>472</f>
        <v>472</v>
      </c>
      <c r="B477" s="31">
        <f>EDATE(入力!$B$6,A477-1)</f>
        <v>60572</v>
      </c>
      <c r="C477" s="32">
        <f t="shared" si="124"/>
        <v>0</v>
      </c>
      <c r="D477" s="32">
        <f t="shared" si="125"/>
        <v>0</v>
      </c>
      <c r="E477" s="33">
        <f>IF(AND(T476="",A477&lt;=S476),IF(A477&lt;入力!$B$11,入力!$B$10,入力!$B$12),0)</f>
        <v>0</v>
      </c>
      <c r="F477" s="32">
        <f t="shared" si="126"/>
        <v>0</v>
      </c>
      <c r="G477" s="32">
        <f>ROUND(IF(NOT(AND(T476="",A477&lt;=S476)),0,IF(FALSE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),0)</f>
        <v>0</v>
      </c>
      <c r="H477" s="32">
        <f t="shared" si="127"/>
        <v>0</v>
      </c>
      <c r="I477" s="32">
        <f t="shared" si="128"/>
        <v>0</v>
      </c>
      <c r="J477" s="32">
        <f t="shared" si="129"/>
        <v>0</v>
      </c>
      <c r="K477" s="32">
        <f t="shared" si="130"/>
        <v>0</v>
      </c>
      <c r="L477" s="32">
        <f t="shared" si="131"/>
        <v>0</v>
      </c>
      <c r="M477" s="32">
        <f>0</f>
        <v>0</v>
      </c>
      <c r="N477" s="32">
        <f t="shared" si="132"/>
        <v>0</v>
      </c>
      <c r="O477" s="32">
        <f t="shared" si="133"/>
        <v>14115936</v>
      </c>
      <c r="P477" s="34" t="str">
        <f>IF(NOT(AND(T476="",A477&lt;=S476)),"",IF(FALSE,"繰上返済後再計算","")&amp;IF(AND(入力!$B$13="有効",A477&gt;1,MOD(A477-1,60)=0),IF(FALSE,"・","")&amp;"5年見直し","")&amp;IF(AND(A477=入力!$B$11,A477&gt;1),IF(OR(FALSE,AND(入力!$B$13="有効",A477&gt;1,MOD(A477-1,60)=0)),"・","")&amp;"金利変更","")&amp;IF(AND(OR(AND(入力!$B$13="有効",A477&gt;1,MOD(A477-1,60)=0),AND(A477=入力!$B$11,A477&gt;1)),入力!$B$14="有効",IF(E477=0,ROUND(C477/MAX(1,S476-A477+1),0),ROUND(-PMT(E477/12,MAX(1,S476-A477+1),C477),0))&gt;ROUND(G476*1.25,0),NOT(FALSE)),"・上限適用",""))</f>
        <v/>
      </c>
      <c r="Q477" s="35" t="str">
        <f>IF(AND(T476="",A477&lt;=S476),入力!$B$13,"")</f>
        <v/>
      </c>
      <c r="R477" s="32" t="str">
        <f>IF(AND(AND(T476="",A477&lt;=S476),OR(AND(入力!$B$13="有効",A477&gt;1,MOD(A477-1,60)=0),AND(A477=入力!$B$11,A477&gt;1)),入力!$B$14="有効"),ROUND(G476*1.25,0),"")</f>
        <v/>
      </c>
      <c r="S477" s="36">
        <f t="shared" si="134"/>
        <v>420</v>
      </c>
      <c r="T477" s="35" t="str">
        <f t="shared" si="135"/>
        <v/>
      </c>
      <c r="U477" s="3">
        <f t="shared" si="119"/>
        <v>0</v>
      </c>
      <c r="V477" s="3">
        <f t="shared" si="120"/>
        <v>0</v>
      </c>
      <c r="W477" s="3">
        <f t="shared" si="121"/>
        <v>0</v>
      </c>
      <c r="X477" s="3">
        <f t="shared" si="122"/>
        <v>0</v>
      </c>
      <c r="Y477" s="3">
        <f>0</f>
        <v>0</v>
      </c>
      <c r="Z477" s="3">
        <f t="shared" si="123"/>
        <v>0</v>
      </c>
      <c r="AA477">
        <f>ROUND(IF(FALSE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,0)</f>
        <v>0</v>
      </c>
    </row>
    <row r="478" spans="1:27">
      <c r="A478" s="30">
        <f>473</f>
        <v>473</v>
      </c>
      <c r="B478" s="31">
        <f>EDATE(入力!$B$6,A478-1)</f>
        <v>60602</v>
      </c>
      <c r="C478" s="32">
        <f t="shared" si="124"/>
        <v>0</v>
      </c>
      <c r="D478" s="32">
        <f t="shared" si="125"/>
        <v>0</v>
      </c>
      <c r="E478" s="33">
        <f>IF(AND(T477="",A478&lt;=S477),IF(A478&lt;入力!$B$11,入力!$B$10,入力!$B$12),0)</f>
        <v>0</v>
      </c>
      <c r="F478" s="32">
        <f t="shared" si="126"/>
        <v>0</v>
      </c>
      <c r="G478" s="32">
        <f>ROUND(IF(NOT(AND(T477="",A478&lt;=S477)),0,IF(FALSE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),0)</f>
        <v>0</v>
      </c>
      <c r="H478" s="32">
        <f t="shared" si="127"/>
        <v>0</v>
      </c>
      <c r="I478" s="32">
        <f t="shared" si="128"/>
        <v>0</v>
      </c>
      <c r="J478" s="32">
        <f t="shared" si="129"/>
        <v>0</v>
      </c>
      <c r="K478" s="32">
        <f t="shared" si="130"/>
        <v>0</v>
      </c>
      <c r="L478" s="32">
        <f t="shared" si="131"/>
        <v>0</v>
      </c>
      <c r="M478" s="32">
        <f>0</f>
        <v>0</v>
      </c>
      <c r="N478" s="32">
        <f t="shared" si="132"/>
        <v>0</v>
      </c>
      <c r="O478" s="32">
        <f t="shared" si="133"/>
        <v>14115936</v>
      </c>
      <c r="P478" s="34" t="str">
        <f>IF(NOT(AND(T477="",A478&lt;=S477)),"",IF(FALSE,"繰上返済後再計算","")&amp;IF(AND(入力!$B$13="有効",A478&gt;1,MOD(A478-1,60)=0),IF(FALSE,"・","")&amp;"5年見直し","")&amp;IF(AND(A478=入力!$B$11,A478&gt;1),IF(OR(FALSE,AND(入力!$B$13="有効",A478&gt;1,MOD(A478-1,60)=0)),"・","")&amp;"金利変更","")&amp;IF(AND(OR(AND(入力!$B$13="有効",A478&gt;1,MOD(A478-1,60)=0),AND(A478=入力!$B$11,A478&gt;1)),入力!$B$14="有効",IF(E478=0,ROUND(C478/MAX(1,S477-A478+1),0),ROUND(-PMT(E478/12,MAX(1,S477-A478+1),C478),0))&gt;ROUND(G477*1.25,0),NOT(FALSE)),"・上限適用",""))</f>
        <v/>
      </c>
      <c r="Q478" s="35" t="str">
        <f>IF(AND(T477="",A478&lt;=S477),入力!$B$13,"")</f>
        <v/>
      </c>
      <c r="R478" s="32" t="str">
        <f>IF(AND(AND(T477="",A478&lt;=S477),OR(AND(入力!$B$13="有効",A478&gt;1,MOD(A478-1,60)=0),AND(A478=入力!$B$11,A478&gt;1)),入力!$B$14="有効"),ROUND(G477*1.25,0),"")</f>
        <v/>
      </c>
      <c r="S478" s="36">
        <f t="shared" si="134"/>
        <v>420</v>
      </c>
      <c r="T478" s="35" t="str">
        <f t="shared" si="135"/>
        <v/>
      </c>
      <c r="U478" s="3">
        <f t="shared" si="119"/>
        <v>0</v>
      </c>
      <c r="V478" s="3">
        <f t="shared" si="120"/>
        <v>0</v>
      </c>
      <c r="W478" s="3">
        <f t="shared" si="121"/>
        <v>0</v>
      </c>
      <c r="X478" s="3">
        <f t="shared" si="122"/>
        <v>0</v>
      </c>
      <c r="Y478" s="3">
        <f>0</f>
        <v>0</v>
      </c>
      <c r="Z478" s="3">
        <f t="shared" si="123"/>
        <v>0</v>
      </c>
      <c r="AA478">
        <f>ROUND(IF(FALSE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,0)</f>
        <v>0</v>
      </c>
    </row>
    <row r="479" spans="1:27">
      <c r="A479" s="30">
        <f>474</f>
        <v>474</v>
      </c>
      <c r="B479" s="31">
        <f>EDATE(入力!$B$6,A479-1)</f>
        <v>60633</v>
      </c>
      <c r="C479" s="32">
        <f t="shared" si="124"/>
        <v>0</v>
      </c>
      <c r="D479" s="32">
        <f t="shared" si="125"/>
        <v>0</v>
      </c>
      <c r="E479" s="33">
        <f>IF(AND(T478="",A479&lt;=S478),IF(A479&lt;入力!$B$11,入力!$B$10,入力!$B$12),0)</f>
        <v>0</v>
      </c>
      <c r="F479" s="32">
        <f t="shared" si="126"/>
        <v>0</v>
      </c>
      <c r="G479" s="32">
        <f>ROUND(IF(NOT(AND(T478="",A479&lt;=S478)),0,IF(FALSE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),0)</f>
        <v>0</v>
      </c>
      <c r="H479" s="32">
        <f t="shared" si="127"/>
        <v>0</v>
      </c>
      <c r="I479" s="32">
        <f t="shared" si="128"/>
        <v>0</v>
      </c>
      <c r="J479" s="32">
        <f t="shared" si="129"/>
        <v>0</v>
      </c>
      <c r="K479" s="32">
        <f t="shared" si="130"/>
        <v>0</v>
      </c>
      <c r="L479" s="32">
        <f t="shared" si="131"/>
        <v>0</v>
      </c>
      <c r="M479" s="32">
        <f>0</f>
        <v>0</v>
      </c>
      <c r="N479" s="32">
        <f t="shared" si="132"/>
        <v>0</v>
      </c>
      <c r="O479" s="32">
        <f t="shared" si="133"/>
        <v>14115936</v>
      </c>
      <c r="P479" s="34" t="str">
        <f>IF(NOT(AND(T478="",A479&lt;=S478)),"",IF(FALSE,"繰上返済後再計算","")&amp;IF(AND(入力!$B$13="有効",A479&gt;1,MOD(A479-1,60)=0),IF(FALSE,"・","")&amp;"5年見直し","")&amp;IF(AND(A479=入力!$B$11,A479&gt;1),IF(OR(FALSE,AND(入力!$B$13="有効",A479&gt;1,MOD(A479-1,60)=0)),"・","")&amp;"金利変更","")&amp;IF(AND(OR(AND(入力!$B$13="有効",A479&gt;1,MOD(A479-1,60)=0),AND(A479=入力!$B$11,A479&gt;1)),入力!$B$14="有効",IF(E479=0,ROUND(C479/MAX(1,S478-A479+1),0),ROUND(-PMT(E479/12,MAX(1,S478-A479+1),C479),0))&gt;ROUND(G478*1.25,0),NOT(FALSE)),"・上限適用",""))</f>
        <v/>
      </c>
      <c r="Q479" s="35" t="str">
        <f>IF(AND(T478="",A479&lt;=S478),入力!$B$13,"")</f>
        <v/>
      </c>
      <c r="R479" s="32" t="str">
        <f>IF(AND(AND(T478="",A479&lt;=S478),OR(AND(入力!$B$13="有効",A479&gt;1,MOD(A479-1,60)=0),AND(A479=入力!$B$11,A479&gt;1)),入力!$B$14="有効"),ROUND(G478*1.25,0),"")</f>
        <v/>
      </c>
      <c r="S479" s="36">
        <f t="shared" si="134"/>
        <v>420</v>
      </c>
      <c r="T479" s="35" t="str">
        <f t="shared" si="135"/>
        <v/>
      </c>
      <c r="U479" s="3">
        <f t="shared" si="119"/>
        <v>0</v>
      </c>
      <c r="V479" s="3">
        <f t="shared" si="120"/>
        <v>0</v>
      </c>
      <c r="W479" s="3">
        <f t="shared" si="121"/>
        <v>0</v>
      </c>
      <c r="X479" s="3">
        <f t="shared" si="122"/>
        <v>0</v>
      </c>
      <c r="Y479" s="3">
        <f>0</f>
        <v>0</v>
      </c>
      <c r="Z479" s="3">
        <f t="shared" si="123"/>
        <v>0</v>
      </c>
      <c r="AA479">
        <f>ROUND(IF(FALSE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,0)</f>
        <v>0</v>
      </c>
    </row>
    <row r="480" spans="1:27">
      <c r="A480" s="30">
        <f>475</f>
        <v>475</v>
      </c>
      <c r="B480" s="31">
        <f>EDATE(入力!$B$6,A480-1)</f>
        <v>60664</v>
      </c>
      <c r="C480" s="32">
        <f t="shared" si="124"/>
        <v>0</v>
      </c>
      <c r="D480" s="32">
        <f t="shared" si="125"/>
        <v>0</v>
      </c>
      <c r="E480" s="33">
        <f>IF(AND(T479="",A480&lt;=S479),IF(A480&lt;入力!$B$11,入力!$B$10,入力!$B$12),0)</f>
        <v>0</v>
      </c>
      <c r="F480" s="32">
        <f t="shared" si="126"/>
        <v>0</v>
      </c>
      <c r="G480" s="32">
        <f>ROUND(IF(NOT(AND(T479="",A480&lt;=S479)),0,IF(FALSE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),0)</f>
        <v>0</v>
      </c>
      <c r="H480" s="32">
        <f t="shared" si="127"/>
        <v>0</v>
      </c>
      <c r="I480" s="32">
        <f t="shared" si="128"/>
        <v>0</v>
      </c>
      <c r="J480" s="32">
        <f t="shared" si="129"/>
        <v>0</v>
      </c>
      <c r="K480" s="32">
        <f t="shared" si="130"/>
        <v>0</v>
      </c>
      <c r="L480" s="32">
        <f t="shared" si="131"/>
        <v>0</v>
      </c>
      <c r="M480" s="32">
        <f>0</f>
        <v>0</v>
      </c>
      <c r="N480" s="32">
        <f t="shared" si="132"/>
        <v>0</v>
      </c>
      <c r="O480" s="32">
        <f t="shared" si="133"/>
        <v>14115936</v>
      </c>
      <c r="P480" s="34" t="str">
        <f>IF(NOT(AND(T479="",A480&lt;=S479)),"",IF(FALSE,"繰上返済後再計算","")&amp;IF(AND(入力!$B$13="有効",A480&gt;1,MOD(A480-1,60)=0),IF(FALSE,"・","")&amp;"5年見直し","")&amp;IF(AND(A480=入力!$B$11,A480&gt;1),IF(OR(FALSE,AND(入力!$B$13="有効",A480&gt;1,MOD(A480-1,60)=0)),"・","")&amp;"金利変更","")&amp;IF(AND(OR(AND(入力!$B$13="有効",A480&gt;1,MOD(A480-1,60)=0),AND(A480=入力!$B$11,A480&gt;1)),入力!$B$14="有効",IF(E480=0,ROUND(C480/MAX(1,S479-A480+1),0),ROUND(-PMT(E480/12,MAX(1,S479-A480+1),C480),0))&gt;ROUND(G479*1.25,0),NOT(FALSE)),"・上限適用",""))</f>
        <v/>
      </c>
      <c r="Q480" s="35" t="str">
        <f>IF(AND(T479="",A480&lt;=S479),入力!$B$13,"")</f>
        <v/>
      </c>
      <c r="R480" s="32" t="str">
        <f>IF(AND(AND(T479="",A480&lt;=S479),OR(AND(入力!$B$13="有効",A480&gt;1,MOD(A480-1,60)=0),AND(A480=入力!$B$11,A480&gt;1)),入力!$B$14="有効"),ROUND(G479*1.25,0),"")</f>
        <v/>
      </c>
      <c r="S480" s="36">
        <f t="shared" si="134"/>
        <v>420</v>
      </c>
      <c r="T480" s="35" t="str">
        <f t="shared" si="135"/>
        <v/>
      </c>
      <c r="U480" s="3">
        <f t="shared" si="119"/>
        <v>0</v>
      </c>
      <c r="V480" s="3">
        <f t="shared" si="120"/>
        <v>0</v>
      </c>
      <c r="W480" s="3">
        <f t="shared" si="121"/>
        <v>0</v>
      </c>
      <c r="X480" s="3">
        <f t="shared" si="122"/>
        <v>0</v>
      </c>
      <c r="Y480" s="3">
        <f>0</f>
        <v>0</v>
      </c>
      <c r="Z480" s="3">
        <f t="shared" si="123"/>
        <v>0</v>
      </c>
      <c r="AA480">
        <f>ROUND(IF(FALSE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,0)</f>
        <v>0</v>
      </c>
    </row>
    <row r="481" spans="1:27">
      <c r="A481" s="30">
        <f>476</f>
        <v>476</v>
      </c>
      <c r="B481" s="31">
        <f>EDATE(入力!$B$6,A481-1)</f>
        <v>60692</v>
      </c>
      <c r="C481" s="32">
        <f t="shared" si="124"/>
        <v>0</v>
      </c>
      <c r="D481" s="32">
        <f t="shared" si="125"/>
        <v>0</v>
      </c>
      <c r="E481" s="33">
        <f>IF(AND(T480="",A481&lt;=S480),IF(A481&lt;入力!$B$11,入力!$B$10,入力!$B$12),0)</f>
        <v>0</v>
      </c>
      <c r="F481" s="32">
        <f t="shared" si="126"/>
        <v>0</v>
      </c>
      <c r="G481" s="32">
        <f>ROUND(IF(NOT(AND(T480="",A481&lt;=S480)),0,IF(FALSE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),0)</f>
        <v>0</v>
      </c>
      <c r="H481" s="32">
        <f t="shared" si="127"/>
        <v>0</v>
      </c>
      <c r="I481" s="32">
        <f t="shared" si="128"/>
        <v>0</v>
      </c>
      <c r="J481" s="32">
        <f t="shared" si="129"/>
        <v>0</v>
      </c>
      <c r="K481" s="32">
        <f t="shared" si="130"/>
        <v>0</v>
      </c>
      <c r="L481" s="32">
        <f t="shared" si="131"/>
        <v>0</v>
      </c>
      <c r="M481" s="32">
        <f>0</f>
        <v>0</v>
      </c>
      <c r="N481" s="32">
        <f t="shared" si="132"/>
        <v>0</v>
      </c>
      <c r="O481" s="32">
        <f t="shared" si="133"/>
        <v>14115936</v>
      </c>
      <c r="P481" s="34" t="str">
        <f>IF(NOT(AND(T480="",A481&lt;=S480)),"",IF(FALSE,"繰上返済後再計算","")&amp;IF(AND(入力!$B$13="有効",A481&gt;1,MOD(A481-1,60)=0),IF(FALSE,"・","")&amp;"5年見直し","")&amp;IF(AND(A481=入力!$B$11,A481&gt;1),IF(OR(FALSE,AND(入力!$B$13="有効",A481&gt;1,MOD(A481-1,60)=0)),"・","")&amp;"金利変更","")&amp;IF(AND(OR(AND(入力!$B$13="有効",A481&gt;1,MOD(A481-1,60)=0),AND(A481=入力!$B$11,A481&gt;1)),入力!$B$14="有効",IF(E481=0,ROUND(C481/MAX(1,S480-A481+1),0),ROUND(-PMT(E481/12,MAX(1,S480-A481+1),C481),0))&gt;ROUND(G480*1.25,0),NOT(FALSE)),"・上限適用",""))</f>
        <v/>
      </c>
      <c r="Q481" s="35" t="str">
        <f>IF(AND(T480="",A481&lt;=S480),入力!$B$13,"")</f>
        <v/>
      </c>
      <c r="R481" s="32" t="str">
        <f>IF(AND(AND(T480="",A481&lt;=S480),OR(AND(入力!$B$13="有効",A481&gt;1,MOD(A481-1,60)=0),AND(A481=入力!$B$11,A481&gt;1)),入力!$B$14="有効"),ROUND(G480*1.25,0),"")</f>
        <v/>
      </c>
      <c r="S481" s="36">
        <f t="shared" si="134"/>
        <v>420</v>
      </c>
      <c r="T481" s="35" t="str">
        <f t="shared" si="135"/>
        <v/>
      </c>
      <c r="U481" s="3">
        <f t="shared" si="119"/>
        <v>0</v>
      </c>
      <c r="V481" s="3">
        <f t="shared" si="120"/>
        <v>0</v>
      </c>
      <c r="W481" s="3">
        <f t="shared" si="121"/>
        <v>0</v>
      </c>
      <c r="X481" s="3">
        <f t="shared" si="122"/>
        <v>0</v>
      </c>
      <c r="Y481" s="3">
        <f>0</f>
        <v>0</v>
      </c>
      <c r="Z481" s="3">
        <f t="shared" si="123"/>
        <v>0</v>
      </c>
      <c r="AA481">
        <f>ROUND(IF(FALSE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,0)</f>
        <v>0</v>
      </c>
    </row>
    <row r="482" spans="1:27">
      <c r="A482" s="30">
        <f>477</f>
        <v>477</v>
      </c>
      <c r="B482" s="31">
        <f>EDATE(入力!$B$6,A482-1)</f>
        <v>60723</v>
      </c>
      <c r="C482" s="32">
        <f t="shared" si="124"/>
        <v>0</v>
      </c>
      <c r="D482" s="32">
        <f t="shared" si="125"/>
        <v>0</v>
      </c>
      <c r="E482" s="33">
        <f>IF(AND(T481="",A482&lt;=S481),IF(A482&lt;入力!$B$11,入力!$B$10,入力!$B$12),0)</f>
        <v>0</v>
      </c>
      <c r="F482" s="32">
        <f t="shared" si="126"/>
        <v>0</v>
      </c>
      <c r="G482" s="32">
        <f>ROUND(IF(NOT(AND(T481="",A482&lt;=S481)),0,IF(FALSE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),0)</f>
        <v>0</v>
      </c>
      <c r="H482" s="32">
        <f t="shared" si="127"/>
        <v>0</v>
      </c>
      <c r="I482" s="32">
        <f t="shared" si="128"/>
        <v>0</v>
      </c>
      <c r="J482" s="32">
        <f t="shared" si="129"/>
        <v>0</v>
      </c>
      <c r="K482" s="32">
        <f t="shared" si="130"/>
        <v>0</v>
      </c>
      <c r="L482" s="32">
        <f t="shared" si="131"/>
        <v>0</v>
      </c>
      <c r="M482" s="32">
        <f>0</f>
        <v>0</v>
      </c>
      <c r="N482" s="32">
        <f t="shared" si="132"/>
        <v>0</v>
      </c>
      <c r="O482" s="32">
        <f t="shared" si="133"/>
        <v>14115936</v>
      </c>
      <c r="P482" s="34" t="str">
        <f>IF(NOT(AND(T481="",A482&lt;=S481)),"",IF(FALSE,"繰上返済後再計算","")&amp;IF(AND(入力!$B$13="有効",A482&gt;1,MOD(A482-1,60)=0),IF(FALSE,"・","")&amp;"5年見直し","")&amp;IF(AND(A482=入力!$B$11,A482&gt;1),IF(OR(FALSE,AND(入力!$B$13="有効",A482&gt;1,MOD(A482-1,60)=0)),"・","")&amp;"金利変更","")&amp;IF(AND(OR(AND(入力!$B$13="有効",A482&gt;1,MOD(A482-1,60)=0),AND(A482=入力!$B$11,A482&gt;1)),入力!$B$14="有効",IF(E482=0,ROUND(C482/MAX(1,S481-A482+1),0),ROUND(-PMT(E482/12,MAX(1,S481-A482+1),C482),0))&gt;ROUND(G481*1.25,0),NOT(FALSE)),"・上限適用",""))</f>
        <v/>
      </c>
      <c r="Q482" s="35" t="str">
        <f>IF(AND(T481="",A482&lt;=S481),入力!$B$13,"")</f>
        <v/>
      </c>
      <c r="R482" s="32" t="str">
        <f>IF(AND(AND(T481="",A482&lt;=S481),OR(AND(入力!$B$13="有効",A482&gt;1,MOD(A482-1,60)=0),AND(A482=入力!$B$11,A482&gt;1)),入力!$B$14="有効"),ROUND(G481*1.25,0),"")</f>
        <v/>
      </c>
      <c r="S482" s="36">
        <f t="shared" si="134"/>
        <v>420</v>
      </c>
      <c r="T482" s="35" t="str">
        <f t="shared" si="135"/>
        <v/>
      </c>
      <c r="U482" s="3">
        <f t="shared" si="119"/>
        <v>0</v>
      </c>
      <c r="V482" s="3">
        <f t="shared" si="120"/>
        <v>0</v>
      </c>
      <c r="W482" s="3">
        <f t="shared" si="121"/>
        <v>0</v>
      </c>
      <c r="X482" s="3">
        <f t="shared" si="122"/>
        <v>0</v>
      </c>
      <c r="Y482" s="3">
        <f>0</f>
        <v>0</v>
      </c>
      <c r="Z482" s="3">
        <f t="shared" si="123"/>
        <v>0</v>
      </c>
      <c r="AA482">
        <f>ROUND(IF(FALSE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,0)</f>
        <v>0</v>
      </c>
    </row>
    <row r="483" spans="1:27">
      <c r="A483" s="30">
        <f>478</f>
        <v>478</v>
      </c>
      <c r="B483" s="31">
        <f>EDATE(入力!$B$6,A483-1)</f>
        <v>60753</v>
      </c>
      <c r="C483" s="32">
        <f t="shared" si="124"/>
        <v>0</v>
      </c>
      <c r="D483" s="32">
        <f t="shared" si="125"/>
        <v>0</v>
      </c>
      <c r="E483" s="33">
        <f>IF(AND(T482="",A483&lt;=S482),IF(A483&lt;入力!$B$11,入力!$B$10,入力!$B$12),0)</f>
        <v>0</v>
      </c>
      <c r="F483" s="32">
        <f t="shared" si="126"/>
        <v>0</v>
      </c>
      <c r="G483" s="32">
        <f>ROUND(IF(NOT(AND(T482="",A483&lt;=S482)),0,IF(FALSE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),0)</f>
        <v>0</v>
      </c>
      <c r="H483" s="32">
        <f t="shared" si="127"/>
        <v>0</v>
      </c>
      <c r="I483" s="32">
        <f t="shared" si="128"/>
        <v>0</v>
      </c>
      <c r="J483" s="32">
        <f t="shared" si="129"/>
        <v>0</v>
      </c>
      <c r="K483" s="32">
        <f t="shared" si="130"/>
        <v>0</v>
      </c>
      <c r="L483" s="32">
        <f t="shared" si="131"/>
        <v>0</v>
      </c>
      <c r="M483" s="32">
        <f>0</f>
        <v>0</v>
      </c>
      <c r="N483" s="32">
        <f t="shared" si="132"/>
        <v>0</v>
      </c>
      <c r="O483" s="32">
        <f t="shared" si="133"/>
        <v>14115936</v>
      </c>
      <c r="P483" s="34" t="str">
        <f>IF(NOT(AND(T482="",A483&lt;=S482)),"",IF(FALSE,"繰上返済後再計算","")&amp;IF(AND(入力!$B$13="有効",A483&gt;1,MOD(A483-1,60)=0),IF(FALSE,"・","")&amp;"5年見直し","")&amp;IF(AND(A483=入力!$B$11,A483&gt;1),IF(OR(FALSE,AND(入力!$B$13="有効",A483&gt;1,MOD(A483-1,60)=0)),"・","")&amp;"金利変更","")&amp;IF(AND(OR(AND(入力!$B$13="有効",A483&gt;1,MOD(A483-1,60)=0),AND(A483=入力!$B$11,A483&gt;1)),入力!$B$14="有効",IF(E483=0,ROUND(C483/MAX(1,S482-A483+1),0),ROUND(-PMT(E483/12,MAX(1,S482-A483+1),C483),0))&gt;ROUND(G482*1.25,0),NOT(FALSE)),"・上限適用",""))</f>
        <v/>
      </c>
      <c r="Q483" s="35" t="str">
        <f>IF(AND(T482="",A483&lt;=S482),入力!$B$13,"")</f>
        <v/>
      </c>
      <c r="R483" s="32" t="str">
        <f>IF(AND(AND(T482="",A483&lt;=S482),OR(AND(入力!$B$13="有効",A483&gt;1,MOD(A483-1,60)=0),AND(A483=入力!$B$11,A483&gt;1)),入力!$B$14="有効"),ROUND(G482*1.25,0),"")</f>
        <v/>
      </c>
      <c r="S483" s="36">
        <f t="shared" si="134"/>
        <v>420</v>
      </c>
      <c r="T483" s="35" t="str">
        <f t="shared" si="135"/>
        <v/>
      </c>
      <c r="U483" s="3">
        <f t="shared" si="119"/>
        <v>0</v>
      </c>
      <c r="V483" s="3">
        <f t="shared" si="120"/>
        <v>0</v>
      </c>
      <c r="W483" s="3">
        <f t="shared" si="121"/>
        <v>0</v>
      </c>
      <c r="X483" s="3">
        <f t="shared" si="122"/>
        <v>0</v>
      </c>
      <c r="Y483" s="3">
        <f>0</f>
        <v>0</v>
      </c>
      <c r="Z483" s="3">
        <f t="shared" si="123"/>
        <v>0</v>
      </c>
      <c r="AA483">
        <f>ROUND(IF(FALSE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,0)</f>
        <v>0</v>
      </c>
    </row>
    <row r="484" spans="1:27">
      <c r="A484" s="30">
        <f>479</f>
        <v>479</v>
      </c>
      <c r="B484" s="31">
        <f>EDATE(入力!$B$6,A484-1)</f>
        <v>60784</v>
      </c>
      <c r="C484" s="32">
        <f t="shared" si="124"/>
        <v>0</v>
      </c>
      <c r="D484" s="32">
        <f t="shared" si="125"/>
        <v>0</v>
      </c>
      <c r="E484" s="33">
        <f>IF(AND(T483="",A484&lt;=S483),IF(A484&lt;入力!$B$11,入力!$B$10,入力!$B$12),0)</f>
        <v>0</v>
      </c>
      <c r="F484" s="32">
        <f t="shared" si="126"/>
        <v>0</v>
      </c>
      <c r="G484" s="32">
        <f>ROUND(IF(NOT(AND(T483="",A484&lt;=S483)),0,IF(FALSE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),0)</f>
        <v>0</v>
      </c>
      <c r="H484" s="32">
        <f t="shared" si="127"/>
        <v>0</v>
      </c>
      <c r="I484" s="32">
        <f t="shared" si="128"/>
        <v>0</v>
      </c>
      <c r="J484" s="32">
        <f t="shared" si="129"/>
        <v>0</v>
      </c>
      <c r="K484" s="32">
        <f t="shared" si="130"/>
        <v>0</v>
      </c>
      <c r="L484" s="32">
        <f t="shared" si="131"/>
        <v>0</v>
      </c>
      <c r="M484" s="32">
        <f>0</f>
        <v>0</v>
      </c>
      <c r="N484" s="32">
        <f t="shared" si="132"/>
        <v>0</v>
      </c>
      <c r="O484" s="32">
        <f t="shared" si="133"/>
        <v>14115936</v>
      </c>
      <c r="P484" s="34" t="str">
        <f>IF(NOT(AND(T483="",A484&lt;=S483)),"",IF(FALSE,"繰上返済後再計算","")&amp;IF(AND(入力!$B$13="有効",A484&gt;1,MOD(A484-1,60)=0),IF(FALSE,"・","")&amp;"5年見直し","")&amp;IF(AND(A484=入力!$B$11,A484&gt;1),IF(OR(FALSE,AND(入力!$B$13="有効",A484&gt;1,MOD(A484-1,60)=0)),"・","")&amp;"金利変更","")&amp;IF(AND(OR(AND(入力!$B$13="有効",A484&gt;1,MOD(A484-1,60)=0),AND(A484=入力!$B$11,A484&gt;1)),入力!$B$14="有効",IF(E484=0,ROUND(C484/MAX(1,S483-A484+1),0),ROUND(-PMT(E484/12,MAX(1,S483-A484+1),C484),0))&gt;ROUND(G483*1.25,0),NOT(FALSE)),"・上限適用",""))</f>
        <v/>
      </c>
      <c r="Q484" s="35" t="str">
        <f>IF(AND(T483="",A484&lt;=S483),入力!$B$13,"")</f>
        <v/>
      </c>
      <c r="R484" s="32" t="str">
        <f>IF(AND(AND(T483="",A484&lt;=S483),OR(AND(入力!$B$13="有効",A484&gt;1,MOD(A484-1,60)=0),AND(A484=入力!$B$11,A484&gt;1)),入力!$B$14="有効"),ROUND(G483*1.25,0),"")</f>
        <v/>
      </c>
      <c r="S484" s="36">
        <f t="shared" si="134"/>
        <v>420</v>
      </c>
      <c r="T484" s="35" t="str">
        <f t="shared" si="135"/>
        <v/>
      </c>
      <c r="U484" s="3">
        <f t="shared" si="119"/>
        <v>0</v>
      </c>
      <c r="V484" s="3">
        <f t="shared" si="120"/>
        <v>0</v>
      </c>
      <c r="W484" s="3">
        <f t="shared" si="121"/>
        <v>0</v>
      </c>
      <c r="X484" s="3">
        <f t="shared" si="122"/>
        <v>0</v>
      </c>
      <c r="Y484" s="3">
        <f>0</f>
        <v>0</v>
      </c>
      <c r="Z484" s="3">
        <f t="shared" si="123"/>
        <v>0</v>
      </c>
      <c r="AA484">
        <f>ROUND(IF(FALSE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,0)</f>
        <v>0</v>
      </c>
    </row>
    <row r="485" spans="1:27">
      <c r="A485" s="30">
        <f>480</f>
        <v>480</v>
      </c>
      <c r="B485" s="31">
        <f>EDATE(入力!$B$6,A485-1)</f>
        <v>60814</v>
      </c>
      <c r="C485" s="32">
        <f t="shared" si="124"/>
        <v>0</v>
      </c>
      <c r="D485" s="32">
        <f t="shared" si="125"/>
        <v>0</v>
      </c>
      <c r="E485" s="33">
        <f>IF(AND(T484="",A485&lt;=S484),IF(A485&lt;入力!$B$11,入力!$B$10,入力!$B$12),0)</f>
        <v>0</v>
      </c>
      <c r="F485" s="32">
        <f t="shared" si="126"/>
        <v>0</v>
      </c>
      <c r="G485" s="32">
        <f>ROUND(IF(NOT(AND(T484="",A485&lt;=S484)),0,IF(FALSE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),0)</f>
        <v>0</v>
      </c>
      <c r="H485" s="32">
        <f t="shared" si="127"/>
        <v>0</v>
      </c>
      <c r="I485" s="32">
        <f t="shared" si="128"/>
        <v>0</v>
      </c>
      <c r="J485" s="32">
        <f t="shared" si="129"/>
        <v>0</v>
      </c>
      <c r="K485" s="32">
        <f t="shared" si="130"/>
        <v>0</v>
      </c>
      <c r="L485" s="32">
        <f t="shared" si="131"/>
        <v>0</v>
      </c>
      <c r="M485" s="32">
        <f>0</f>
        <v>0</v>
      </c>
      <c r="N485" s="32">
        <f t="shared" si="132"/>
        <v>0</v>
      </c>
      <c r="O485" s="32">
        <f t="shared" si="133"/>
        <v>14115936</v>
      </c>
      <c r="P485" s="34" t="str">
        <f>IF(NOT(AND(T484="",A485&lt;=S484)),"",IF(FALSE,"繰上返済後再計算","")&amp;IF(AND(入力!$B$13="有効",A485&gt;1,MOD(A485-1,60)=0),IF(FALSE,"・","")&amp;"5年見直し","")&amp;IF(AND(A485=入力!$B$11,A485&gt;1),IF(OR(FALSE,AND(入力!$B$13="有効",A485&gt;1,MOD(A485-1,60)=0)),"・","")&amp;"金利変更","")&amp;IF(AND(OR(AND(入力!$B$13="有効",A485&gt;1,MOD(A485-1,60)=0),AND(A485=入力!$B$11,A485&gt;1)),入力!$B$14="有効",IF(E485=0,ROUND(C485/MAX(1,S484-A485+1),0),ROUND(-PMT(E485/12,MAX(1,S484-A485+1),C485),0))&gt;ROUND(G484*1.25,0),NOT(FALSE)),"・上限適用",""))</f>
        <v/>
      </c>
      <c r="Q485" s="35" t="str">
        <f>IF(AND(T484="",A485&lt;=S484),入力!$B$13,"")</f>
        <v/>
      </c>
      <c r="R485" s="32" t="str">
        <f>IF(AND(AND(T484="",A485&lt;=S484),OR(AND(入力!$B$13="有効",A485&gt;1,MOD(A485-1,60)=0),AND(A485=入力!$B$11,A485&gt;1)),入力!$B$14="有効"),ROUND(G484*1.25,0),"")</f>
        <v/>
      </c>
      <c r="S485" s="36">
        <f t="shared" si="134"/>
        <v>420</v>
      </c>
      <c r="T485" s="35" t="str">
        <f t="shared" si="135"/>
        <v/>
      </c>
      <c r="U485" s="3">
        <f t="shared" si="119"/>
        <v>0</v>
      </c>
      <c r="V485" s="3">
        <f t="shared" si="120"/>
        <v>0</v>
      </c>
      <c r="W485" s="3">
        <f t="shared" si="121"/>
        <v>0</v>
      </c>
      <c r="X485" s="3">
        <f t="shared" si="122"/>
        <v>0</v>
      </c>
      <c r="Y485" s="3">
        <f>0</f>
        <v>0</v>
      </c>
      <c r="Z485" s="3">
        <f t="shared" si="123"/>
        <v>0</v>
      </c>
      <c r="AA485">
        <f>ROUND(IF(FALSE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,0)</f>
        <v>0</v>
      </c>
    </row>
    <row r="486" spans="1:27">
      <c r="A486" s="30">
        <f>481</f>
        <v>481</v>
      </c>
      <c r="B486" s="31">
        <f>EDATE(入力!$B$6,A486-1)</f>
        <v>60845</v>
      </c>
      <c r="C486" s="32">
        <f t="shared" si="124"/>
        <v>0</v>
      </c>
      <c r="D486" s="32">
        <f t="shared" si="125"/>
        <v>0</v>
      </c>
      <c r="E486" s="33">
        <f>IF(AND(T485="",A486&lt;=S485),IF(A486&lt;入力!$B$11,入力!$B$10,入力!$B$12),0)</f>
        <v>0</v>
      </c>
      <c r="F486" s="32">
        <f t="shared" si="126"/>
        <v>0</v>
      </c>
      <c r="G486" s="32">
        <f>ROUND(IF(NOT(AND(T485="",A486&lt;=S485)),0,IF(FALSE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),0)</f>
        <v>0</v>
      </c>
      <c r="H486" s="32">
        <f t="shared" si="127"/>
        <v>0</v>
      </c>
      <c r="I486" s="32">
        <f t="shared" si="128"/>
        <v>0</v>
      </c>
      <c r="J486" s="32">
        <f t="shared" si="129"/>
        <v>0</v>
      </c>
      <c r="K486" s="32">
        <f t="shared" si="130"/>
        <v>0</v>
      </c>
      <c r="L486" s="32">
        <f t="shared" si="131"/>
        <v>0</v>
      </c>
      <c r="M486" s="32">
        <f>0</f>
        <v>0</v>
      </c>
      <c r="N486" s="32">
        <f t="shared" si="132"/>
        <v>0</v>
      </c>
      <c r="O486" s="32">
        <f t="shared" si="133"/>
        <v>14115936</v>
      </c>
      <c r="P486" s="34" t="str">
        <f>IF(NOT(AND(T485="",A486&lt;=S485)),"",IF(FALSE,"繰上返済後再計算","")&amp;IF(AND(入力!$B$13="有効",A486&gt;1,MOD(A486-1,60)=0),IF(FALSE,"・","")&amp;"5年見直し","")&amp;IF(AND(A486=入力!$B$11,A486&gt;1),IF(OR(FALSE,AND(入力!$B$13="有効",A486&gt;1,MOD(A486-1,60)=0)),"・","")&amp;"金利変更","")&amp;IF(AND(OR(AND(入力!$B$13="有効",A486&gt;1,MOD(A486-1,60)=0),AND(A486=入力!$B$11,A486&gt;1)),入力!$B$14="有効",IF(E486=0,ROUND(C486/MAX(1,S485-A486+1),0),ROUND(-PMT(E486/12,MAX(1,S485-A486+1),C486),0))&gt;ROUND(G485*1.25,0),NOT(FALSE)),"・上限適用",""))</f>
        <v/>
      </c>
      <c r="Q486" s="35" t="str">
        <f>IF(AND(T485="",A486&lt;=S485),入力!$B$13,"")</f>
        <v/>
      </c>
      <c r="R486" s="32" t="str">
        <f>IF(AND(AND(T485="",A486&lt;=S485),OR(AND(入力!$B$13="有効",A486&gt;1,MOD(A486-1,60)=0),AND(A486=入力!$B$11,A486&gt;1)),入力!$B$14="有効"),ROUND(G485*1.25,0),"")</f>
        <v/>
      </c>
      <c r="S486" s="36">
        <f t="shared" si="134"/>
        <v>420</v>
      </c>
      <c r="T486" s="35" t="str">
        <f t="shared" si="135"/>
        <v/>
      </c>
      <c r="U486" s="3">
        <f t="shared" si="119"/>
        <v>0</v>
      </c>
      <c r="V486" s="3">
        <f t="shared" si="120"/>
        <v>0</v>
      </c>
      <c r="W486" s="3">
        <f t="shared" si="121"/>
        <v>0</v>
      </c>
      <c r="X486" s="3">
        <f t="shared" si="122"/>
        <v>0</v>
      </c>
      <c r="Y486" s="3">
        <f>0</f>
        <v>0</v>
      </c>
      <c r="Z486" s="3">
        <f t="shared" si="123"/>
        <v>0</v>
      </c>
      <c r="AA486">
        <f>ROUND(IF(FALSE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,0)</f>
        <v>0</v>
      </c>
    </row>
    <row r="487" spans="1:27">
      <c r="A487" s="30">
        <f>482</f>
        <v>482</v>
      </c>
      <c r="B487" s="31">
        <f>EDATE(入力!$B$6,A487-1)</f>
        <v>60876</v>
      </c>
      <c r="C487" s="32">
        <f t="shared" si="124"/>
        <v>0</v>
      </c>
      <c r="D487" s="32">
        <f t="shared" si="125"/>
        <v>0</v>
      </c>
      <c r="E487" s="33">
        <f>IF(AND(T486="",A487&lt;=S486),IF(A487&lt;入力!$B$11,入力!$B$10,入力!$B$12),0)</f>
        <v>0</v>
      </c>
      <c r="F487" s="32">
        <f t="shared" si="126"/>
        <v>0</v>
      </c>
      <c r="G487" s="32">
        <f>ROUND(IF(NOT(AND(T486="",A487&lt;=S486)),0,IF(FALSE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),0)</f>
        <v>0</v>
      </c>
      <c r="H487" s="32">
        <f t="shared" si="127"/>
        <v>0</v>
      </c>
      <c r="I487" s="32">
        <f t="shared" si="128"/>
        <v>0</v>
      </c>
      <c r="J487" s="32">
        <f t="shared" si="129"/>
        <v>0</v>
      </c>
      <c r="K487" s="32">
        <f t="shared" si="130"/>
        <v>0</v>
      </c>
      <c r="L487" s="32">
        <f t="shared" si="131"/>
        <v>0</v>
      </c>
      <c r="M487" s="32">
        <f>0</f>
        <v>0</v>
      </c>
      <c r="N487" s="32">
        <f t="shared" si="132"/>
        <v>0</v>
      </c>
      <c r="O487" s="32">
        <f t="shared" si="133"/>
        <v>14115936</v>
      </c>
      <c r="P487" s="34" t="str">
        <f>IF(NOT(AND(T486="",A487&lt;=S486)),"",IF(FALSE,"繰上返済後再計算","")&amp;IF(AND(入力!$B$13="有効",A487&gt;1,MOD(A487-1,60)=0),IF(FALSE,"・","")&amp;"5年見直し","")&amp;IF(AND(A487=入力!$B$11,A487&gt;1),IF(OR(FALSE,AND(入力!$B$13="有効",A487&gt;1,MOD(A487-1,60)=0)),"・","")&amp;"金利変更","")&amp;IF(AND(OR(AND(入力!$B$13="有効",A487&gt;1,MOD(A487-1,60)=0),AND(A487=入力!$B$11,A487&gt;1)),入力!$B$14="有効",IF(E487=0,ROUND(C487/MAX(1,S486-A487+1),0),ROUND(-PMT(E487/12,MAX(1,S486-A487+1),C487),0))&gt;ROUND(G486*1.25,0),NOT(FALSE)),"・上限適用",""))</f>
        <v/>
      </c>
      <c r="Q487" s="35" t="str">
        <f>IF(AND(T486="",A487&lt;=S486),入力!$B$13,"")</f>
        <v/>
      </c>
      <c r="R487" s="32" t="str">
        <f>IF(AND(AND(T486="",A487&lt;=S486),OR(AND(入力!$B$13="有効",A487&gt;1,MOD(A487-1,60)=0),AND(A487=入力!$B$11,A487&gt;1)),入力!$B$14="有効"),ROUND(G486*1.25,0),"")</f>
        <v/>
      </c>
      <c r="S487" s="36">
        <f t="shared" si="134"/>
        <v>420</v>
      </c>
      <c r="T487" s="35" t="str">
        <f t="shared" si="135"/>
        <v/>
      </c>
      <c r="U487" s="3">
        <f t="shared" si="119"/>
        <v>0</v>
      </c>
      <c r="V487" s="3">
        <f t="shared" si="120"/>
        <v>0</v>
      </c>
      <c r="W487" s="3">
        <f t="shared" si="121"/>
        <v>0</v>
      </c>
      <c r="X487" s="3">
        <f t="shared" si="122"/>
        <v>0</v>
      </c>
      <c r="Y487" s="3">
        <f>0</f>
        <v>0</v>
      </c>
      <c r="Z487" s="3">
        <f t="shared" si="123"/>
        <v>0</v>
      </c>
      <c r="AA487">
        <f>ROUND(IF(FALSE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,0)</f>
        <v>0</v>
      </c>
    </row>
    <row r="488" spans="1:27">
      <c r="A488" s="30">
        <f>483</f>
        <v>483</v>
      </c>
      <c r="B488" s="31">
        <f>EDATE(入力!$B$6,A488-1)</f>
        <v>60906</v>
      </c>
      <c r="C488" s="32">
        <f t="shared" si="124"/>
        <v>0</v>
      </c>
      <c r="D488" s="32">
        <f t="shared" si="125"/>
        <v>0</v>
      </c>
      <c r="E488" s="33">
        <f>IF(AND(T487="",A488&lt;=S487),IF(A488&lt;入力!$B$11,入力!$B$10,入力!$B$12),0)</f>
        <v>0</v>
      </c>
      <c r="F488" s="32">
        <f t="shared" si="126"/>
        <v>0</v>
      </c>
      <c r="G488" s="32">
        <f>ROUND(IF(NOT(AND(T487="",A488&lt;=S487)),0,IF(FALSE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),0)</f>
        <v>0</v>
      </c>
      <c r="H488" s="32">
        <f t="shared" si="127"/>
        <v>0</v>
      </c>
      <c r="I488" s="32">
        <f t="shared" si="128"/>
        <v>0</v>
      </c>
      <c r="J488" s="32">
        <f t="shared" si="129"/>
        <v>0</v>
      </c>
      <c r="K488" s="32">
        <f t="shared" si="130"/>
        <v>0</v>
      </c>
      <c r="L488" s="32">
        <f t="shared" si="131"/>
        <v>0</v>
      </c>
      <c r="M488" s="32">
        <f>0</f>
        <v>0</v>
      </c>
      <c r="N488" s="32">
        <f t="shared" si="132"/>
        <v>0</v>
      </c>
      <c r="O488" s="32">
        <f t="shared" si="133"/>
        <v>14115936</v>
      </c>
      <c r="P488" s="34" t="str">
        <f>IF(NOT(AND(T487="",A488&lt;=S487)),"",IF(FALSE,"繰上返済後再計算","")&amp;IF(AND(入力!$B$13="有効",A488&gt;1,MOD(A488-1,60)=0),IF(FALSE,"・","")&amp;"5年見直し","")&amp;IF(AND(A488=入力!$B$11,A488&gt;1),IF(OR(FALSE,AND(入力!$B$13="有効",A488&gt;1,MOD(A488-1,60)=0)),"・","")&amp;"金利変更","")&amp;IF(AND(OR(AND(入力!$B$13="有効",A488&gt;1,MOD(A488-1,60)=0),AND(A488=入力!$B$11,A488&gt;1)),入力!$B$14="有効",IF(E488=0,ROUND(C488/MAX(1,S487-A488+1),0),ROUND(-PMT(E488/12,MAX(1,S487-A488+1),C488),0))&gt;ROUND(G487*1.25,0),NOT(FALSE)),"・上限適用",""))</f>
        <v/>
      </c>
      <c r="Q488" s="35" t="str">
        <f>IF(AND(T487="",A488&lt;=S487),入力!$B$13,"")</f>
        <v/>
      </c>
      <c r="R488" s="32" t="str">
        <f>IF(AND(AND(T487="",A488&lt;=S487),OR(AND(入力!$B$13="有効",A488&gt;1,MOD(A488-1,60)=0),AND(A488=入力!$B$11,A488&gt;1)),入力!$B$14="有効"),ROUND(G487*1.25,0),"")</f>
        <v/>
      </c>
      <c r="S488" s="36">
        <f t="shared" si="134"/>
        <v>420</v>
      </c>
      <c r="T488" s="35" t="str">
        <f t="shared" si="135"/>
        <v/>
      </c>
      <c r="U488" s="3">
        <f t="shared" si="119"/>
        <v>0</v>
      </c>
      <c r="V488" s="3">
        <f t="shared" si="120"/>
        <v>0</v>
      </c>
      <c r="W488" s="3">
        <f t="shared" si="121"/>
        <v>0</v>
      </c>
      <c r="X488" s="3">
        <f t="shared" si="122"/>
        <v>0</v>
      </c>
      <c r="Y488" s="3">
        <f>0</f>
        <v>0</v>
      </c>
      <c r="Z488" s="3">
        <f t="shared" si="123"/>
        <v>0</v>
      </c>
      <c r="AA488">
        <f>ROUND(IF(FALSE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,0)</f>
        <v>0</v>
      </c>
    </row>
    <row r="489" spans="1:27">
      <c r="A489" s="30">
        <f>484</f>
        <v>484</v>
      </c>
      <c r="B489" s="31">
        <f>EDATE(入力!$B$6,A489-1)</f>
        <v>60937</v>
      </c>
      <c r="C489" s="32">
        <f t="shared" si="124"/>
        <v>0</v>
      </c>
      <c r="D489" s="32">
        <f t="shared" si="125"/>
        <v>0</v>
      </c>
      <c r="E489" s="33">
        <f>IF(AND(T488="",A489&lt;=S488),IF(A489&lt;入力!$B$11,入力!$B$10,入力!$B$12),0)</f>
        <v>0</v>
      </c>
      <c r="F489" s="32">
        <f t="shared" si="126"/>
        <v>0</v>
      </c>
      <c r="G489" s="32">
        <f>ROUND(IF(NOT(AND(T488="",A489&lt;=S488)),0,IF(FALSE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),0)</f>
        <v>0</v>
      </c>
      <c r="H489" s="32">
        <f t="shared" si="127"/>
        <v>0</v>
      </c>
      <c r="I489" s="32">
        <f t="shared" si="128"/>
        <v>0</v>
      </c>
      <c r="J489" s="32">
        <f t="shared" si="129"/>
        <v>0</v>
      </c>
      <c r="K489" s="32">
        <f t="shared" si="130"/>
        <v>0</v>
      </c>
      <c r="L489" s="32">
        <f t="shared" si="131"/>
        <v>0</v>
      </c>
      <c r="M489" s="32">
        <f>0</f>
        <v>0</v>
      </c>
      <c r="N489" s="32">
        <f t="shared" si="132"/>
        <v>0</v>
      </c>
      <c r="O489" s="32">
        <f t="shared" si="133"/>
        <v>14115936</v>
      </c>
      <c r="P489" s="34" t="str">
        <f>IF(NOT(AND(T488="",A489&lt;=S488)),"",IF(FALSE,"繰上返済後再計算","")&amp;IF(AND(入力!$B$13="有効",A489&gt;1,MOD(A489-1,60)=0),IF(FALSE,"・","")&amp;"5年見直し","")&amp;IF(AND(A489=入力!$B$11,A489&gt;1),IF(OR(FALSE,AND(入力!$B$13="有効",A489&gt;1,MOD(A489-1,60)=0)),"・","")&amp;"金利変更","")&amp;IF(AND(OR(AND(入力!$B$13="有効",A489&gt;1,MOD(A489-1,60)=0),AND(A489=入力!$B$11,A489&gt;1)),入力!$B$14="有効",IF(E489=0,ROUND(C489/MAX(1,S488-A489+1),0),ROUND(-PMT(E489/12,MAX(1,S488-A489+1),C489),0))&gt;ROUND(G488*1.25,0),NOT(FALSE)),"・上限適用",""))</f>
        <v/>
      </c>
      <c r="Q489" s="35" t="str">
        <f>IF(AND(T488="",A489&lt;=S488),入力!$B$13,"")</f>
        <v/>
      </c>
      <c r="R489" s="32" t="str">
        <f>IF(AND(AND(T488="",A489&lt;=S488),OR(AND(入力!$B$13="有効",A489&gt;1,MOD(A489-1,60)=0),AND(A489=入力!$B$11,A489&gt;1)),入力!$B$14="有効"),ROUND(G488*1.25,0),"")</f>
        <v/>
      </c>
      <c r="S489" s="36">
        <f t="shared" si="134"/>
        <v>420</v>
      </c>
      <c r="T489" s="35" t="str">
        <f t="shared" si="135"/>
        <v/>
      </c>
      <c r="U489" s="3">
        <f t="shared" si="119"/>
        <v>0</v>
      </c>
      <c r="V489" s="3">
        <f t="shared" si="120"/>
        <v>0</v>
      </c>
      <c r="W489" s="3">
        <f t="shared" si="121"/>
        <v>0</v>
      </c>
      <c r="X489" s="3">
        <f t="shared" si="122"/>
        <v>0</v>
      </c>
      <c r="Y489" s="3">
        <f>0</f>
        <v>0</v>
      </c>
      <c r="Z489" s="3">
        <f t="shared" si="123"/>
        <v>0</v>
      </c>
      <c r="AA489">
        <f>ROUND(IF(FALSE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,0)</f>
        <v>0</v>
      </c>
    </row>
    <row r="490" spans="1:27">
      <c r="A490" s="30">
        <f>485</f>
        <v>485</v>
      </c>
      <c r="B490" s="31">
        <f>EDATE(入力!$B$6,A490-1)</f>
        <v>60967</v>
      </c>
      <c r="C490" s="32">
        <f t="shared" si="124"/>
        <v>0</v>
      </c>
      <c r="D490" s="32">
        <f t="shared" si="125"/>
        <v>0</v>
      </c>
      <c r="E490" s="33">
        <f>IF(AND(T489="",A490&lt;=S489),IF(A490&lt;入力!$B$11,入力!$B$10,入力!$B$12),0)</f>
        <v>0</v>
      </c>
      <c r="F490" s="32">
        <f t="shared" si="126"/>
        <v>0</v>
      </c>
      <c r="G490" s="32">
        <f>ROUND(IF(NOT(AND(T489="",A490&lt;=S489)),0,IF(FALSE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),0)</f>
        <v>0</v>
      </c>
      <c r="H490" s="32">
        <f t="shared" si="127"/>
        <v>0</v>
      </c>
      <c r="I490" s="32">
        <f t="shared" si="128"/>
        <v>0</v>
      </c>
      <c r="J490" s="32">
        <f t="shared" si="129"/>
        <v>0</v>
      </c>
      <c r="K490" s="32">
        <f t="shared" si="130"/>
        <v>0</v>
      </c>
      <c r="L490" s="32">
        <f t="shared" si="131"/>
        <v>0</v>
      </c>
      <c r="M490" s="32">
        <f>0</f>
        <v>0</v>
      </c>
      <c r="N490" s="32">
        <f t="shared" si="132"/>
        <v>0</v>
      </c>
      <c r="O490" s="32">
        <f t="shared" si="133"/>
        <v>14115936</v>
      </c>
      <c r="P490" s="34" t="str">
        <f>IF(NOT(AND(T489="",A490&lt;=S489)),"",IF(FALSE,"繰上返済後再計算","")&amp;IF(AND(入力!$B$13="有効",A490&gt;1,MOD(A490-1,60)=0),IF(FALSE,"・","")&amp;"5年見直し","")&amp;IF(AND(A490=入力!$B$11,A490&gt;1),IF(OR(FALSE,AND(入力!$B$13="有効",A490&gt;1,MOD(A490-1,60)=0)),"・","")&amp;"金利変更","")&amp;IF(AND(OR(AND(入力!$B$13="有効",A490&gt;1,MOD(A490-1,60)=0),AND(A490=入力!$B$11,A490&gt;1)),入力!$B$14="有効",IF(E490=0,ROUND(C490/MAX(1,S489-A490+1),0),ROUND(-PMT(E490/12,MAX(1,S489-A490+1),C490),0))&gt;ROUND(G489*1.25,0),NOT(FALSE)),"・上限適用",""))</f>
        <v/>
      </c>
      <c r="Q490" s="35" t="str">
        <f>IF(AND(T489="",A490&lt;=S489),入力!$B$13,"")</f>
        <v/>
      </c>
      <c r="R490" s="32" t="str">
        <f>IF(AND(AND(T489="",A490&lt;=S489),OR(AND(入力!$B$13="有効",A490&gt;1,MOD(A490-1,60)=0),AND(A490=入力!$B$11,A490&gt;1)),入力!$B$14="有効"),ROUND(G489*1.25,0),"")</f>
        <v/>
      </c>
      <c r="S490" s="36">
        <f t="shared" si="134"/>
        <v>420</v>
      </c>
      <c r="T490" s="35" t="str">
        <f t="shared" si="135"/>
        <v/>
      </c>
      <c r="U490" s="3">
        <f t="shared" si="119"/>
        <v>0</v>
      </c>
      <c r="V490" s="3">
        <f t="shared" si="120"/>
        <v>0</v>
      </c>
      <c r="W490" s="3">
        <f t="shared" si="121"/>
        <v>0</v>
      </c>
      <c r="X490" s="3">
        <f t="shared" si="122"/>
        <v>0</v>
      </c>
      <c r="Y490" s="3">
        <f>0</f>
        <v>0</v>
      </c>
      <c r="Z490" s="3">
        <f t="shared" si="123"/>
        <v>0</v>
      </c>
      <c r="AA490">
        <f>ROUND(IF(FALSE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,0)</f>
        <v>0</v>
      </c>
    </row>
    <row r="491" spans="1:27">
      <c r="A491" s="30">
        <f>486</f>
        <v>486</v>
      </c>
      <c r="B491" s="31">
        <f>EDATE(入力!$B$6,A491-1)</f>
        <v>60998</v>
      </c>
      <c r="C491" s="32">
        <f t="shared" si="124"/>
        <v>0</v>
      </c>
      <c r="D491" s="32">
        <f t="shared" si="125"/>
        <v>0</v>
      </c>
      <c r="E491" s="33">
        <f>IF(AND(T490="",A491&lt;=S490),IF(A491&lt;入力!$B$11,入力!$B$10,入力!$B$12),0)</f>
        <v>0</v>
      </c>
      <c r="F491" s="32">
        <f t="shared" si="126"/>
        <v>0</v>
      </c>
      <c r="G491" s="32">
        <f>ROUND(IF(NOT(AND(T490="",A491&lt;=S490)),0,IF(FALSE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),0)</f>
        <v>0</v>
      </c>
      <c r="H491" s="32">
        <f t="shared" si="127"/>
        <v>0</v>
      </c>
      <c r="I491" s="32">
        <f t="shared" si="128"/>
        <v>0</v>
      </c>
      <c r="J491" s="32">
        <f t="shared" si="129"/>
        <v>0</v>
      </c>
      <c r="K491" s="32">
        <f t="shared" si="130"/>
        <v>0</v>
      </c>
      <c r="L491" s="32">
        <f t="shared" si="131"/>
        <v>0</v>
      </c>
      <c r="M491" s="32">
        <f>0</f>
        <v>0</v>
      </c>
      <c r="N491" s="32">
        <f t="shared" si="132"/>
        <v>0</v>
      </c>
      <c r="O491" s="32">
        <f t="shared" si="133"/>
        <v>14115936</v>
      </c>
      <c r="P491" s="34" t="str">
        <f>IF(NOT(AND(T490="",A491&lt;=S490)),"",IF(FALSE,"繰上返済後再計算","")&amp;IF(AND(入力!$B$13="有効",A491&gt;1,MOD(A491-1,60)=0),IF(FALSE,"・","")&amp;"5年見直し","")&amp;IF(AND(A491=入力!$B$11,A491&gt;1),IF(OR(FALSE,AND(入力!$B$13="有効",A491&gt;1,MOD(A491-1,60)=0)),"・","")&amp;"金利変更","")&amp;IF(AND(OR(AND(入力!$B$13="有効",A491&gt;1,MOD(A491-1,60)=0),AND(A491=入力!$B$11,A491&gt;1)),入力!$B$14="有効",IF(E491=0,ROUND(C491/MAX(1,S490-A491+1),0),ROUND(-PMT(E491/12,MAX(1,S490-A491+1),C491),0))&gt;ROUND(G490*1.25,0),NOT(FALSE)),"・上限適用",""))</f>
        <v/>
      </c>
      <c r="Q491" s="35" t="str">
        <f>IF(AND(T490="",A491&lt;=S490),入力!$B$13,"")</f>
        <v/>
      </c>
      <c r="R491" s="32" t="str">
        <f>IF(AND(AND(T490="",A491&lt;=S490),OR(AND(入力!$B$13="有効",A491&gt;1,MOD(A491-1,60)=0),AND(A491=入力!$B$11,A491&gt;1)),入力!$B$14="有効"),ROUND(G490*1.25,0),"")</f>
        <v/>
      </c>
      <c r="S491" s="36">
        <f t="shared" si="134"/>
        <v>420</v>
      </c>
      <c r="T491" s="35" t="str">
        <f t="shared" si="135"/>
        <v/>
      </c>
      <c r="U491" s="3">
        <f t="shared" si="119"/>
        <v>0</v>
      </c>
      <c r="V491" s="3">
        <f t="shared" si="120"/>
        <v>0</v>
      </c>
      <c r="W491" s="3">
        <f t="shared" si="121"/>
        <v>0</v>
      </c>
      <c r="X491" s="3">
        <f t="shared" si="122"/>
        <v>0</v>
      </c>
      <c r="Y491" s="3">
        <f>0</f>
        <v>0</v>
      </c>
      <c r="Z491" s="3">
        <f t="shared" si="123"/>
        <v>0</v>
      </c>
      <c r="AA491">
        <f>ROUND(IF(FALSE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,0)</f>
        <v>0</v>
      </c>
    </row>
    <row r="492" spans="1:27">
      <c r="A492" s="30">
        <f>487</f>
        <v>487</v>
      </c>
      <c r="B492" s="31">
        <f>EDATE(入力!$B$6,A492-1)</f>
        <v>61029</v>
      </c>
      <c r="C492" s="32">
        <f t="shared" si="124"/>
        <v>0</v>
      </c>
      <c r="D492" s="32">
        <f t="shared" si="125"/>
        <v>0</v>
      </c>
      <c r="E492" s="33">
        <f>IF(AND(T491="",A492&lt;=S491),IF(A492&lt;入力!$B$11,入力!$B$10,入力!$B$12),0)</f>
        <v>0</v>
      </c>
      <c r="F492" s="32">
        <f t="shared" si="126"/>
        <v>0</v>
      </c>
      <c r="G492" s="32">
        <f>ROUND(IF(NOT(AND(T491="",A492&lt;=S491)),0,IF(FALSE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),0)</f>
        <v>0</v>
      </c>
      <c r="H492" s="32">
        <f t="shared" si="127"/>
        <v>0</v>
      </c>
      <c r="I492" s="32">
        <f t="shared" si="128"/>
        <v>0</v>
      </c>
      <c r="J492" s="32">
        <f t="shared" si="129"/>
        <v>0</v>
      </c>
      <c r="K492" s="32">
        <f t="shared" si="130"/>
        <v>0</v>
      </c>
      <c r="L492" s="32">
        <f t="shared" si="131"/>
        <v>0</v>
      </c>
      <c r="M492" s="32">
        <f>0</f>
        <v>0</v>
      </c>
      <c r="N492" s="32">
        <f t="shared" si="132"/>
        <v>0</v>
      </c>
      <c r="O492" s="32">
        <f t="shared" si="133"/>
        <v>14115936</v>
      </c>
      <c r="P492" s="34" t="str">
        <f>IF(NOT(AND(T491="",A492&lt;=S491)),"",IF(FALSE,"繰上返済後再計算","")&amp;IF(AND(入力!$B$13="有効",A492&gt;1,MOD(A492-1,60)=0),IF(FALSE,"・","")&amp;"5年見直し","")&amp;IF(AND(A492=入力!$B$11,A492&gt;1),IF(OR(FALSE,AND(入力!$B$13="有効",A492&gt;1,MOD(A492-1,60)=0)),"・","")&amp;"金利変更","")&amp;IF(AND(OR(AND(入力!$B$13="有効",A492&gt;1,MOD(A492-1,60)=0),AND(A492=入力!$B$11,A492&gt;1)),入力!$B$14="有効",IF(E492=0,ROUND(C492/MAX(1,S491-A492+1),0),ROUND(-PMT(E492/12,MAX(1,S491-A492+1),C492),0))&gt;ROUND(G491*1.25,0),NOT(FALSE)),"・上限適用",""))</f>
        <v/>
      </c>
      <c r="Q492" s="35" t="str">
        <f>IF(AND(T491="",A492&lt;=S491),入力!$B$13,"")</f>
        <v/>
      </c>
      <c r="R492" s="32" t="str">
        <f>IF(AND(AND(T491="",A492&lt;=S491),OR(AND(入力!$B$13="有効",A492&gt;1,MOD(A492-1,60)=0),AND(A492=入力!$B$11,A492&gt;1)),入力!$B$14="有効"),ROUND(G491*1.25,0),"")</f>
        <v/>
      </c>
      <c r="S492" s="36">
        <f t="shared" si="134"/>
        <v>420</v>
      </c>
      <c r="T492" s="35" t="str">
        <f t="shared" si="135"/>
        <v/>
      </c>
      <c r="U492" s="3">
        <f t="shared" si="119"/>
        <v>0</v>
      </c>
      <c r="V492" s="3">
        <f t="shared" si="120"/>
        <v>0</v>
      </c>
      <c r="W492" s="3">
        <f t="shared" si="121"/>
        <v>0</v>
      </c>
      <c r="X492" s="3">
        <f t="shared" si="122"/>
        <v>0</v>
      </c>
      <c r="Y492" s="3">
        <f>0</f>
        <v>0</v>
      </c>
      <c r="Z492" s="3">
        <f t="shared" si="123"/>
        <v>0</v>
      </c>
      <c r="AA492">
        <f>ROUND(IF(FALSE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,0)</f>
        <v>0</v>
      </c>
    </row>
    <row r="493" spans="1:27">
      <c r="A493" s="30">
        <f>488</f>
        <v>488</v>
      </c>
      <c r="B493" s="31">
        <f>EDATE(入力!$B$6,A493-1)</f>
        <v>61057</v>
      </c>
      <c r="C493" s="32">
        <f t="shared" si="124"/>
        <v>0</v>
      </c>
      <c r="D493" s="32">
        <f t="shared" si="125"/>
        <v>0</v>
      </c>
      <c r="E493" s="33">
        <f>IF(AND(T492="",A493&lt;=S492),IF(A493&lt;入力!$B$11,入力!$B$10,入力!$B$12),0)</f>
        <v>0</v>
      </c>
      <c r="F493" s="32">
        <f t="shared" si="126"/>
        <v>0</v>
      </c>
      <c r="G493" s="32">
        <f>ROUND(IF(NOT(AND(T492="",A493&lt;=S492)),0,IF(FALSE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),0)</f>
        <v>0</v>
      </c>
      <c r="H493" s="32">
        <f t="shared" si="127"/>
        <v>0</v>
      </c>
      <c r="I493" s="32">
        <f t="shared" si="128"/>
        <v>0</v>
      </c>
      <c r="J493" s="32">
        <f t="shared" si="129"/>
        <v>0</v>
      </c>
      <c r="K493" s="32">
        <f t="shared" si="130"/>
        <v>0</v>
      </c>
      <c r="L493" s="32">
        <f t="shared" si="131"/>
        <v>0</v>
      </c>
      <c r="M493" s="32">
        <f>0</f>
        <v>0</v>
      </c>
      <c r="N493" s="32">
        <f t="shared" si="132"/>
        <v>0</v>
      </c>
      <c r="O493" s="32">
        <f t="shared" si="133"/>
        <v>14115936</v>
      </c>
      <c r="P493" s="34" t="str">
        <f>IF(NOT(AND(T492="",A493&lt;=S492)),"",IF(FALSE,"繰上返済後再計算","")&amp;IF(AND(入力!$B$13="有効",A493&gt;1,MOD(A493-1,60)=0),IF(FALSE,"・","")&amp;"5年見直し","")&amp;IF(AND(A493=入力!$B$11,A493&gt;1),IF(OR(FALSE,AND(入力!$B$13="有効",A493&gt;1,MOD(A493-1,60)=0)),"・","")&amp;"金利変更","")&amp;IF(AND(OR(AND(入力!$B$13="有効",A493&gt;1,MOD(A493-1,60)=0),AND(A493=入力!$B$11,A493&gt;1)),入力!$B$14="有効",IF(E493=0,ROUND(C493/MAX(1,S492-A493+1),0),ROUND(-PMT(E493/12,MAX(1,S492-A493+1),C493),0))&gt;ROUND(G492*1.25,0),NOT(FALSE)),"・上限適用",""))</f>
        <v/>
      </c>
      <c r="Q493" s="35" t="str">
        <f>IF(AND(T492="",A493&lt;=S492),入力!$B$13,"")</f>
        <v/>
      </c>
      <c r="R493" s="32" t="str">
        <f>IF(AND(AND(T492="",A493&lt;=S492),OR(AND(入力!$B$13="有効",A493&gt;1,MOD(A493-1,60)=0),AND(A493=入力!$B$11,A493&gt;1)),入力!$B$14="有効"),ROUND(G492*1.25,0),"")</f>
        <v/>
      </c>
      <c r="S493" s="36">
        <f t="shared" si="134"/>
        <v>420</v>
      </c>
      <c r="T493" s="35" t="str">
        <f t="shared" si="135"/>
        <v/>
      </c>
      <c r="U493" s="3">
        <f t="shared" si="119"/>
        <v>0</v>
      </c>
      <c r="V493" s="3">
        <f t="shared" si="120"/>
        <v>0</v>
      </c>
      <c r="W493" s="3">
        <f t="shared" si="121"/>
        <v>0</v>
      </c>
      <c r="X493" s="3">
        <f t="shared" si="122"/>
        <v>0</v>
      </c>
      <c r="Y493" s="3">
        <f>0</f>
        <v>0</v>
      </c>
      <c r="Z493" s="3">
        <f t="shared" si="123"/>
        <v>0</v>
      </c>
      <c r="AA493">
        <f>ROUND(IF(FALSE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,0)</f>
        <v>0</v>
      </c>
    </row>
    <row r="494" spans="1:27">
      <c r="A494" s="30">
        <f>489</f>
        <v>489</v>
      </c>
      <c r="B494" s="31">
        <f>EDATE(入力!$B$6,A494-1)</f>
        <v>61088</v>
      </c>
      <c r="C494" s="32">
        <f t="shared" si="124"/>
        <v>0</v>
      </c>
      <c r="D494" s="32">
        <f t="shared" si="125"/>
        <v>0</v>
      </c>
      <c r="E494" s="33">
        <f>IF(AND(T493="",A494&lt;=S493),IF(A494&lt;入力!$B$11,入力!$B$10,入力!$B$12),0)</f>
        <v>0</v>
      </c>
      <c r="F494" s="32">
        <f t="shared" si="126"/>
        <v>0</v>
      </c>
      <c r="G494" s="32">
        <f>ROUND(IF(NOT(AND(T493="",A494&lt;=S493)),0,IF(FALSE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),0)</f>
        <v>0</v>
      </c>
      <c r="H494" s="32">
        <f t="shared" si="127"/>
        <v>0</v>
      </c>
      <c r="I494" s="32">
        <f t="shared" si="128"/>
        <v>0</v>
      </c>
      <c r="J494" s="32">
        <f t="shared" si="129"/>
        <v>0</v>
      </c>
      <c r="K494" s="32">
        <f t="shared" si="130"/>
        <v>0</v>
      </c>
      <c r="L494" s="32">
        <f t="shared" si="131"/>
        <v>0</v>
      </c>
      <c r="M494" s="32">
        <f>0</f>
        <v>0</v>
      </c>
      <c r="N494" s="32">
        <f t="shared" si="132"/>
        <v>0</v>
      </c>
      <c r="O494" s="32">
        <f t="shared" si="133"/>
        <v>14115936</v>
      </c>
      <c r="P494" s="34" t="str">
        <f>IF(NOT(AND(T493="",A494&lt;=S493)),"",IF(FALSE,"繰上返済後再計算","")&amp;IF(AND(入力!$B$13="有効",A494&gt;1,MOD(A494-1,60)=0),IF(FALSE,"・","")&amp;"5年見直し","")&amp;IF(AND(A494=入力!$B$11,A494&gt;1),IF(OR(FALSE,AND(入力!$B$13="有効",A494&gt;1,MOD(A494-1,60)=0)),"・","")&amp;"金利変更","")&amp;IF(AND(OR(AND(入力!$B$13="有効",A494&gt;1,MOD(A494-1,60)=0),AND(A494=入力!$B$11,A494&gt;1)),入力!$B$14="有効",IF(E494=0,ROUND(C494/MAX(1,S493-A494+1),0),ROUND(-PMT(E494/12,MAX(1,S493-A494+1),C494),0))&gt;ROUND(G493*1.25,0),NOT(FALSE)),"・上限適用",""))</f>
        <v/>
      </c>
      <c r="Q494" s="35" t="str">
        <f>IF(AND(T493="",A494&lt;=S493),入力!$B$13,"")</f>
        <v/>
      </c>
      <c r="R494" s="32" t="str">
        <f>IF(AND(AND(T493="",A494&lt;=S493),OR(AND(入力!$B$13="有効",A494&gt;1,MOD(A494-1,60)=0),AND(A494=入力!$B$11,A494&gt;1)),入力!$B$14="有効"),ROUND(G493*1.25,0),"")</f>
        <v/>
      </c>
      <c r="S494" s="36">
        <f t="shared" si="134"/>
        <v>420</v>
      </c>
      <c r="T494" s="35" t="str">
        <f t="shared" si="135"/>
        <v/>
      </c>
      <c r="U494" s="3">
        <f t="shared" si="119"/>
        <v>0</v>
      </c>
      <c r="V494" s="3">
        <f t="shared" si="120"/>
        <v>0</v>
      </c>
      <c r="W494" s="3">
        <f t="shared" si="121"/>
        <v>0</v>
      </c>
      <c r="X494" s="3">
        <f t="shared" si="122"/>
        <v>0</v>
      </c>
      <c r="Y494" s="3">
        <f>0</f>
        <v>0</v>
      </c>
      <c r="Z494" s="3">
        <f t="shared" si="123"/>
        <v>0</v>
      </c>
      <c r="AA494">
        <f>ROUND(IF(FALSE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,0)</f>
        <v>0</v>
      </c>
    </row>
    <row r="495" spans="1:27">
      <c r="A495" s="30">
        <f>490</f>
        <v>490</v>
      </c>
      <c r="B495" s="31">
        <f>EDATE(入力!$B$6,A495-1)</f>
        <v>61118</v>
      </c>
      <c r="C495" s="32">
        <f t="shared" si="124"/>
        <v>0</v>
      </c>
      <c r="D495" s="32">
        <f t="shared" si="125"/>
        <v>0</v>
      </c>
      <c r="E495" s="33">
        <f>IF(AND(T494="",A495&lt;=S494),IF(A495&lt;入力!$B$11,入力!$B$10,入力!$B$12),0)</f>
        <v>0</v>
      </c>
      <c r="F495" s="32">
        <f t="shared" si="126"/>
        <v>0</v>
      </c>
      <c r="G495" s="32">
        <f>ROUND(IF(NOT(AND(T494="",A495&lt;=S494)),0,IF(FALSE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),0)</f>
        <v>0</v>
      </c>
      <c r="H495" s="32">
        <f t="shared" si="127"/>
        <v>0</v>
      </c>
      <c r="I495" s="32">
        <f t="shared" si="128"/>
        <v>0</v>
      </c>
      <c r="J495" s="32">
        <f t="shared" si="129"/>
        <v>0</v>
      </c>
      <c r="K495" s="32">
        <f t="shared" si="130"/>
        <v>0</v>
      </c>
      <c r="L495" s="32">
        <f t="shared" si="131"/>
        <v>0</v>
      </c>
      <c r="M495" s="32">
        <f>0</f>
        <v>0</v>
      </c>
      <c r="N495" s="32">
        <f t="shared" si="132"/>
        <v>0</v>
      </c>
      <c r="O495" s="32">
        <f t="shared" si="133"/>
        <v>14115936</v>
      </c>
      <c r="P495" s="34" t="str">
        <f>IF(NOT(AND(T494="",A495&lt;=S494)),"",IF(FALSE,"繰上返済後再計算","")&amp;IF(AND(入力!$B$13="有効",A495&gt;1,MOD(A495-1,60)=0),IF(FALSE,"・","")&amp;"5年見直し","")&amp;IF(AND(A495=入力!$B$11,A495&gt;1),IF(OR(FALSE,AND(入力!$B$13="有効",A495&gt;1,MOD(A495-1,60)=0)),"・","")&amp;"金利変更","")&amp;IF(AND(OR(AND(入力!$B$13="有効",A495&gt;1,MOD(A495-1,60)=0),AND(A495=入力!$B$11,A495&gt;1)),入力!$B$14="有効",IF(E495=0,ROUND(C495/MAX(1,S494-A495+1),0),ROUND(-PMT(E495/12,MAX(1,S494-A495+1),C495),0))&gt;ROUND(G494*1.25,0),NOT(FALSE)),"・上限適用",""))</f>
        <v/>
      </c>
      <c r="Q495" s="35" t="str">
        <f>IF(AND(T494="",A495&lt;=S494),入力!$B$13,"")</f>
        <v/>
      </c>
      <c r="R495" s="32" t="str">
        <f>IF(AND(AND(T494="",A495&lt;=S494),OR(AND(入力!$B$13="有効",A495&gt;1,MOD(A495-1,60)=0),AND(A495=入力!$B$11,A495&gt;1)),入力!$B$14="有効"),ROUND(G494*1.25,0),"")</f>
        <v/>
      </c>
      <c r="S495" s="36">
        <f t="shared" si="134"/>
        <v>420</v>
      </c>
      <c r="T495" s="35" t="str">
        <f t="shared" si="135"/>
        <v/>
      </c>
      <c r="U495" s="3">
        <f t="shared" si="119"/>
        <v>0</v>
      </c>
      <c r="V495" s="3">
        <f t="shared" si="120"/>
        <v>0</v>
      </c>
      <c r="W495" s="3">
        <f t="shared" si="121"/>
        <v>0</v>
      </c>
      <c r="X495" s="3">
        <f t="shared" si="122"/>
        <v>0</v>
      </c>
      <c r="Y495" s="3">
        <f>0</f>
        <v>0</v>
      </c>
      <c r="Z495" s="3">
        <f t="shared" si="123"/>
        <v>0</v>
      </c>
      <c r="AA495">
        <f>ROUND(IF(FALSE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,0)</f>
        <v>0</v>
      </c>
    </row>
    <row r="496" spans="1:27">
      <c r="A496" s="30">
        <f>491</f>
        <v>491</v>
      </c>
      <c r="B496" s="31">
        <f>EDATE(入力!$B$6,A496-1)</f>
        <v>61149</v>
      </c>
      <c r="C496" s="32">
        <f t="shared" si="124"/>
        <v>0</v>
      </c>
      <c r="D496" s="32">
        <f t="shared" si="125"/>
        <v>0</v>
      </c>
      <c r="E496" s="33">
        <f>IF(AND(T495="",A496&lt;=S495),IF(A496&lt;入力!$B$11,入力!$B$10,入力!$B$12),0)</f>
        <v>0</v>
      </c>
      <c r="F496" s="32">
        <f t="shared" si="126"/>
        <v>0</v>
      </c>
      <c r="G496" s="32">
        <f>ROUND(IF(NOT(AND(T495="",A496&lt;=S495)),0,IF(FALSE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),0)</f>
        <v>0</v>
      </c>
      <c r="H496" s="32">
        <f t="shared" si="127"/>
        <v>0</v>
      </c>
      <c r="I496" s="32">
        <f t="shared" si="128"/>
        <v>0</v>
      </c>
      <c r="J496" s="32">
        <f t="shared" si="129"/>
        <v>0</v>
      </c>
      <c r="K496" s="32">
        <f t="shared" si="130"/>
        <v>0</v>
      </c>
      <c r="L496" s="32">
        <f t="shared" si="131"/>
        <v>0</v>
      </c>
      <c r="M496" s="32">
        <f>0</f>
        <v>0</v>
      </c>
      <c r="N496" s="32">
        <f t="shared" si="132"/>
        <v>0</v>
      </c>
      <c r="O496" s="32">
        <f t="shared" si="133"/>
        <v>14115936</v>
      </c>
      <c r="P496" s="34" t="str">
        <f>IF(NOT(AND(T495="",A496&lt;=S495)),"",IF(FALSE,"繰上返済後再計算","")&amp;IF(AND(入力!$B$13="有効",A496&gt;1,MOD(A496-1,60)=0),IF(FALSE,"・","")&amp;"5年見直し","")&amp;IF(AND(A496=入力!$B$11,A496&gt;1),IF(OR(FALSE,AND(入力!$B$13="有効",A496&gt;1,MOD(A496-1,60)=0)),"・","")&amp;"金利変更","")&amp;IF(AND(OR(AND(入力!$B$13="有効",A496&gt;1,MOD(A496-1,60)=0),AND(A496=入力!$B$11,A496&gt;1)),入力!$B$14="有効",IF(E496=0,ROUND(C496/MAX(1,S495-A496+1),0),ROUND(-PMT(E496/12,MAX(1,S495-A496+1),C496),0))&gt;ROUND(G495*1.25,0),NOT(FALSE)),"・上限適用",""))</f>
        <v/>
      </c>
      <c r="Q496" s="35" t="str">
        <f>IF(AND(T495="",A496&lt;=S495),入力!$B$13,"")</f>
        <v/>
      </c>
      <c r="R496" s="32" t="str">
        <f>IF(AND(AND(T495="",A496&lt;=S495),OR(AND(入力!$B$13="有効",A496&gt;1,MOD(A496-1,60)=0),AND(A496=入力!$B$11,A496&gt;1)),入力!$B$14="有効"),ROUND(G495*1.25,0),"")</f>
        <v/>
      </c>
      <c r="S496" s="36">
        <f t="shared" si="134"/>
        <v>420</v>
      </c>
      <c r="T496" s="35" t="str">
        <f t="shared" si="135"/>
        <v/>
      </c>
      <c r="U496" s="3">
        <f t="shared" si="119"/>
        <v>0</v>
      </c>
      <c r="V496" s="3">
        <f t="shared" si="120"/>
        <v>0</v>
      </c>
      <c r="W496" s="3">
        <f t="shared" si="121"/>
        <v>0</v>
      </c>
      <c r="X496" s="3">
        <f t="shared" si="122"/>
        <v>0</v>
      </c>
      <c r="Y496" s="3">
        <f>0</f>
        <v>0</v>
      </c>
      <c r="Z496" s="3">
        <f t="shared" si="123"/>
        <v>0</v>
      </c>
      <c r="AA496">
        <f>ROUND(IF(FALSE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,0)</f>
        <v>0</v>
      </c>
    </row>
    <row r="497" spans="1:27">
      <c r="A497" s="30">
        <f>492</f>
        <v>492</v>
      </c>
      <c r="B497" s="31">
        <f>EDATE(入力!$B$6,A497-1)</f>
        <v>61179</v>
      </c>
      <c r="C497" s="32">
        <f t="shared" si="124"/>
        <v>0</v>
      </c>
      <c r="D497" s="32">
        <f t="shared" si="125"/>
        <v>0</v>
      </c>
      <c r="E497" s="33">
        <f>IF(AND(T496="",A497&lt;=S496),IF(A497&lt;入力!$B$11,入力!$B$10,入力!$B$12),0)</f>
        <v>0</v>
      </c>
      <c r="F497" s="32">
        <f t="shared" si="126"/>
        <v>0</v>
      </c>
      <c r="G497" s="32">
        <f>ROUND(IF(NOT(AND(T496="",A497&lt;=S496)),0,IF(FALSE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),0)</f>
        <v>0</v>
      </c>
      <c r="H497" s="32">
        <f t="shared" si="127"/>
        <v>0</v>
      </c>
      <c r="I497" s="32">
        <f t="shared" si="128"/>
        <v>0</v>
      </c>
      <c r="J497" s="32">
        <f t="shared" si="129"/>
        <v>0</v>
      </c>
      <c r="K497" s="32">
        <f t="shared" si="130"/>
        <v>0</v>
      </c>
      <c r="L497" s="32">
        <f t="shared" si="131"/>
        <v>0</v>
      </c>
      <c r="M497" s="32">
        <f>0</f>
        <v>0</v>
      </c>
      <c r="N497" s="32">
        <f t="shared" si="132"/>
        <v>0</v>
      </c>
      <c r="O497" s="32">
        <f t="shared" si="133"/>
        <v>14115936</v>
      </c>
      <c r="P497" s="34" t="str">
        <f>IF(NOT(AND(T496="",A497&lt;=S496)),"",IF(FALSE,"繰上返済後再計算","")&amp;IF(AND(入力!$B$13="有効",A497&gt;1,MOD(A497-1,60)=0),IF(FALSE,"・","")&amp;"5年見直し","")&amp;IF(AND(A497=入力!$B$11,A497&gt;1),IF(OR(FALSE,AND(入力!$B$13="有効",A497&gt;1,MOD(A497-1,60)=0)),"・","")&amp;"金利変更","")&amp;IF(AND(OR(AND(入力!$B$13="有効",A497&gt;1,MOD(A497-1,60)=0),AND(A497=入力!$B$11,A497&gt;1)),入力!$B$14="有効",IF(E497=0,ROUND(C497/MAX(1,S496-A497+1),0),ROUND(-PMT(E497/12,MAX(1,S496-A497+1),C497),0))&gt;ROUND(G496*1.25,0),NOT(FALSE)),"・上限適用",""))</f>
        <v/>
      </c>
      <c r="Q497" s="35" t="str">
        <f>IF(AND(T496="",A497&lt;=S496),入力!$B$13,"")</f>
        <v/>
      </c>
      <c r="R497" s="32" t="str">
        <f>IF(AND(AND(T496="",A497&lt;=S496),OR(AND(入力!$B$13="有効",A497&gt;1,MOD(A497-1,60)=0),AND(A497=入力!$B$11,A497&gt;1)),入力!$B$14="有効"),ROUND(G496*1.25,0),"")</f>
        <v/>
      </c>
      <c r="S497" s="36">
        <f t="shared" si="134"/>
        <v>420</v>
      </c>
      <c r="T497" s="35" t="str">
        <f t="shared" si="135"/>
        <v/>
      </c>
      <c r="U497" s="3">
        <f t="shared" si="119"/>
        <v>0</v>
      </c>
      <c r="V497" s="3">
        <f t="shared" si="120"/>
        <v>0</v>
      </c>
      <c r="W497" s="3">
        <f t="shared" si="121"/>
        <v>0</v>
      </c>
      <c r="X497" s="3">
        <f t="shared" si="122"/>
        <v>0</v>
      </c>
      <c r="Y497" s="3">
        <f>0</f>
        <v>0</v>
      </c>
      <c r="Z497" s="3">
        <f t="shared" si="123"/>
        <v>0</v>
      </c>
      <c r="AA497">
        <f>ROUND(IF(FALSE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,0)</f>
        <v>0</v>
      </c>
    </row>
    <row r="498" spans="1:27">
      <c r="A498" s="30">
        <f>493</f>
        <v>493</v>
      </c>
      <c r="B498" s="31">
        <f>EDATE(入力!$B$6,A498-1)</f>
        <v>61210</v>
      </c>
      <c r="C498" s="32">
        <f t="shared" si="124"/>
        <v>0</v>
      </c>
      <c r="D498" s="32">
        <f t="shared" si="125"/>
        <v>0</v>
      </c>
      <c r="E498" s="33">
        <f>IF(AND(T497="",A498&lt;=S497),IF(A498&lt;入力!$B$11,入力!$B$10,入力!$B$12),0)</f>
        <v>0</v>
      </c>
      <c r="F498" s="32">
        <f t="shared" si="126"/>
        <v>0</v>
      </c>
      <c r="G498" s="32">
        <f>ROUND(IF(NOT(AND(T497="",A498&lt;=S497)),0,IF(FALSE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),0)</f>
        <v>0</v>
      </c>
      <c r="H498" s="32">
        <f t="shared" si="127"/>
        <v>0</v>
      </c>
      <c r="I498" s="32">
        <f t="shared" si="128"/>
        <v>0</v>
      </c>
      <c r="J498" s="32">
        <f t="shared" si="129"/>
        <v>0</v>
      </c>
      <c r="K498" s="32">
        <f t="shared" si="130"/>
        <v>0</v>
      </c>
      <c r="L498" s="32">
        <f t="shared" si="131"/>
        <v>0</v>
      </c>
      <c r="M498" s="32">
        <f>0</f>
        <v>0</v>
      </c>
      <c r="N498" s="32">
        <f t="shared" si="132"/>
        <v>0</v>
      </c>
      <c r="O498" s="32">
        <f t="shared" si="133"/>
        <v>14115936</v>
      </c>
      <c r="P498" s="34" t="str">
        <f>IF(NOT(AND(T497="",A498&lt;=S497)),"",IF(FALSE,"繰上返済後再計算","")&amp;IF(AND(入力!$B$13="有効",A498&gt;1,MOD(A498-1,60)=0),IF(FALSE,"・","")&amp;"5年見直し","")&amp;IF(AND(A498=入力!$B$11,A498&gt;1),IF(OR(FALSE,AND(入力!$B$13="有効",A498&gt;1,MOD(A498-1,60)=0)),"・","")&amp;"金利変更","")&amp;IF(AND(OR(AND(入力!$B$13="有効",A498&gt;1,MOD(A498-1,60)=0),AND(A498=入力!$B$11,A498&gt;1)),入力!$B$14="有効",IF(E498=0,ROUND(C498/MAX(1,S497-A498+1),0),ROUND(-PMT(E498/12,MAX(1,S497-A498+1),C498),0))&gt;ROUND(G497*1.25,0),NOT(FALSE)),"・上限適用",""))</f>
        <v/>
      </c>
      <c r="Q498" s="35" t="str">
        <f>IF(AND(T497="",A498&lt;=S497),入力!$B$13,"")</f>
        <v/>
      </c>
      <c r="R498" s="32" t="str">
        <f>IF(AND(AND(T497="",A498&lt;=S497),OR(AND(入力!$B$13="有効",A498&gt;1,MOD(A498-1,60)=0),AND(A498=入力!$B$11,A498&gt;1)),入力!$B$14="有効"),ROUND(G497*1.25,0),"")</f>
        <v/>
      </c>
      <c r="S498" s="36">
        <f t="shared" si="134"/>
        <v>420</v>
      </c>
      <c r="T498" s="35" t="str">
        <f t="shared" si="135"/>
        <v/>
      </c>
      <c r="U498" s="3">
        <f t="shared" si="119"/>
        <v>0</v>
      </c>
      <c r="V498" s="3">
        <f t="shared" si="120"/>
        <v>0</v>
      </c>
      <c r="W498" s="3">
        <f t="shared" si="121"/>
        <v>0</v>
      </c>
      <c r="X498" s="3">
        <f t="shared" si="122"/>
        <v>0</v>
      </c>
      <c r="Y498" s="3">
        <f>0</f>
        <v>0</v>
      </c>
      <c r="Z498" s="3">
        <f t="shared" si="123"/>
        <v>0</v>
      </c>
      <c r="AA498">
        <f>ROUND(IF(FALSE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,0)</f>
        <v>0</v>
      </c>
    </row>
    <row r="499" spans="1:27">
      <c r="A499" s="30">
        <f>494</f>
        <v>494</v>
      </c>
      <c r="B499" s="31">
        <f>EDATE(入力!$B$6,A499-1)</f>
        <v>61241</v>
      </c>
      <c r="C499" s="32">
        <f t="shared" si="124"/>
        <v>0</v>
      </c>
      <c r="D499" s="32">
        <f t="shared" si="125"/>
        <v>0</v>
      </c>
      <c r="E499" s="33">
        <f>IF(AND(T498="",A499&lt;=S498),IF(A499&lt;入力!$B$11,入力!$B$10,入力!$B$12),0)</f>
        <v>0</v>
      </c>
      <c r="F499" s="32">
        <f t="shared" si="126"/>
        <v>0</v>
      </c>
      <c r="G499" s="32">
        <f>ROUND(IF(NOT(AND(T498="",A499&lt;=S498)),0,IF(FALSE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),0)</f>
        <v>0</v>
      </c>
      <c r="H499" s="32">
        <f t="shared" si="127"/>
        <v>0</v>
      </c>
      <c r="I499" s="32">
        <f t="shared" si="128"/>
        <v>0</v>
      </c>
      <c r="J499" s="32">
        <f t="shared" si="129"/>
        <v>0</v>
      </c>
      <c r="K499" s="32">
        <f t="shared" si="130"/>
        <v>0</v>
      </c>
      <c r="L499" s="32">
        <f t="shared" si="131"/>
        <v>0</v>
      </c>
      <c r="M499" s="32">
        <f>0</f>
        <v>0</v>
      </c>
      <c r="N499" s="32">
        <f t="shared" si="132"/>
        <v>0</v>
      </c>
      <c r="O499" s="32">
        <f t="shared" si="133"/>
        <v>14115936</v>
      </c>
      <c r="P499" s="34" t="str">
        <f>IF(NOT(AND(T498="",A499&lt;=S498)),"",IF(FALSE,"繰上返済後再計算","")&amp;IF(AND(入力!$B$13="有効",A499&gt;1,MOD(A499-1,60)=0),IF(FALSE,"・","")&amp;"5年見直し","")&amp;IF(AND(A499=入力!$B$11,A499&gt;1),IF(OR(FALSE,AND(入力!$B$13="有効",A499&gt;1,MOD(A499-1,60)=0)),"・","")&amp;"金利変更","")&amp;IF(AND(OR(AND(入力!$B$13="有効",A499&gt;1,MOD(A499-1,60)=0),AND(A499=入力!$B$11,A499&gt;1)),入力!$B$14="有効",IF(E499=0,ROUND(C499/MAX(1,S498-A499+1),0),ROUND(-PMT(E499/12,MAX(1,S498-A499+1),C499),0))&gt;ROUND(G498*1.25,0),NOT(FALSE)),"・上限適用",""))</f>
        <v/>
      </c>
      <c r="Q499" s="35" t="str">
        <f>IF(AND(T498="",A499&lt;=S498),入力!$B$13,"")</f>
        <v/>
      </c>
      <c r="R499" s="32" t="str">
        <f>IF(AND(AND(T498="",A499&lt;=S498),OR(AND(入力!$B$13="有効",A499&gt;1,MOD(A499-1,60)=0),AND(A499=入力!$B$11,A499&gt;1)),入力!$B$14="有効"),ROUND(G498*1.25,0),"")</f>
        <v/>
      </c>
      <c r="S499" s="36">
        <f t="shared" si="134"/>
        <v>420</v>
      </c>
      <c r="T499" s="35" t="str">
        <f t="shared" si="135"/>
        <v/>
      </c>
      <c r="U499" s="3">
        <f t="shared" si="119"/>
        <v>0</v>
      </c>
      <c r="V499" s="3">
        <f t="shared" si="120"/>
        <v>0</v>
      </c>
      <c r="W499" s="3">
        <f t="shared" si="121"/>
        <v>0</v>
      </c>
      <c r="X499" s="3">
        <f t="shared" si="122"/>
        <v>0</v>
      </c>
      <c r="Y499" s="3">
        <f>0</f>
        <v>0</v>
      </c>
      <c r="Z499" s="3">
        <f t="shared" si="123"/>
        <v>0</v>
      </c>
      <c r="AA499">
        <f>ROUND(IF(FALSE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,0)</f>
        <v>0</v>
      </c>
    </row>
    <row r="500" spans="1:27">
      <c r="A500" s="30">
        <f>495</f>
        <v>495</v>
      </c>
      <c r="B500" s="31">
        <f>EDATE(入力!$B$6,A500-1)</f>
        <v>61271</v>
      </c>
      <c r="C500" s="32">
        <f t="shared" si="124"/>
        <v>0</v>
      </c>
      <c r="D500" s="32">
        <f t="shared" si="125"/>
        <v>0</v>
      </c>
      <c r="E500" s="33">
        <f>IF(AND(T499="",A500&lt;=S499),IF(A500&lt;入力!$B$11,入力!$B$10,入力!$B$12),0)</f>
        <v>0</v>
      </c>
      <c r="F500" s="32">
        <f t="shared" si="126"/>
        <v>0</v>
      </c>
      <c r="G500" s="32">
        <f>ROUND(IF(NOT(AND(T499="",A500&lt;=S499)),0,IF(FALSE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),0)</f>
        <v>0</v>
      </c>
      <c r="H500" s="32">
        <f t="shared" si="127"/>
        <v>0</v>
      </c>
      <c r="I500" s="32">
        <f t="shared" si="128"/>
        <v>0</v>
      </c>
      <c r="J500" s="32">
        <f t="shared" si="129"/>
        <v>0</v>
      </c>
      <c r="K500" s="32">
        <f t="shared" si="130"/>
        <v>0</v>
      </c>
      <c r="L500" s="32">
        <f t="shared" si="131"/>
        <v>0</v>
      </c>
      <c r="M500" s="32">
        <f>0</f>
        <v>0</v>
      </c>
      <c r="N500" s="32">
        <f t="shared" si="132"/>
        <v>0</v>
      </c>
      <c r="O500" s="32">
        <f t="shared" si="133"/>
        <v>14115936</v>
      </c>
      <c r="P500" s="34" t="str">
        <f>IF(NOT(AND(T499="",A500&lt;=S499)),"",IF(FALSE,"繰上返済後再計算","")&amp;IF(AND(入力!$B$13="有効",A500&gt;1,MOD(A500-1,60)=0),IF(FALSE,"・","")&amp;"5年見直し","")&amp;IF(AND(A500=入力!$B$11,A500&gt;1),IF(OR(FALSE,AND(入力!$B$13="有効",A500&gt;1,MOD(A500-1,60)=0)),"・","")&amp;"金利変更","")&amp;IF(AND(OR(AND(入力!$B$13="有効",A500&gt;1,MOD(A500-1,60)=0),AND(A500=入力!$B$11,A500&gt;1)),入力!$B$14="有効",IF(E500=0,ROUND(C500/MAX(1,S499-A500+1),0),ROUND(-PMT(E500/12,MAX(1,S499-A500+1),C500),0))&gt;ROUND(G499*1.25,0),NOT(FALSE)),"・上限適用",""))</f>
        <v/>
      </c>
      <c r="Q500" s="35" t="str">
        <f>IF(AND(T499="",A500&lt;=S499),入力!$B$13,"")</f>
        <v/>
      </c>
      <c r="R500" s="32" t="str">
        <f>IF(AND(AND(T499="",A500&lt;=S499),OR(AND(入力!$B$13="有効",A500&gt;1,MOD(A500-1,60)=0),AND(A500=入力!$B$11,A500&gt;1)),入力!$B$14="有効"),ROUND(G499*1.25,0),"")</f>
        <v/>
      </c>
      <c r="S500" s="36">
        <f t="shared" si="134"/>
        <v>420</v>
      </c>
      <c r="T500" s="35" t="str">
        <f t="shared" si="135"/>
        <v/>
      </c>
      <c r="U500" s="3">
        <f t="shared" si="119"/>
        <v>0</v>
      </c>
      <c r="V500" s="3">
        <f t="shared" si="120"/>
        <v>0</v>
      </c>
      <c r="W500" s="3">
        <f t="shared" si="121"/>
        <v>0</v>
      </c>
      <c r="X500" s="3">
        <f t="shared" si="122"/>
        <v>0</v>
      </c>
      <c r="Y500" s="3">
        <f>0</f>
        <v>0</v>
      </c>
      <c r="Z500" s="3">
        <f t="shared" si="123"/>
        <v>0</v>
      </c>
      <c r="AA500">
        <f>ROUND(IF(FALSE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,0)</f>
        <v>0</v>
      </c>
    </row>
    <row r="501" spans="1:27">
      <c r="A501" s="30">
        <f>496</f>
        <v>496</v>
      </c>
      <c r="B501" s="31">
        <f>EDATE(入力!$B$6,A501-1)</f>
        <v>61302</v>
      </c>
      <c r="C501" s="32">
        <f t="shared" si="124"/>
        <v>0</v>
      </c>
      <c r="D501" s="32">
        <f t="shared" si="125"/>
        <v>0</v>
      </c>
      <c r="E501" s="33">
        <f>IF(AND(T500="",A501&lt;=S500),IF(A501&lt;入力!$B$11,入力!$B$10,入力!$B$12),0)</f>
        <v>0</v>
      </c>
      <c r="F501" s="32">
        <f t="shared" si="126"/>
        <v>0</v>
      </c>
      <c r="G501" s="32">
        <f>ROUND(IF(NOT(AND(T500="",A501&lt;=S500)),0,IF(FALSE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),0)</f>
        <v>0</v>
      </c>
      <c r="H501" s="32">
        <f t="shared" si="127"/>
        <v>0</v>
      </c>
      <c r="I501" s="32">
        <f t="shared" si="128"/>
        <v>0</v>
      </c>
      <c r="J501" s="32">
        <f t="shared" si="129"/>
        <v>0</v>
      </c>
      <c r="K501" s="32">
        <f t="shared" si="130"/>
        <v>0</v>
      </c>
      <c r="L501" s="32">
        <f t="shared" si="131"/>
        <v>0</v>
      </c>
      <c r="M501" s="32">
        <f>0</f>
        <v>0</v>
      </c>
      <c r="N501" s="32">
        <f t="shared" si="132"/>
        <v>0</v>
      </c>
      <c r="O501" s="32">
        <f t="shared" si="133"/>
        <v>14115936</v>
      </c>
      <c r="P501" s="34" t="str">
        <f>IF(NOT(AND(T500="",A501&lt;=S500)),"",IF(FALSE,"繰上返済後再計算","")&amp;IF(AND(入力!$B$13="有効",A501&gt;1,MOD(A501-1,60)=0),IF(FALSE,"・","")&amp;"5年見直し","")&amp;IF(AND(A501=入力!$B$11,A501&gt;1),IF(OR(FALSE,AND(入力!$B$13="有効",A501&gt;1,MOD(A501-1,60)=0)),"・","")&amp;"金利変更","")&amp;IF(AND(OR(AND(入力!$B$13="有効",A501&gt;1,MOD(A501-1,60)=0),AND(A501=入力!$B$11,A501&gt;1)),入力!$B$14="有効",IF(E501=0,ROUND(C501/MAX(1,S500-A501+1),0),ROUND(-PMT(E501/12,MAX(1,S500-A501+1),C501),0))&gt;ROUND(G500*1.25,0),NOT(FALSE)),"・上限適用",""))</f>
        <v/>
      </c>
      <c r="Q501" s="35" t="str">
        <f>IF(AND(T500="",A501&lt;=S500),入力!$B$13,"")</f>
        <v/>
      </c>
      <c r="R501" s="32" t="str">
        <f>IF(AND(AND(T500="",A501&lt;=S500),OR(AND(入力!$B$13="有効",A501&gt;1,MOD(A501-1,60)=0),AND(A501=入力!$B$11,A501&gt;1)),入力!$B$14="有効"),ROUND(G500*1.25,0),"")</f>
        <v/>
      </c>
      <c r="S501" s="36">
        <f t="shared" si="134"/>
        <v>420</v>
      </c>
      <c r="T501" s="35" t="str">
        <f t="shared" si="135"/>
        <v/>
      </c>
      <c r="U501" s="3">
        <f t="shared" si="119"/>
        <v>0</v>
      </c>
      <c r="V501" s="3">
        <f t="shared" si="120"/>
        <v>0</v>
      </c>
      <c r="W501" s="3">
        <f t="shared" si="121"/>
        <v>0</v>
      </c>
      <c r="X501" s="3">
        <f t="shared" si="122"/>
        <v>0</v>
      </c>
      <c r="Y501" s="3">
        <f>0</f>
        <v>0</v>
      </c>
      <c r="Z501" s="3">
        <f t="shared" si="123"/>
        <v>0</v>
      </c>
      <c r="AA501">
        <f>ROUND(IF(FALSE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,0)</f>
        <v>0</v>
      </c>
    </row>
    <row r="502" spans="1:27">
      <c r="A502" s="30">
        <f>497</f>
        <v>497</v>
      </c>
      <c r="B502" s="31">
        <f>EDATE(入力!$B$6,A502-1)</f>
        <v>61332</v>
      </c>
      <c r="C502" s="32">
        <f t="shared" si="124"/>
        <v>0</v>
      </c>
      <c r="D502" s="32">
        <f t="shared" si="125"/>
        <v>0</v>
      </c>
      <c r="E502" s="33">
        <f>IF(AND(T501="",A502&lt;=S501),IF(A502&lt;入力!$B$11,入力!$B$10,入力!$B$12),0)</f>
        <v>0</v>
      </c>
      <c r="F502" s="32">
        <f t="shared" si="126"/>
        <v>0</v>
      </c>
      <c r="G502" s="32">
        <f>ROUND(IF(NOT(AND(T501="",A502&lt;=S501)),0,IF(FALSE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),0)</f>
        <v>0</v>
      </c>
      <c r="H502" s="32">
        <f t="shared" si="127"/>
        <v>0</v>
      </c>
      <c r="I502" s="32">
        <f t="shared" si="128"/>
        <v>0</v>
      </c>
      <c r="J502" s="32">
        <f t="shared" si="129"/>
        <v>0</v>
      </c>
      <c r="K502" s="32">
        <f t="shared" si="130"/>
        <v>0</v>
      </c>
      <c r="L502" s="32">
        <f t="shared" si="131"/>
        <v>0</v>
      </c>
      <c r="M502" s="32">
        <f>0</f>
        <v>0</v>
      </c>
      <c r="N502" s="32">
        <f t="shared" si="132"/>
        <v>0</v>
      </c>
      <c r="O502" s="32">
        <f t="shared" si="133"/>
        <v>14115936</v>
      </c>
      <c r="P502" s="34" t="str">
        <f>IF(NOT(AND(T501="",A502&lt;=S501)),"",IF(FALSE,"繰上返済後再計算","")&amp;IF(AND(入力!$B$13="有効",A502&gt;1,MOD(A502-1,60)=0),IF(FALSE,"・","")&amp;"5年見直し","")&amp;IF(AND(A502=入力!$B$11,A502&gt;1),IF(OR(FALSE,AND(入力!$B$13="有効",A502&gt;1,MOD(A502-1,60)=0)),"・","")&amp;"金利変更","")&amp;IF(AND(OR(AND(入力!$B$13="有効",A502&gt;1,MOD(A502-1,60)=0),AND(A502=入力!$B$11,A502&gt;1)),入力!$B$14="有効",IF(E502=0,ROUND(C502/MAX(1,S501-A502+1),0),ROUND(-PMT(E502/12,MAX(1,S501-A502+1),C502),0))&gt;ROUND(G501*1.25,0),NOT(FALSE)),"・上限適用",""))</f>
        <v/>
      </c>
      <c r="Q502" s="35" t="str">
        <f>IF(AND(T501="",A502&lt;=S501),入力!$B$13,"")</f>
        <v/>
      </c>
      <c r="R502" s="32" t="str">
        <f>IF(AND(AND(T501="",A502&lt;=S501),OR(AND(入力!$B$13="有効",A502&gt;1,MOD(A502-1,60)=0),AND(A502=入力!$B$11,A502&gt;1)),入力!$B$14="有効"),ROUND(G501*1.25,0),"")</f>
        <v/>
      </c>
      <c r="S502" s="36">
        <f t="shared" si="134"/>
        <v>420</v>
      </c>
      <c r="T502" s="35" t="str">
        <f t="shared" si="135"/>
        <v/>
      </c>
      <c r="U502" s="3">
        <f t="shared" si="119"/>
        <v>0</v>
      </c>
      <c r="V502" s="3">
        <f t="shared" si="120"/>
        <v>0</v>
      </c>
      <c r="W502" s="3">
        <f t="shared" si="121"/>
        <v>0</v>
      </c>
      <c r="X502" s="3">
        <f t="shared" si="122"/>
        <v>0</v>
      </c>
      <c r="Y502" s="3">
        <f>0</f>
        <v>0</v>
      </c>
      <c r="Z502" s="3">
        <f t="shared" si="123"/>
        <v>0</v>
      </c>
      <c r="AA502">
        <f>ROUND(IF(FALSE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,0)</f>
        <v>0</v>
      </c>
    </row>
    <row r="503" spans="1:27">
      <c r="A503" s="30">
        <f>498</f>
        <v>498</v>
      </c>
      <c r="B503" s="31">
        <f>EDATE(入力!$B$6,A503-1)</f>
        <v>61363</v>
      </c>
      <c r="C503" s="32">
        <f t="shared" si="124"/>
        <v>0</v>
      </c>
      <c r="D503" s="32">
        <f t="shared" si="125"/>
        <v>0</v>
      </c>
      <c r="E503" s="33">
        <f>IF(AND(T502="",A503&lt;=S502),IF(A503&lt;入力!$B$11,入力!$B$10,入力!$B$12),0)</f>
        <v>0</v>
      </c>
      <c r="F503" s="32">
        <f t="shared" si="126"/>
        <v>0</v>
      </c>
      <c r="G503" s="32">
        <f>ROUND(IF(NOT(AND(T502="",A503&lt;=S502)),0,IF(FALSE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),0)</f>
        <v>0</v>
      </c>
      <c r="H503" s="32">
        <f t="shared" si="127"/>
        <v>0</v>
      </c>
      <c r="I503" s="32">
        <f t="shared" si="128"/>
        <v>0</v>
      </c>
      <c r="J503" s="32">
        <f t="shared" si="129"/>
        <v>0</v>
      </c>
      <c r="K503" s="32">
        <f t="shared" si="130"/>
        <v>0</v>
      </c>
      <c r="L503" s="32">
        <f t="shared" si="131"/>
        <v>0</v>
      </c>
      <c r="M503" s="32">
        <f>0</f>
        <v>0</v>
      </c>
      <c r="N503" s="32">
        <f t="shared" si="132"/>
        <v>0</v>
      </c>
      <c r="O503" s="32">
        <f t="shared" si="133"/>
        <v>14115936</v>
      </c>
      <c r="P503" s="34" t="str">
        <f>IF(NOT(AND(T502="",A503&lt;=S502)),"",IF(FALSE,"繰上返済後再計算","")&amp;IF(AND(入力!$B$13="有効",A503&gt;1,MOD(A503-1,60)=0),IF(FALSE,"・","")&amp;"5年見直し","")&amp;IF(AND(A503=入力!$B$11,A503&gt;1),IF(OR(FALSE,AND(入力!$B$13="有効",A503&gt;1,MOD(A503-1,60)=0)),"・","")&amp;"金利変更","")&amp;IF(AND(OR(AND(入力!$B$13="有効",A503&gt;1,MOD(A503-1,60)=0),AND(A503=入力!$B$11,A503&gt;1)),入力!$B$14="有効",IF(E503=0,ROUND(C503/MAX(1,S502-A503+1),0),ROUND(-PMT(E503/12,MAX(1,S502-A503+1),C503),0))&gt;ROUND(G502*1.25,0),NOT(FALSE)),"・上限適用",""))</f>
        <v/>
      </c>
      <c r="Q503" s="35" t="str">
        <f>IF(AND(T502="",A503&lt;=S502),入力!$B$13,"")</f>
        <v/>
      </c>
      <c r="R503" s="32" t="str">
        <f>IF(AND(AND(T502="",A503&lt;=S502),OR(AND(入力!$B$13="有効",A503&gt;1,MOD(A503-1,60)=0),AND(A503=入力!$B$11,A503&gt;1)),入力!$B$14="有効"),ROUND(G502*1.25,0),"")</f>
        <v/>
      </c>
      <c r="S503" s="36">
        <f t="shared" si="134"/>
        <v>420</v>
      </c>
      <c r="T503" s="35" t="str">
        <f t="shared" si="135"/>
        <v/>
      </c>
      <c r="U503" s="3">
        <f t="shared" si="119"/>
        <v>0</v>
      </c>
      <c r="V503" s="3">
        <f t="shared" si="120"/>
        <v>0</v>
      </c>
      <c r="W503" s="3">
        <f t="shared" si="121"/>
        <v>0</v>
      </c>
      <c r="X503" s="3">
        <f t="shared" si="122"/>
        <v>0</v>
      </c>
      <c r="Y503" s="3">
        <f>0</f>
        <v>0</v>
      </c>
      <c r="Z503" s="3">
        <f t="shared" si="123"/>
        <v>0</v>
      </c>
      <c r="AA503">
        <f>ROUND(IF(FALSE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,0)</f>
        <v>0</v>
      </c>
    </row>
    <row r="504" spans="1:27">
      <c r="A504" s="30">
        <f>499</f>
        <v>499</v>
      </c>
      <c r="B504" s="31">
        <f>EDATE(入力!$B$6,A504-1)</f>
        <v>61394</v>
      </c>
      <c r="C504" s="32">
        <f t="shared" si="124"/>
        <v>0</v>
      </c>
      <c r="D504" s="32">
        <f t="shared" si="125"/>
        <v>0</v>
      </c>
      <c r="E504" s="33">
        <f>IF(AND(T503="",A504&lt;=S503),IF(A504&lt;入力!$B$11,入力!$B$10,入力!$B$12),0)</f>
        <v>0</v>
      </c>
      <c r="F504" s="32">
        <f t="shared" si="126"/>
        <v>0</v>
      </c>
      <c r="G504" s="32">
        <f>ROUND(IF(NOT(AND(T503="",A504&lt;=S503)),0,IF(FALSE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),0)</f>
        <v>0</v>
      </c>
      <c r="H504" s="32">
        <f t="shared" si="127"/>
        <v>0</v>
      </c>
      <c r="I504" s="32">
        <f t="shared" si="128"/>
        <v>0</v>
      </c>
      <c r="J504" s="32">
        <f t="shared" si="129"/>
        <v>0</v>
      </c>
      <c r="K504" s="32">
        <f t="shared" si="130"/>
        <v>0</v>
      </c>
      <c r="L504" s="32">
        <f t="shared" si="131"/>
        <v>0</v>
      </c>
      <c r="M504" s="32">
        <f>0</f>
        <v>0</v>
      </c>
      <c r="N504" s="32">
        <f t="shared" si="132"/>
        <v>0</v>
      </c>
      <c r="O504" s="32">
        <f t="shared" si="133"/>
        <v>14115936</v>
      </c>
      <c r="P504" s="34" t="str">
        <f>IF(NOT(AND(T503="",A504&lt;=S503)),"",IF(FALSE,"繰上返済後再計算","")&amp;IF(AND(入力!$B$13="有効",A504&gt;1,MOD(A504-1,60)=0),IF(FALSE,"・","")&amp;"5年見直し","")&amp;IF(AND(A504=入力!$B$11,A504&gt;1),IF(OR(FALSE,AND(入力!$B$13="有効",A504&gt;1,MOD(A504-1,60)=0)),"・","")&amp;"金利変更","")&amp;IF(AND(OR(AND(入力!$B$13="有効",A504&gt;1,MOD(A504-1,60)=0),AND(A504=入力!$B$11,A504&gt;1)),入力!$B$14="有効",IF(E504=0,ROUND(C504/MAX(1,S503-A504+1),0),ROUND(-PMT(E504/12,MAX(1,S503-A504+1),C504),0))&gt;ROUND(G503*1.25,0),NOT(FALSE)),"・上限適用",""))</f>
        <v/>
      </c>
      <c r="Q504" s="35" t="str">
        <f>IF(AND(T503="",A504&lt;=S503),入力!$B$13,"")</f>
        <v/>
      </c>
      <c r="R504" s="32" t="str">
        <f>IF(AND(AND(T503="",A504&lt;=S503),OR(AND(入力!$B$13="有効",A504&gt;1,MOD(A504-1,60)=0),AND(A504=入力!$B$11,A504&gt;1)),入力!$B$14="有効"),ROUND(G503*1.25,0),"")</f>
        <v/>
      </c>
      <c r="S504" s="36">
        <f t="shared" si="134"/>
        <v>420</v>
      </c>
      <c r="T504" s="35" t="str">
        <f t="shared" si="135"/>
        <v/>
      </c>
      <c r="U504" s="3">
        <f t="shared" si="119"/>
        <v>0</v>
      </c>
      <c r="V504" s="3">
        <f t="shared" si="120"/>
        <v>0</v>
      </c>
      <c r="W504" s="3">
        <f t="shared" si="121"/>
        <v>0</v>
      </c>
      <c r="X504" s="3">
        <f t="shared" si="122"/>
        <v>0</v>
      </c>
      <c r="Y504" s="3">
        <f>0</f>
        <v>0</v>
      </c>
      <c r="Z504" s="3">
        <f t="shared" si="123"/>
        <v>0</v>
      </c>
      <c r="AA504">
        <f>ROUND(IF(FALSE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,0)</f>
        <v>0</v>
      </c>
    </row>
    <row r="505" spans="1:27">
      <c r="A505" s="30">
        <f>500</f>
        <v>500</v>
      </c>
      <c r="B505" s="31">
        <f>EDATE(入力!$B$6,A505-1)</f>
        <v>61423</v>
      </c>
      <c r="C505" s="32">
        <f t="shared" si="124"/>
        <v>0</v>
      </c>
      <c r="D505" s="32">
        <f t="shared" si="125"/>
        <v>0</v>
      </c>
      <c r="E505" s="33">
        <f>IF(AND(T504="",A505&lt;=S504),IF(A505&lt;入力!$B$11,入力!$B$10,入力!$B$12),0)</f>
        <v>0</v>
      </c>
      <c r="F505" s="32">
        <f t="shared" si="126"/>
        <v>0</v>
      </c>
      <c r="G505" s="32">
        <f>ROUND(IF(NOT(AND(T504="",A505&lt;=S504)),0,IF(FALSE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),0)</f>
        <v>0</v>
      </c>
      <c r="H505" s="32">
        <f t="shared" si="127"/>
        <v>0</v>
      </c>
      <c r="I505" s="32">
        <f t="shared" si="128"/>
        <v>0</v>
      </c>
      <c r="J505" s="32">
        <f t="shared" si="129"/>
        <v>0</v>
      </c>
      <c r="K505" s="32">
        <f t="shared" si="130"/>
        <v>0</v>
      </c>
      <c r="L505" s="32">
        <f t="shared" si="131"/>
        <v>0</v>
      </c>
      <c r="M505" s="32">
        <f>0</f>
        <v>0</v>
      </c>
      <c r="N505" s="32">
        <f t="shared" si="132"/>
        <v>0</v>
      </c>
      <c r="O505" s="32">
        <f t="shared" si="133"/>
        <v>14115936</v>
      </c>
      <c r="P505" s="34" t="str">
        <f>IF(NOT(AND(T504="",A505&lt;=S504)),"",IF(FALSE,"繰上返済後再計算","")&amp;IF(AND(入力!$B$13="有効",A505&gt;1,MOD(A505-1,60)=0),IF(FALSE,"・","")&amp;"5年見直し","")&amp;IF(AND(A505=入力!$B$11,A505&gt;1),IF(OR(FALSE,AND(入力!$B$13="有効",A505&gt;1,MOD(A505-1,60)=0)),"・","")&amp;"金利変更","")&amp;IF(AND(OR(AND(入力!$B$13="有効",A505&gt;1,MOD(A505-1,60)=0),AND(A505=入力!$B$11,A505&gt;1)),入力!$B$14="有効",IF(E505=0,ROUND(C505/MAX(1,S504-A505+1),0),ROUND(-PMT(E505/12,MAX(1,S504-A505+1),C505),0))&gt;ROUND(G504*1.25,0),NOT(FALSE)),"・上限適用",""))</f>
        <v/>
      </c>
      <c r="Q505" s="35" t="str">
        <f>IF(AND(T504="",A505&lt;=S504),入力!$B$13,"")</f>
        <v/>
      </c>
      <c r="R505" s="32" t="str">
        <f>IF(AND(AND(T504="",A505&lt;=S504),OR(AND(入力!$B$13="有効",A505&gt;1,MOD(A505-1,60)=0),AND(A505=入力!$B$11,A505&gt;1)),入力!$B$14="有効"),ROUND(G504*1.25,0),"")</f>
        <v/>
      </c>
      <c r="S505" s="36">
        <f t="shared" si="134"/>
        <v>420</v>
      </c>
      <c r="T505" s="35" t="str">
        <f t="shared" si="135"/>
        <v/>
      </c>
      <c r="U505" s="3">
        <f t="shared" si="119"/>
        <v>0</v>
      </c>
      <c r="V505" s="3">
        <f t="shared" si="120"/>
        <v>0</v>
      </c>
      <c r="W505" s="3">
        <f t="shared" si="121"/>
        <v>0</v>
      </c>
      <c r="X505" s="3">
        <f t="shared" si="122"/>
        <v>0</v>
      </c>
      <c r="Y505" s="3">
        <f>0</f>
        <v>0</v>
      </c>
      <c r="Z505" s="3">
        <f t="shared" si="123"/>
        <v>0</v>
      </c>
      <c r="AA505">
        <f>ROUND(IF(FALSE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,0)</f>
        <v>0</v>
      </c>
    </row>
    <row r="506" spans="1:27">
      <c r="A506" s="30">
        <f>501</f>
        <v>501</v>
      </c>
      <c r="B506" s="31">
        <f>EDATE(入力!$B$6,A506-1)</f>
        <v>61454</v>
      </c>
      <c r="C506" s="32">
        <f t="shared" si="124"/>
        <v>0</v>
      </c>
      <c r="D506" s="32">
        <f t="shared" si="125"/>
        <v>0</v>
      </c>
      <c r="E506" s="33">
        <f>IF(AND(T505="",A506&lt;=S505),IF(A506&lt;入力!$B$11,入力!$B$10,入力!$B$12),0)</f>
        <v>0</v>
      </c>
      <c r="F506" s="32">
        <f t="shared" si="126"/>
        <v>0</v>
      </c>
      <c r="G506" s="32">
        <f>ROUND(IF(NOT(AND(T505="",A506&lt;=S505)),0,IF(FALSE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),0)</f>
        <v>0</v>
      </c>
      <c r="H506" s="32">
        <f t="shared" si="127"/>
        <v>0</v>
      </c>
      <c r="I506" s="32">
        <f t="shared" si="128"/>
        <v>0</v>
      </c>
      <c r="J506" s="32">
        <f t="shared" si="129"/>
        <v>0</v>
      </c>
      <c r="K506" s="32">
        <f t="shared" si="130"/>
        <v>0</v>
      </c>
      <c r="L506" s="32">
        <f t="shared" si="131"/>
        <v>0</v>
      </c>
      <c r="M506" s="32">
        <f>0</f>
        <v>0</v>
      </c>
      <c r="N506" s="32">
        <f t="shared" si="132"/>
        <v>0</v>
      </c>
      <c r="O506" s="32">
        <f t="shared" si="133"/>
        <v>14115936</v>
      </c>
      <c r="P506" s="34" t="str">
        <f>IF(NOT(AND(T505="",A506&lt;=S505)),"",IF(FALSE,"繰上返済後再計算","")&amp;IF(AND(入力!$B$13="有効",A506&gt;1,MOD(A506-1,60)=0),IF(FALSE,"・","")&amp;"5年見直し","")&amp;IF(AND(A506=入力!$B$11,A506&gt;1),IF(OR(FALSE,AND(入力!$B$13="有効",A506&gt;1,MOD(A506-1,60)=0)),"・","")&amp;"金利変更","")&amp;IF(AND(OR(AND(入力!$B$13="有効",A506&gt;1,MOD(A506-1,60)=0),AND(A506=入力!$B$11,A506&gt;1)),入力!$B$14="有効",IF(E506=0,ROUND(C506/MAX(1,S505-A506+1),0),ROUND(-PMT(E506/12,MAX(1,S505-A506+1),C506),0))&gt;ROUND(G505*1.25,0),NOT(FALSE)),"・上限適用",""))</f>
        <v/>
      </c>
      <c r="Q506" s="35" t="str">
        <f>IF(AND(T505="",A506&lt;=S505),入力!$B$13,"")</f>
        <v/>
      </c>
      <c r="R506" s="32" t="str">
        <f>IF(AND(AND(T505="",A506&lt;=S505),OR(AND(入力!$B$13="有効",A506&gt;1,MOD(A506-1,60)=0),AND(A506=入力!$B$11,A506&gt;1)),入力!$B$14="有効"),ROUND(G505*1.25,0),"")</f>
        <v/>
      </c>
      <c r="S506" s="36">
        <f t="shared" si="134"/>
        <v>420</v>
      </c>
      <c r="T506" s="35" t="str">
        <f t="shared" si="135"/>
        <v/>
      </c>
      <c r="U506" s="3">
        <f t="shared" si="119"/>
        <v>0</v>
      </c>
      <c r="V506" s="3">
        <f t="shared" si="120"/>
        <v>0</v>
      </c>
      <c r="W506" s="3">
        <f t="shared" si="121"/>
        <v>0</v>
      </c>
      <c r="X506" s="3">
        <f t="shared" si="122"/>
        <v>0</v>
      </c>
      <c r="Y506" s="3">
        <f>0</f>
        <v>0</v>
      </c>
      <c r="Z506" s="3">
        <f t="shared" si="123"/>
        <v>0</v>
      </c>
      <c r="AA506">
        <f>ROUND(IF(FALSE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,0)</f>
        <v>0</v>
      </c>
    </row>
    <row r="507" spans="1:27">
      <c r="A507" s="30">
        <f>502</f>
        <v>502</v>
      </c>
      <c r="B507" s="31">
        <f>EDATE(入力!$B$6,A507-1)</f>
        <v>61484</v>
      </c>
      <c r="C507" s="32">
        <f t="shared" si="124"/>
        <v>0</v>
      </c>
      <c r="D507" s="32">
        <f t="shared" si="125"/>
        <v>0</v>
      </c>
      <c r="E507" s="33">
        <f>IF(AND(T506="",A507&lt;=S506),IF(A507&lt;入力!$B$11,入力!$B$10,入力!$B$12),0)</f>
        <v>0</v>
      </c>
      <c r="F507" s="32">
        <f t="shared" si="126"/>
        <v>0</v>
      </c>
      <c r="G507" s="32">
        <f>ROUND(IF(NOT(AND(T506="",A507&lt;=S506)),0,IF(FALSE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),0)</f>
        <v>0</v>
      </c>
      <c r="H507" s="32">
        <f t="shared" si="127"/>
        <v>0</v>
      </c>
      <c r="I507" s="32">
        <f t="shared" si="128"/>
        <v>0</v>
      </c>
      <c r="J507" s="32">
        <f t="shared" si="129"/>
        <v>0</v>
      </c>
      <c r="K507" s="32">
        <f t="shared" si="130"/>
        <v>0</v>
      </c>
      <c r="L507" s="32">
        <f t="shared" si="131"/>
        <v>0</v>
      </c>
      <c r="M507" s="32">
        <f>0</f>
        <v>0</v>
      </c>
      <c r="N507" s="32">
        <f t="shared" si="132"/>
        <v>0</v>
      </c>
      <c r="O507" s="32">
        <f t="shared" si="133"/>
        <v>14115936</v>
      </c>
      <c r="P507" s="34" t="str">
        <f>IF(NOT(AND(T506="",A507&lt;=S506)),"",IF(FALSE,"繰上返済後再計算","")&amp;IF(AND(入力!$B$13="有効",A507&gt;1,MOD(A507-1,60)=0),IF(FALSE,"・","")&amp;"5年見直し","")&amp;IF(AND(A507=入力!$B$11,A507&gt;1),IF(OR(FALSE,AND(入力!$B$13="有効",A507&gt;1,MOD(A507-1,60)=0)),"・","")&amp;"金利変更","")&amp;IF(AND(OR(AND(入力!$B$13="有効",A507&gt;1,MOD(A507-1,60)=0),AND(A507=入力!$B$11,A507&gt;1)),入力!$B$14="有効",IF(E507=0,ROUND(C507/MAX(1,S506-A507+1),0),ROUND(-PMT(E507/12,MAX(1,S506-A507+1),C507),0))&gt;ROUND(G506*1.25,0),NOT(FALSE)),"・上限適用",""))</f>
        <v/>
      </c>
      <c r="Q507" s="35" t="str">
        <f>IF(AND(T506="",A507&lt;=S506),入力!$B$13,"")</f>
        <v/>
      </c>
      <c r="R507" s="32" t="str">
        <f>IF(AND(AND(T506="",A507&lt;=S506),OR(AND(入力!$B$13="有効",A507&gt;1,MOD(A507-1,60)=0),AND(A507=入力!$B$11,A507&gt;1)),入力!$B$14="有効"),ROUND(G506*1.25,0),"")</f>
        <v/>
      </c>
      <c r="S507" s="36">
        <f t="shared" si="134"/>
        <v>420</v>
      </c>
      <c r="T507" s="35" t="str">
        <f t="shared" si="135"/>
        <v/>
      </c>
      <c r="U507" s="3">
        <f t="shared" si="119"/>
        <v>0</v>
      </c>
      <c r="V507" s="3">
        <f t="shared" si="120"/>
        <v>0</v>
      </c>
      <c r="W507" s="3">
        <f t="shared" si="121"/>
        <v>0</v>
      </c>
      <c r="X507" s="3">
        <f t="shared" si="122"/>
        <v>0</v>
      </c>
      <c r="Y507" s="3">
        <f>0</f>
        <v>0</v>
      </c>
      <c r="Z507" s="3">
        <f t="shared" si="123"/>
        <v>0</v>
      </c>
      <c r="AA507">
        <f>ROUND(IF(FALSE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,0)</f>
        <v>0</v>
      </c>
    </row>
    <row r="508" spans="1:27">
      <c r="A508" s="30">
        <f>503</f>
        <v>503</v>
      </c>
      <c r="B508" s="31">
        <f>EDATE(入力!$B$6,A508-1)</f>
        <v>61515</v>
      </c>
      <c r="C508" s="32">
        <f t="shared" si="124"/>
        <v>0</v>
      </c>
      <c r="D508" s="32">
        <f t="shared" si="125"/>
        <v>0</v>
      </c>
      <c r="E508" s="33">
        <f>IF(AND(T507="",A508&lt;=S507),IF(A508&lt;入力!$B$11,入力!$B$10,入力!$B$12),0)</f>
        <v>0</v>
      </c>
      <c r="F508" s="32">
        <f t="shared" si="126"/>
        <v>0</v>
      </c>
      <c r="G508" s="32">
        <f>ROUND(IF(NOT(AND(T507="",A508&lt;=S507)),0,IF(FALSE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),0)</f>
        <v>0</v>
      </c>
      <c r="H508" s="32">
        <f t="shared" si="127"/>
        <v>0</v>
      </c>
      <c r="I508" s="32">
        <f t="shared" si="128"/>
        <v>0</v>
      </c>
      <c r="J508" s="32">
        <f t="shared" si="129"/>
        <v>0</v>
      </c>
      <c r="K508" s="32">
        <f t="shared" si="130"/>
        <v>0</v>
      </c>
      <c r="L508" s="32">
        <f t="shared" si="131"/>
        <v>0</v>
      </c>
      <c r="M508" s="32">
        <f>0</f>
        <v>0</v>
      </c>
      <c r="N508" s="32">
        <f t="shared" si="132"/>
        <v>0</v>
      </c>
      <c r="O508" s="32">
        <f t="shared" si="133"/>
        <v>14115936</v>
      </c>
      <c r="P508" s="34" t="str">
        <f>IF(NOT(AND(T507="",A508&lt;=S507)),"",IF(FALSE,"繰上返済後再計算","")&amp;IF(AND(入力!$B$13="有効",A508&gt;1,MOD(A508-1,60)=0),IF(FALSE,"・","")&amp;"5年見直し","")&amp;IF(AND(A508=入力!$B$11,A508&gt;1),IF(OR(FALSE,AND(入力!$B$13="有効",A508&gt;1,MOD(A508-1,60)=0)),"・","")&amp;"金利変更","")&amp;IF(AND(OR(AND(入力!$B$13="有効",A508&gt;1,MOD(A508-1,60)=0),AND(A508=入力!$B$11,A508&gt;1)),入力!$B$14="有効",IF(E508=0,ROUND(C508/MAX(1,S507-A508+1),0),ROUND(-PMT(E508/12,MAX(1,S507-A508+1),C508),0))&gt;ROUND(G507*1.25,0),NOT(FALSE)),"・上限適用",""))</f>
        <v/>
      </c>
      <c r="Q508" s="35" t="str">
        <f>IF(AND(T507="",A508&lt;=S507),入力!$B$13,"")</f>
        <v/>
      </c>
      <c r="R508" s="32" t="str">
        <f>IF(AND(AND(T507="",A508&lt;=S507),OR(AND(入力!$B$13="有効",A508&gt;1,MOD(A508-1,60)=0),AND(A508=入力!$B$11,A508&gt;1)),入力!$B$14="有効"),ROUND(G507*1.25,0),"")</f>
        <v/>
      </c>
      <c r="S508" s="36">
        <f t="shared" si="134"/>
        <v>420</v>
      </c>
      <c r="T508" s="35" t="str">
        <f t="shared" si="135"/>
        <v/>
      </c>
      <c r="U508" s="3">
        <f t="shared" si="119"/>
        <v>0</v>
      </c>
      <c r="V508" s="3">
        <f t="shared" si="120"/>
        <v>0</v>
      </c>
      <c r="W508" s="3">
        <f t="shared" si="121"/>
        <v>0</v>
      </c>
      <c r="X508" s="3">
        <f t="shared" si="122"/>
        <v>0</v>
      </c>
      <c r="Y508" s="3">
        <f>0</f>
        <v>0</v>
      </c>
      <c r="Z508" s="3">
        <f t="shared" si="123"/>
        <v>0</v>
      </c>
      <c r="AA508">
        <f>ROUND(IF(FALSE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,0)</f>
        <v>0</v>
      </c>
    </row>
    <row r="509" spans="1:27">
      <c r="A509" s="30">
        <f>504</f>
        <v>504</v>
      </c>
      <c r="B509" s="31">
        <f>EDATE(入力!$B$6,A509-1)</f>
        <v>61545</v>
      </c>
      <c r="C509" s="32">
        <f t="shared" si="124"/>
        <v>0</v>
      </c>
      <c r="D509" s="32">
        <f t="shared" si="125"/>
        <v>0</v>
      </c>
      <c r="E509" s="33">
        <f>IF(AND(T508="",A509&lt;=S508),IF(A509&lt;入力!$B$11,入力!$B$10,入力!$B$12),0)</f>
        <v>0</v>
      </c>
      <c r="F509" s="32">
        <f t="shared" si="126"/>
        <v>0</v>
      </c>
      <c r="G509" s="32">
        <f>ROUND(IF(NOT(AND(T508="",A509&lt;=S508)),0,IF(FALSE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),0)</f>
        <v>0</v>
      </c>
      <c r="H509" s="32">
        <f t="shared" si="127"/>
        <v>0</v>
      </c>
      <c r="I509" s="32">
        <f t="shared" si="128"/>
        <v>0</v>
      </c>
      <c r="J509" s="32">
        <f t="shared" si="129"/>
        <v>0</v>
      </c>
      <c r="K509" s="32">
        <f t="shared" si="130"/>
        <v>0</v>
      </c>
      <c r="L509" s="32">
        <f t="shared" si="131"/>
        <v>0</v>
      </c>
      <c r="M509" s="32">
        <f>0</f>
        <v>0</v>
      </c>
      <c r="N509" s="32">
        <f t="shared" si="132"/>
        <v>0</v>
      </c>
      <c r="O509" s="32">
        <f t="shared" si="133"/>
        <v>14115936</v>
      </c>
      <c r="P509" s="34" t="str">
        <f>IF(NOT(AND(T508="",A509&lt;=S508)),"",IF(FALSE,"繰上返済後再計算","")&amp;IF(AND(入力!$B$13="有効",A509&gt;1,MOD(A509-1,60)=0),IF(FALSE,"・","")&amp;"5年見直し","")&amp;IF(AND(A509=入力!$B$11,A509&gt;1),IF(OR(FALSE,AND(入力!$B$13="有効",A509&gt;1,MOD(A509-1,60)=0)),"・","")&amp;"金利変更","")&amp;IF(AND(OR(AND(入力!$B$13="有効",A509&gt;1,MOD(A509-1,60)=0),AND(A509=入力!$B$11,A509&gt;1)),入力!$B$14="有効",IF(E509=0,ROUND(C509/MAX(1,S508-A509+1),0),ROUND(-PMT(E509/12,MAX(1,S508-A509+1),C509),0))&gt;ROUND(G508*1.25,0),NOT(FALSE)),"・上限適用",""))</f>
        <v/>
      </c>
      <c r="Q509" s="35" t="str">
        <f>IF(AND(T508="",A509&lt;=S508),入力!$B$13,"")</f>
        <v/>
      </c>
      <c r="R509" s="32" t="str">
        <f>IF(AND(AND(T508="",A509&lt;=S508),OR(AND(入力!$B$13="有効",A509&gt;1,MOD(A509-1,60)=0),AND(A509=入力!$B$11,A509&gt;1)),入力!$B$14="有効"),ROUND(G508*1.25,0),"")</f>
        <v/>
      </c>
      <c r="S509" s="36">
        <f t="shared" si="134"/>
        <v>420</v>
      </c>
      <c r="T509" s="35" t="str">
        <f t="shared" si="135"/>
        <v/>
      </c>
      <c r="U509" s="3">
        <f t="shared" si="119"/>
        <v>0</v>
      </c>
      <c r="V509" s="3">
        <f t="shared" si="120"/>
        <v>0</v>
      </c>
      <c r="W509" s="3">
        <f t="shared" si="121"/>
        <v>0</v>
      </c>
      <c r="X509" s="3">
        <f t="shared" si="122"/>
        <v>0</v>
      </c>
      <c r="Y509" s="3">
        <f>0</f>
        <v>0</v>
      </c>
      <c r="Z509" s="3">
        <f t="shared" si="123"/>
        <v>0</v>
      </c>
      <c r="AA509">
        <f>ROUND(IF(FALSE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,0)</f>
        <v>0</v>
      </c>
    </row>
    <row r="510" spans="1:27">
      <c r="A510" s="30">
        <f>505</f>
        <v>505</v>
      </c>
      <c r="B510" s="31">
        <f>EDATE(入力!$B$6,A510-1)</f>
        <v>61576</v>
      </c>
      <c r="C510" s="32">
        <f t="shared" si="124"/>
        <v>0</v>
      </c>
      <c r="D510" s="32">
        <f t="shared" si="125"/>
        <v>0</v>
      </c>
      <c r="E510" s="33">
        <f>IF(AND(T509="",A510&lt;=S509),IF(A510&lt;入力!$B$11,入力!$B$10,入力!$B$12),0)</f>
        <v>0</v>
      </c>
      <c r="F510" s="32">
        <f t="shared" si="126"/>
        <v>0</v>
      </c>
      <c r="G510" s="32">
        <f>ROUND(IF(NOT(AND(T509="",A510&lt;=S509)),0,IF(FALSE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),0)</f>
        <v>0</v>
      </c>
      <c r="H510" s="32">
        <f t="shared" si="127"/>
        <v>0</v>
      </c>
      <c r="I510" s="32">
        <f t="shared" si="128"/>
        <v>0</v>
      </c>
      <c r="J510" s="32">
        <f t="shared" si="129"/>
        <v>0</v>
      </c>
      <c r="K510" s="32">
        <f t="shared" si="130"/>
        <v>0</v>
      </c>
      <c r="L510" s="32">
        <f t="shared" si="131"/>
        <v>0</v>
      </c>
      <c r="M510" s="32">
        <f>0</f>
        <v>0</v>
      </c>
      <c r="N510" s="32">
        <f t="shared" si="132"/>
        <v>0</v>
      </c>
      <c r="O510" s="32">
        <f t="shared" si="133"/>
        <v>14115936</v>
      </c>
      <c r="P510" s="34" t="str">
        <f>IF(NOT(AND(T509="",A510&lt;=S509)),"",IF(FALSE,"繰上返済後再計算","")&amp;IF(AND(入力!$B$13="有効",A510&gt;1,MOD(A510-1,60)=0),IF(FALSE,"・","")&amp;"5年見直し","")&amp;IF(AND(A510=入力!$B$11,A510&gt;1),IF(OR(FALSE,AND(入力!$B$13="有効",A510&gt;1,MOD(A510-1,60)=0)),"・","")&amp;"金利変更","")&amp;IF(AND(OR(AND(入力!$B$13="有効",A510&gt;1,MOD(A510-1,60)=0),AND(A510=入力!$B$11,A510&gt;1)),入力!$B$14="有効",IF(E510=0,ROUND(C510/MAX(1,S509-A510+1),0),ROUND(-PMT(E510/12,MAX(1,S509-A510+1),C510),0))&gt;ROUND(G509*1.25,0),NOT(FALSE)),"・上限適用",""))</f>
        <v/>
      </c>
      <c r="Q510" s="35" t="str">
        <f>IF(AND(T509="",A510&lt;=S509),入力!$B$13,"")</f>
        <v/>
      </c>
      <c r="R510" s="32" t="str">
        <f>IF(AND(AND(T509="",A510&lt;=S509),OR(AND(入力!$B$13="有効",A510&gt;1,MOD(A510-1,60)=0),AND(A510=入力!$B$11,A510&gt;1)),入力!$B$14="有効"),ROUND(G509*1.25,0),"")</f>
        <v/>
      </c>
      <c r="S510" s="36">
        <f t="shared" si="134"/>
        <v>420</v>
      </c>
      <c r="T510" s="35" t="str">
        <f t="shared" si="135"/>
        <v/>
      </c>
      <c r="U510" s="3">
        <f t="shared" si="119"/>
        <v>0</v>
      </c>
      <c r="V510" s="3">
        <f t="shared" si="120"/>
        <v>0</v>
      </c>
      <c r="W510" s="3">
        <f t="shared" si="121"/>
        <v>0</v>
      </c>
      <c r="X510" s="3">
        <f t="shared" si="122"/>
        <v>0</v>
      </c>
      <c r="Y510" s="3">
        <f>0</f>
        <v>0</v>
      </c>
      <c r="Z510" s="3">
        <f t="shared" si="123"/>
        <v>0</v>
      </c>
      <c r="AA510">
        <f>ROUND(IF(FALSE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,0)</f>
        <v>0</v>
      </c>
    </row>
    <row r="511" spans="1:27">
      <c r="A511" s="30">
        <f>506</f>
        <v>506</v>
      </c>
      <c r="B511" s="31">
        <f>EDATE(入力!$B$6,A511-1)</f>
        <v>61607</v>
      </c>
      <c r="C511" s="32">
        <f t="shared" si="124"/>
        <v>0</v>
      </c>
      <c r="D511" s="32">
        <f t="shared" si="125"/>
        <v>0</v>
      </c>
      <c r="E511" s="33">
        <f>IF(AND(T510="",A511&lt;=S510),IF(A511&lt;入力!$B$11,入力!$B$10,入力!$B$12),0)</f>
        <v>0</v>
      </c>
      <c r="F511" s="32">
        <f t="shared" si="126"/>
        <v>0</v>
      </c>
      <c r="G511" s="32">
        <f>ROUND(IF(NOT(AND(T510="",A511&lt;=S510)),0,IF(FALSE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),0)</f>
        <v>0</v>
      </c>
      <c r="H511" s="32">
        <f t="shared" si="127"/>
        <v>0</v>
      </c>
      <c r="I511" s="32">
        <f t="shared" si="128"/>
        <v>0</v>
      </c>
      <c r="J511" s="32">
        <f t="shared" si="129"/>
        <v>0</v>
      </c>
      <c r="K511" s="32">
        <f t="shared" si="130"/>
        <v>0</v>
      </c>
      <c r="L511" s="32">
        <f t="shared" si="131"/>
        <v>0</v>
      </c>
      <c r="M511" s="32">
        <f>0</f>
        <v>0</v>
      </c>
      <c r="N511" s="32">
        <f t="shared" si="132"/>
        <v>0</v>
      </c>
      <c r="O511" s="32">
        <f t="shared" si="133"/>
        <v>14115936</v>
      </c>
      <c r="P511" s="34" t="str">
        <f>IF(NOT(AND(T510="",A511&lt;=S510)),"",IF(FALSE,"繰上返済後再計算","")&amp;IF(AND(入力!$B$13="有効",A511&gt;1,MOD(A511-1,60)=0),IF(FALSE,"・","")&amp;"5年見直し","")&amp;IF(AND(A511=入力!$B$11,A511&gt;1),IF(OR(FALSE,AND(入力!$B$13="有効",A511&gt;1,MOD(A511-1,60)=0)),"・","")&amp;"金利変更","")&amp;IF(AND(OR(AND(入力!$B$13="有効",A511&gt;1,MOD(A511-1,60)=0),AND(A511=入力!$B$11,A511&gt;1)),入力!$B$14="有効",IF(E511=0,ROUND(C511/MAX(1,S510-A511+1),0),ROUND(-PMT(E511/12,MAX(1,S510-A511+1),C511),0))&gt;ROUND(G510*1.25,0),NOT(FALSE)),"・上限適用",""))</f>
        <v/>
      </c>
      <c r="Q511" s="35" t="str">
        <f>IF(AND(T510="",A511&lt;=S510),入力!$B$13,"")</f>
        <v/>
      </c>
      <c r="R511" s="32" t="str">
        <f>IF(AND(AND(T510="",A511&lt;=S510),OR(AND(入力!$B$13="有効",A511&gt;1,MOD(A511-1,60)=0),AND(A511=入力!$B$11,A511&gt;1)),入力!$B$14="有効"),ROUND(G510*1.25,0),"")</f>
        <v/>
      </c>
      <c r="S511" s="36">
        <f t="shared" si="134"/>
        <v>420</v>
      </c>
      <c r="T511" s="35" t="str">
        <f t="shared" si="135"/>
        <v/>
      </c>
      <c r="U511" s="3">
        <f t="shared" si="119"/>
        <v>0</v>
      </c>
      <c r="V511" s="3">
        <f t="shared" si="120"/>
        <v>0</v>
      </c>
      <c r="W511" s="3">
        <f t="shared" si="121"/>
        <v>0</v>
      </c>
      <c r="X511" s="3">
        <f t="shared" si="122"/>
        <v>0</v>
      </c>
      <c r="Y511" s="3">
        <f>0</f>
        <v>0</v>
      </c>
      <c r="Z511" s="3">
        <f t="shared" si="123"/>
        <v>0</v>
      </c>
      <c r="AA511">
        <f>ROUND(IF(FALSE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,0)</f>
        <v>0</v>
      </c>
    </row>
    <row r="512" spans="1:27">
      <c r="A512" s="30">
        <f>507</f>
        <v>507</v>
      </c>
      <c r="B512" s="31">
        <f>EDATE(入力!$B$6,A512-1)</f>
        <v>61637</v>
      </c>
      <c r="C512" s="32">
        <f t="shared" si="124"/>
        <v>0</v>
      </c>
      <c r="D512" s="32">
        <f t="shared" si="125"/>
        <v>0</v>
      </c>
      <c r="E512" s="33">
        <f>IF(AND(T511="",A512&lt;=S511),IF(A512&lt;入力!$B$11,入力!$B$10,入力!$B$12),0)</f>
        <v>0</v>
      </c>
      <c r="F512" s="32">
        <f t="shared" si="126"/>
        <v>0</v>
      </c>
      <c r="G512" s="32">
        <f>ROUND(IF(NOT(AND(T511="",A512&lt;=S511)),0,IF(FALSE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),0)</f>
        <v>0</v>
      </c>
      <c r="H512" s="32">
        <f t="shared" si="127"/>
        <v>0</v>
      </c>
      <c r="I512" s="32">
        <f t="shared" si="128"/>
        <v>0</v>
      </c>
      <c r="J512" s="32">
        <f t="shared" si="129"/>
        <v>0</v>
      </c>
      <c r="K512" s="32">
        <f t="shared" si="130"/>
        <v>0</v>
      </c>
      <c r="L512" s="32">
        <f t="shared" si="131"/>
        <v>0</v>
      </c>
      <c r="M512" s="32">
        <f>0</f>
        <v>0</v>
      </c>
      <c r="N512" s="32">
        <f t="shared" si="132"/>
        <v>0</v>
      </c>
      <c r="O512" s="32">
        <f t="shared" si="133"/>
        <v>14115936</v>
      </c>
      <c r="P512" s="34" t="str">
        <f>IF(NOT(AND(T511="",A512&lt;=S511)),"",IF(FALSE,"繰上返済後再計算","")&amp;IF(AND(入力!$B$13="有効",A512&gt;1,MOD(A512-1,60)=0),IF(FALSE,"・","")&amp;"5年見直し","")&amp;IF(AND(A512=入力!$B$11,A512&gt;1),IF(OR(FALSE,AND(入力!$B$13="有効",A512&gt;1,MOD(A512-1,60)=0)),"・","")&amp;"金利変更","")&amp;IF(AND(OR(AND(入力!$B$13="有効",A512&gt;1,MOD(A512-1,60)=0),AND(A512=入力!$B$11,A512&gt;1)),入力!$B$14="有効",IF(E512=0,ROUND(C512/MAX(1,S511-A512+1),0),ROUND(-PMT(E512/12,MAX(1,S511-A512+1),C512),0))&gt;ROUND(G511*1.25,0),NOT(FALSE)),"・上限適用",""))</f>
        <v/>
      </c>
      <c r="Q512" s="35" t="str">
        <f>IF(AND(T511="",A512&lt;=S511),入力!$B$13,"")</f>
        <v/>
      </c>
      <c r="R512" s="32" t="str">
        <f>IF(AND(AND(T511="",A512&lt;=S511),OR(AND(入力!$B$13="有効",A512&gt;1,MOD(A512-1,60)=0),AND(A512=入力!$B$11,A512&gt;1)),入力!$B$14="有効"),ROUND(G511*1.25,0),"")</f>
        <v/>
      </c>
      <c r="S512" s="36">
        <f t="shared" si="134"/>
        <v>420</v>
      </c>
      <c r="T512" s="35" t="str">
        <f t="shared" si="135"/>
        <v/>
      </c>
      <c r="U512" s="3">
        <f t="shared" si="119"/>
        <v>0</v>
      </c>
      <c r="V512" s="3">
        <f t="shared" si="120"/>
        <v>0</v>
      </c>
      <c r="W512" s="3">
        <f t="shared" si="121"/>
        <v>0</v>
      </c>
      <c r="X512" s="3">
        <f t="shared" si="122"/>
        <v>0</v>
      </c>
      <c r="Y512" s="3">
        <f>0</f>
        <v>0</v>
      </c>
      <c r="Z512" s="3">
        <f t="shared" si="123"/>
        <v>0</v>
      </c>
      <c r="AA512">
        <f>ROUND(IF(FALSE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,0)</f>
        <v>0</v>
      </c>
    </row>
    <row r="513" spans="1:27">
      <c r="A513" s="30">
        <f>508</f>
        <v>508</v>
      </c>
      <c r="B513" s="31">
        <f>EDATE(入力!$B$6,A513-1)</f>
        <v>61668</v>
      </c>
      <c r="C513" s="32">
        <f t="shared" si="124"/>
        <v>0</v>
      </c>
      <c r="D513" s="32">
        <f t="shared" si="125"/>
        <v>0</v>
      </c>
      <c r="E513" s="33">
        <f>IF(AND(T512="",A513&lt;=S512),IF(A513&lt;入力!$B$11,入力!$B$10,入力!$B$12),0)</f>
        <v>0</v>
      </c>
      <c r="F513" s="32">
        <f t="shared" si="126"/>
        <v>0</v>
      </c>
      <c r="G513" s="32">
        <f>ROUND(IF(NOT(AND(T512="",A513&lt;=S512)),0,IF(FALSE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),0)</f>
        <v>0</v>
      </c>
      <c r="H513" s="32">
        <f t="shared" si="127"/>
        <v>0</v>
      </c>
      <c r="I513" s="32">
        <f t="shared" si="128"/>
        <v>0</v>
      </c>
      <c r="J513" s="32">
        <f t="shared" si="129"/>
        <v>0</v>
      </c>
      <c r="K513" s="32">
        <f t="shared" si="130"/>
        <v>0</v>
      </c>
      <c r="L513" s="32">
        <f t="shared" si="131"/>
        <v>0</v>
      </c>
      <c r="M513" s="32">
        <f>0</f>
        <v>0</v>
      </c>
      <c r="N513" s="32">
        <f t="shared" si="132"/>
        <v>0</v>
      </c>
      <c r="O513" s="32">
        <f t="shared" si="133"/>
        <v>14115936</v>
      </c>
      <c r="P513" s="34" t="str">
        <f>IF(NOT(AND(T512="",A513&lt;=S512)),"",IF(FALSE,"繰上返済後再計算","")&amp;IF(AND(入力!$B$13="有効",A513&gt;1,MOD(A513-1,60)=0),IF(FALSE,"・","")&amp;"5年見直し","")&amp;IF(AND(A513=入力!$B$11,A513&gt;1),IF(OR(FALSE,AND(入力!$B$13="有効",A513&gt;1,MOD(A513-1,60)=0)),"・","")&amp;"金利変更","")&amp;IF(AND(OR(AND(入力!$B$13="有効",A513&gt;1,MOD(A513-1,60)=0),AND(A513=入力!$B$11,A513&gt;1)),入力!$B$14="有効",IF(E513=0,ROUND(C513/MAX(1,S512-A513+1),0),ROUND(-PMT(E513/12,MAX(1,S512-A513+1),C513),0))&gt;ROUND(G512*1.25,0),NOT(FALSE)),"・上限適用",""))</f>
        <v/>
      </c>
      <c r="Q513" s="35" t="str">
        <f>IF(AND(T512="",A513&lt;=S512),入力!$B$13,"")</f>
        <v/>
      </c>
      <c r="R513" s="32" t="str">
        <f>IF(AND(AND(T512="",A513&lt;=S512),OR(AND(入力!$B$13="有効",A513&gt;1,MOD(A513-1,60)=0),AND(A513=入力!$B$11,A513&gt;1)),入力!$B$14="有効"),ROUND(G512*1.25,0),"")</f>
        <v/>
      </c>
      <c r="S513" s="36">
        <f t="shared" si="134"/>
        <v>420</v>
      </c>
      <c r="T513" s="35" t="str">
        <f t="shared" si="135"/>
        <v/>
      </c>
      <c r="U513" s="3">
        <f t="shared" si="119"/>
        <v>0</v>
      </c>
      <c r="V513" s="3">
        <f t="shared" si="120"/>
        <v>0</v>
      </c>
      <c r="W513" s="3">
        <f t="shared" si="121"/>
        <v>0</v>
      </c>
      <c r="X513" s="3">
        <f t="shared" si="122"/>
        <v>0</v>
      </c>
      <c r="Y513" s="3">
        <f>0</f>
        <v>0</v>
      </c>
      <c r="Z513" s="3">
        <f t="shared" si="123"/>
        <v>0</v>
      </c>
      <c r="AA513">
        <f>ROUND(IF(FALSE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,0)</f>
        <v>0</v>
      </c>
    </row>
    <row r="514" spans="1:27">
      <c r="A514" s="30">
        <f>509</f>
        <v>509</v>
      </c>
      <c r="B514" s="31">
        <f>EDATE(入力!$B$6,A514-1)</f>
        <v>61698</v>
      </c>
      <c r="C514" s="32">
        <f t="shared" si="124"/>
        <v>0</v>
      </c>
      <c r="D514" s="32">
        <f t="shared" si="125"/>
        <v>0</v>
      </c>
      <c r="E514" s="33">
        <f>IF(AND(T513="",A514&lt;=S513),IF(A514&lt;入力!$B$11,入力!$B$10,入力!$B$12),0)</f>
        <v>0</v>
      </c>
      <c r="F514" s="32">
        <f t="shared" si="126"/>
        <v>0</v>
      </c>
      <c r="G514" s="32">
        <f>ROUND(IF(NOT(AND(T513="",A514&lt;=S513)),0,IF(FALSE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),0)</f>
        <v>0</v>
      </c>
      <c r="H514" s="32">
        <f t="shared" si="127"/>
        <v>0</v>
      </c>
      <c r="I514" s="32">
        <f t="shared" si="128"/>
        <v>0</v>
      </c>
      <c r="J514" s="32">
        <f t="shared" si="129"/>
        <v>0</v>
      </c>
      <c r="K514" s="32">
        <f t="shared" si="130"/>
        <v>0</v>
      </c>
      <c r="L514" s="32">
        <f t="shared" si="131"/>
        <v>0</v>
      </c>
      <c r="M514" s="32">
        <f>0</f>
        <v>0</v>
      </c>
      <c r="N514" s="32">
        <f t="shared" si="132"/>
        <v>0</v>
      </c>
      <c r="O514" s="32">
        <f t="shared" si="133"/>
        <v>14115936</v>
      </c>
      <c r="P514" s="34" t="str">
        <f>IF(NOT(AND(T513="",A514&lt;=S513)),"",IF(FALSE,"繰上返済後再計算","")&amp;IF(AND(入力!$B$13="有効",A514&gt;1,MOD(A514-1,60)=0),IF(FALSE,"・","")&amp;"5年見直し","")&amp;IF(AND(A514=入力!$B$11,A514&gt;1),IF(OR(FALSE,AND(入力!$B$13="有効",A514&gt;1,MOD(A514-1,60)=0)),"・","")&amp;"金利変更","")&amp;IF(AND(OR(AND(入力!$B$13="有効",A514&gt;1,MOD(A514-1,60)=0),AND(A514=入力!$B$11,A514&gt;1)),入力!$B$14="有効",IF(E514=0,ROUND(C514/MAX(1,S513-A514+1),0),ROUND(-PMT(E514/12,MAX(1,S513-A514+1),C514),0))&gt;ROUND(G513*1.25,0),NOT(FALSE)),"・上限適用",""))</f>
        <v/>
      </c>
      <c r="Q514" s="35" t="str">
        <f>IF(AND(T513="",A514&lt;=S513),入力!$B$13,"")</f>
        <v/>
      </c>
      <c r="R514" s="32" t="str">
        <f>IF(AND(AND(T513="",A514&lt;=S513),OR(AND(入力!$B$13="有効",A514&gt;1,MOD(A514-1,60)=0),AND(A514=入力!$B$11,A514&gt;1)),入力!$B$14="有効"),ROUND(G513*1.25,0),"")</f>
        <v/>
      </c>
      <c r="S514" s="36">
        <f t="shared" si="134"/>
        <v>420</v>
      </c>
      <c r="T514" s="35" t="str">
        <f t="shared" si="135"/>
        <v/>
      </c>
      <c r="U514" s="3">
        <f t="shared" si="119"/>
        <v>0</v>
      </c>
      <c r="V514" s="3">
        <f t="shared" si="120"/>
        <v>0</v>
      </c>
      <c r="W514" s="3">
        <f t="shared" si="121"/>
        <v>0</v>
      </c>
      <c r="X514" s="3">
        <f t="shared" si="122"/>
        <v>0</v>
      </c>
      <c r="Y514" s="3">
        <f>0</f>
        <v>0</v>
      </c>
      <c r="Z514" s="3">
        <f t="shared" si="123"/>
        <v>0</v>
      </c>
      <c r="AA514">
        <f>ROUND(IF(FALSE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,0)</f>
        <v>0</v>
      </c>
    </row>
    <row r="515" spans="1:27">
      <c r="A515" s="30">
        <f>510</f>
        <v>510</v>
      </c>
      <c r="B515" s="31">
        <f>EDATE(入力!$B$6,A515-1)</f>
        <v>61729</v>
      </c>
      <c r="C515" s="32">
        <f t="shared" si="124"/>
        <v>0</v>
      </c>
      <c r="D515" s="32">
        <f t="shared" si="125"/>
        <v>0</v>
      </c>
      <c r="E515" s="33">
        <f>IF(AND(T514="",A515&lt;=S514),IF(A515&lt;入力!$B$11,入力!$B$10,入力!$B$12),0)</f>
        <v>0</v>
      </c>
      <c r="F515" s="32">
        <f t="shared" si="126"/>
        <v>0</v>
      </c>
      <c r="G515" s="32">
        <f>ROUND(IF(NOT(AND(T514="",A515&lt;=S514)),0,IF(FALSE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),0)</f>
        <v>0</v>
      </c>
      <c r="H515" s="32">
        <f t="shared" si="127"/>
        <v>0</v>
      </c>
      <c r="I515" s="32">
        <f t="shared" si="128"/>
        <v>0</v>
      </c>
      <c r="J515" s="32">
        <f t="shared" si="129"/>
        <v>0</v>
      </c>
      <c r="K515" s="32">
        <f t="shared" si="130"/>
        <v>0</v>
      </c>
      <c r="L515" s="32">
        <f t="shared" si="131"/>
        <v>0</v>
      </c>
      <c r="M515" s="32">
        <f>0</f>
        <v>0</v>
      </c>
      <c r="N515" s="32">
        <f t="shared" si="132"/>
        <v>0</v>
      </c>
      <c r="O515" s="32">
        <f t="shared" si="133"/>
        <v>14115936</v>
      </c>
      <c r="P515" s="34" t="str">
        <f>IF(NOT(AND(T514="",A515&lt;=S514)),"",IF(FALSE,"繰上返済後再計算","")&amp;IF(AND(入力!$B$13="有効",A515&gt;1,MOD(A515-1,60)=0),IF(FALSE,"・","")&amp;"5年見直し","")&amp;IF(AND(A515=入力!$B$11,A515&gt;1),IF(OR(FALSE,AND(入力!$B$13="有効",A515&gt;1,MOD(A515-1,60)=0)),"・","")&amp;"金利変更","")&amp;IF(AND(OR(AND(入力!$B$13="有効",A515&gt;1,MOD(A515-1,60)=0),AND(A515=入力!$B$11,A515&gt;1)),入力!$B$14="有効",IF(E515=0,ROUND(C515/MAX(1,S514-A515+1),0),ROUND(-PMT(E515/12,MAX(1,S514-A515+1),C515),0))&gt;ROUND(G514*1.25,0),NOT(FALSE)),"・上限適用",""))</f>
        <v/>
      </c>
      <c r="Q515" s="35" t="str">
        <f>IF(AND(T514="",A515&lt;=S514),入力!$B$13,"")</f>
        <v/>
      </c>
      <c r="R515" s="32" t="str">
        <f>IF(AND(AND(T514="",A515&lt;=S514),OR(AND(入力!$B$13="有効",A515&gt;1,MOD(A515-1,60)=0),AND(A515=入力!$B$11,A515&gt;1)),入力!$B$14="有効"),ROUND(G514*1.25,0),"")</f>
        <v/>
      </c>
      <c r="S515" s="36">
        <f t="shared" si="134"/>
        <v>420</v>
      </c>
      <c r="T515" s="35" t="str">
        <f t="shared" si="135"/>
        <v/>
      </c>
      <c r="U515" s="3">
        <f t="shared" si="119"/>
        <v>0</v>
      </c>
      <c r="V515" s="3">
        <f t="shared" si="120"/>
        <v>0</v>
      </c>
      <c r="W515" s="3">
        <f t="shared" si="121"/>
        <v>0</v>
      </c>
      <c r="X515" s="3">
        <f t="shared" si="122"/>
        <v>0</v>
      </c>
      <c r="Y515" s="3">
        <f>0</f>
        <v>0</v>
      </c>
      <c r="Z515" s="3">
        <f t="shared" si="123"/>
        <v>0</v>
      </c>
      <c r="AA515">
        <f>ROUND(IF(FALSE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,0)</f>
        <v>0</v>
      </c>
    </row>
    <row r="516" spans="1:27">
      <c r="A516" s="30">
        <f>511</f>
        <v>511</v>
      </c>
      <c r="B516" s="31">
        <f>EDATE(入力!$B$6,A516-1)</f>
        <v>61760</v>
      </c>
      <c r="C516" s="32">
        <f t="shared" si="124"/>
        <v>0</v>
      </c>
      <c r="D516" s="32">
        <f t="shared" si="125"/>
        <v>0</v>
      </c>
      <c r="E516" s="33">
        <f>IF(AND(T515="",A516&lt;=S515),IF(A516&lt;入力!$B$11,入力!$B$10,入力!$B$12),0)</f>
        <v>0</v>
      </c>
      <c r="F516" s="32">
        <f t="shared" si="126"/>
        <v>0</v>
      </c>
      <c r="G516" s="32">
        <f>ROUND(IF(NOT(AND(T515="",A516&lt;=S515)),0,IF(FALSE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),0)</f>
        <v>0</v>
      </c>
      <c r="H516" s="32">
        <f t="shared" si="127"/>
        <v>0</v>
      </c>
      <c r="I516" s="32">
        <f t="shared" si="128"/>
        <v>0</v>
      </c>
      <c r="J516" s="32">
        <f t="shared" si="129"/>
        <v>0</v>
      </c>
      <c r="K516" s="32">
        <f t="shared" si="130"/>
        <v>0</v>
      </c>
      <c r="L516" s="32">
        <f t="shared" si="131"/>
        <v>0</v>
      </c>
      <c r="M516" s="32">
        <f>0</f>
        <v>0</v>
      </c>
      <c r="N516" s="32">
        <f t="shared" si="132"/>
        <v>0</v>
      </c>
      <c r="O516" s="32">
        <f t="shared" si="133"/>
        <v>14115936</v>
      </c>
      <c r="P516" s="34" t="str">
        <f>IF(NOT(AND(T515="",A516&lt;=S515)),"",IF(FALSE,"繰上返済後再計算","")&amp;IF(AND(入力!$B$13="有効",A516&gt;1,MOD(A516-1,60)=0),IF(FALSE,"・","")&amp;"5年見直し","")&amp;IF(AND(A516=入力!$B$11,A516&gt;1),IF(OR(FALSE,AND(入力!$B$13="有効",A516&gt;1,MOD(A516-1,60)=0)),"・","")&amp;"金利変更","")&amp;IF(AND(OR(AND(入力!$B$13="有効",A516&gt;1,MOD(A516-1,60)=0),AND(A516=入力!$B$11,A516&gt;1)),入力!$B$14="有効",IF(E516=0,ROUND(C516/MAX(1,S515-A516+1),0),ROUND(-PMT(E516/12,MAX(1,S515-A516+1),C516),0))&gt;ROUND(G515*1.25,0),NOT(FALSE)),"・上限適用",""))</f>
        <v/>
      </c>
      <c r="Q516" s="35" t="str">
        <f>IF(AND(T515="",A516&lt;=S515),入力!$B$13,"")</f>
        <v/>
      </c>
      <c r="R516" s="32" t="str">
        <f>IF(AND(AND(T515="",A516&lt;=S515),OR(AND(入力!$B$13="有効",A516&gt;1,MOD(A516-1,60)=0),AND(A516=入力!$B$11,A516&gt;1)),入力!$B$14="有効"),ROUND(G515*1.25,0),"")</f>
        <v/>
      </c>
      <c r="S516" s="36">
        <f t="shared" si="134"/>
        <v>420</v>
      </c>
      <c r="T516" s="35" t="str">
        <f t="shared" si="135"/>
        <v/>
      </c>
      <c r="U516" s="3">
        <f t="shared" si="119"/>
        <v>0</v>
      </c>
      <c r="V516" s="3">
        <f t="shared" si="120"/>
        <v>0</v>
      </c>
      <c r="W516" s="3">
        <f t="shared" si="121"/>
        <v>0</v>
      </c>
      <c r="X516" s="3">
        <f t="shared" si="122"/>
        <v>0</v>
      </c>
      <c r="Y516" s="3">
        <f>0</f>
        <v>0</v>
      </c>
      <c r="Z516" s="3">
        <f t="shared" si="123"/>
        <v>0</v>
      </c>
      <c r="AA516">
        <f>ROUND(IF(FALSE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,0)</f>
        <v>0</v>
      </c>
    </row>
    <row r="517" spans="1:27">
      <c r="A517" s="30">
        <f>512</f>
        <v>512</v>
      </c>
      <c r="B517" s="31">
        <f>EDATE(入力!$B$6,A517-1)</f>
        <v>61788</v>
      </c>
      <c r="C517" s="32">
        <f t="shared" si="124"/>
        <v>0</v>
      </c>
      <c r="D517" s="32">
        <f t="shared" si="125"/>
        <v>0</v>
      </c>
      <c r="E517" s="33">
        <f>IF(AND(T516="",A517&lt;=S516),IF(A517&lt;入力!$B$11,入力!$B$10,入力!$B$12),0)</f>
        <v>0</v>
      </c>
      <c r="F517" s="32">
        <f t="shared" si="126"/>
        <v>0</v>
      </c>
      <c r="G517" s="32">
        <f>ROUND(IF(NOT(AND(T516="",A517&lt;=S516)),0,IF(FALSE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),0)</f>
        <v>0</v>
      </c>
      <c r="H517" s="32">
        <f t="shared" si="127"/>
        <v>0</v>
      </c>
      <c r="I517" s="32">
        <f t="shared" si="128"/>
        <v>0</v>
      </c>
      <c r="J517" s="32">
        <f t="shared" si="129"/>
        <v>0</v>
      </c>
      <c r="K517" s="32">
        <f t="shared" si="130"/>
        <v>0</v>
      </c>
      <c r="L517" s="32">
        <f t="shared" si="131"/>
        <v>0</v>
      </c>
      <c r="M517" s="32">
        <f>0</f>
        <v>0</v>
      </c>
      <c r="N517" s="32">
        <f t="shared" si="132"/>
        <v>0</v>
      </c>
      <c r="O517" s="32">
        <f t="shared" si="133"/>
        <v>14115936</v>
      </c>
      <c r="P517" s="34" t="str">
        <f>IF(NOT(AND(T516="",A517&lt;=S516)),"",IF(FALSE,"繰上返済後再計算","")&amp;IF(AND(入力!$B$13="有効",A517&gt;1,MOD(A517-1,60)=0),IF(FALSE,"・","")&amp;"5年見直し","")&amp;IF(AND(A517=入力!$B$11,A517&gt;1),IF(OR(FALSE,AND(入力!$B$13="有効",A517&gt;1,MOD(A517-1,60)=0)),"・","")&amp;"金利変更","")&amp;IF(AND(OR(AND(入力!$B$13="有効",A517&gt;1,MOD(A517-1,60)=0),AND(A517=入力!$B$11,A517&gt;1)),入力!$B$14="有効",IF(E517=0,ROUND(C517/MAX(1,S516-A517+1),0),ROUND(-PMT(E517/12,MAX(1,S516-A517+1),C517),0))&gt;ROUND(G516*1.25,0),NOT(FALSE)),"・上限適用",""))</f>
        <v/>
      </c>
      <c r="Q517" s="35" t="str">
        <f>IF(AND(T516="",A517&lt;=S516),入力!$B$13,"")</f>
        <v/>
      </c>
      <c r="R517" s="32" t="str">
        <f>IF(AND(AND(T516="",A517&lt;=S516),OR(AND(入力!$B$13="有効",A517&gt;1,MOD(A517-1,60)=0),AND(A517=入力!$B$11,A517&gt;1)),入力!$B$14="有効"),ROUND(G516*1.25,0),"")</f>
        <v/>
      </c>
      <c r="S517" s="36">
        <f t="shared" si="134"/>
        <v>420</v>
      </c>
      <c r="T517" s="35" t="str">
        <f t="shared" si="135"/>
        <v/>
      </c>
      <c r="U517" s="3">
        <f t="shared" si="119"/>
        <v>0</v>
      </c>
      <c r="V517" s="3">
        <f t="shared" si="120"/>
        <v>0</v>
      </c>
      <c r="W517" s="3">
        <f t="shared" si="121"/>
        <v>0</v>
      </c>
      <c r="X517" s="3">
        <f t="shared" si="122"/>
        <v>0</v>
      </c>
      <c r="Y517" s="3">
        <f>0</f>
        <v>0</v>
      </c>
      <c r="Z517" s="3">
        <f t="shared" si="123"/>
        <v>0</v>
      </c>
      <c r="AA517">
        <f>ROUND(IF(FALSE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,0)</f>
        <v>0</v>
      </c>
    </row>
    <row r="518" spans="1:27">
      <c r="A518" s="30">
        <f>513</f>
        <v>513</v>
      </c>
      <c r="B518" s="31">
        <f>EDATE(入力!$B$6,A518-1)</f>
        <v>61819</v>
      </c>
      <c r="C518" s="32">
        <f t="shared" si="124"/>
        <v>0</v>
      </c>
      <c r="D518" s="32">
        <f t="shared" si="125"/>
        <v>0</v>
      </c>
      <c r="E518" s="33">
        <f>IF(AND(T517="",A518&lt;=S517),IF(A518&lt;入力!$B$11,入力!$B$10,入力!$B$12),0)</f>
        <v>0</v>
      </c>
      <c r="F518" s="32">
        <f t="shared" si="126"/>
        <v>0</v>
      </c>
      <c r="G518" s="32">
        <f>ROUND(IF(NOT(AND(T517="",A518&lt;=S517)),0,IF(FALSE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),0)</f>
        <v>0</v>
      </c>
      <c r="H518" s="32">
        <f t="shared" si="127"/>
        <v>0</v>
      </c>
      <c r="I518" s="32">
        <f t="shared" si="128"/>
        <v>0</v>
      </c>
      <c r="J518" s="32">
        <f t="shared" si="129"/>
        <v>0</v>
      </c>
      <c r="K518" s="32">
        <f t="shared" si="130"/>
        <v>0</v>
      </c>
      <c r="L518" s="32">
        <f t="shared" si="131"/>
        <v>0</v>
      </c>
      <c r="M518" s="32">
        <f>0</f>
        <v>0</v>
      </c>
      <c r="N518" s="32">
        <f t="shared" si="132"/>
        <v>0</v>
      </c>
      <c r="O518" s="32">
        <f t="shared" si="133"/>
        <v>14115936</v>
      </c>
      <c r="P518" s="34" t="str">
        <f>IF(NOT(AND(T517="",A518&lt;=S517)),"",IF(FALSE,"繰上返済後再計算","")&amp;IF(AND(入力!$B$13="有効",A518&gt;1,MOD(A518-1,60)=0),IF(FALSE,"・","")&amp;"5年見直し","")&amp;IF(AND(A518=入力!$B$11,A518&gt;1),IF(OR(FALSE,AND(入力!$B$13="有効",A518&gt;1,MOD(A518-1,60)=0)),"・","")&amp;"金利変更","")&amp;IF(AND(OR(AND(入力!$B$13="有効",A518&gt;1,MOD(A518-1,60)=0),AND(A518=入力!$B$11,A518&gt;1)),入力!$B$14="有効",IF(E518=0,ROUND(C518/MAX(1,S517-A518+1),0),ROUND(-PMT(E518/12,MAX(1,S517-A518+1),C518),0))&gt;ROUND(G517*1.25,0),NOT(FALSE)),"・上限適用",""))</f>
        <v/>
      </c>
      <c r="Q518" s="35" t="str">
        <f>IF(AND(T517="",A518&lt;=S517),入力!$B$13,"")</f>
        <v/>
      </c>
      <c r="R518" s="32" t="str">
        <f>IF(AND(AND(T517="",A518&lt;=S517),OR(AND(入力!$B$13="有効",A518&gt;1,MOD(A518-1,60)=0),AND(A518=入力!$B$11,A518&gt;1)),入力!$B$14="有効"),ROUND(G517*1.25,0),"")</f>
        <v/>
      </c>
      <c r="S518" s="36">
        <f t="shared" si="134"/>
        <v>420</v>
      </c>
      <c r="T518" s="35" t="str">
        <f t="shared" si="135"/>
        <v/>
      </c>
      <c r="U518" s="3">
        <f t="shared" ref="U518:U581" si="136">ABS(I518-MIN(H518,D518+F518))</f>
        <v>0</v>
      </c>
      <c r="V518" s="3">
        <f t="shared" ref="V518:V581" si="137">ABS(L518-(H518-I518))</f>
        <v>0</v>
      </c>
      <c r="W518" s="3">
        <f t="shared" ref="W518:W581" si="138">ABS(K518-(D518+J518))</f>
        <v>0</v>
      </c>
      <c r="X518" s="3">
        <f t="shared" ref="X518:X581" si="139">ABS(F518-ROUND(F518,0))+ABS(G518-ROUND(G518,0))+ABS(H518-ROUND(H518,0))+ABS(I518-ROUND(I518,0))+ABS(J518-ROUND(J518,0))+ABS(K518-ROUND(K518,0))+ABS(L518-ROUND(L518,0))+ABS(M518-ROUND(M518,0))+ABS(N518-ROUND(N518,0))+ABS(O518-ROUND(O518,0))</f>
        <v>0</v>
      </c>
      <c r="Y518" s="3">
        <f>0</f>
        <v>0</v>
      </c>
      <c r="Z518" s="3">
        <f t="shared" ref="Z518:Z581" si="140">SUM(--ISERROR(A518),--ISERROR(B518),--ISERROR(C518),--ISERROR(D518),--ISERROR(E518),--ISERROR(F518),--ISERROR(G518),--ISERROR(H518),--ISERROR(I518),--ISERROR(J518),--ISERROR(K518),--ISERROR(L518),--ISERROR(M518),--ISERROR(N518),--ISERROR(O518),--ISERROR(P518),--ISERROR(Q518),--ISERROR(R518),--ISERROR(S518),--ISERROR(T518))</f>
        <v>0</v>
      </c>
      <c r="AA518">
        <f>ROUND(IF(FALSE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,0)</f>
        <v>0</v>
      </c>
    </row>
    <row r="519" spans="1:27">
      <c r="A519" s="30">
        <f>514</f>
        <v>514</v>
      </c>
      <c r="B519" s="31">
        <f>EDATE(入力!$B$6,A519-1)</f>
        <v>61849</v>
      </c>
      <c r="C519" s="32">
        <f t="shared" ref="C519:C582" si="141">IF(AND(T518="",A519&lt;=S518),N518,0)</f>
        <v>0</v>
      </c>
      <c r="D519" s="32">
        <f t="shared" ref="D519:D582" si="142">IF(AND(T518="",A519&lt;=S518),K518,0)</f>
        <v>0</v>
      </c>
      <c r="E519" s="33">
        <f>IF(AND(T518="",A519&lt;=S518),IF(A519&lt;入力!$B$11,入力!$B$10,入力!$B$12),0)</f>
        <v>0</v>
      </c>
      <c r="F519" s="32">
        <f t="shared" ref="F519:F582" si="143">IF(AND(T518="",A519&lt;=S518),ROUND(C519*E519/12,0),0)</f>
        <v>0</v>
      </c>
      <c r="G519" s="32">
        <f>ROUND(IF(NOT(AND(T518="",A519&lt;=S518)),0,IF(FALSE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),0)</f>
        <v>0</v>
      </c>
      <c r="H519" s="32">
        <f t="shared" ref="H519:H582" si="144">IF(AND(T518="",A519&lt;=S518),ROUND(MIN(G519,C519+D519+F519),0),0)</f>
        <v>0</v>
      </c>
      <c r="I519" s="32">
        <f t="shared" ref="I519:I582" si="145">IF(AND(T518="",A519&lt;=S518),ROUND(MIN(H519,D519+F519),0),0)</f>
        <v>0</v>
      </c>
      <c r="J519" s="32">
        <f t="shared" ref="J519:J582" si="146">IF(AND(T518="",A519&lt;=S518),ROUND(F519-I519,0),0)</f>
        <v>0</v>
      </c>
      <c r="K519" s="32">
        <f t="shared" ref="K519:K582" si="147">IF(AND(T518="",A519&lt;=S518),ROUND(D519+J519,0),0)</f>
        <v>0</v>
      </c>
      <c r="L519" s="32">
        <f t="shared" ref="L519:L582" si="148">IF(AND(T518="",A519&lt;=S518),ROUND(H519-I519,0),0)</f>
        <v>0</v>
      </c>
      <c r="M519" s="32">
        <f>0</f>
        <v>0</v>
      </c>
      <c r="N519" s="32">
        <f t="shared" ref="N519:N582" si="149">IF(AND(T518="",A519&lt;=S518),ROUND(MAX(0,C519-L519-M519),0),0)</f>
        <v>0</v>
      </c>
      <c r="O519" s="32">
        <f t="shared" ref="O519:O582" si="150">IF(AND(T518="",A519&lt;=S518),ROUND(O518+F519,0),O518)</f>
        <v>14115936</v>
      </c>
      <c r="P519" s="34" t="str">
        <f>IF(NOT(AND(T518="",A519&lt;=S518)),"",IF(FALSE,"繰上返済後再計算","")&amp;IF(AND(入力!$B$13="有効",A519&gt;1,MOD(A519-1,60)=0),IF(FALSE,"・","")&amp;"5年見直し","")&amp;IF(AND(A519=入力!$B$11,A519&gt;1),IF(OR(FALSE,AND(入力!$B$13="有効",A519&gt;1,MOD(A519-1,60)=0)),"・","")&amp;"金利変更","")&amp;IF(AND(OR(AND(入力!$B$13="有効",A519&gt;1,MOD(A519-1,60)=0),AND(A519=入力!$B$11,A519&gt;1)),入力!$B$14="有効",IF(E519=0,ROUND(C519/MAX(1,S518-A519+1),0),ROUND(-PMT(E519/12,MAX(1,S518-A519+1),C519),0))&gt;ROUND(G518*1.25,0),NOT(FALSE)),"・上限適用",""))</f>
        <v/>
      </c>
      <c r="Q519" s="35" t="str">
        <f>IF(AND(T518="",A519&lt;=S518),入力!$B$13,"")</f>
        <v/>
      </c>
      <c r="R519" s="32" t="str">
        <f>IF(AND(AND(T518="",A519&lt;=S518),OR(AND(入力!$B$13="有効",A519&gt;1,MOD(A519-1,60)=0),AND(A519=入力!$B$11,A519&gt;1)),入力!$B$14="有効"),ROUND(G518*1.25,0),"")</f>
        <v/>
      </c>
      <c r="S519" s="36">
        <f t="shared" ref="S519:S582" si="151">S518</f>
        <v>420</v>
      </c>
      <c r="T519" s="35" t="str">
        <f t="shared" ref="T519:T582" si="152">IF(NOT(AND(T518="",A519&lt;=S518)),"",IF(AND(N519=0,K519=0),"完済",IF(A519=S519,"最終回清算","")))</f>
        <v/>
      </c>
      <c r="U519" s="3">
        <f t="shared" si="136"/>
        <v>0</v>
      </c>
      <c r="V519" s="3">
        <f t="shared" si="137"/>
        <v>0</v>
      </c>
      <c r="W519" s="3">
        <f t="shared" si="138"/>
        <v>0</v>
      </c>
      <c r="X519" s="3">
        <f t="shared" si="139"/>
        <v>0</v>
      </c>
      <c r="Y519" s="3">
        <f>0</f>
        <v>0</v>
      </c>
      <c r="Z519" s="3">
        <f t="shared" si="140"/>
        <v>0</v>
      </c>
      <c r="AA519">
        <f>ROUND(IF(FALSE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,0)</f>
        <v>0</v>
      </c>
    </row>
    <row r="520" spans="1:27">
      <c r="A520" s="30">
        <f>515</f>
        <v>515</v>
      </c>
      <c r="B520" s="31">
        <f>EDATE(入力!$B$6,A520-1)</f>
        <v>61880</v>
      </c>
      <c r="C520" s="32">
        <f t="shared" si="141"/>
        <v>0</v>
      </c>
      <c r="D520" s="32">
        <f t="shared" si="142"/>
        <v>0</v>
      </c>
      <c r="E520" s="33">
        <f>IF(AND(T519="",A520&lt;=S519),IF(A520&lt;入力!$B$11,入力!$B$10,入力!$B$12),0)</f>
        <v>0</v>
      </c>
      <c r="F520" s="32">
        <f t="shared" si="143"/>
        <v>0</v>
      </c>
      <c r="G520" s="32">
        <f>ROUND(IF(NOT(AND(T519="",A520&lt;=S519)),0,IF(FALSE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),0)</f>
        <v>0</v>
      </c>
      <c r="H520" s="32">
        <f t="shared" si="144"/>
        <v>0</v>
      </c>
      <c r="I520" s="32">
        <f t="shared" si="145"/>
        <v>0</v>
      </c>
      <c r="J520" s="32">
        <f t="shared" si="146"/>
        <v>0</v>
      </c>
      <c r="K520" s="32">
        <f t="shared" si="147"/>
        <v>0</v>
      </c>
      <c r="L520" s="32">
        <f t="shared" si="148"/>
        <v>0</v>
      </c>
      <c r="M520" s="32">
        <f>0</f>
        <v>0</v>
      </c>
      <c r="N520" s="32">
        <f t="shared" si="149"/>
        <v>0</v>
      </c>
      <c r="O520" s="32">
        <f t="shared" si="150"/>
        <v>14115936</v>
      </c>
      <c r="P520" s="34" t="str">
        <f>IF(NOT(AND(T519="",A520&lt;=S519)),"",IF(FALSE,"繰上返済後再計算","")&amp;IF(AND(入力!$B$13="有効",A520&gt;1,MOD(A520-1,60)=0),IF(FALSE,"・","")&amp;"5年見直し","")&amp;IF(AND(A520=入力!$B$11,A520&gt;1),IF(OR(FALSE,AND(入力!$B$13="有効",A520&gt;1,MOD(A520-1,60)=0)),"・","")&amp;"金利変更","")&amp;IF(AND(OR(AND(入力!$B$13="有効",A520&gt;1,MOD(A520-1,60)=0),AND(A520=入力!$B$11,A520&gt;1)),入力!$B$14="有効",IF(E520=0,ROUND(C520/MAX(1,S519-A520+1),0),ROUND(-PMT(E520/12,MAX(1,S519-A520+1),C520),0))&gt;ROUND(G519*1.25,0),NOT(FALSE)),"・上限適用",""))</f>
        <v/>
      </c>
      <c r="Q520" s="35" t="str">
        <f>IF(AND(T519="",A520&lt;=S519),入力!$B$13,"")</f>
        <v/>
      </c>
      <c r="R520" s="32" t="str">
        <f>IF(AND(AND(T519="",A520&lt;=S519),OR(AND(入力!$B$13="有効",A520&gt;1,MOD(A520-1,60)=0),AND(A520=入力!$B$11,A520&gt;1)),入力!$B$14="有効"),ROUND(G519*1.25,0),"")</f>
        <v/>
      </c>
      <c r="S520" s="36">
        <f t="shared" si="151"/>
        <v>420</v>
      </c>
      <c r="T520" s="35" t="str">
        <f t="shared" si="152"/>
        <v/>
      </c>
      <c r="U520" s="3">
        <f t="shared" si="136"/>
        <v>0</v>
      </c>
      <c r="V520" s="3">
        <f t="shared" si="137"/>
        <v>0</v>
      </c>
      <c r="W520" s="3">
        <f t="shared" si="138"/>
        <v>0</v>
      </c>
      <c r="X520" s="3">
        <f t="shared" si="139"/>
        <v>0</v>
      </c>
      <c r="Y520" s="3">
        <f>0</f>
        <v>0</v>
      </c>
      <c r="Z520" s="3">
        <f t="shared" si="140"/>
        <v>0</v>
      </c>
      <c r="AA520">
        <f>ROUND(IF(FALSE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,0)</f>
        <v>0</v>
      </c>
    </row>
    <row r="521" spans="1:27">
      <c r="A521" s="30">
        <f>516</f>
        <v>516</v>
      </c>
      <c r="B521" s="31">
        <f>EDATE(入力!$B$6,A521-1)</f>
        <v>61910</v>
      </c>
      <c r="C521" s="32">
        <f t="shared" si="141"/>
        <v>0</v>
      </c>
      <c r="D521" s="32">
        <f t="shared" si="142"/>
        <v>0</v>
      </c>
      <c r="E521" s="33">
        <f>IF(AND(T520="",A521&lt;=S520),IF(A521&lt;入力!$B$11,入力!$B$10,入力!$B$12),0)</f>
        <v>0</v>
      </c>
      <c r="F521" s="32">
        <f t="shared" si="143"/>
        <v>0</v>
      </c>
      <c r="G521" s="32">
        <f>ROUND(IF(NOT(AND(T520="",A521&lt;=S520)),0,IF(FALSE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),0)</f>
        <v>0</v>
      </c>
      <c r="H521" s="32">
        <f t="shared" si="144"/>
        <v>0</v>
      </c>
      <c r="I521" s="32">
        <f t="shared" si="145"/>
        <v>0</v>
      </c>
      <c r="J521" s="32">
        <f t="shared" si="146"/>
        <v>0</v>
      </c>
      <c r="K521" s="32">
        <f t="shared" si="147"/>
        <v>0</v>
      </c>
      <c r="L521" s="32">
        <f t="shared" si="148"/>
        <v>0</v>
      </c>
      <c r="M521" s="32">
        <f>0</f>
        <v>0</v>
      </c>
      <c r="N521" s="32">
        <f t="shared" si="149"/>
        <v>0</v>
      </c>
      <c r="O521" s="32">
        <f t="shared" si="150"/>
        <v>14115936</v>
      </c>
      <c r="P521" s="34" t="str">
        <f>IF(NOT(AND(T520="",A521&lt;=S520)),"",IF(FALSE,"繰上返済後再計算","")&amp;IF(AND(入力!$B$13="有効",A521&gt;1,MOD(A521-1,60)=0),IF(FALSE,"・","")&amp;"5年見直し","")&amp;IF(AND(A521=入力!$B$11,A521&gt;1),IF(OR(FALSE,AND(入力!$B$13="有効",A521&gt;1,MOD(A521-1,60)=0)),"・","")&amp;"金利変更","")&amp;IF(AND(OR(AND(入力!$B$13="有効",A521&gt;1,MOD(A521-1,60)=0),AND(A521=入力!$B$11,A521&gt;1)),入力!$B$14="有効",IF(E521=0,ROUND(C521/MAX(1,S520-A521+1),0),ROUND(-PMT(E521/12,MAX(1,S520-A521+1),C521),0))&gt;ROUND(G520*1.25,0),NOT(FALSE)),"・上限適用",""))</f>
        <v/>
      </c>
      <c r="Q521" s="35" t="str">
        <f>IF(AND(T520="",A521&lt;=S520),入力!$B$13,"")</f>
        <v/>
      </c>
      <c r="R521" s="32" t="str">
        <f>IF(AND(AND(T520="",A521&lt;=S520),OR(AND(入力!$B$13="有効",A521&gt;1,MOD(A521-1,60)=0),AND(A521=入力!$B$11,A521&gt;1)),入力!$B$14="有効"),ROUND(G520*1.25,0),"")</f>
        <v/>
      </c>
      <c r="S521" s="36">
        <f t="shared" si="151"/>
        <v>420</v>
      </c>
      <c r="T521" s="35" t="str">
        <f t="shared" si="152"/>
        <v/>
      </c>
      <c r="U521" s="3">
        <f t="shared" si="136"/>
        <v>0</v>
      </c>
      <c r="V521" s="3">
        <f t="shared" si="137"/>
        <v>0</v>
      </c>
      <c r="W521" s="3">
        <f t="shared" si="138"/>
        <v>0</v>
      </c>
      <c r="X521" s="3">
        <f t="shared" si="139"/>
        <v>0</v>
      </c>
      <c r="Y521" s="3">
        <f>0</f>
        <v>0</v>
      </c>
      <c r="Z521" s="3">
        <f t="shared" si="140"/>
        <v>0</v>
      </c>
      <c r="AA521">
        <f>ROUND(IF(FALSE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,0)</f>
        <v>0</v>
      </c>
    </row>
    <row r="522" spans="1:27">
      <c r="A522" s="30">
        <f>517</f>
        <v>517</v>
      </c>
      <c r="B522" s="31">
        <f>EDATE(入力!$B$6,A522-1)</f>
        <v>61941</v>
      </c>
      <c r="C522" s="32">
        <f t="shared" si="141"/>
        <v>0</v>
      </c>
      <c r="D522" s="32">
        <f t="shared" si="142"/>
        <v>0</v>
      </c>
      <c r="E522" s="33">
        <f>IF(AND(T521="",A522&lt;=S521),IF(A522&lt;入力!$B$11,入力!$B$10,入力!$B$12),0)</f>
        <v>0</v>
      </c>
      <c r="F522" s="32">
        <f t="shared" si="143"/>
        <v>0</v>
      </c>
      <c r="G522" s="32">
        <f>ROUND(IF(NOT(AND(T521="",A522&lt;=S521)),0,IF(FALSE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),0)</f>
        <v>0</v>
      </c>
      <c r="H522" s="32">
        <f t="shared" si="144"/>
        <v>0</v>
      </c>
      <c r="I522" s="32">
        <f t="shared" si="145"/>
        <v>0</v>
      </c>
      <c r="J522" s="32">
        <f t="shared" si="146"/>
        <v>0</v>
      </c>
      <c r="K522" s="32">
        <f t="shared" si="147"/>
        <v>0</v>
      </c>
      <c r="L522" s="32">
        <f t="shared" si="148"/>
        <v>0</v>
      </c>
      <c r="M522" s="32">
        <f>0</f>
        <v>0</v>
      </c>
      <c r="N522" s="32">
        <f t="shared" si="149"/>
        <v>0</v>
      </c>
      <c r="O522" s="32">
        <f t="shared" si="150"/>
        <v>14115936</v>
      </c>
      <c r="P522" s="34" t="str">
        <f>IF(NOT(AND(T521="",A522&lt;=S521)),"",IF(FALSE,"繰上返済後再計算","")&amp;IF(AND(入力!$B$13="有効",A522&gt;1,MOD(A522-1,60)=0),IF(FALSE,"・","")&amp;"5年見直し","")&amp;IF(AND(A522=入力!$B$11,A522&gt;1),IF(OR(FALSE,AND(入力!$B$13="有効",A522&gt;1,MOD(A522-1,60)=0)),"・","")&amp;"金利変更","")&amp;IF(AND(OR(AND(入力!$B$13="有効",A522&gt;1,MOD(A522-1,60)=0),AND(A522=入力!$B$11,A522&gt;1)),入力!$B$14="有効",IF(E522=0,ROUND(C522/MAX(1,S521-A522+1),0),ROUND(-PMT(E522/12,MAX(1,S521-A522+1),C522),0))&gt;ROUND(G521*1.25,0),NOT(FALSE)),"・上限適用",""))</f>
        <v/>
      </c>
      <c r="Q522" s="35" t="str">
        <f>IF(AND(T521="",A522&lt;=S521),入力!$B$13,"")</f>
        <v/>
      </c>
      <c r="R522" s="32" t="str">
        <f>IF(AND(AND(T521="",A522&lt;=S521),OR(AND(入力!$B$13="有効",A522&gt;1,MOD(A522-1,60)=0),AND(A522=入力!$B$11,A522&gt;1)),入力!$B$14="有効"),ROUND(G521*1.25,0),"")</f>
        <v/>
      </c>
      <c r="S522" s="36">
        <f t="shared" si="151"/>
        <v>420</v>
      </c>
      <c r="T522" s="35" t="str">
        <f t="shared" si="152"/>
        <v/>
      </c>
      <c r="U522" s="3">
        <f t="shared" si="136"/>
        <v>0</v>
      </c>
      <c r="V522" s="3">
        <f t="shared" si="137"/>
        <v>0</v>
      </c>
      <c r="W522" s="3">
        <f t="shared" si="138"/>
        <v>0</v>
      </c>
      <c r="X522" s="3">
        <f t="shared" si="139"/>
        <v>0</v>
      </c>
      <c r="Y522" s="3">
        <f>0</f>
        <v>0</v>
      </c>
      <c r="Z522" s="3">
        <f t="shared" si="140"/>
        <v>0</v>
      </c>
      <c r="AA522">
        <f>ROUND(IF(FALSE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,0)</f>
        <v>0</v>
      </c>
    </row>
    <row r="523" spans="1:27">
      <c r="A523" s="30">
        <f>518</f>
        <v>518</v>
      </c>
      <c r="B523" s="31">
        <f>EDATE(入力!$B$6,A523-1)</f>
        <v>61972</v>
      </c>
      <c r="C523" s="32">
        <f t="shared" si="141"/>
        <v>0</v>
      </c>
      <c r="D523" s="32">
        <f t="shared" si="142"/>
        <v>0</v>
      </c>
      <c r="E523" s="33">
        <f>IF(AND(T522="",A523&lt;=S522),IF(A523&lt;入力!$B$11,入力!$B$10,入力!$B$12),0)</f>
        <v>0</v>
      </c>
      <c r="F523" s="32">
        <f t="shared" si="143"/>
        <v>0</v>
      </c>
      <c r="G523" s="32">
        <f>ROUND(IF(NOT(AND(T522="",A523&lt;=S522)),0,IF(FALSE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),0)</f>
        <v>0</v>
      </c>
      <c r="H523" s="32">
        <f t="shared" si="144"/>
        <v>0</v>
      </c>
      <c r="I523" s="32">
        <f t="shared" si="145"/>
        <v>0</v>
      </c>
      <c r="J523" s="32">
        <f t="shared" si="146"/>
        <v>0</v>
      </c>
      <c r="K523" s="32">
        <f t="shared" si="147"/>
        <v>0</v>
      </c>
      <c r="L523" s="32">
        <f t="shared" si="148"/>
        <v>0</v>
      </c>
      <c r="M523" s="32">
        <f>0</f>
        <v>0</v>
      </c>
      <c r="N523" s="32">
        <f t="shared" si="149"/>
        <v>0</v>
      </c>
      <c r="O523" s="32">
        <f t="shared" si="150"/>
        <v>14115936</v>
      </c>
      <c r="P523" s="34" t="str">
        <f>IF(NOT(AND(T522="",A523&lt;=S522)),"",IF(FALSE,"繰上返済後再計算","")&amp;IF(AND(入力!$B$13="有効",A523&gt;1,MOD(A523-1,60)=0),IF(FALSE,"・","")&amp;"5年見直し","")&amp;IF(AND(A523=入力!$B$11,A523&gt;1),IF(OR(FALSE,AND(入力!$B$13="有効",A523&gt;1,MOD(A523-1,60)=0)),"・","")&amp;"金利変更","")&amp;IF(AND(OR(AND(入力!$B$13="有効",A523&gt;1,MOD(A523-1,60)=0),AND(A523=入力!$B$11,A523&gt;1)),入力!$B$14="有効",IF(E523=0,ROUND(C523/MAX(1,S522-A523+1),0),ROUND(-PMT(E523/12,MAX(1,S522-A523+1),C523),0))&gt;ROUND(G522*1.25,0),NOT(FALSE)),"・上限適用",""))</f>
        <v/>
      </c>
      <c r="Q523" s="35" t="str">
        <f>IF(AND(T522="",A523&lt;=S522),入力!$B$13,"")</f>
        <v/>
      </c>
      <c r="R523" s="32" t="str">
        <f>IF(AND(AND(T522="",A523&lt;=S522),OR(AND(入力!$B$13="有効",A523&gt;1,MOD(A523-1,60)=0),AND(A523=入力!$B$11,A523&gt;1)),入力!$B$14="有効"),ROUND(G522*1.25,0),"")</f>
        <v/>
      </c>
      <c r="S523" s="36">
        <f t="shared" si="151"/>
        <v>420</v>
      </c>
      <c r="T523" s="35" t="str">
        <f t="shared" si="152"/>
        <v/>
      </c>
      <c r="U523" s="3">
        <f t="shared" si="136"/>
        <v>0</v>
      </c>
      <c r="V523" s="3">
        <f t="shared" si="137"/>
        <v>0</v>
      </c>
      <c r="W523" s="3">
        <f t="shared" si="138"/>
        <v>0</v>
      </c>
      <c r="X523" s="3">
        <f t="shared" si="139"/>
        <v>0</v>
      </c>
      <c r="Y523" s="3">
        <f>0</f>
        <v>0</v>
      </c>
      <c r="Z523" s="3">
        <f t="shared" si="140"/>
        <v>0</v>
      </c>
      <c r="AA523">
        <f>ROUND(IF(FALSE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,0)</f>
        <v>0</v>
      </c>
    </row>
    <row r="524" spans="1:27">
      <c r="A524" s="30">
        <f>519</f>
        <v>519</v>
      </c>
      <c r="B524" s="31">
        <f>EDATE(入力!$B$6,A524-1)</f>
        <v>62002</v>
      </c>
      <c r="C524" s="32">
        <f t="shared" si="141"/>
        <v>0</v>
      </c>
      <c r="D524" s="32">
        <f t="shared" si="142"/>
        <v>0</v>
      </c>
      <c r="E524" s="33">
        <f>IF(AND(T523="",A524&lt;=S523),IF(A524&lt;入力!$B$11,入力!$B$10,入力!$B$12),0)</f>
        <v>0</v>
      </c>
      <c r="F524" s="32">
        <f t="shared" si="143"/>
        <v>0</v>
      </c>
      <c r="G524" s="32">
        <f>ROUND(IF(NOT(AND(T523="",A524&lt;=S523)),0,IF(FALSE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),0)</f>
        <v>0</v>
      </c>
      <c r="H524" s="32">
        <f t="shared" si="144"/>
        <v>0</v>
      </c>
      <c r="I524" s="32">
        <f t="shared" si="145"/>
        <v>0</v>
      </c>
      <c r="J524" s="32">
        <f t="shared" si="146"/>
        <v>0</v>
      </c>
      <c r="K524" s="32">
        <f t="shared" si="147"/>
        <v>0</v>
      </c>
      <c r="L524" s="32">
        <f t="shared" si="148"/>
        <v>0</v>
      </c>
      <c r="M524" s="32">
        <f>0</f>
        <v>0</v>
      </c>
      <c r="N524" s="32">
        <f t="shared" si="149"/>
        <v>0</v>
      </c>
      <c r="O524" s="32">
        <f t="shared" si="150"/>
        <v>14115936</v>
      </c>
      <c r="P524" s="34" t="str">
        <f>IF(NOT(AND(T523="",A524&lt;=S523)),"",IF(FALSE,"繰上返済後再計算","")&amp;IF(AND(入力!$B$13="有効",A524&gt;1,MOD(A524-1,60)=0),IF(FALSE,"・","")&amp;"5年見直し","")&amp;IF(AND(A524=入力!$B$11,A524&gt;1),IF(OR(FALSE,AND(入力!$B$13="有効",A524&gt;1,MOD(A524-1,60)=0)),"・","")&amp;"金利変更","")&amp;IF(AND(OR(AND(入力!$B$13="有効",A524&gt;1,MOD(A524-1,60)=0),AND(A524=入力!$B$11,A524&gt;1)),入力!$B$14="有効",IF(E524=0,ROUND(C524/MAX(1,S523-A524+1),0),ROUND(-PMT(E524/12,MAX(1,S523-A524+1),C524),0))&gt;ROUND(G523*1.25,0),NOT(FALSE)),"・上限適用",""))</f>
        <v/>
      </c>
      <c r="Q524" s="35" t="str">
        <f>IF(AND(T523="",A524&lt;=S523),入力!$B$13,"")</f>
        <v/>
      </c>
      <c r="R524" s="32" t="str">
        <f>IF(AND(AND(T523="",A524&lt;=S523),OR(AND(入力!$B$13="有効",A524&gt;1,MOD(A524-1,60)=0),AND(A524=入力!$B$11,A524&gt;1)),入力!$B$14="有効"),ROUND(G523*1.25,0),"")</f>
        <v/>
      </c>
      <c r="S524" s="36">
        <f t="shared" si="151"/>
        <v>420</v>
      </c>
      <c r="T524" s="35" t="str">
        <f t="shared" si="152"/>
        <v/>
      </c>
      <c r="U524" s="3">
        <f t="shared" si="136"/>
        <v>0</v>
      </c>
      <c r="V524" s="3">
        <f t="shared" si="137"/>
        <v>0</v>
      </c>
      <c r="W524" s="3">
        <f t="shared" si="138"/>
        <v>0</v>
      </c>
      <c r="X524" s="3">
        <f t="shared" si="139"/>
        <v>0</v>
      </c>
      <c r="Y524" s="3">
        <f>0</f>
        <v>0</v>
      </c>
      <c r="Z524" s="3">
        <f t="shared" si="140"/>
        <v>0</v>
      </c>
      <c r="AA524">
        <f>ROUND(IF(FALSE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,0)</f>
        <v>0</v>
      </c>
    </row>
    <row r="525" spans="1:27">
      <c r="A525" s="30">
        <f>520</f>
        <v>520</v>
      </c>
      <c r="B525" s="31">
        <f>EDATE(入力!$B$6,A525-1)</f>
        <v>62033</v>
      </c>
      <c r="C525" s="32">
        <f t="shared" si="141"/>
        <v>0</v>
      </c>
      <c r="D525" s="32">
        <f t="shared" si="142"/>
        <v>0</v>
      </c>
      <c r="E525" s="33">
        <f>IF(AND(T524="",A525&lt;=S524),IF(A525&lt;入力!$B$11,入力!$B$10,入力!$B$12),0)</f>
        <v>0</v>
      </c>
      <c r="F525" s="32">
        <f t="shared" si="143"/>
        <v>0</v>
      </c>
      <c r="G525" s="32">
        <f>ROUND(IF(NOT(AND(T524="",A525&lt;=S524)),0,IF(FALSE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),0)</f>
        <v>0</v>
      </c>
      <c r="H525" s="32">
        <f t="shared" si="144"/>
        <v>0</v>
      </c>
      <c r="I525" s="32">
        <f t="shared" si="145"/>
        <v>0</v>
      </c>
      <c r="J525" s="32">
        <f t="shared" si="146"/>
        <v>0</v>
      </c>
      <c r="K525" s="32">
        <f t="shared" si="147"/>
        <v>0</v>
      </c>
      <c r="L525" s="32">
        <f t="shared" si="148"/>
        <v>0</v>
      </c>
      <c r="M525" s="32">
        <f>0</f>
        <v>0</v>
      </c>
      <c r="N525" s="32">
        <f t="shared" si="149"/>
        <v>0</v>
      </c>
      <c r="O525" s="32">
        <f t="shared" si="150"/>
        <v>14115936</v>
      </c>
      <c r="P525" s="34" t="str">
        <f>IF(NOT(AND(T524="",A525&lt;=S524)),"",IF(FALSE,"繰上返済後再計算","")&amp;IF(AND(入力!$B$13="有効",A525&gt;1,MOD(A525-1,60)=0),IF(FALSE,"・","")&amp;"5年見直し","")&amp;IF(AND(A525=入力!$B$11,A525&gt;1),IF(OR(FALSE,AND(入力!$B$13="有効",A525&gt;1,MOD(A525-1,60)=0)),"・","")&amp;"金利変更","")&amp;IF(AND(OR(AND(入力!$B$13="有効",A525&gt;1,MOD(A525-1,60)=0),AND(A525=入力!$B$11,A525&gt;1)),入力!$B$14="有効",IF(E525=0,ROUND(C525/MAX(1,S524-A525+1),0),ROUND(-PMT(E525/12,MAX(1,S524-A525+1),C525),0))&gt;ROUND(G524*1.25,0),NOT(FALSE)),"・上限適用",""))</f>
        <v/>
      </c>
      <c r="Q525" s="35" t="str">
        <f>IF(AND(T524="",A525&lt;=S524),入力!$B$13,"")</f>
        <v/>
      </c>
      <c r="R525" s="32" t="str">
        <f>IF(AND(AND(T524="",A525&lt;=S524),OR(AND(入力!$B$13="有効",A525&gt;1,MOD(A525-1,60)=0),AND(A525=入力!$B$11,A525&gt;1)),入力!$B$14="有効"),ROUND(G524*1.25,0),"")</f>
        <v/>
      </c>
      <c r="S525" s="36">
        <f t="shared" si="151"/>
        <v>420</v>
      </c>
      <c r="T525" s="35" t="str">
        <f t="shared" si="152"/>
        <v/>
      </c>
      <c r="U525" s="3">
        <f t="shared" si="136"/>
        <v>0</v>
      </c>
      <c r="V525" s="3">
        <f t="shared" si="137"/>
        <v>0</v>
      </c>
      <c r="W525" s="3">
        <f t="shared" si="138"/>
        <v>0</v>
      </c>
      <c r="X525" s="3">
        <f t="shared" si="139"/>
        <v>0</v>
      </c>
      <c r="Y525" s="3">
        <f>0</f>
        <v>0</v>
      </c>
      <c r="Z525" s="3">
        <f t="shared" si="140"/>
        <v>0</v>
      </c>
      <c r="AA525">
        <f>ROUND(IF(FALSE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,0)</f>
        <v>0</v>
      </c>
    </row>
    <row r="526" spans="1:27">
      <c r="A526" s="30">
        <f>521</f>
        <v>521</v>
      </c>
      <c r="B526" s="31">
        <f>EDATE(入力!$B$6,A526-1)</f>
        <v>62063</v>
      </c>
      <c r="C526" s="32">
        <f t="shared" si="141"/>
        <v>0</v>
      </c>
      <c r="D526" s="32">
        <f t="shared" si="142"/>
        <v>0</v>
      </c>
      <c r="E526" s="33">
        <f>IF(AND(T525="",A526&lt;=S525),IF(A526&lt;入力!$B$11,入力!$B$10,入力!$B$12),0)</f>
        <v>0</v>
      </c>
      <c r="F526" s="32">
        <f t="shared" si="143"/>
        <v>0</v>
      </c>
      <c r="G526" s="32">
        <f>ROUND(IF(NOT(AND(T525="",A526&lt;=S525)),0,IF(FALSE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),0)</f>
        <v>0</v>
      </c>
      <c r="H526" s="32">
        <f t="shared" si="144"/>
        <v>0</v>
      </c>
      <c r="I526" s="32">
        <f t="shared" si="145"/>
        <v>0</v>
      </c>
      <c r="J526" s="32">
        <f t="shared" si="146"/>
        <v>0</v>
      </c>
      <c r="K526" s="32">
        <f t="shared" si="147"/>
        <v>0</v>
      </c>
      <c r="L526" s="32">
        <f t="shared" si="148"/>
        <v>0</v>
      </c>
      <c r="M526" s="32">
        <f>0</f>
        <v>0</v>
      </c>
      <c r="N526" s="32">
        <f t="shared" si="149"/>
        <v>0</v>
      </c>
      <c r="O526" s="32">
        <f t="shared" si="150"/>
        <v>14115936</v>
      </c>
      <c r="P526" s="34" t="str">
        <f>IF(NOT(AND(T525="",A526&lt;=S525)),"",IF(FALSE,"繰上返済後再計算","")&amp;IF(AND(入力!$B$13="有効",A526&gt;1,MOD(A526-1,60)=0),IF(FALSE,"・","")&amp;"5年見直し","")&amp;IF(AND(A526=入力!$B$11,A526&gt;1),IF(OR(FALSE,AND(入力!$B$13="有効",A526&gt;1,MOD(A526-1,60)=0)),"・","")&amp;"金利変更","")&amp;IF(AND(OR(AND(入力!$B$13="有効",A526&gt;1,MOD(A526-1,60)=0),AND(A526=入力!$B$11,A526&gt;1)),入力!$B$14="有効",IF(E526=0,ROUND(C526/MAX(1,S525-A526+1),0),ROUND(-PMT(E526/12,MAX(1,S525-A526+1),C526),0))&gt;ROUND(G525*1.25,0),NOT(FALSE)),"・上限適用",""))</f>
        <v/>
      </c>
      <c r="Q526" s="35" t="str">
        <f>IF(AND(T525="",A526&lt;=S525),入力!$B$13,"")</f>
        <v/>
      </c>
      <c r="R526" s="32" t="str">
        <f>IF(AND(AND(T525="",A526&lt;=S525),OR(AND(入力!$B$13="有効",A526&gt;1,MOD(A526-1,60)=0),AND(A526=入力!$B$11,A526&gt;1)),入力!$B$14="有効"),ROUND(G525*1.25,0),"")</f>
        <v/>
      </c>
      <c r="S526" s="36">
        <f t="shared" si="151"/>
        <v>420</v>
      </c>
      <c r="T526" s="35" t="str">
        <f t="shared" si="152"/>
        <v/>
      </c>
      <c r="U526" s="3">
        <f t="shared" si="136"/>
        <v>0</v>
      </c>
      <c r="V526" s="3">
        <f t="shared" si="137"/>
        <v>0</v>
      </c>
      <c r="W526" s="3">
        <f t="shared" si="138"/>
        <v>0</v>
      </c>
      <c r="X526" s="3">
        <f t="shared" si="139"/>
        <v>0</v>
      </c>
      <c r="Y526" s="3">
        <f>0</f>
        <v>0</v>
      </c>
      <c r="Z526" s="3">
        <f t="shared" si="140"/>
        <v>0</v>
      </c>
      <c r="AA526">
        <f>ROUND(IF(FALSE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,0)</f>
        <v>0</v>
      </c>
    </row>
    <row r="527" spans="1:27">
      <c r="A527" s="30">
        <f>522</f>
        <v>522</v>
      </c>
      <c r="B527" s="31">
        <f>EDATE(入力!$B$6,A527-1)</f>
        <v>62094</v>
      </c>
      <c r="C527" s="32">
        <f t="shared" si="141"/>
        <v>0</v>
      </c>
      <c r="D527" s="32">
        <f t="shared" si="142"/>
        <v>0</v>
      </c>
      <c r="E527" s="33">
        <f>IF(AND(T526="",A527&lt;=S526),IF(A527&lt;入力!$B$11,入力!$B$10,入力!$B$12),0)</f>
        <v>0</v>
      </c>
      <c r="F527" s="32">
        <f t="shared" si="143"/>
        <v>0</v>
      </c>
      <c r="G527" s="32">
        <f>ROUND(IF(NOT(AND(T526="",A527&lt;=S526)),0,IF(FALSE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),0)</f>
        <v>0</v>
      </c>
      <c r="H527" s="32">
        <f t="shared" si="144"/>
        <v>0</v>
      </c>
      <c r="I527" s="32">
        <f t="shared" si="145"/>
        <v>0</v>
      </c>
      <c r="J527" s="32">
        <f t="shared" si="146"/>
        <v>0</v>
      </c>
      <c r="K527" s="32">
        <f t="shared" si="147"/>
        <v>0</v>
      </c>
      <c r="L527" s="32">
        <f t="shared" si="148"/>
        <v>0</v>
      </c>
      <c r="M527" s="32">
        <f>0</f>
        <v>0</v>
      </c>
      <c r="N527" s="32">
        <f t="shared" si="149"/>
        <v>0</v>
      </c>
      <c r="O527" s="32">
        <f t="shared" si="150"/>
        <v>14115936</v>
      </c>
      <c r="P527" s="34" t="str">
        <f>IF(NOT(AND(T526="",A527&lt;=S526)),"",IF(FALSE,"繰上返済後再計算","")&amp;IF(AND(入力!$B$13="有効",A527&gt;1,MOD(A527-1,60)=0),IF(FALSE,"・","")&amp;"5年見直し","")&amp;IF(AND(A527=入力!$B$11,A527&gt;1),IF(OR(FALSE,AND(入力!$B$13="有効",A527&gt;1,MOD(A527-1,60)=0)),"・","")&amp;"金利変更","")&amp;IF(AND(OR(AND(入力!$B$13="有効",A527&gt;1,MOD(A527-1,60)=0),AND(A527=入力!$B$11,A527&gt;1)),入力!$B$14="有効",IF(E527=0,ROUND(C527/MAX(1,S526-A527+1),0),ROUND(-PMT(E527/12,MAX(1,S526-A527+1),C527),0))&gt;ROUND(G526*1.25,0),NOT(FALSE)),"・上限適用",""))</f>
        <v/>
      </c>
      <c r="Q527" s="35" t="str">
        <f>IF(AND(T526="",A527&lt;=S526),入力!$B$13,"")</f>
        <v/>
      </c>
      <c r="R527" s="32" t="str">
        <f>IF(AND(AND(T526="",A527&lt;=S526),OR(AND(入力!$B$13="有効",A527&gt;1,MOD(A527-1,60)=0),AND(A527=入力!$B$11,A527&gt;1)),入力!$B$14="有効"),ROUND(G526*1.25,0),"")</f>
        <v/>
      </c>
      <c r="S527" s="36">
        <f t="shared" si="151"/>
        <v>420</v>
      </c>
      <c r="T527" s="35" t="str">
        <f t="shared" si="152"/>
        <v/>
      </c>
      <c r="U527" s="3">
        <f t="shared" si="136"/>
        <v>0</v>
      </c>
      <c r="V527" s="3">
        <f t="shared" si="137"/>
        <v>0</v>
      </c>
      <c r="W527" s="3">
        <f t="shared" si="138"/>
        <v>0</v>
      </c>
      <c r="X527" s="3">
        <f t="shared" si="139"/>
        <v>0</v>
      </c>
      <c r="Y527" s="3">
        <f>0</f>
        <v>0</v>
      </c>
      <c r="Z527" s="3">
        <f t="shared" si="140"/>
        <v>0</v>
      </c>
      <c r="AA527">
        <f>ROUND(IF(FALSE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,0)</f>
        <v>0</v>
      </c>
    </row>
    <row r="528" spans="1:27">
      <c r="A528" s="30">
        <f>523</f>
        <v>523</v>
      </c>
      <c r="B528" s="31">
        <f>EDATE(入力!$B$6,A528-1)</f>
        <v>62125</v>
      </c>
      <c r="C528" s="32">
        <f t="shared" si="141"/>
        <v>0</v>
      </c>
      <c r="D528" s="32">
        <f t="shared" si="142"/>
        <v>0</v>
      </c>
      <c r="E528" s="33">
        <f>IF(AND(T527="",A528&lt;=S527),IF(A528&lt;入力!$B$11,入力!$B$10,入力!$B$12),0)</f>
        <v>0</v>
      </c>
      <c r="F528" s="32">
        <f t="shared" si="143"/>
        <v>0</v>
      </c>
      <c r="G528" s="32">
        <f>ROUND(IF(NOT(AND(T527="",A528&lt;=S527)),0,IF(FALSE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),0)</f>
        <v>0</v>
      </c>
      <c r="H528" s="32">
        <f t="shared" si="144"/>
        <v>0</v>
      </c>
      <c r="I528" s="32">
        <f t="shared" si="145"/>
        <v>0</v>
      </c>
      <c r="J528" s="32">
        <f t="shared" si="146"/>
        <v>0</v>
      </c>
      <c r="K528" s="32">
        <f t="shared" si="147"/>
        <v>0</v>
      </c>
      <c r="L528" s="32">
        <f t="shared" si="148"/>
        <v>0</v>
      </c>
      <c r="M528" s="32">
        <f>0</f>
        <v>0</v>
      </c>
      <c r="N528" s="32">
        <f t="shared" si="149"/>
        <v>0</v>
      </c>
      <c r="O528" s="32">
        <f t="shared" si="150"/>
        <v>14115936</v>
      </c>
      <c r="P528" s="34" t="str">
        <f>IF(NOT(AND(T527="",A528&lt;=S527)),"",IF(FALSE,"繰上返済後再計算","")&amp;IF(AND(入力!$B$13="有効",A528&gt;1,MOD(A528-1,60)=0),IF(FALSE,"・","")&amp;"5年見直し","")&amp;IF(AND(A528=入力!$B$11,A528&gt;1),IF(OR(FALSE,AND(入力!$B$13="有効",A528&gt;1,MOD(A528-1,60)=0)),"・","")&amp;"金利変更","")&amp;IF(AND(OR(AND(入力!$B$13="有効",A528&gt;1,MOD(A528-1,60)=0),AND(A528=入力!$B$11,A528&gt;1)),入力!$B$14="有効",IF(E528=0,ROUND(C528/MAX(1,S527-A528+1),0),ROUND(-PMT(E528/12,MAX(1,S527-A528+1),C528),0))&gt;ROUND(G527*1.25,0),NOT(FALSE)),"・上限適用",""))</f>
        <v/>
      </c>
      <c r="Q528" s="35" t="str">
        <f>IF(AND(T527="",A528&lt;=S527),入力!$B$13,"")</f>
        <v/>
      </c>
      <c r="R528" s="32" t="str">
        <f>IF(AND(AND(T527="",A528&lt;=S527),OR(AND(入力!$B$13="有効",A528&gt;1,MOD(A528-1,60)=0),AND(A528=入力!$B$11,A528&gt;1)),入力!$B$14="有効"),ROUND(G527*1.25,0),"")</f>
        <v/>
      </c>
      <c r="S528" s="36">
        <f t="shared" si="151"/>
        <v>420</v>
      </c>
      <c r="T528" s="35" t="str">
        <f t="shared" si="152"/>
        <v/>
      </c>
      <c r="U528" s="3">
        <f t="shared" si="136"/>
        <v>0</v>
      </c>
      <c r="V528" s="3">
        <f t="shared" si="137"/>
        <v>0</v>
      </c>
      <c r="W528" s="3">
        <f t="shared" si="138"/>
        <v>0</v>
      </c>
      <c r="X528" s="3">
        <f t="shared" si="139"/>
        <v>0</v>
      </c>
      <c r="Y528" s="3">
        <f>0</f>
        <v>0</v>
      </c>
      <c r="Z528" s="3">
        <f t="shared" si="140"/>
        <v>0</v>
      </c>
      <c r="AA528">
        <f>ROUND(IF(FALSE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,0)</f>
        <v>0</v>
      </c>
    </row>
    <row r="529" spans="1:27">
      <c r="A529" s="30">
        <f>524</f>
        <v>524</v>
      </c>
      <c r="B529" s="31">
        <f>EDATE(入力!$B$6,A529-1)</f>
        <v>62153</v>
      </c>
      <c r="C529" s="32">
        <f t="shared" si="141"/>
        <v>0</v>
      </c>
      <c r="D529" s="32">
        <f t="shared" si="142"/>
        <v>0</v>
      </c>
      <c r="E529" s="33">
        <f>IF(AND(T528="",A529&lt;=S528),IF(A529&lt;入力!$B$11,入力!$B$10,入力!$B$12),0)</f>
        <v>0</v>
      </c>
      <c r="F529" s="32">
        <f t="shared" si="143"/>
        <v>0</v>
      </c>
      <c r="G529" s="32">
        <f>ROUND(IF(NOT(AND(T528="",A529&lt;=S528)),0,IF(FALSE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),0)</f>
        <v>0</v>
      </c>
      <c r="H529" s="32">
        <f t="shared" si="144"/>
        <v>0</v>
      </c>
      <c r="I529" s="32">
        <f t="shared" si="145"/>
        <v>0</v>
      </c>
      <c r="J529" s="32">
        <f t="shared" si="146"/>
        <v>0</v>
      </c>
      <c r="K529" s="32">
        <f t="shared" si="147"/>
        <v>0</v>
      </c>
      <c r="L529" s="32">
        <f t="shared" si="148"/>
        <v>0</v>
      </c>
      <c r="M529" s="32">
        <f>0</f>
        <v>0</v>
      </c>
      <c r="N529" s="32">
        <f t="shared" si="149"/>
        <v>0</v>
      </c>
      <c r="O529" s="32">
        <f t="shared" si="150"/>
        <v>14115936</v>
      </c>
      <c r="P529" s="34" t="str">
        <f>IF(NOT(AND(T528="",A529&lt;=S528)),"",IF(FALSE,"繰上返済後再計算","")&amp;IF(AND(入力!$B$13="有効",A529&gt;1,MOD(A529-1,60)=0),IF(FALSE,"・","")&amp;"5年見直し","")&amp;IF(AND(A529=入力!$B$11,A529&gt;1),IF(OR(FALSE,AND(入力!$B$13="有効",A529&gt;1,MOD(A529-1,60)=0)),"・","")&amp;"金利変更","")&amp;IF(AND(OR(AND(入力!$B$13="有効",A529&gt;1,MOD(A529-1,60)=0),AND(A529=入力!$B$11,A529&gt;1)),入力!$B$14="有効",IF(E529=0,ROUND(C529/MAX(1,S528-A529+1),0),ROUND(-PMT(E529/12,MAX(1,S528-A529+1),C529),0))&gt;ROUND(G528*1.25,0),NOT(FALSE)),"・上限適用",""))</f>
        <v/>
      </c>
      <c r="Q529" s="35" t="str">
        <f>IF(AND(T528="",A529&lt;=S528),入力!$B$13,"")</f>
        <v/>
      </c>
      <c r="R529" s="32" t="str">
        <f>IF(AND(AND(T528="",A529&lt;=S528),OR(AND(入力!$B$13="有効",A529&gt;1,MOD(A529-1,60)=0),AND(A529=入力!$B$11,A529&gt;1)),入力!$B$14="有効"),ROUND(G528*1.25,0),"")</f>
        <v/>
      </c>
      <c r="S529" s="36">
        <f t="shared" si="151"/>
        <v>420</v>
      </c>
      <c r="T529" s="35" t="str">
        <f t="shared" si="152"/>
        <v/>
      </c>
      <c r="U529" s="3">
        <f t="shared" si="136"/>
        <v>0</v>
      </c>
      <c r="V529" s="3">
        <f t="shared" si="137"/>
        <v>0</v>
      </c>
      <c r="W529" s="3">
        <f t="shared" si="138"/>
        <v>0</v>
      </c>
      <c r="X529" s="3">
        <f t="shared" si="139"/>
        <v>0</v>
      </c>
      <c r="Y529" s="3">
        <f>0</f>
        <v>0</v>
      </c>
      <c r="Z529" s="3">
        <f t="shared" si="140"/>
        <v>0</v>
      </c>
      <c r="AA529">
        <f>ROUND(IF(FALSE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,0)</f>
        <v>0</v>
      </c>
    </row>
    <row r="530" spans="1:27">
      <c r="A530" s="30">
        <f>525</f>
        <v>525</v>
      </c>
      <c r="B530" s="31">
        <f>EDATE(入力!$B$6,A530-1)</f>
        <v>62184</v>
      </c>
      <c r="C530" s="32">
        <f t="shared" si="141"/>
        <v>0</v>
      </c>
      <c r="D530" s="32">
        <f t="shared" si="142"/>
        <v>0</v>
      </c>
      <c r="E530" s="33">
        <f>IF(AND(T529="",A530&lt;=S529),IF(A530&lt;入力!$B$11,入力!$B$10,入力!$B$12),0)</f>
        <v>0</v>
      </c>
      <c r="F530" s="32">
        <f t="shared" si="143"/>
        <v>0</v>
      </c>
      <c r="G530" s="32">
        <f>ROUND(IF(NOT(AND(T529="",A530&lt;=S529)),0,IF(FALSE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),0)</f>
        <v>0</v>
      </c>
      <c r="H530" s="32">
        <f t="shared" si="144"/>
        <v>0</v>
      </c>
      <c r="I530" s="32">
        <f t="shared" si="145"/>
        <v>0</v>
      </c>
      <c r="J530" s="32">
        <f t="shared" si="146"/>
        <v>0</v>
      </c>
      <c r="K530" s="32">
        <f t="shared" si="147"/>
        <v>0</v>
      </c>
      <c r="L530" s="32">
        <f t="shared" si="148"/>
        <v>0</v>
      </c>
      <c r="M530" s="32">
        <f>0</f>
        <v>0</v>
      </c>
      <c r="N530" s="32">
        <f t="shared" si="149"/>
        <v>0</v>
      </c>
      <c r="O530" s="32">
        <f t="shared" si="150"/>
        <v>14115936</v>
      </c>
      <c r="P530" s="34" t="str">
        <f>IF(NOT(AND(T529="",A530&lt;=S529)),"",IF(FALSE,"繰上返済後再計算","")&amp;IF(AND(入力!$B$13="有効",A530&gt;1,MOD(A530-1,60)=0),IF(FALSE,"・","")&amp;"5年見直し","")&amp;IF(AND(A530=入力!$B$11,A530&gt;1),IF(OR(FALSE,AND(入力!$B$13="有効",A530&gt;1,MOD(A530-1,60)=0)),"・","")&amp;"金利変更","")&amp;IF(AND(OR(AND(入力!$B$13="有効",A530&gt;1,MOD(A530-1,60)=0),AND(A530=入力!$B$11,A530&gt;1)),入力!$B$14="有効",IF(E530=0,ROUND(C530/MAX(1,S529-A530+1),0),ROUND(-PMT(E530/12,MAX(1,S529-A530+1),C530),0))&gt;ROUND(G529*1.25,0),NOT(FALSE)),"・上限適用",""))</f>
        <v/>
      </c>
      <c r="Q530" s="35" t="str">
        <f>IF(AND(T529="",A530&lt;=S529),入力!$B$13,"")</f>
        <v/>
      </c>
      <c r="R530" s="32" t="str">
        <f>IF(AND(AND(T529="",A530&lt;=S529),OR(AND(入力!$B$13="有効",A530&gt;1,MOD(A530-1,60)=0),AND(A530=入力!$B$11,A530&gt;1)),入力!$B$14="有効"),ROUND(G529*1.25,0),"")</f>
        <v/>
      </c>
      <c r="S530" s="36">
        <f t="shared" si="151"/>
        <v>420</v>
      </c>
      <c r="T530" s="35" t="str">
        <f t="shared" si="152"/>
        <v/>
      </c>
      <c r="U530" s="3">
        <f t="shared" si="136"/>
        <v>0</v>
      </c>
      <c r="V530" s="3">
        <f t="shared" si="137"/>
        <v>0</v>
      </c>
      <c r="W530" s="3">
        <f t="shared" si="138"/>
        <v>0</v>
      </c>
      <c r="X530" s="3">
        <f t="shared" si="139"/>
        <v>0</v>
      </c>
      <c r="Y530" s="3">
        <f>0</f>
        <v>0</v>
      </c>
      <c r="Z530" s="3">
        <f t="shared" si="140"/>
        <v>0</v>
      </c>
      <c r="AA530">
        <f>ROUND(IF(FALSE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,0)</f>
        <v>0</v>
      </c>
    </row>
    <row r="531" spans="1:27">
      <c r="A531" s="30">
        <f>526</f>
        <v>526</v>
      </c>
      <c r="B531" s="31">
        <f>EDATE(入力!$B$6,A531-1)</f>
        <v>62214</v>
      </c>
      <c r="C531" s="32">
        <f t="shared" si="141"/>
        <v>0</v>
      </c>
      <c r="D531" s="32">
        <f t="shared" si="142"/>
        <v>0</v>
      </c>
      <c r="E531" s="33">
        <f>IF(AND(T530="",A531&lt;=S530),IF(A531&lt;入力!$B$11,入力!$B$10,入力!$B$12),0)</f>
        <v>0</v>
      </c>
      <c r="F531" s="32">
        <f t="shared" si="143"/>
        <v>0</v>
      </c>
      <c r="G531" s="32">
        <f>ROUND(IF(NOT(AND(T530="",A531&lt;=S530)),0,IF(FALSE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),0)</f>
        <v>0</v>
      </c>
      <c r="H531" s="32">
        <f t="shared" si="144"/>
        <v>0</v>
      </c>
      <c r="I531" s="32">
        <f t="shared" si="145"/>
        <v>0</v>
      </c>
      <c r="J531" s="32">
        <f t="shared" si="146"/>
        <v>0</v>
      </c>
      <c r="K531" s="32">
        <f t="shared" si="147"/>
        <v>0</v>
      </c>
      <c r="L531" s="32">
        <f t="shared" si="148"/>
        <v>0</v>
      </c>
      <c r="M531" s="32">
        <f>0</f>
        <v>0</v>
      </c>
      <c r="N531" s="32">
        <f t="shared" si="149"/>
        <v>0</v>
      </c>
      <c r="O531" s="32">
        <f t="shared" si="150"/>
        <v>14115936</v>
      </c>
      <c r="P531" s="34" t="str">
        <f>IF(NOT(AND(T530="",A531&lt;=S530)),"",IF(FALSE,"繰上返済後再計算","")&amp;IF(AND(入力!$B$13="有効",A531&gt;1,MOD(A531-1,60)=0),IF(FALSE,"・","")&amp;"5年見直し","")&amp;IF(AND(A531=入力!$B$11,A531&gt;1),IF(OR(FALSE,AND(入力!$B$13="有効",A531&gt;1,MOD(A531-1,60)=0)),"・","")&amp;"金利変更","")&amp;IF(AND(OR(AND(入力!$B$13="有効",A531&gt;1,MOD(A531-1,60)=0),AND(A531=入力!$B$11,A531&gt;1)),入力!$B$14="有効",IF(E531=0,ROUND(C531/MAX(1,S530-A531+1),0),ROUND(-PMT(E531/12,MAX(1,S530-A531+1),C531),0))&gt;ROUND(G530*1.25,0),NOT(FALSE)),"・上限適用",""))</f>
        <v/>
      </c>
      <c r="Q531" s="35" t="str">
        <f>IF(AND(T530="",A531&lt;=S530),入力!$B$13,"")</f>
        <v/>
      </c>
      <c r="R531" s="32" t="str">
        <f>IF(AND(AND(T530="",A531&lt;=S530),OR(AND(入力!$B$13="有効",A531&gt;1,MOD(A531-1,60)=0),AND(A531=入力!$B$11,A531&gt;1)),入力!$B$14="有効"),ROUND(G530*1.25,0),"")</f>
        <v/>
      </c>
      <c r="S531" s="36">
        <f t="shared" si="151"/>
        <v>420</v>
      </c>
      <c r="T531" s="35" t="str">
        <f t="shared" si="152"/>
        <v/>
      </c>
      <c r="U531" s="3">
        <f t="shared" si="136"/>
        <v>0</v>
      </c>
      <c r="V531" s="3">
        <f t="shared" si="137"/>
        <v>0</v>
      </c>
      <c r="W531" s="3">
        <f t="shared" si="138"/>
        <v>0</v>
      </c>
      <c r="X531" s="3">
        <f t="shared" si="139"/>
        <v>0</v>
      </c>
      <c r="Y531" s="3">
        <f>0</f>
        <v>0</v>
      </c>
      <c r="Z531" s="3">
        <f t="shared" si="140"/>
        <v>0</v>
      </c>
      <c r="AA531">
        <f>ROUND(IF(FALSE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,0)</f>
        <v>0</v>
      </c>
    </row>
    <row r="532" spans="1:27">
      <c r="A532" s="30">
        <f>527</f>
        <v>527</v>
      </c>
      <c r="B532" s="31">
        <f>EDATE(入力!$B$6,A532-1)</f>
        <v>62245</v>
      </c>
      <c r="C532" s="32">
        <f t="shared" si="141"/>
        <v>0</v>
      </c>
      <c r="D532" s="32">
        <f t="shared" si="142"/>
        <v>0</v>
      </c>
      <c r="E532" s="33">
        <f>IF(AND(T531="",A532&lt;=S531),IF(A532&lt;入力!$B$11,入力!$B$10,入力!$B$12),0)</f>
        <v>0</v>
      </c>
      <c r="F532" s="32">
        <f t="shared" si="143"/>
        <v>0</v>
      </c>
      <c r="G532" s="32">
        <f>ROUND(IF(NOT(AND(T531="",A532&lt;=S531)),0,IF(FALSE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),0)</f>
        <v>0</v>
      </c>
      <c r="H532" s="32">
        <f t="shared" si="144"/>
        <v>0</v>
      </c>
      <c r="I532" s="32">
        <f t="shared" si="145"/>
        <v>0</v>
      </c>
      <c r="J532" s="32">
        <f t="shared" si="146"/>
        <v>0</v>
      </c>
      <c r="K532" s="32">
        <f t="shared" si="147"/>
        <v>0</v>
      </c>
      <c r="L532" s="32">
        <f t="shared" si="148"/>
        <v>0</v>
      </c>
      <c r="M532" s="32">
        <f>0</f>
        <v>0</v>
      </c>
      <c r="N532" s="32">
        <f t="shared" si="149"/>
        <v>0</v>
      </c>
      <c r="O532" s="32">
        <f t="shared" si="150"/>
        <v>14115936</v>
      </c>
      <c r="P532" s="34" t="str">
        <f>IF(NOT(AND(T531="",A532&lt;=S531)),"",IF(FALSE,"繰上返済後再計算","")&amp;IF(AND(入力!$B$13="有効",A532&gt;1,MOD(A532-1,60)=0),IF(FALSE,"・","")&amp;"5年見直し","")&amp;IF(AND(A532=入力!$B$11,A532&gt;1),IF(OR(FALSE,AND(入力!$B$13="有効",A532&gt;1,MOD(A532-1,60)=0)),"・","")&amp;"金利変更","")&amp;IF(AND(OR(AND(入力!$B$13="有効",A532&gt;1,MOD(A532-1,60)=0),AND(A532=入力!$B$11,A532&gt;1)),入力!$B$14="有効",IF(E532=0,ROUND(C532/MAX(1,S531-A532+1),0),ROUND(-PMT(E532/12,MAX(1,S531-A532+1),C532),0))&gt;ROUND(G531*1.25,0),NOT(FALSE)),"・上限適用",""))</f>
        <v/>
      </c>
      <c r="Q532" s="35" t="str">
        <f>IF(AND(T531="",A532&lt;=S531),入力!$B$13,"")</f>
        <v/>
      </c>
      <c r="R532" s="32" t="str">
        <f>IF(AND(AND(T531="",A532&lt;=S531),OR(AND(入力!$B$13="有効",A532&gt;1,MOD(A532-1,60)=0),AND(A532=入力!$B$11,A532&gt;1)),入力!$B$14="有効"),ROUND(G531*1.25,0),"")</f>
        <v/>
      </c>
      <c r="S532" s="36">
        <f t="shared" si="151"/>
        <v>420</v>
      </c>
      <c r="T532" s="35" t="str">
        <f t="shared" si="152"/>
        <v/>
      </c>
      <c r="U532" s="3">
        <f t="shared" si="136"/>
        <v>0</v>
      </c>
      <c r="V532" s="3">
        <f t="shared" si="137"/>
        <v>0</v>
      </c>
      <c r="W532" s="3">
        <f t="shared" si="138"/>
        <v>0</v>
      </c>
      <c r="X532" s="3">
        <f t="shared" si="139"/>
        <v>0</v>
      </c>
      <c r="Y532" s="3">
        <f>0</f>
        <v>0</v>
      </c>
      <c r="Z532" s="3">
        <f t="shared" si="140"/>
        <v>0</v>
      </c>
      <c r="AA532">
        <f>ROUND(IF(FALSE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,0)</f>
        <v>0</v>
      </c>
    </row>
    <row r="533" spans="1:27">
      <c r="A533" s="30">
        <f>528</f>
        <v>528</v>
      </c>
      <c r="B533" s="31">
        <f>EDATE(入力!$B$6,A533-1)</f>
        <v>62275</v>
      </c>
      <c r="C533" s="32">
        <f t="shared" si="141"/>
        <v>0</v>
      </c>
      <c r="D533" s="32">
        <f t="shared" si="142"/>
        <v>0</v>
      </c>
      <c r="E533" s="33">
        <f>IF(AND(T532="",A533&lt;=S532),IF(A533&lt;入力!$B$11,入力!$B$10,入力!$B$12),0)</f>
        <v>0</v>
      </c>
      <c r="F533" s="32">
        <f t="shared" si="143"/>
        <v>0</v>
      </c>
      <c r="G533" s="32">
        <f>ROUND(IF(NOT(AND(T532="",A533&lt;=S532)),0,IF(FALSE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),0)</f>
        <v>0</v>
      </c>
      <c r="H533" s="32">
        <f t="shared" si="144"/>
        <v>0</v>
      </c>
      <c r="I533" s="32">
        <f t="shared" si="145"/>
        <v>0</v>
      </c>
      <c r="J533" s="32">
        <f t="shared" si="146"/>
        <v>0</v>
      </c>
      <c r="K533" s="32">
        <f t="shared" si="147"/>
        <v>0</v>
      </c>
      <c r="L533" s="32">
        <f t="shared" si="148"/>
        <v>0</v>
      </c>
      <c r="M533" s="32">
        <f>0</f>
        <v>0</v>
      </c>
      <c r="N533" s="32">
        <f t="shared" si="149"/>
        <v>0</v>
      </c>
      <c r="O533" s="32">
        <f t="shared" si="150"/>
        <v>14115936</v>
      </c>
      <c r="P533" s="34" t="str">
        <f>IF(NOT(AND(T532="",A533&lt;=S532)),"",IF(FALSE,"繰上返済後再計算","")&amp;IF(AND(入力!$B$13="有効",A533&gt;1,MOD(A533-1,60)=0),IF(FALSE,"・","")&amp;"5年見直し","")&amp;IF(AND(A533=入力!$B$11,A533&gt;1),IF(OR(FALSE,AND(入力!$B$13="有効",A533&gt;1,MOD(A533-1,60)=0)),"・","")&amp;"金利変更","")&amp;IF(AND(OR(AND(入力!$B$13="有効",A533&gt;1,MOD(A533-1,60)=0),AND(A533=入力!$B$11,A533&gt;1)),入力!$B$14="有効",IF(E533=0,ROUND(C533/MAX(1,S532-A533+1),0),ROUND(-PMT(E533/12,MAX(1,S532-A533+1),C533),0))&gt;ROUND(G532*1.25,0),NOT(FALSE)),"・上限適用",""))</f>
        <v/>
      </c>
      <c r="Q533" s="35" t="str">
        <f>IF(AND(T532="",A533&lt;=S532),入力!$B$13,"")</f>
        <v/>
      </c>
      <c r="R533" s="32" t="str">
        <f>IF(AND(AND(T532="",A533&lt;=S532),OR(AND(入力!$B$13="有効",A533&gt;1,MOD(A533-1,60)=0),AND(A533=入力!$B$11,A533&gt;1)),入力!$B$14="有効"),ROUND(G532*1.25,0),"")</f>
        <v/>
      </c>
      <c r="S533" s="36">
        <f t="shared" si="151"/>
        <v>420</v>
      </c>
      <c r="T533" s="35" t="str">
        <f t="shared" si="152"/>
        <v/>
      </c>
      <c r="U533" s="3">
        <f t="shared" si="136"/>
        <v>0</v>
      </c>
      <c r="V533" s="3">
        <f t="shared" si="137"/>
        <v>0</v>
      </c>
      <c r="W533" s="3">
        <f t="shared" si="138"/>
        <v>0</v>
      </c>
      <c r="X533" s="3">
        <f t="shared" si="139"/>
        <v>0</v>
      </c>
      <c r="Y533" s="3">
        <f>0</f>
        <v>0</v>
      </c>
      <c r="Z533" s="3">
        <f t="shared" si="140"/>
        <v>0</v>
      </c>
      <c r="AA533">
        <f>ROUND(IF(FALSE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,0)</f>
        <v>0</v>
      </c>
    </row>
    <row r="534" spans="1:27">
      <c r="A534" s="30">
        <f>529</f>
        <v>529</v>
      </c>
      <c r="B534" s="31">
        <f>EDATE(入力!$B$6,A534-1)</f>
        <v>62306</v>
      </c>
      <c r="C534" s="32">
        <f t="shared" si="141"/>
        <v>0</v>
      </c>
      <c r="D534" s="32">
        <f t="shared" si="142"/>
        <v>0</v>
      </c>
      <c r="E534" s="33">
        <f>IF(AND(T533="",A534&lt;=S533),IF(A534&lt;入力!$B$11,入力!$B$10,入力!$B$12),0)</f>
        <v>0</v>
      </c>
      <c r="F534" s="32">
        <f t="shared" si="143"/>
        <v>0</v>
      </c>
      <c r="G534" s="32">
        <f>ROUND(IF(NOT(AND(T533="",A534&lt;=S533)),0,IF(FALSE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),0)</f>
        <v>0</v>
      </c>
      <c r="H534" s="32">
        <f t="shared" si="144"/>
        <v>0</v>
      </c>
      <c r="I534" s="32">
        <f t="shared" si="145"/>
        <v>0</v>
      </c>
      <c r="J534" s="32">
        <f t="shared" si="146"/>
        <v>0</v>
      </c>
      <c r="K534" s="32">
        <f t="shared" si="147"/>
        <v>0</v>
      </c>
      <c r="L534" s="32">
        <f t="shared" si="148"/>
        <v>0</v>
      </c>
      <c r="M534" s="32">
        <f>0</f>
        <v>0</v>
      </c>
      <c r="N534" s="32">
        <f t="shared" si="149"/>
        <v>0</v>
      </c>
      <c r="O534" s="32">
        <f t="shared" si="150"/>
        <v>14115936</v>
      </c>
      <c r="P534" s="34" t="str">
        <f>IF(NOT(AND(T533="",A534&lt;=S533)),"",IF(FALSE,"繰上返済後再計算","")&amp;IF(AND(入力!$B$13="有効",A534&gt;1,MOD(A534-1,60)=0),IF(FALSE,"・","")&amp;"5年見直し","")&amp;IF(AND(A534=入力!$B$11,A534&gt;1),IF(OR(FALSE,AND(入力!$B$13="有効",A534&gt;1,MOD(A534-1,60)=0)),"・","")&amp;"金利変更","")&amp;IF(AND(OR(AND(入力!$B$13="有効",A534&gt;1,MOD(A534-1,60)=0),AND(A534=入力!$B$11,A534&gt;1)),入力!$B$14="有効",IF(E534=0,ROUND(C534/MAX(1,S533-A534+1),0),ROUND(-PMT(E534/12,MAX(1,S533-A534+1),C534),0))&gt;ROUND(G533*1.25,0),NOT(FALSE)),"・上限適用",""))</f>
        <v/>
      </c>
      <c r="Q534" s="35" t="str">
        <f>IF(AND(T533="",A534&lt;=S533),入力!$B$13,"")</f>
        <v/>
      </c>
      <c r="R534" s="32" t="str">
        <f>IF(AND(AND(T533="",A534&lt;=S533),OR(AND(入力!$B$13="有効",A534&gt;1,MOD(A534-1,60)=0),AND(A534=入力!$B$11,A534&gt;1)),入力!$B$14="有効"),ROUND(G533*1.25,0),"")</f>
        <v/>
      </c>
      <c r="S534" s="36">
        <f t="shared" si="151"/>
        <v>420</v>
      </c>
      <c r="T534" s="35" t="str">
        <f t="shared" si="152"/>
        <v/>
      </c>
      <c r="U534" s="3">
        <f t="shared" si="136"/>
        <v>0</v>
      </c>
      <c r="V534" s="3">
        <f t="shared" si="137"/>
        <v>0</v>
      </c>
      <c r="W534" s="3">
        <f t="shared" si="138"/>
        <v>0</v>
      </c>
      <c r="X534" s="3">
        <f t="shared" si="139"/>
        <v>0</v>
      </c>
      <c r="Y534" s="3">
        <f>0</f>
        <v>0</v>
      </c>
      <c r="Z534" s="3">
        <f t="shared" si="140"/>
        <v>0</v>
      </c>
      <c r="AA534">
        <f>ROUND(IF(FALSE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,0)</f>
        <v>0</v>
      </c>
    </row>
    <row r="535" spans="1:27">
      <c r="A535" s="30">
        <f>530</f>
        <v>530</v>
      </c>
      <c r="B535" s="31">
        <f>EDATE(入力!$B$6,A535-1)</f>
        <v>62337</v>
      </c>
      <c r="C535" s="32">
        <f t="shared" si="141"/>
        <v>0</v>
      </c>
      <c r="D535" s="32">
        <f t="shared" si="142"/>
        <v>0</v>
      </c>
      <c r="E535" s="33">
        <f>IF(AND(T534="",A535&lt;=S534),IF(A535&lt;入力!$B$11,入力!$B$10,入力!$B$12),0)</f>
        <v>0</v>
      </c>
      <c r="F535" s="32">
        <f t="shared" si="143"/>
        <v>0</v>
      </c>
      <c r="G535" s="32">
        <f>ROUND(IF(NOT(AND(T534="",A535&lt;=S534)),0,IF(FALSE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),0)</f>
        <v>0</v>
      </c>
      <c r="H535" s="32">
        <f t="shared" si="144"/>
        <v>0</v>
      </c>
      <c r="I535" s="32">
        <f t="shared" si="145"/>
        <v>0</v>
      </c>
      <c r="J535" s="32">
        <f t="shared" si="146"/>
        <v>0</v>
      </c>
      <c r="K535" s="32">
        <f t="shared" si="147"/>
        <v>0</v>
      </c>
      <c r="L535" s="32">
        <f t="shared" si="148"/>
        <v>0</v>
      </c>
      <c r="M535" s="32">
        <f>0</f>
        <v>0</v>
      </c>
      <c r="N535" s="32">
        <f t="shared" si="149"/>
        <v>0</v>
      </c>
      <c r="O535" s="32">
        <f t="shared" si="150"/>
        <v>14115936</v>
      </c>
      <c r="P535" s="34" t="str">
        <f>IF(NOT(AND(T534="",A535&lt;=S534)),"",IF(FALSE,"繰上返済後再計算","")&amp;IF(AND(入力!$B$13="有効",A535&gt;1,MOD(A535-1,60)=0),IF(FALSE,"・","")&amp;"5年見直し","")&amp;IF(AND(A535=入力!$B$11,A535&gt;1),IF(OR(FALSE,AND(入力!$B$13="有効",A535&gt;1,MOD(A535-1,60)=0)),"・","")&amp;"金利変更","")&amp;IF(AND(OR(AND(入力!$B$13="有効",A535&gt;1,MOD(A535-1,60)=0),AND(A535=入力!$B$11,A535&gt;1)),入力!$B$14="有効",IF(E535=0,ROUND(C535/MAX(1,S534-A535+1),0),ROUND(-PMT(E535/12,MAX(1,S534-A535+1),C535),0))&gt;ROUND(G534*1.25,0),NOT(FALSE)),"・上限適用",""))</f>
        <v/>
      </c>
      <c r="Q535" s="35" t="str">
        <f>IF(AND(T534="",A535&lt;=S534),入力!$B$13,"")</f>
        <v/>
      </c>
      <c r="R535" s="32" t="str">
        <f>IF(AND(AND(T534="",A535&lt;=S534),OR(AND(入力!$B$13="有効",A535&gt;1,MOD(A535-1,60)=0),AND(A535=入力!$B$11,A535&gt;1)),入力!$B$14="有効"),ROUND(G534*1.25,0),"")</f>
        <v/>
      </c>
      <c r="S535" s="36">
        <f t="shared" si="151"/>
        <v>420</v>
      </c>
      <c r="T535" s="35" t="str">
        <f t="shared" si="152"/>
        <v/>
      </c>
      <c r="U535" s="3">
        <f t="shared" si="136"/>
        <v>0</v>
      </c>
      <c r="V535" s="3">
        <f t="shared" si="137"/>
        <v>0</v>
      </c>
      <c r="W535" s="3">
        <f t="shared" si="138"/>
        <v>0</v>
      </c>
      <c r="X535" s="3">
        <f t="shared" si="139"/>
        <v>0</v>
      </c>
      <c r="Y535" s="3">
        <f>0</f>
        <v>0</v>
      </c>
      <c r="Z535" s="3">
        <f t="shared" si="140"/>
        <v>0</v>
      </c>
      <c r="AA535">
        <f>ROUND(IF(FALSE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,0)</f>
        <v>0</v>
      </c>
    </row>
    <row r="536" spans="1:27">
      <c r="A536" s="30">
        <f>531</f>
        <v>531</v>
      </c>
      <c r="B536" s="31">
        <f>EDATE(入力!$B$6,A536-1)</f>
        <v>62367</v>
      </c>
      <c r="C536" s="32">
        <f t="shared" si="141"/>
        <v>0</v>
      </c>
      <c r="D536" s="32">
        <f t="shared" si="142"/>
        <v>0</v>
      </c>
      <c r="E536" s="33">
        <f>IF(AND(T535="",A536&lt;=S535),IF(A536&lt;入力!$B$11,入力!$B$10,入力!$B$12),0)</f>
        <v>0</v>
      </c>
      <c r="F536" s="32">
        <f t="shared" si="143"/>
        <v>0</v>
      </c>
      <c r="G536" s="32">
        <f>ROUND(IF(NOT(AND(T535="",A536&lt;=S535)),0,IF(FALSE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),0)</f>
        <v>0</v>
      </c>
      <c r="H536" s="32">
        <f t="shared" si="144"/>
        <v>0</v>
      </c>
      <c r="I536" s="32">
        <f t="shared" si="145"/>
        <v>0</v>
      </c>
      <c r="J536" s="32">
        <f t="shared" si="146"/>
        <v>0</v>
      </c>
      <c r="K536" s="32">
        <f t="shared" si="147"/>
        <v>0</v>
      </c>
      <c r="L536" s="32">
        <f t="shared" si="148"/>
        <v>0</v>
      </c>
      <c r="M536" s="32">
        <f>0</f>
        <v>0</v>
      </c>
      <c r="N536" s="32">
        <f t="shared" si="149"/>
        <v>0</v>
      </c>
      <c r="O536" s="32">
        <f t="shared" si="150"/>
        <v>14115936</v>
      </c>
      <c r="P536" s="34" t="str">
        <f>IF(NOT(AND(T535="",A536&lt;=S535)),"",IF(FALSE,"繰上返済後再計算","")&amp;IF(AND(入力!$B$13="有効",A536&gt;1,MOD(A536-1,60)=0),IF(FALSE,"・","")&amp;"5年見直し","")&amp;IF(AND(A536=入力!$B$11,A536&gt;1),IF(OR(FALSE,AND(入力!$B$13="有効",A536&gt;1,MOD(A536-1,60)=0)),"・","")&amp;"金利変更","")&amp;IF(AND(OR(AND(入力!$B$13="有効",A536&gt;1,MOD(A536-1,60)=0),AND(A536=入力!$B$11,A536&gt;1)),入力!$B$14="有効",IF(E536=0,ROUND(C536/MAX(1,S535-A536+1),0),ROUND(-PMT(E536/12,MAX(1,S535-A536+1),C536),0))&gt;ROUND(G535*1.25,0),NOT(FALSE)),"・上限適用",""))</f>
        <v/>
      </c>
      <c r="Q536" s="35" t="str">
        <f>IF(AND(T535="",A536&lt;=S535),入力!$B$13,"")</f>
        <v/>
      </c>
      <c r="R536" s="32" t="str">
        <f>IF(AND(AND(T535="",A536&lt;=S535),OR(AND(入力!$B$13="有効",A536&gt;1,MOD(A536-1,60)=0),AND(A536=入力!$B$11,A536&gt;1)),入力!$B$14="有効"),ROUND(G535*1.25,0),"")</f>
        <v/>
      </c>
      <c r="S536" s="36">
        <f t="shared" si="151"/>
        <v>420</v>
      </c>
      <c r="T536" s="35" t="str">
        <f t="shared" si="152"/>
        <v/>
      </c>
      <c r="U536" s="3">
        <f t="shared" si="136"/>
        <v>0</v>
      </c>
      <c r="V536" s="3">
        <f t="shared" si="137"/>
        <v>0</v>
      </c>
      <c r="W536" s="3">
        <f t="shared" si="138"/>
        <v>0</v>
      </c>
      <c r="X536" s="3">
        <f t="shared" si="139"/>
        <v>0</v>
      </c>
      <c r="Y536" s="3">
        <f>0</f>
        <v>0</v>
      </c>
      <c r="Z536" s="3">
        <f t="shared" si="140"/>
        <v>0</v>
      </c>
      <c r="AA536">
        <f>ROUND(IF(FALSE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,0)</f>
        <v>0</v>
      </c>
    </row>
    <row r="537" spans="1:27">
      <c r="A537" s="30">
        <f>532</f>
        <v>532</v>
      </c>
      <c r="B537" s="31">
        <f>EDATE(入力!$B$6,A537-1)</f>
        <v>62398</v>
      </c>
      <c r="C537" s="32">
        <f t="shared" si="141"/>
        <v>0</v>
      </c>
      <c r="D537" s="32">
        <f t="shared" si="142"/>
        <v>0</v>
      </c>
      <c r="E537" s="33">
        <f>IF(AND(T536="",A537&lt;=S536),IF(A537&lt;入力!$B$11,入力!$B$10,入力!$B$12),0)</f>
        <v>0</v>
      </c>
      <c r="F537" s="32">
        <f t="shared" si="143"/>
        <v>0</v>
      </c>
      <c r="G537" s="32">
        <f>ROUND(IF(NOT(AND(T536="",A537&lt;=S536)),0,IF(FALSE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),0)</f>
        <v>0</v>
      </c>
      <c r="H537" s="32">
        <f t="shared" si="144"/>
        <v>0</v>
      </c>
      <c r="I537" s="32">
        <f t="shared" si="145"/>
        <v>0</v>
      </c>
      <c r="J537" s="32">
        <f t="shared" si="146"/>
        <v>0</v>
      </c>
      <c r="K537" s="32">
        <f t="shared" si="147"/>
        <v>0</v>
      </c>
      <c r="L537" s="32">
        <f t="shared" si="148"/>
        <v>0</v>
      </c>
      <c r="M537" s="32">
        <f>0</f>
        <v>0</v>
      </c>
      <c r="N537" s="32">
        <f t="shared" si="149"/>
        <v>0</v>
      </c>
      <c r="O537" s="32">
        <f t="shared" si="150"/>
        <v>14115936</v>
      </c>
      <c r="P537" s="34" t="str">
        <f>IF(NOT(AND(T536="",A537&lt;=S536)),"",IF(FALSE,"繰上返済後再計算","")&amp;IF(AND(入力!$B$13="有効",A537&gt;1,MOD(A537-1,60)=0),IF(FALSE,"・","")&amp;"5年見直し","")&amp;IF(AND(A537=入力!$B$11,A537&gt;1),IF(OR(FALSE,AND(入力!$B$13="有効",A537&gt;1,MOD(A537-1,60)=0)),"・","")&amp;"金利変更","")&amp;IF(AND(OR(AND(入力!$B$13="有効",A537&gt;1,MOD(A537-1,60)=0),AND(A537=入力!$B$11,A537&gt;1)),入力!$B$14="有効",IF(E537=0,ROUND(C537/MAX(1,S536-A537+1),0),ROUND(-PMT(E537/12,MAX(1,S536-A537+1),C537),0))&gt;ROUND(G536*1.25,0),NOT(FALSE)),"・上限適用",""))</f>
        <v/>
      </c>
      <c r="Q537" s="35" t="str">
        <f>IF(AND(T536="",A537&lt;=S536),入力!$B$13,"")</f>
        <v/>
      </c>
      <c r="R537" s="32" t="str">
        <f>IF(AND(AND(T536="",A537&lt;=S536),OR(AND(入力!$B$13="有効",A537&gt;1,MOD(A537-1,60)=0),AND(A537=入力!$B$11,A537&gt;1)),入力!$B$14="有効"),ROUND(G536*1.25,0),"")</f>
        <v/>
      </c>
      <c r="S537" s="36">
        <f t="shared" si="151"/>
        <v>420</v>
      </c>
      <c r="T537" s="35" t="str">
        <f t="shared" si="152"/>
        <v/>
      </c>
      <c r="U537" s="3">
        <f t="shared" si="136"/>
        <v>0</v>
      </c>
      <c r="V537" s="3">
        <f t="shared" si="137"/>
        <v>0</v>
      </c>
      <c r="W537" s="3">
        <f t="shared" si="138"/>
        <v>0</v>
      </c>
      <c r="X537" s="3">
        <f t="shared" si="139"/>
        <v>0</v>
      </c>
      <c r="Y537" s="3">
        <f>0</f>
        <v>0</v>
      </c>
      <c r="Z537" s="3">
        <f t="shared" si="140"/>
        <v>0</v>
      </c>
      <c r="AA537">
        <f>ROUND(IF(FALSE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,0)</f>
        <v>0</v>
      </c>
    </row>
    <row r="538" spans="1:27">
      <c r="A538" s="30">
        <f>533</f>
        <v>533</v>
      </c>
      <c r="B538" s="31">
        <f>EDATE(入力!$B$6,A538-1)</f>
        <v>62428</v>
      </c>
      <c r="C538" s="32">
        <f t="shared" si="141"/>
        <v>0</v>
      </c>
      <c r="D538" s="32">
        <f t="shared" si="142"/>
        <v>0</v>
      </c>
      <c r="E538" s="33">
        <f>IF(AND(T537="",A538&lt;=S537),IF(A538&lt;入力!$B$11,入力!$B$10,入力!$B$12),0)</f>
        <v>0</v>
      </c>
      <c r="F538" s="32">
        <f t="shared" si="143"/>
        <v>0</v>
      </c>
      <c r="G538" s="32">
        <f>ROUND(IF(NOT(AND(T537="",A538&lt;=S537)),0,IF(FALSE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),0)</f>
        <v>0</v>
      </c>
      <c r="H538" s="32">
        <f t="shared" si="144"/>
        <v>0</v>
      </c>
      <c r="I538" s="32">
        <f t="shared" si="145"/>
        <v>0</v>
      </c>
      <c r="J538" s="32">
        <f t="shared" si="146"/>
        <v>0</v>
      </c>
      <c r="K538" s="32">
        <f t="shared" si="147"/>
        <v>0</v>
      </c>
      <c r="L538" s="32">
        <f t="shared" si="148"/>
        <v>0</v>
      </c>
      <c r="M538" s="32">
        <f>0</f>
        <v>0</v>
      </c>
      <c r="N538" s="32">
        <f t="shared" si="149"/>
        <v>0</v>
      </c>
      <c r="O538" s="32">
        <f t="shared" si="150"/>
        <v>14115936</v>
      </c>
      <c r="P538" s="34" t="str">
        <f>IF(NOT(AND(T537="",A538&lt;=S537)),"",IF(FALSE,"繰上返済後再計算","")&amp;IF(AND(入力!$B$13="有効",A538&gt;1,MOD(A538-1,60)=0),IF(FALSE,"・","")&amp;"5年見直し","")&amp;IF(AND(A538=入力!$B$11,A538&gt;1),IF(OR(FALSE,AND(入力!$B$13="有効",A538&gt;1,MOD(A538-1,60)=0)),"・","")&amp;"金利変更","")&amp;IF(AND(OR(AND(入力!$B$13="有効",A538&gt;1,MOD(A538-1,60)=0),AND(A538=入力!$B$11,A538&gt;1)),入力!$B$14="有効",IF(E538=0,ROUND(C538/MAX(1,S537-A538+1),0),ROUND(-PMT(E538/12,MAX(1,S537-A538+1),C538),0))&gt;ROUND(G537*1.25,0),NOT(FALSE)),"・上限適用",""))</f>
        <v/>
      </c>
      <c r="Q538" s="35" t="str">
        <f>IF(AND(T537="",A538&lt;=S537),入力!$B$13,"")</f>
        <v/>
      </c>
      <c r="R538" s="32" t="str">
        <f>IF(AND(AND(T537="",A538&lt;=S537),OR(AND(入力!$B$13="有効",A538&gt;1,MOD(A538-1,60)=0),AND(A538=入力!$B$11,A538&gt;1)),入力!$B$14="有効"),ROUND(G537*1.25,0),"")</f>
        <v/>
      </c>
      <c r="S538" s="36">
        <f t="shared" si="151"/>
        <v>420</v>
      </c>
      <c r="T538" s="35" t="str">
        <f t="shared" si="152"/>
        <v/>
      </c>
      <c r="U538" s="3">
        <f t="shared" si="136"/>
        <v>0</v>
      </c>
      <c r="V538" s="3">
        <f t="shared" si="137"/>
        <v>0</v>
      </c>
      <c r="W538" s="3">
        <f t="shared" si="138"/>
        <v>0</v>
      </c>
      <c r="X538" s="3">
        <f t="shared" si="139"/>
        <v>0</v>
      </c>
      <c r="Y538" s="3">
        <f>0</f>
        <v>0</v>
      </c>
      <c r="Z538" s="3">
        <f t="shared" si="140"/>
        <v>0</v>
      </c>
      <c r="AA538">
        <f>ROUND(IF(FALSE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,0)</f>
        <v>0</v>
      </c>
    </row>
    <row r="539" spans="1:27">
      <c r="A539" s="30">
        <f>534</f>
        <v>534</v>
      </c>
      <c r="B539" s="31">
        <f>EDATE(入力!$B$6,A539-1)</f>
        <v>62459</v>
      </c>
      <c r="C539" s="32">
        <f t="shared" si="141"/>
        <v>0</v>
      </c>
      <c r="D539" s="32">
        <f t="shared" si="142"/>
        <v>0</v>
      </c>
      <c r="E539" s="33">
        <f>IF(AND(T538="",A539&lt;=S538),IF(A539&lt;入力!$B$11,入力!$B$10,入力!$B$12),0)</f>
        <v>0</v>
      </c>
      <c r="F539" s="32">
        <f t="shared" si="143"/>
        <v>0</v>
      </c>
      <c r="G539" s="32">
        <f>ROUND(IF(NOT(AND(T538="",A539&lt;=S538)),0,IF(FALSE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),0)</f>
        <v>0</v>
      </c>
      <c r="H539" s="32">
        <f t="shared" si="144"/>
        <v>0</v>
      </c>
      <c r="I539" s="32">
        <f t="shared" si="145"/>
        <v>0</v>
      </c>
      <c r="J539" s="32">
        <f t="shared" si="146"/>
        <v>0</v>
      </c>
      <c r="K539" s="32">
        <f t="shared" si="147"/>
        <v>0</v>
      </c>
      <c r="L539" s="32">
        <f t="shared" si="148"/>
        <v>0</v>
      </c>
      <c r="M539" s="32">
        <f>0</f>
        <v>0</v>
      </c>
      <c r="N539" s="32">
        <f t="shared" si="149"/>
        <v>0</v>
      </c>
      <c r="O539" s="32">
        <f t="shared" si="150"/>
        <v>14115936</v>
      </c>
      <c r="P539" s="34" t="str">
        <f>IF(NOT(AND(T538="",A539&lt;=S538)),"",IF(FALSE,"繰上返済後再計算","")&amp;IF(AND(入力!$B$13="有効",A539&gt;1,MOD(A539-1,60)=0),IF(FALSE,"・","")&amp;"5年見直し","")&amp;IF(AND(A539=入力!$B$11,A539&gt;1),IF(OR(FALSE,AND(入力!$B$13="有効",A539&gt;1,MOD(A539-1,60)=0)),"・","")&amp;"金利変更","")&amp;IF(AND(OR(AND(入力!$B$13="有効",A539&gt;1,MOD(A539-1,60)=0),AND(A539=入力!$B$11,A539&gt;1)),入力!$B$14="有効",IF(E539=0,ROUND(C539/MAX(1,S538-A539+1),0),ROUND(-PMT(E539/12,MAX(1,S538-A539+1),C539),0))&gt;ROUND(G538*1.25,0),NOT(FALSE)),"・上限適用",""))</f>
        <v/>
      </c>
      <c r="Q539" s="35" t="str">
        <f>IF(AND(T538="",A539&lt;=S538),入力!$B$13,"")</f>
        <v/>
      </c>
      <c r="R539" s="32" t="str">
        <f>IF(AND(AND(T538="",A539&lt;=S538),OR(AND(入力!$B$13="有効",A539&gt;1,MOD(A539-1,60)=0),AND(A539=入力!$B$11,A539&gt;1)),入力!$B$14="有効"),ROUND(G538*1.25,0),"")</f>
        <v/>
      </c>
      <c r="S539" s="36">
        <f t="shared" si="151"/>
        <v>420</v>
      </c>
      <c r="T539" s="35" t="str">
        <f t="shared" si="152"/>
        <v/>
      </c>
      <c r="U539" s="3">
        <f t="shared" si="136"/>
        <v>0</v>
      </c>
      <c r="V539" s="3">
        <f t="shared" si="137"/>
        <v>0</v>
      </c>
      <c r="W539" s="3">
        <f t="shared" si="138"/>
        <v>0</v>
      </c>
      <c r="X539" s="3">
        <f t="shared" si="139"/>
        <v>0</v>
      </c>
      <c r="Y539" s="3">
        <f>0</f>
        <v>0</v>
      </c>
      <c r="Z539" s="3">
        <f t="shared" si="140"/>
        <v>0</v>
      </c>
      <c r="AA539">
        <f>ROUND(IF(FALSE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,0)</f>
        <v>0</v>
      </c>
    </row>
    <row r="540" spans="1:27">
      <c r="A540" s="30">
        <f>535</f>
        <v>535</v>
      </c>
      <c r="B540" s="31">
        <f>EDATE(入力!$B$6,A540-1)</f>
        <v>62490</v>
      </c>
      <c r="C540" s="32">
        <f t="shared" si="141"/>
        <v>0</v>
      </c>
      <c r="D540" s="32">
        <f t="shared" si="142"/>
        <v>0</v>
      </c>
      <c r="E540" s="33">
        <f>IF(AND(T539="",A540&lt;=S539),IF(A540&lt;入力!$B$11,入力!$B$10,入力!$B$12),0)</f>
        <v>0</v>
      </c>
      <c r="F540" s="32">
        <f t="shared" si="143"/>
        <v>0</v>
      </c>
      <c r="G540" s="32">
        <f>ROUND(IF(NOT(AND(T539="",A540&lt;=S539)),0,IF(FALSE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),0)</f>
        <v>0</v>
      </c>
      <c r="H540" s="32">
        <f t="shared" si="144"/>
        <v>0</v>
      </c>
      <c r="I540" s="32">
        <f t="shared" si="145"/>
        <v>0</v>
      </c>
      <c r="J540" s="32">
        <f t="shared" si="146"/>
        <v>0</v>
      </c>
      <c r="K540" s="32">
        <f t="shared" si="147"/>
        <v>0</v>
      </c>
      <c r="L540" s="32">
        <f t="shared" si="148"/>
        <v>0</v>
      </c>
      <c r="M540" s="32">
        <f>0</f>
        <v>0</v>
      </c>
      <c r="N540" s="32">
        <f t="shared" si="149"/>
        <v>0</v>
      </c>
      <c r="O540" s="32">
        <f t="shared" si="150"/>
        <v>14115936</v>
      </c>
      <c r="P540" s="34" t="str">
        <f>IF(NOT(AND(T539="",A540&lt;=S539)),"",IF(FALSE,"繰上返済後再計算","")&amp;IF(AND(入力!$B$13="有効",A540&gt;1,MOD(A540-1,60)=0),IF(FALSE,"・","")&amp;"5年見直し","")&amp;IF(AND(A540=入力!$B$11,A540&gt;1),IF(OR(FALSE,AND(入力!$B$13="有効",A540&gt;1,MOD(A540-1,60)=0)),"・","")&amp;"金利変更","")&amp;IF(AND(OR(AND(入力!$B$13="有効",A540&gt;1,MOD(A540-1,60)=0),AND(A540=入力!$B$11,A540&gt;1)),入力!$B$14="有効",IF(E540=0,ROUND(C540/MAX(1,S539-A540+1),0),ROUND(-PMT(E540/12,MAX(1,S539-A540+1),C540),0))&gt;ROUND(G539*1.25,0),NOT(FALSE)),"・上限適用",""))</f>
        <v/>
      </c>
      <c r="Q540" s="35" t="str">
        <f>IF(AND(T539="",A540&lt;=S539),入力!$B$13,"")</f>
        <v/>
      </c>
      <c r="R540" s="32" t="str">
        <f>IF(AND(AND(T539="",A540&lt;=S539),OR(AND(入力!$B$13="有効",A540&gt;1,MOD(A540-1,60)=0),AND(A540=入力!$B$11,A540&gt;1)),入力!$B$14="有効"),ROUND(G539*1.25,0),"")</f>
        <v/>
      </c>
      <c r="S540" s="36">
        <f t="shared" si="151"/>
        <v>420</v>
      </c>
      <c r="T540" s="35" t="str">
        <f t="shared" si="152"/>
        <v/>
      </c>
      <c r="U540" s="3">
        <f t="shared" si="136"/>
        <v>0</v>
      </c>
      <c r="V540" s="3">
        <f t="shared" si="137"/>
        <v>0</v>
      </c>
      <c r="W540" s="3">
        <f t="shared" si="138"/>
        <v>0</v>
      </c>
      <c r="X540" s="3">
        <f t="shared" si="139"/>
        <v>0</v>
      </c>
      <c r="Y540" s="3">
        <f>0</f>
        <v>0</v>
      </c>
      <c r="Z540" s="3">
        <f t="shared" si="140"/>
        <v>0</v>
      </c>
      <c r="AA540">
        <f>ROUND(IF(FALSE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,0)</f>
        <v>0</v>
      </c>
    </row>
    <row r="541" spans="1:27">
      <c r="A541" s="30">
        <f>536</f>
        <v>536</v>
      </c>
      <c r="B541" s="31">
        <f>EDATE(入力!$B$6,A541-1)</f>
        <v>62518</v>
      </c>
      <c r="C541" s="32">
        <f t="shared" si="141"/>
        <v>0</v>
      </c>
      <c r="D541" s="32">
        <f t="shared" si="142"/>
        <v>0</v>
      </c>
      <c r="E541" s="33">
        <f>IF(AND(T540="",A541&lt;=S540),IF(A541&lt;入力!$B$11,入力!$B$10,入力!$B$12),0)</f>
        <v>0</v>
      </c>
      <c r="F541" s="32">
        <f t="shared" si="143"/>
        <v>0</v>
      </c>
      <c r="G541" s="32">
        <f>ROUND(IF(NOT(AND(T540="",A541&lt;=S540)),0,IF(FALSE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),0)</f>
        <v>0</v>
      </c>
      <c r="H541" s="32">
        <f t="shared" si="144"/>
        <v>0</v>
      </c>
      <c r="I541" s="32">
        <f t="shared" si="145"/>
        <v>0</v>
      </c>
      <c r="J541" s="32">
        <f t="shared" si="146"/>
        <v>0</v>
      </c>
      <c r="K541" s="32">
        <f t="shared" si="147"/>
        <v>0</v>
      </c>
      <c r="L541" s="32">
        <f t="shared" si="148"/>
        <v>0</v>
      </c>
      <c r="M541" s="32">
        <f>0</f>
        <v>0</v>
      </c>
      <c r="N541" s="32">
        <f t="shared" si="149"/>
        <v>0</v>
      </c>
      <c r="O541" s="32">
        <f t="shared" si="150"/>
        <v>14115936</v>
      </c>
      <c r="P541" s="34" t="str">
        <f>IF(NOT(AND(T540="",A541&lt;=S540)),"",IF(FALSE,"繰上返済後再計算","")&amp;IF(AND(入力!$B$13="有効",A541&gt;1,MOD(A541-1,60)=0),IF(FALSE,"・","")&amp;"5年見直し","")&amp;IF(AND(A541=入力!$B$11,A541&gt;1),IF(OR(FALSE,AND(入力!$B$13="有効",A541&gt;1,MOD(A541-1,60)=0)),"・","")&amp;"金利変更","")&amp;IF(AND(OR(AND(入力!$B$13="有効",A541&gt;1,MOD(A541-1,60)=0),AND(A541=入力!$B$11,A541&gt;1)),入力!$B$14="有効",IF(E541=0,ROUND(C541/MAX(1,S540-A541+1),0),ROUND(-PMT(E541/12,MAX(1,S540-A541+1),C541),0))&gt;ROUND(G540*1.25,0),NOT(FALSE)),"・上限適用",""))</f>
        <v/>
      </c>
      <c r="Q541" s="35" t="str">
        <f>IF(AND(T540="",A541&lt;=S540),入力!$B$13,"")</f>
        <v/>
      </c>
      <c r="R541" s="32" t="str">
        <f>IF(AND(AND(T540="",A541&lt;=S540),OR(AND(入力!$B$13="有効",A541&gt;1,MOD(A541-1,60)=0),AND(A541=入力!$B$11,A541&gt;1)),入力!$B$14="有効"),ROUND(G540*1.25,0),"")</f>
        <v/>
      </c>
      <c r="S541" s="36">
        <f t="shared" si="151"/>
        <v>420</v>
      </c>
      <c r="T541" s="35" t="str">
        <f t="shared" si="152"/>
        <v/>
      </c>
      <c r="U541" s="3">
        <f t="shared" si="136"/>
        <v>0</v>
      </c>
      <c r="V541" s="3">
        <f t="shared" si="137"/>
        <v>0</v>
      </c>
      <c r="W541" s="3">
        <f t="shared" si="138"/>
        <v>0</v>
      </c>
      <c r="X541" s="3">
        <f t="shared" si="139"/>
        <v>0</v>
      </c>
      <c r="Y541" s="3">
        <f>0</f>
        <v>0</v>
      </c>
      <c r="Z541" s="3">
        <f t="shared" si="140"/>
        <v>0</v>
      </c>
      <c r="AA541">
        <f>ROUND(IF(FALSE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,0)</f>
        <v>0</v>
      </c>
    </row>
    <row r="542" spans="1:27">
      <c r="A542" s="30">
        <f>537</f>
        <v>537</v>
      </c>
      <c r="B542" s="31">
        <f>EDATE(入力!$B$6,A542-1)</f>
        <v>62549</v>
      </c>
      <c r="C542" s="32">
        <f t="shared" si="141"/>
        <v>0</v>
      </c>
      <c r="D542" s="32">
        <f t="shared" si="142"/>
        <v>0</v>
      </c>
      <c r="E542" s="33">
        <f>IF(AND(T541="",A542&lt;=S541),IF(A542&lt;入力!$B$11,入力!$B$10,入力!$B$12),0)</f>
        <v>0</v>
      </c>
      <c r="F542" s="32">
        <f t="shared" si="143"/>
        <v>0</v>
      </c>
      <c r="G542" s="32">
        <f>ROUND(IF(NOT(AND(T541="",A542&lt;=S541)),0,IF(FALSE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),0)</f>
        <v>0</v>
      </c>
      <c r="H542" s="32">
        <f t="shared" si="144"/>
        <v>0</v>
      </c>
      <c r="I542" s="32">
        <f t="shared" si="145"/>
        <v>0</v>
      </c>
      <c r="J542" s="32">
        <f t="shared" si="146"/>
        <v>0</v>
      </c>
      <c r="K542" s="32">
        <f t="shared" si="147"/>
        <v>0</v>
      </c>
      <c r="L542" s="32">
        <f t="shared" si="148"/>
        <v>0</v>
      </c>
      <c r="M542" s="32">
        <f>0</f>
        <v>0</v>
      </c>
      <c r="N542" s="32">
        <f t="shared" si="149"/>
        <v>0</v>
      </c>
      <c r="O542" s="32">
        <f t="shared" si="150"/>
        <v>14115936</v>
      </c>
      <c r="P542" s="34" t="str">
        <f>IF(NOT(AND(T541="",A542&lt;=S541)),"",IF(FALSE,"繰上返済後再計算","")&amp;IF(AND(入力!$B$13="有効",A542&gt;1,MOD(A542-1,60)=0),IF(FALSE,"・","")&amp;"5年見直し","")&amp;IF(AND(A542=入力!$B$11,A542&gt;1),IF(OR(FALSE,AND(入力!$B$13="有効",A542&gt;1,MOD(A542-1,60)=0)),"・","")&amp;"金利変更","")&amp;IF(AND(OR(AND(入力!$B$13="有効",A542&gt;1,MOD(A542-1,60)=0),AND(A542=入力!$B$11,A542&gt;1)),入力!$B$14="有効",IF(E542=0,ROUND(C542/MAX(1,S541-A542+1),0),ROUND(-PMT(E542/12,MAX(1,S541-A542+1),C542),0))&gt;ROUND(G541*1.25,0),NOT(FALSE)),"・上限適用",""))</f>
        <v/>
      </c>
      <c r="Q542" s="35" t="str">
        <f>IF(AND(T541="",A542&lt;=S541),入力!$B$13,"")</f>
        <v/>
      </c>
      <c r="R542" s="32" t="str">
        <f>IF(AND(AND(T541="",A542&lt;=S541),OR(AND(入力!$B$13="有効",A542&gt;1,MOD(A542-1,60)=0),AND(A542=入力!$B$11,A542&gt;1)),入力!$B$14="有効"),ROUND(G541*1.25,0),"")</f>
        <v/>
      </c>
      <c r="S542" s="36">
        <f t="shared" si="151"/>
        <v>420</v>
      </c>
      <c r="T542" s="35" t="str">
        <f t="shared" si="152"/>
        <v/>
      </c>
      <c r="U542" s="3">
        <f t="shared" si="136"/>
        <v>0</v>
      </c>
      <c r="V542" s="3">
        <f t="shared" si="137"/>
        <v>0</v>
      </c>
      <c r="W542" s="3">
        <f t="shared" si="138"/>
        <v>0</v>
      </c>
      <c r="X542" s="3">
        <f t="shared" si="139"/>
        <v>0</v>
      </c>
      <c r="Y542" s="3">
        <f>0</f>
        <v>0</v>
      </c>
      <c r="Z542" s="3">
        <f t="shared" si="140"/>
        <v>0</v>
      </c>
      <c r="AA542">
        <f>ROUND(IF(FALSE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,0)</f>
        <v>0</v>
      </c>
    </row>
    <row r="543" spans="1:27">
      <c r="A543" s="30">
        <f>538</f>
        <v>538</v>
      </c>
      <c r="B543" s="31">
        <f>EDATE(入力!$B$6,A543-1)</f>
        <v>62579</v>
      </c>
      <c r="C543" s="32">
        <f t="shared" si="141"/>
        <v>0</v>
      </c>
      <c r="D543" s="32">
        <f t="shared" si="142"/>
        <v>0</v>
      </c>
      <c r="E543" s="33">
        <f>IF(AND(T542="",A543&lt;=S542),IF(A543&lt;入力!$B$11,入力!$B$10,入力!$B$12),0)</f>
        <v>0</v>
      </c>
      <c r="F543" s="32">
        <f t="shared" si="143"/>
        <v>0</v>
      </c>
      <c r="G543" s="32">
        <f>ROUND(IF(NOT(AND(T542="",A543&lt;=S542)),0,IF(FALSE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),0)</f>
        <v>0</v>
      </c>
      <c r="H543" s="32">
        <f t="shared" si="144"/>
        <v>0</v>
      </c>
      <c r="I543" s="32">
        <f t="shared" si="145"/>
        <v>0</v>
      </c>
      <c r="J543" s="32">
        <f t="shared" si="146"/>
        <v>0</v>
      </c>
      <c r="K543" s="32">
        <f t="shared" si="147"/>
        <v>0</v>
      </c>
      <c r="L543" s="32">
        <f t="shared" si="148"/>
        <v>0</v>
      </c>
      <c r="M543" s="32">
        <f>0</f>
        <v>0</v>
      </c>
      <c r="N543" s="32">
        <f t="shared" si="149"/>
        <v>0</v>
      </c>
      <c r="O543" s="32">
        <f t="shared" si="150"/>
        <v>14115936</v>
      </c>
      <c r="P543" s="34" t="str">
        <f>IF(NOT(AND(T542="",A543&lt;=S542)),"",IF(FALSE,"繰上返済後再計算","")&amp;IF(AND(入力!$B$13="有効",A543&gt;1,MOD(A543-1,60)=0),IF(FALSE,"・","")&amp;"5年見直し","")&amp;IF(AND(A543=入力!$B$11,A543&gt;1),IF(OR(FALSE,AND(入力!$B$13="有効",A543&gt;1,MOD(A543-1,60)=0)),"・","")&amp;"金利変更","")&amp;IF(AND(OR(AND(入力!$B$13="有効",A543&gt;1,MOD(A543-1,60)=0),AND(A543=入力!$B$11,A543&gt;1)),入力!$B$14="有効",IF(E543=0,ROUND(C543/MAX(1,S542-A543+1),0),ROUND(-PMT(E543/12,MAX(1,S542-A543+1),C543),0))&gt;ROUND(G542*1.25,0),NOT(FALSE)),"・上限適用",""))</f>
        <v/>
      </c>
      <c r="Q543" s="35" t="str">
        <f>IF(AND(T542="",A543&lt;=S542),入力!$B$13,"")</f>
        <v/>
      </c>
      <c r="R543" s="32" t="str">
        <f>IF(AND(AND(T542="",A543&lt;=S542),OR(AND(入力!$B$13="有効",A543&gt;1,MOD(A543-1,60)=0),AND(A543=入力!$B$11,A543&gt;1)),入力!$B$14="有効"),ROUND(G542*1.25,0),"")</f>
        <v/>
      </c>
      <c r="S543" s="36">
        <f t="shared" si="151"/>
        <v>420</v>
      </c>
      <c r="T543" s="35" t="str">
        <f t="shared" si="152"/>
        <v/>
      </c>
      <c r="U543" s="3">
        <f t="shared" si="136"/>
        <v>0</v>
      </c>
      <c r="V543" s="3">
        <f t="shared" si="137"/>
        <v>0</v>
      </c>
      <c r="W543" s="3">
        <f t="shared" si="138"/>
        <v>0</v>
      </c>
      <c r="X543" s="3">
        <f t="shared" si="139"/>
        <v>0</v>
      </c>
      <c r="Y543" s="3">
        <f>0</f>
        <v>0</v>
      </c>
      <c r="Z543" s="3">
        <f t="shared" si="140"/>
        <v>0</v>
      </c>
      <c r="AA543">
        <f>ROUND(IF(FALSE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,0)</f>
        <v>0</v>
      </c>
    </row>
    <row r="544" spans="1:27">
      <c r="A544" s="30">
        <f>539</f>
        <v>539</v>
      </c>
      <c r="B544" s="31">
        <f>EDATE(入力!$B$6,A544-1)</f>
        <v>62610</v>
      </c>
      <c r="C544" s="32">
        <f t="shared" si="141"/>
        <v>0</v>
      </c>
      <c r="D544" s="32">
        <f t="shared" si="142"/>
        <v>0</v>
      </c>
      <c r="E544" s="33">
        <f>IF(AND(T543="",A544&lt;=S543),IF(A544&lt;入力!$B$11,入力!$B$10,入力!$B$12),0)</f>
        <v>0</v>
      </c>
      <c r="F544" s="32">
        <f t="shared" si="143"/>
        <v>0</v>
      </c>
      <c r="G544" s="32">
        <f>ROUND(IF(NOT(AND(T543="",A544&lt;=S543)),0,IF(FALSE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),0)</f>
        <v>0</v>
      </c>
      <c r="H544" s="32">
        <f t="shared" si="144"/>
        <v>0</v>
      </c>
      <c r="I544" s="32">
        <f t="shared" si="145"/>
        <v>0</v>
      </c>
      <c r="J544" s="32">
        <f t="shared" si="146"/>
        <v>0</v>
      </c>
      <c r="K544" s="32">
        <f t="shared" si="147"/>
        <v>0</v>
      </c>
      <c r="L544" s="32">
        <f t="shared" si="148"/>
        <v>0</v>
      </c>
      <c r="M544" s="32">
        <f>0</f>
        <v>0</v>
      </c>
      <c r="N544" s="32">
        <f t="shared" si="149"/>
        <v>0</v>
      </c>
      <c r="O544" s="32">
        <f t="shared" si="150"/>
        <v>14115936</v>
      </c>
      <c r="P544" s="34" t="str">
        <f>IF(NOT(AND(T543="",A544&lt;=S543)),"",IF(FALSE,"繰上返済後再計算","")&amp;IF(AND(入力!$B$13="有効",A544&gt;1,MOD(A544-1,60)=0),IF(FALSE,"・","")&amp;"5年見直し","")&amp;IF(AND(A544=入力!$B$11,A544&gt;1),IF(OR(FALSE,AND(入力!$B$13="有効",A544&gt;1,MOD(A544-1,60)=0)),"・","")&amp;"金利変更","")&amp;IF(AND(OR(AND(入力!$B$13="有効",A544&gt;1,MOD(A544-1,60)=0),AND(A544=入力!$B$11,A544&gt;1)),入力!$B$14="有効",IF(E544=0,ROUND(C544/MAX(1,S543-A544+1),0),ROUND(-PMT(E544/12,MAX(1,S543-A544+1),C544),0))&gt;ROUND(G543*1.25,0),NOT(FALSE)),"・上限適用",""))</f>
        <v/>
      </c>
      <c r="Q544" s="35" t="str">
        <f>IF(AND(T543="",A544&lt;=S543),入力!$B$13,"")</f>
        <v/>
      </c>
      <c r="R544" s="32" t="str">
        <f>IF(AND(AND(T543="",A544&lt;=S543),OR(AND(入力!$B$13="有効",A544&gt;1,MOD(A544-1,60)=0),AND(A544=入力!$B$11,A544&gt;1)),入力!$B$14="有効"),ROUND(G543*1.25,0),"")</f>
        <v/>
      </c>
      <c r="S544" s="36">
        <f t="shared" si="151"/>
        <v>420</v>
      </c>
      <c r="T544" s="35" t="str">
        <f t="shared" si="152"/>
        <v/>
      </c>
      <c r="U544" s="3">
        <f t="shared" si="136"/>
        <v>0</v>
      </c>
      <c r="V544" s="3">
        <f t="shared" si="137"/>
        <v>0</v>
      </c>
      <c r="W544" s="3">
        <f t="shared" si="138"/>
        <v>0</v>
      </c>
      <c r="X544" s="3">
        <f t="shared" si="139"/>
        <v>0</v>
      </c>
      <c r="Y544" s="3">
        <f>0</f>
        <v>0</v>
      </c>
      <c r="Z544" s="3">
        <f t="shared" si="140"/>
        <v>0</v>
      </c>
      <c r="AA544">
        <f>ROUND(IF(FALSE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,0)</f>
        <v>0</v>
      </c>
    </row>
    <row r="545" spans="1:27">
      <c r="A545" s="30">
        <f>540</f>
        <v>540</v>
      </c>
      <c r="B545" s="31">
        <f>EDATE(入力!$B$6,A545-1)</f>
        <v>62640</v>
      </c>
      <c r="C545" s="32">
        <f t="shared" si="141"/>
        <v>0</v>
      </c>
      <c r="D545" s="32">
        <f t="shared" si="142"/>
        <v>0</v>
      </c>
      <c r="E545" s="33">
        <f>IF(AND(T544="",A545&lt;=S544),IF(A545&lt;入力!$B$11,入力!$B$10,入力!$B$12),0)</f>
        <v>0</v>
      </c>
      <c r="F545" s="32">
        <f t="shared" si="143"/>
        <v>0</v>
      </c>
      <c r="G545" s="32">
        <f>ROUND(IF(NOT(AND(T544="",A545&lt;=S544)),0,IF(FALSE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),0)</f>
        <v>0</v>
      </c>
      <c r="H545" s="32">
        <f t="shared" si="144"/>
        <v>0</v>
      </c>
      <c r="I545" s="32">
        <f t="shared" si="145"/>
        <v>0</v>
      </c>
      <c r="J545" s="32">
        <f t="shared" si="146"/>
        <v>0</v>
      </c>
      <c r="K545" s="32">
        <f t="shared" si="147"/>
        <v>0</v>
      </c>
      <c r="L545" s="32">
        <f t="shared" si="148"/>
        <v>0</v>
      </c>
      <c r="M545" s="32">
        <f>0</f>
        <v>0</v>
      </c>
      <c r="N545" s="32">
        <f t="shared" si="149"/>
        <v>0</v>
      </c>
      <c r="O545" s="32">
        <f t="shared" si="150"/>
        <v>14115936</v>
      </c>
      <c r="P545" s="34" t="str">
        <f>IF(NOT(AND(T544="",A545&lt;=S544)),"",IF(FALSE,"繰上返済後再計算","")&amp;IF(AND(入力!$B$13="有効",A545&gt;1,MOD(A545-1,60)=0),IF(FALSE,"・","")&amp;"5年見直し","")&amp;IF(AND(A545=入力!$B$11,A545&gt;1),IF(OR(FALSE,AND(入力!$B$13="有効",A545&gt;1,MOD(A545-1,60)=0)),"・","")&amp;"金利変更","")&amp;IF(AND(OR(AND(入力!$B$13="有効",A545&gt;1,MOD(A545-1,60)=0),AND(A545=入力!$B$11,A545&gt;1)),入力!$B$14="有効",IF(E545=0,ROUND(C545/MAX(1,S544-A545+1),0),ROUND(-PMT(E545/12,MAX(1,S544-A545+1),C545),0))&gt;ROUND(G544*1.25,0),NOT(FALSE)),"・上限適用",""))</f>
        <v/>
      </c>
      <c r="Q545" s="35" t="str">
        <f>IF(AND(T544="",A545&lt;=S544),入力!$B$13,"")</f>
        <v/>
      </c>
      <c r="R545" s="32" t="str">
        <f>IF(AND(AND(T544="",A545&lt;=S544),OR(AND(入力!$B$13="有効",A545&gt;1,MOD(A545-1,60)=0),AND(A545=入力!$B$11,A545&gt;1)),入力!$B$14="有効"),ROUND(G544*1.25,0),"")</f>
        <v/>
      </c>
      <c r="S545" s="36">
        <f t="shared" si="151"/>
        <v>420</v>
      </c>
      <c r="T545" s="35" t="str">
        <f t="shared" si="152"/>
        <v/>
      </c>
      <c r="U545" s="3">
        <f t="shared" si="136"/>
        <v>0</v>
      </c>
      <c r="V545" s="3">
        <f t="shared" si="137"/>
        <v>0</v>
      </c>
      <c r="W545" s="3">
        <f t="shared" si="138"/>
        <v>0</v>
      </c>
      <c r="X545" s="3">
        <f t="shared" si="139"/>
        <v>0</v>
      </c>
      <c r="Y545" s="3">
        <f>0</f>
        <v>0</v>
      </c>
      <c r="Z545" s="3">
        <f t="shared" si="140"/>
        <v>0</v>
      </c>
      <c r="AA545">
        <f>ROUND(IF(FALSE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,0)</f>
        <v>0</v>
      </c>
    </row>
    <row r="546" spans="1:27">
      <c r="A546" s="30">
        <f>541</f>
        <v>541</v>
      </c>
      <c r="B546" s="31">
        <f>EDATE(入力!$B$6,A546-1)</f>
        <v>62671</v>
      </c>
      <c r="C546" s="32">
        <f t="shared" si="141"/>
        <v>0</v>
      </c>
      <c r="D546" s="32">
        <f t="shared" si="142"/>
        <v>0</v>
      </c>
      <c r="E546" s="33">
        <f>IF(AND(T545="",A546&lt;=S545),IF(A546&lt;入力!$B$11,入力!$B$10,入力!$B$12),0)</f>
        <v>0</v>
      </c>
      <c r="F546" s="32">
        <f t="shared" si="143"/>
        <v>0</v>
      </c>
      <c r="G546" s="32">
        <f>ROUND(IF(NOT(AND(T545="",A546&lt;=S545)),0,IF(FALSE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),0)</f>
        <v>0</v>
      </c>
      <c r="H546" s="32">
        <f t="shared" si="144"/>
        <v>0</v>
      </c>
      <c r="I546" s="32">
        <f t="shared" si="145"/>
        <v>0</v>
      </c>
      <c r="J546" s="32">
        <f t="shared" si="146"/>
        <v>0</v>
      </c>
      <c r="K546" s="32">
        <f t="shared" si="147"/>
        <v>0</v>
      </c>
      <c r="L546" s="32">
        <f t="shared" si="148"/>
        <v>0</v>
      </c>
      <c r="M546" s="32">
        <f>0</f>
        <v>0</v>
      </c>
      <c r="N546" s="32">
        <f t="shared" si="149"/>
        <v>0</v>
      </c>
      <c r="O546" s="32">
        <f t="shared" si="150"/>
        <v>14115936</v>
      </c>
      <c r="P546" s="34" t="str">
        <f>IF(NOT(AND(T545="",A546&lt;=S545)),"",IF(FALSE,"繰上返済後再計算","")&amp;IF(AND(入力!$B$13="有効",A546&gt;1,MOD(A546-1,60)=0),IF(FALSE,"・","")&amp;"5年見直し","")&amp;IF(AND(A546=入力!$B$11,A546&gt;1),IF(OR(FALSE,AND(入力!$B$13="有効",A546&gt;1,MOD(A546-1,60)=0)),"・","")&amp;"金利変更","")&amp;IF(AND(OR(AND(入力!$B$13="有効",A546&gt;1,MOD(A546-1,60)=0),AND(A546=入力!$B$11,A546&gt;1)),入力!$B$14="有効",IF(E546=0,ROUND(C546/MAX(1,S545-A546+1),0),ROUND(-PMT(E546/12,MAX(1,S545-A546+1),C546),0))&gt;ROUND(G545*1.25,0),NOT(FALSE)),"・上限適用",""))</f>
        <v/>
      </c>
      <c r="Q546" s="35" t="str">
        <f>IF(AND(T545="",A546&lt;=S545),入力!$B$13,"")</f>
        <v/>
      </c>
      <c r="R546" s="32" t="str">
        <f>IF(AND(AND(T545="",A546&lt;=S545),OR(AND(入力!$B$13="有効",A546&gt;1,MOD(A546-1,60)=0),AND(A546=入力!$B$11,A546&gt;1)),入力!$B$14="有効"),ROUND(G545*1.25,0),"")</f>
        <v/>
      </c>
      <c r="S546" s="36">
        <f t="shared" si="151"/>
        <v>420</v>
      </c>
      <c r="T546" s="35" t="str">
        <f t="shared" si="152"/>
        <v/>
      </c>
      <c r="U546" s="3">
        <f t="shared" si="136"/>
        <v>0</v>
      </c>
      <c r="V546" s="3">
        <f t="shared" si="137"/>
        <v>0</v>
      </c>
      <c r="W546" s="3">
        <f t="shared" si="138"/>
        <v>0</v>
      </c>
      <c r="X546" s="3">
        <f t="shared" si="139"/>
        <v>0</v>
      </c>
      <c r="Y546" s="3">
        <f>0</f>
        <v>0</v>
      </c>
      <c r="Z546" s="3">
        <f t="shared" si="140"/>
        <v>0</v>
      </c>
      <c r="AA546">
        <f>ROUND(IF(FALSE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,0)</f>
        <v>0</v>
      </c>
    </row>
    <row r="547" spans="1:27">
      <c r="A547" s="30">
        <f>542</f>
        <v>542</v>
      </c>
      <c r="B547" s="31">
        <f>EDATE(入力!$B$6,A547-1)</f>
        <v>62702</v>
      </c>
      <c r="C547" s="32">
        <f t="shared" si="141"/>
        <v>0</v>
      </c>
      <c r="D547" s="32">
        <f t="shared" si="142"/>
        <v>0</v>
      </c>
      <c r="E547" s="33">
        <f>IF(AND(T546="",A547&lt;=S546),IF(A547&lt;入力!$B$11,入力!$B$10,入力!$B$12),0)</f>
        <v>0</v>
      </c>
      <c r="F547" s="32">
        <f t="shared" si="143"/>
        <v>0</v>
      </c>
      <c r="G547" s="32">
        <f>ROUND(IF(NOT(AND(T546="",A547&lt;=S546)),0,IF(FALSE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),0)</f>
        <v>0</v>
      </c>
      <c r="H547" s="32">
        <f t="shared" si="144"/>
        <v>0</v>
      </c>
      <c r="I547" s="32">
        <f t="shared" si="145"/>
        <v>0</v>
      </c>
      <c r="J547" s="32">
        <f t="shared" si="146"/>
        <v>0</v>
      </c>
      <c r="K547" s="32">
        <f t="shared" si="147"/>
        <v>0</v>
      </c>
      <c r="L547" s="32">
        <f t="shared" si="148"/>
        <v>0</v>
      </c>
      <c r="M547" s="32">
        <f>0</f>
        <v>0</v>
      </c>
      <c r="N547" s="32">
        <f t="shared" si="149"/>
        <v>0</v>
      </c>
      <c r="O547" s="32">
        <f t="shared" si="150"/>
        <v>14115936</v>
      </c>
      <c r="P547" s="34" t="str">
        <f>IF(NOT(AND(T546="",A547&lt;=S546)),"",IF(FALSE,"繰上返済後再計算","")&amp;IF(AND(入力!$B$13="有効",A547&gt;1,MOD(A547-1,60)=0),IF(FALSE,"・","")&amp;"5年見直し","")&amp;IF(AND(A547=入力!$B$11,A547&gt;1),IF(OR(FALSE,AND(入力!$B$13="有効",A547&gt;1,MOD(A547-1,60)=0)),"・","")&amp;"金利変更","")&amp;IF(AND(OR(AND(入力!$B$13="有効",A547&gt;1,MOD(A547-1,60)=0),AND(A547=入力!$B$11,A547&gt;1)),入力!$B$14="有効",IF(E547=0,ROUND(C547/MAX(1,S546-A547+1),0),ROUND(-PMT(E547/12,MAX(1,S546-A547+1),C547),0))&gt;ROUND(G546*1.25,0),NOT(FALSE)),"・上限適用",""))</f>
        <v/>
      </c>
      <c r="Q547" s="35" t="str">
        <f>IF(AND(T546="",A547&lt;=S546),入力!$B$13,"")</f>
        <v/>
      </c>
      <c r="R547" s="32" t="str">
        <f>IF(AND(AND(T546="",A547&lt;=S546),OR(AND(入力!$B$13="有効",A547&gt;1,MOD(A547-1,60)=0),AND(A547=入力!$B$11,A547&gt;1)),入力!$B$14="有効"),ROUND(G546*1.25,0),"")</f>
        <v/>
      </c>
      <c r="S547" s="36">
        <f t="shared" si="151"/>
        <v>420</v>
      </c>
      <c r="T547" s="35" t="str">
        <f t="shared" si="152"/>
        <v/>
      </c>
      <c r="U547" s="3">
        <f t="shared" si="136"/>
        <v>0</v>
      </c>
      <c r="V547" s="3">
        <f t="shared" si="137"/>
        <v>0</v>
      </c>
      <c r="W547" s="3">
        <f t="shared" si="138"/>
        <v>0</v>
      </c>
      <c r="X547" s="3">
        <f t="shared" si="139"/>
        <v>0</v>
      </c>
      <c r="Y547" s="3">
        <f>0</f>
        <v>0</v>
      </c>
      <c r="Z547" s="3">
        <f t="shared" si="140"/>
        <v>0</v>
      </c>
      <c r="AA547">
        <f>ROUND(IF(FALSE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,0)</f>
        <v>0</v>
      </c>
    </row>
    <row r="548" spans="1:27">
      <c r="A548" s="30">
        <f>543</f>
        <v>543</v>
      </c>
      <c r="B548" s="31">
        <f>EDATE(入力!$B$6,A548-1)</f>
        <v>62732</v>
      </c>
      <c r="C548" s="32">
        <f t="shared" si="141"/>
        <v>0</v>
      </c>
      <c r="D548" s="32">
        <f t="shared" si="142"/>
        <v>0</v>
      </c>
      <c r="E548" s="33">
        <f>IF(AND(T547="",A548&lt;=S547),IF(A548&lt;入力!$B$11,入力!$B$10,入力!$B$12),0)</f>
        <v>0</v>
      </c>
      <c r="F548" s="32">
        <f t="shared" si="143"/>
        <v>0</v>
      </c>
      <c r="G548" s="32">
        <f>ROUND(IF(NOT(AND(T547="",A548&lt;=S547)),0,IF(FALSE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),0)</f>
        <v>0</v>
      </c>
      <c r="H548" s="32">
        <f t="shared" si="144"/>
        <v>0</v>
      </c>
      <c r="I548" s="32">
        <f t="shared" si="145"/>
        <v>0</v>
      </c>
      <c r="J548" s="32">
        <f t="shared" si="146"/>
        <v>0</v>
      </c>
      <c r="K548" s="32">
        <f t="shared" si="147"/>
        <v>0</v>
      </c>
      <c r="L548" s="32">
        <f t="shared" si="148"/>
        <v>0</v>
      </c>
      <c r="M548" s="32">
        <f>0</f>
        <v>0</v>
      </c>
      <c r="N548" s="32">
        <f t="shared" si="149"/>
        <v>0</v>
      </c>
      <c r="O548" s="32">
        <f t="shared" si="150"/>
        <v>14115936</v>
      </c>
      <c r="P548" s="34" t="str">
        <f>IF(NOT(AND(T547="",A548&lt;=S547)),"",IF(FALSE,"繰上返済後再計算","")&amp;IF(AND(入力!$B$13="有効",A548&gt;1,MOD(A548-1,60)=0),IF(FALSE,"・","")&amp;"5年見直し","")&amp;IF(AND(A548=入力!$B$11,A548&gt;1),IF(OR(FALSE,AND(入力!$B$13="有効",A548&gt;1,MOD(A548-1,60)=0)),"・","")&amp;"金利変更","")&amp;IF(AND(OR(AND(入力!$B$13="有効",A548&gt;1,MOD(A548-1,60)=0),AND(A548=入力!$B$11,A548&gt;1)),入力!$B$14="有効",IF(E548=0,ROUND(C548/MAX(1,S547-A548+1),0),ROUND(-PMT(E548/12,MAX(1,S547-A548+1),C548),0))&gt;ROUND(G547*1.25,0),NOT(FALSE)),"・上限適用",""))</f>
        <v/>
      </c>
      <c r="Q548" s="35" t="str">
        <f>IF(AND(T547="",A548&lt;=S547),入力!$B$13,"")</f>
        <v/>
      </c>
      <c r="R548" s="32" t="str">
        <f>IF(AND(AND(T547="",A548&lt;=S547),OR(AND(入力!$B$13="有効",A548&gt;1,MOD(A548-1,60)=0),AND(A548=入力!$B$11,A548&gt;1)),入力!$B$14="有効"),ROUND(G547*1.25,0),"")</f>
        <v/>
      </c>
      <c r="S548" s="36">
        <f t="shared" si="151"/>
        <v>420</v>
      </c>
      <c r="T548" s="35" t="str">
        <f t="shared" si="152"/>
        <v/>
      </c>
      <c r="U548" s="3">
        <f t="shared" si="136"/>
        <v>0</v>
      </c>
      <c r="V548" s="3">
        <f t="shared" si="137"/>
        <v>0</v>
      </c>
      <c r="W548" s="3">
        <f t="shared" si="138"/>
        <v>0</v>
      </c>
      <c r="X548" s="3">
        <f t="shared" si="139"/>
        <v>0</v>
      </c>
      <c r="Y548" s="3">
        <f>0</f>
        <v>0</v>
      </c>
      <c r="Z548" s="3">
        <f t="shared" si="140"/>
        <v>0</v>
      </c>
      <c r="AA548">
        <f>ROUND(IF(FALSE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,0)</f>
        <v>0</v>
      </c>
    </row>
    <row r="549" spans="1:27">
      <c r="A549" s="30">
        <f>544</f>
        <v>544</v>
      </c>
      <c r="B549" s="31">
        <f>EDATE(入力!$B$6,A549-1)</f>
        <v>62763</v>
      </c>
      <c r="C549" s="32">
        <f t="shared" si="141"/>
        <v>0</v>
      </c>
      <c r="D549" s="32">
        <f t="shared" si="142"/>
        <v>0</v>
      </c>
      <c r="E549" s="33">
        <f>IF(AND(T548="",A549&lt;=S548),IF(A549&lt;入力!$B$11,入力!$B$10,入力!$B$12),0)</f>
        <v>0</v>
      </c>
      <c r="F549" s="32">
        <f t="shared" si="143"/>
        <v>0</v>
      </c>
      <c r="G549" s="32">
        <f>ROUND(IF(NOT(AND(T548="",A549&lt;=S548)),0,IF(FALSE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),0)</f>
        <v>0</v>
      </c>
      <c r="H549" s="32">
        <f t="shared" si="144"/>
        <v>0</v>
      </c>
      <c r="I549" s="32">
        <f t="shared" si="145"/>
        <v>0</v>
      </c>
      <c r="J549" s="32">
        <f t="shared" si="146"/>
        <v>0</v>
      </c>
      <c r="K549" s="32">
        <f t="shared" si="147"/>
        <v>0</v>
      </c>
      <c r="L549" s="32">
        <f t="shared" si="148"/>
        <v>0</v>
      </c>
      <c r="M549" s="32">
        <f>0</f>
        <v>0</v>
      </c>
      <c r="N549" s="32">
        <f t="shared" si="149"/>
        <v>0</v>
      </c>
      <c r="O549" s="32">
        <f t="shared" si="150"/>
        <v>14115936</v>
      </c>
      <c r="P549" s="34" t="str">
        <f>IF(NOT(AND(T548="",A549&lt;=S548)),"",IF(FALSE,"繰上返済後再計算","")&amp;IF(AND(入力!$B$13="有効",A549&gt;1,MOD(A549-1,60)=0),IF(FALSE,"・","")&amp;"5年見直し","")&amp;IF(AND(A549=入力!$B$11,A549&gt;1),IF(OR(FALSE,AND(入力!$B$13="有効",A549&gt;1,MOD(A549-1,60)=0)),"・","")&amp;"金利変更","")&amp;IF(AND(OR(AND(入力!$B$13="有効",A549&gt;1,MOD(A549-1,60)=0),AND(A549=入力!$B$11,A549&gt;1)),入力!$B$14="有効",IF(E549=0,ROUND(C549/MAX(1,S548-A549+1),0),ROUND(-PMT(E549/12,MAX(1,S548-A549+1),C549),0))&gt;ROUND(G548*1.25,0),NOT(FALSE)),"・上限適用",""))</f>
        <v/>
      </c>
      <c r="Q549" s="35" t="str">
        <f>IF(AND(T548="",A549&lt;=S548),入力!$B$13,"")</f>
        <v/>
      </c>
      <c r="R549" s="32" t="str">
        <f>IF(AND(AND(T548="",A549&lt;=S548),OR(AND(入力!$B$13="有効",A549&gt;1,MOD(A549-1,60)=0),AND(A549=入力!$B$11,A549&gt;1)),入力!$B$14="有効"),ROUND(G548*1.25,0),"")</f>
        <v/>
      </c>
      <c r="S549" s="36">
        <f t="shared" si="151"/>
        <v>420</v>
      </c>
      <c r="T549" s="35" t="str">
        <f t="shared" si="152"/>
        <v/>
      </c>
      <c r="U549" s="3">
        <f t="shared" si="136"/>
        <v>0</v>
      </c>
      <c r="V549" s="3">
        <f t="shared" si="137"/>
        <v>0</v>
      </c>
      <c r="W549" s="3">
        <f t="shared" si="138"/>
        <v>0</v>
      </c>
      <c r="X549" s="3">
        <f t="shared" si="139"/>
        <v>0</v>
      </c>
      <c r="Y549" s="3">
        <f>0</f>
        <v>0</v>
      </c>
      <c r="Z549" s="3">
        <f t="shared" si="140"/>
        <v>0</v>
      </c>
      <c r="AA549">
        <f>ROUND(IF(FALSE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,0)</f>
        <v>0</v>
      </c>
    </row>
    <row r="550" spans="1:27">
      <c r="A550" s="30">
        <f>545</f>
        <v>545</v>
      </c>
      <c r="B550" s="31">
        <f>EDATE(入力!$B$6,A550-1)</f>
        <v>62793</v>
      </c>
      <c r="C550" s="32">
        <f t="shared" si="141"/>
        <v>0</v>
      </c>
      <c r="D550" s="32">
        <f t="shared" si="142"/>
        <v>0</v>
      </c>
      <c r="E550" s="33">
        <f>IF(AND(T549="",A550&lt;=S549),IF(A550&lt;入力!$B$11,入力!$B$10,入力!$B$12),0)</f>
        <v>0</v>
      </c>
      <c r="F550" s="32">
        <f t="shared" si="143"/>
        <v>0</v>
      </c>
      <c r="G550" s="32">
        <f>ROUND(IF(NOT(AND(T549="",A550&lt;=S549)),0,IF(FALSE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),0)</f>
        <v>0</v>
      </c>
      <c r="H550" s="32">
        <f t="shared" si="144"/>
        <v>0</v>
      </c>
      <c r="I550" s="32">
        <f t="shared" si="145"/>
        <v>0</v>
      </c>
      <c r="J550" s="32">
        <f t="shared" si="146"/>
        <v>0</v>
      </c>
      <c r="K550" s="32">
        <f t="shared" si="147"/>
        <v>0</v>
      </c>
      <c r="L550" s="32">
        <f t="shared" si="148"/>
        <v>0</v>
      </c>
      <c r="M550" s="32">
        <f>0</f>
        <v>0</v>
      </c>
      <c r="N550" s="32">
        <f t="shared" si="149"/>
        <v>0</v>
      </c>
      <c r="O550" s="32">
        <f t="shared" si="150"/>
        <v>14115936</v>
      </c>
      <c r="P550" s="34" t="str">
        <f>IF(NOT(AND(T549="",A550&lt;=S549)),"",IF(FALSE,"繰上返済後再計算","")&amp;IF(AND(入力!$B$13="有効",A550&gt;1,MOD(A550-1,60)=0),IF(FALSE,"・","")&amp;"5年見直し","")&amp;IF(AND(A550=入力!$B$11,A550&gt;1),IF(OR(FALSE,AND(入力!$B$13="有効",A550&gt;1,MOD(A550-1,60)=0)),"・","")&amp;"金利変更","")&amp;IF(AND(OR(AND(入力!$B$13="有効",A550&gt;1,MOD(A550-1,60)=0),AND(A550=入力!$B$11,A550&gt;1)),入力!$B$14="有効",IF(E550=0,ROUND(C550/MAX(1,S549-A550+1),0),ROUND(-PMT(E550/12,MAX(1,S549-A550+1),C550),0))&gt;ROUND(G549*1.25,0),NOT(FALSE)),"・上限適用",""))</f>
        <v/>
      </c>
      <c r="Q550" s="35" t="str">
        <f>IF(AND(T549="",A550&lt;=S549),入力!$B$13,"")</f>
        <v/>
      </c>
      <c r="R550" s="32" t="str">
        <f>IF(AND(AND(T549="",A550&lt;=S549),OR(AND(入力!$B$13="有効",A550&gt;1,MOD(A550-1,60)=0),AND(A550=入力!$B$11,A550&gt;1)),入力!$B$14="有効"),ROUND(G549*1.25,0),"")</f>
        <v/>
      </c>
      <c r="S550" s="36">
        <f t="shared" si="151"/>
        <v>420</v>
      </c>
      <c r="T550" s="35" t="str">
        <f t="shared" si="152"/>
        <v/>
      </c>
      <c r="U550" s="3">
        <f t="shared" si="136"/>
        <v>0</v>
      </c>
      <c r="V550" s="3">
        <f t="shared" si="137"/>
        <v>0</v>
      </c>
      <c r="W550" s="3">
        <f t="shared" si="138"/>
        <v>0</v>
      </c>
      <c r="X550" s="3">
        <f t="shared" si="139"/>
        <v>0</v>
      </c>
      <c r="Y550" s="3">
        <f>0</f>
        <v>0</v>
      </c>
      <c r="Z550" s="3">
        <f t="shared" si="140"/>
        <v>0</v>
      </c>
      <c r="AA550">
        <f>ROUND(IF(FALSE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,0)</f>
        <v>0</v>
      </c>
    </row>
    <row r="551" spans="1:27">
      <c r="A551" s="30">
        <f>546</f>
        <v>546</v>
      </c>
      <c r="B551" s="31">
        <f>EDATE(入力!$B$6,A551-1)</f>
        <v>62824</v>
      </c>
      <c r="C551" s="32">
        <f t="shared" si="141"/>
        <v>0</v>
      </c>
      <c r="D551" s="32">
        <f t="shared" si="142"/>
        <v>0</v>
      </c>
      <c r="E551" s="33">
        <f>IF(AND(T550="",A551&lt;=S550),IF(A551&lt;入力!$B$11,入力!$B$10,入力!$B$12),0)</f>
        <v>0</v>
      </c>
      <c r="F551" s="32">
        <f t="shared" si="143"/>
        <v>0</v>
      </c>
      <c r="G551" s="32">
        <f>ROUND(IF(NOT(AND(T550="",A551&lt;=S550)),0,IF(FALSE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),0)</f>
        <v>0</v>
      </c>
      <c r="H551" s="32">
        <f t="shared" si="144"/>
        <v>0</v>
      </c>
      <c r="I551" s="32">
        <f t="shared" si="145"/>
        <v>0</v>
      </c>
      <c r="J551" s="32">
        <f t="shared" si="146"/>
        <v>0</v>
      </c>
      <c r="K551" s="32">
        <f t="shared" si="147"/>
        <v>0</v>
      </c>
      <c r="L551" s="32">
        <f t="shared" si="148"/>
        <v>0</v>
      </c>
      <c r="M551" s="32">
        <f>0</f>
        <v>0</v>
      </c>
      <c r="N551" s="32">
        <f t="shared" si="149"/>
        <v>0</v>
      </c>
      <c r="O551" s="32">
        <f t="shared" si="150"/>
        <v>14115936</v>
      </c>
      <c r="P551" s="34" t="str">
        <f>IF(NOT(AND(T550="",A551&lt;=S550)),"",IF(FALSE,"繰上返済後再計算","")&amp;IF(AND(入力!$B$13="有効",A551&gt;1,MOD(A551-1,60)=0),IF(FALSE,"・","")&amp;"5年見直し","")&amp;IF(AND(A551=入力!$B$11,A551&gt;1),IF(OR(FALSE,AND(入力!$B$13="有効",A551&gt;1,MOD(A551-1,60)=0)),"・","")&amp;"金利変更","")&amp;IF(AND(OR(AND(入力!$B$13="有効",A551&gt;1,MOD(A551-1,60)=0),AND(A551=入力!$B$11,A551&gt;1)),入力!$B$14="有効",IF(E551=0,ROUND(C551/MAX(1,S550-A551+1),0),ROUND(-PMT(E551/12,MAX(1,S550-A551+1),C551),0))&gt;ROUND(G550*1.25,0),NOT(FALSE)),"・上限適用",""))</f>
        <v/>
      </c>
      <c r="Q551" s="35" t="str">
        <f>IF(AND(T550="",A551&lt;=S550),入力!$B$13,"")</f>
        <v/>
      </c>
      <c r="R551" s="32" t="str">
        <f>IF(AND(AND(T550="",A551&lt;=S550),OR(AND(入力!$B$13="有効",A551&gt;1,MOD(A551-1,60)=0),AND(A551=入力!$B$11,A551&gt;1)),入力!$B$14="有効"),ROUND(G550*1.25,0),"")</f>
        <v/>
      </c>
      <c r="S551" s="36">
        <f t="shared" si="151"/>
        <v>420</v>
      </c>
      <c r="T551" s="35" t="str">
        <f t="shared" si="152"/>
        <v/>
      </c>
      <c r="U551" s="3">
        <f t="shared" si="136"/>
        <v>0</v>
      </c>
      <c r="V551" s="3">
        <f t="shared" si="137"/>
        <v>0</v>
      </c>
      <c r="W551" s="3">
        <f t="shared" si="138"/>
        <v>0</v>
      </c>
      <c r="X551" s="3">
        <f t="shared" si="139"/>
        <v>0</v>
      </c>
      <c r="Y551" s="3">
        <f>0</f>
        <v>0</v>
      </c>
      <c r="Z551" s="3">
        <f t="shared" si="140"/>
        <v>0</v>
      </c>
      <c r="AA551">
        <f>ROUND(IF(FALSE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,0)</f>
        <v>0</v>
      </c>
    </row>
    <row r="552" spans="1:27">
      <c r="A552" s="30">
        <f>547</f>
        <v>547</v>
      </c>
      <c r="B552" s="31">
        <f>EDATE(入力!$B$6,A552-1)</f>
        <v>62855</v>
      </c>
      <c r="C552" s="32">
        <f t="shared" si="141"/>
        <v>0</v>
      </c>
      <c r="D552" s="32">
        <f t="shared" si="142"/>
        <v>0</v>
      </c>
      <c r="E552" s="33">
        <f>IF(AND(T551="",A552&lt;=S551),IF(A552&lt;入力!$B$11,入力!$B$10,入力!$B$12),0)</f>
        <v>0</v>
      </c>
      <c r="F552" s="32">
        <f t="shared" si="143"/>
        <v>0</v>
      </c>
      <c r="G552" s="32">
        <f>ROUND(IF(NOT(AND(T551="",A552&lt;=S551)),0,IF(FALSE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),0)</f>
        <v>0</v>
      </c>
      <c r="H552" s="32">
        <f t="shared" si="144"/>
        <v>0</v>
      </c>
      <c r="I552" s="32">
        <f t="shared" si="145"/>
        <v>0</v>
      </c>
      <c r="J552" s="32">
        <f t="shared" si="146"/>
        <v>0</v>
      </c>
      <c r="K552" s="32">
        <f t="shared" si="147"/>
        <v>0</v>
      </c>
      <c r="L552" s="32">
        <f t="shared" si="148"/>
        <v>0</v>
      </c>
      <c r="M552" s="32">
        <f>0</f>
        <v>0</v>
      </c>
      <c r="N552" s="32">
        <f t="shared" si="149"/>
        <v>0</v>
      </c>
      <c r="O552" s="32">
        <f t="shared" si="150"/>
        <v>14115936</v>
      </c>
      <c r="P552" s="34" t="str">
        <f>IF(NOT(AND(T551="",A552&lt;=S551)),"",IF(FALSE,"繰上返済後再計算","")&amp;IF(AND(入力!$B$13="有効",A552&gt;1,MOD(A552-1,60)=0),IF(FALSE,"・","")&amp;"5年見直し","")&amp;IF(AND(A552=入力!$B$11,A552&gt;1),IF(OR(FALSE,AND(入力!$B$13="有効",A552&gt;1,MOD(A552-1,60)=0)),"・","")&amp;"金利変更","")&amp;IF(AND(OR(AND(入力!$B$13="有効",A552&gt;1,MOD(A552-1,60)=0),AND(A552=入力!$B$11,A552&gt;1)),入力!$B$14="有効",IF(E552=0,ROUND(C552/MAX(1,S551-A552+1),0),ROUND(-PMT(E552/12,MAX(1,S551-A552+1),C552),0))&gt;ROUND(G551*1.25,0),NOT(FALSE)),"・上限適用",""))</f>
        <v/>
      </c>
      <c r="Q552" s="35" t="str">
        <f>IF(AND(T551="",A552&lt;=S551),入力!$B$13,"")</f>
        <v/>
      </c>
      <c r="R552" s="32" t="str">
        <f>IF(AND(AND(T551="",A552&lt;=S551),OR(AND(入力!$B$13="有効",A552&gt;1,MOD(A552-1,60)=0),AND(A552=入力!$B$11,A552&gt;1)),入力!$B$14="有効"),ROUND(G551*1.25,0),"")</f>
        <v/>
      </c>
      <c r="S552" s="36">
        <f t="shared" si="151"/>
        <v>420</v>
      </c>
      <c r="T552" s="35" t="str">
        <f t="shared" si="152"/>
        <v/>
      </c>
      <c r="U552" s="3">
        <f t="shared" si="136"/>
        <v>0</v>
      </c>
      <c r="V552" s="3">
        <f t="shared" si="137"/>
        <v>0</v>
      </c>
      <c r="W552" s="3">
        <f t="shared" si="138"/>
        <v>0</v>
      </c>
      <c r="X552" s="3">
        <f t="shared" si="139"/>
        <v>0</v>
      </c>
      <c r="Y552" s="3">
        <f>0</f>
        <v>0</v>
      </c>
      <c r="Z552" s="3">
        <f t="shared" si="140"/>
        <v>0</v>
      </c>
      <c r="AA552">
        <f>ROUND(IF(FALSE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,0)</f>
        <v>0</v>
      </c>
    </row>
    <row r="553" spans="1:27">
      <c r="A553" s="30">
        <f>548</f>
        <v>548</v>
      </c>
      <c r="B553" s="31">
        <f>EDATE(入力!$B$6,A553-1)</f>
        <v>62884</v>
      </c>
      <c r="C553" s="32">
        <f t="shared" si="141"/>
        <v>0</v>
      </c>
      <c r="D553" s="32">
        <f t="shared" si="142"/>
        <v>0</v>
      </c>
      <c r="E553" s="33">
        <f>IF(AND(T552="",A553&lt;=S552),IF(A553&lt;入力!$B$11,入力!$B$10,入力!$B$12),0)</f>
        <v>0</v>
      </c>
      <c r="F553" s="32">
        <f t="shared" si="143"/>
        <v>0</v>
      </c>
      <c r="G553" s="32">
        <f>ROUND(IF(NOT(AND(T552="",A553&lt;=S552)),0,IF(FALSE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),0)</f>
        <v>0</v>
      </c>
      <c r="H553" s="32">
        <f t="shared" si="144"/>
        <v>0</v>
      </c>
      <c r="I553" s="32">
        <f t="shared" si="145"/>
        <v>0</v>
      </c>
      <c r="J553" s="32">
        <f t="shared" si="146"/>
        <v>0</v>
      </c>
      <c r="K553" s="32">
        <f t="shared" si="147"/>
        <v>0</v>
      </c>
      <c r="L553" s="32">
        <f t="shared" si="148"/>
        <v>0</v>
      </c>
      <c r="M553" s="32">
        <f>0</f>
        <v>0</v>
      </c>
      <c r="N553" s="32">
        <f t="shared" si="149"/>
        <v>0</v>
      </c>
      <c r="O553" s="32">
        <f t="shared" si="150"/>
        <v>14115936</v>
      </c>
      <c r="P553" s="34" t="str">
        <f>IF(NOT(AND(T552="",A553&lt;=S552)),"",IF(FALSE,"繰上返済後再計算","")&amp;IF(AND(入力!$B$13="有効",A553&gt;1,MOD(A553-1,60)=0),IF(FALSE,"・","")&amp;"5年見直し","")&amp;IF(AND(A553=入力!$B$11,A553&gt;1),IF(OR(FALSE,AND(入力!$B$13="有効",A553&gt;1,MOD(A553-1,60)=0)),"・","")&amp;"金利変更","")&amp;IF(AND(OR(AND(入力!$B$13="有効",A553&gt;1,MOD(A553-1,60)=0),AND(A553=入力!$B$11,A553&gt;1)),入力!$B$14="有効",IF(E553=0,ROUND(C553/MAX(1,S552-A553+1),0),ROUND(-PMT(E553/12,MAX(1,S552-A553+1),C553),0))&gt;ROUND(G552*1.25,0),NOT(FALSE)),"・上限適用",""))</f>
        <v/>
      </c>
      <c r="Q553" s="35" t="str">
        <f>IF(AND(T552="",A553&lt;=S552),入力!$B$13,"")</f>
        <v/>
      </c>
      <c r="R553" s="32" t="str">
        <f>IF(AND(AND(T552="",A553&lt;=S552),OR(AND(入力!$B$13="有効",A553&gt;1,MOD(A553-1,60)=0),AND(A553=入力!$B$11,A553&gt;1)),入力!$B$14="有効"),ROUND(G552*1.25,0),"")</f>
        <v/>
      </c>
      <c r="S553" s="36">
        <f t="shared" si="151"/>
        <v>420</v>
      </c>
      <c r="T553" s="35" t="str">
        <f t="shared" si="152"/>
        <v/>
      </c>
      <c r="U553" s="3">
        <f t="shared" si="136"/>
        <v>0</v>
      </c>
      <c r="V553" s="3">
        <f t="shared" si="137"/>
        <v>0</v>
      </c>
      <c r="W553" s="3">
        <f t="shared" si="138"/>
        <v>0</v>
      </c>
      <c r="X553" s="3">
        <f t="shared" si="139"/>
        <v>0</v>
      </c>
      <c r="Y553" s="3">
        <f>0</f>
        <v>0</v>
      </c>
      <c r="Z553" s="3">
        <f t="shared" si="140"/>
        <v>0</v>
      </c>
      <c r="AA553">
        <f>ROUND(IF(FALSE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,0)</f>
        <v>0</v>
      </c>
    </row>
    <row r="554" spans="1:27">
      <c r="A554" s="30">
        <f>549</f>
        <v>549</v>
      </c>
      <c r="B554" s="31">
        <f>EDATE(入力!$B$6,A554-1)</f>
        <v>62915</v>
      </c>
      <c r="C554" s="32">
        <f t="shared" si="141"/>
        <v>0</v>
      </c>
      <c r="D554" s="32">
        <f t="shared" si="142"/>
        <v>0</v>
      </c>
      <c r="E554" s="33">
        <f>IF(AND(T553="",A554&lt;=S553),IF(A554&lt;入力!$B$11,入力!$B$10,入力!$B$12),0)</f>
        <v>0</v>
      </c>
      <c r="F554" s="32">
        <f t="shared" si="143"/>
        <v>0</v>
      </c>
      <c r="G554" s="32">
        <f>ROUND(IF(NOT(AND(T553="",A554&lt;=S553)),0,IF(FALSE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),0)</f>
        <v>0</v>
      </c>
      <c r="H554" s="32">
        <f t="shared" si="144"/>
        <v>0</v>
      </c>
      <c r="I554" s="32">
        <f t="shared" si="145"/>
        <v>0</v>
      </c>
      <c r="J554" s="32">
        <f t="shared" si="146"/>
        <v>0</v>
      </c>
      <c r="K554" s="32">
        <f t="shared" si="147"/>
        <v>0</v>
      </c>
      <c r="L554" s="32">
        <f t="shared" si="148"/>
        <v>0</v>
      </c>
      <c r="M554" s="32">
        <f>0</f>
        <v>0</v>
      </c>
      <c r="N554" s="32">
        <f t="shared" si="149"/>
        <v>0</v>
      </c>
      <c r="O554" s="32">
        <f t="shared" si="150"/>
        <v>14115936</v>
      </c>
      <c r="P554" s="34" t="str">
        <f>IF(NOT(AND(T553="",A554&lt;=S553)),"",IF(FALSE,"繰上返済後再計算","")&amp;IF(AND(入力!$B$13="有効",A554&gt;1,MOD(A554-1,60)=0),IF(FALSE,"・","")&amp;"5年見直し","")&amp;IF(AND(A554=入力!$B$11,A554&gt;1),IF(OR(FALSE,AND(入力!$B$13="有効",A554&gt;1,MOD(A554-1,60)=0)),"・","")&amp;"金利変更","")&amp;IF(AND(OR(AND(入力!$B$13="有効",A554&gt;1,MOD(A554-1,60)=0),AND(A554=入力!$B$11,A554&gt;1)),入力!$B$14="有効",IF(E554=0,ROUND(C554/MAX(1,S553-A554+1),0),ROUND(-PMT(E554/12,MAX(1,S553-A554+1),C554),0))&gt;ROUND(G553*1.25,0),NOT(FALSE)),"・上限適用",""))</f>
        <v/>
      </c>
      <c r="Q554" s="35" t="str">
        <f>IF(AND(T553="",A554&lt;=S553),入力!$B$13,"")</f>
        <v/>
      </c>
      <c r="R554" s="32" t="str">
        <f>IF(AND(AND(T553="",A554&lt;=S553),OR(AND(入力!$B$13="有効",A554&gt;1,MOD(A554-1,60)=0),AND(A554=入力!$B$11,A554&gt;1)),入力!$B$14="有効"),ROUND(G553*1.25,0),"")</f>
        <v/>
      </c>
      <c r="S554" s="36">
        <f t="shared" si="151"/>
        <v>420</v>
      </c>
      <c r="T554" s="35" t="str">
        <f t="shared" si="152"/>
        <v/>
      </c>
      <c r="U554" s="3">
        <f t="shared" si="136"/>
        <v>0</v>
      </c>
      <c r="V554" s="3">
        <f t="shared" si="137"/>
        <v>0</v>
      </c>
      <c r="W554" s="3">
        <f t="shared" si="138"/>
        <v>0</v>
      </c>
      <c r="X554" s="3">
        <f t="shared" si="139"/>
        <v>0</v>
      </c>
      <c r="Y554" s="3">
        <f>0</f>
        <v>0</v>
      </c>
      <c r="Z554" s="3">
        <f t="shared" si="140"/>
        <v>0</v>
      </c>
      <c r="AA554">
        <f>ROUND(IF(FALSE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,0)</f>
        <v>0</v>
      </c>
    </row>
    <row r="555" spans="1:27">
      <c r="A555" s="30">
        <f>550</f>
        <v>550</v>
      </c>
      <c r="B555" s="31">
        <f>EDATE(入力!$B$6,A555-1)</f>
        <v>62945</v>
      </c>
      <c r="C555" s="32">
        <f t="shared" si="141"/>
        <v>0</v>
      </c>
      <c r="D555" s="32">
        <f t="shared" si="142"/>
        <v>0</v>
      </c>
      <c r="E555" s="33">
        <f>IF(AND(T554="",A555&lt;=S554),IF(A555&lt;入力!$B$11,入力!$B$10,入力!$B$12),0)</f>
        <v>0</v>
      </c>
      <c r="F555" s="32">
        <f t="shared" si="143"/>
        <v>0</v>
      </c>
      <c r="G555" s="32">
        <f>ROUND(IF(NOT(AND(T554="",A555&lt;=S554)),0,IF(FALSE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),0)</f>
        <v>0</v>
      </c>
      <c r="H555" s="32">
        <f t="shared" si="144"/>
        <v>0</v>
      </c>
      <c r="I555" s="32">
        <f t="shared" si="145"/>
        <v>0</v>
      </c>
      <c r="J555" s="32">
        <f t="shared" si="146"/>
        <v>0</v>
      </c>
      <c r="K555" s="32">
        <f t="shared" si="147"/>
        <v>0</v>
      </c>
      <c r="L555" s="32">
        <f t="shared" si="148"/>
        <v>0</v>
      </c>
      <c r="M555" s="32">
        <f>0</f>
        <v>0</v>
      </c>
      <c r="N555" s="32">
        <f t="shared" si="149"/>
        <v>0</v>
      </c>
      <c r="O555" s="32">
        <f t="shared" si="150"/>
        <v>14115936</v>
      </c>
      <c r="P555" s="34" t="str">
        <f>IF(NOT(AND(T554="",A555&lt;=S554)),"",IF(FALSE,"繰上返済後再計算","")&amp;IF(AND(入力!$B$13="有効",A555&gt;1,MOD(A555-1,60)=0),IF(FALSE,"・","")&amp;"5年見直し","")&amp;IF(AND(A555=入力!$B$11,A555&gt;1),IF(OR(FALSE,AND(入力!$B$13="有効",A555&gt;1,MOD(A555-1,60)=0)),"・","")&amp;"金利変更","")&amp;IF(AND(OR(AND(入力!$B$13="有効",A555&gt;1,MOD(A555-1,60)=0),AND(A555=入力!$B$11,A555&gt;1)),入力!$B$14="有効",IF(E555=0,ROUND(C555/MAX(1,S554-A555+1),0),ROUND(-PMT(E555/12,MAX(1,S554-A555+1),C555),0))&gt;ROUND(G554*1.25,0),NOT(FALSE)),"・上限適用",""))</f>
        <v/>
      </c>
      <c r="Q555" s="35" t="str">
        <f>IF(AND(T554="",A555&lt;=S554),入力!$B$13,"")</f>
        <v/>
      </c>
      <c r="R555" s="32" t="str">
        <f>IF(AND(AND(T554="",A555&lt;=S554),OR(AND(入力!$B$13="有効",A555&gt;1,MOD(A555-1,60)=0),AND(A555=入力!$B$11,A555&gt;1)),入力!$B$14="有効"),ROUND(G554*1.25,0),"")</f>
        <v/>
      </c>
      <c r="S555" s="36">
        <f t="shared" si="151"/>
        <v>420</v>
      </c>
      <c r="T555" s="35" t="str">
        <f t="shared" si="152"/>
        <v/>
      </c>
      <c r="U555" s="3">
        <f t="shared" si="136"/>
        <v>0</v>
      </c>
      <c r="V555" s="3">
        <f t="shared" si="137"/>
        <v>0</v>
      </c>
      <c r="W555" s="3">
        <f t="shared" si="138"/>
        <v>0</v>
      </c>
      <c r="X555" s="3">
        <f t="shared" si="139"/>
        <v>0</v>
      </c>
      <c r="Y555" s="3">
        <f>0</f>
        <v>0</v>
      </c>
      <c r="Z555" s="3">
        <f t="shared" si="140"/>
        <v>0</v>
      </c>
      <c r="AA555">
        <f>ROUND(IF(FALSE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,0)</f>
        <v>0</v>
      </c>
    </row>
    <row r="556" spans="1:27">
      <c r="A556" s="30">
        <f>551</f>
        <v>551</v>
      </c>
      <c r="B556" s="31">
        <f>EDATE(入力!$B$6,A556-1)</f>
        <v>62976</v>
      </c>
      <c r="C556" s="32">
        <f t="shared" si="141"/>
        <v>0</v>
      </c>
      <c r="D556" s="32">
        <f t="shared" si="142"/>
        <v>0</v>
      </c>
      <c r="E556" s="33">
        <f>IF(AND(T555="",A556&lt;=S555),IF(A556&lt;入力!$B$11,入力!$B$10,入力!$B$12),0)</f>
        <v>0</v>
      </c>
      <c r="F556" s="32">
        <f t="shared" si="143"/>
        <v>0</v>
      </c>
      <c r="G556" s="32">
        <f>ROUND(IF(NOT(AND(T555="",A556&lt;=S555)),0,IF(FALSE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),0)</f>
        <v>0</v>
      </c>
      <c r="H556" s="32">
        <f t="shared" si="144"/>
        <v>0</v>
      </c>
      <c r="I556" s="32">
        <f t="shared" si="145"/>
        <v>0</v>
      </c>
      <c r="J556" s="32">
        <f t="shared" si="146"/>
        <v>0</v>
      </c>
      <c r="K556" s="32">
        <f t="shared" si="147"/>
        <v>0</v>
      </c>
      <c r="L556" s="32">
        <f t="shared" si="148"/>
        <v>0</v>
      </c>
      <c r="M556" s="32">
        <f>0</f>
        <v>0</v>
      </c>
      <c r="N556" s="32">
        <f t="shared" si="149"/>
        <v>0</v>
      </c>
      <c r="O556" s="32">
        <f t="shared" si="150"/>
        <v>14115936</v>
      </c>
      <c r="P556" s="34" t="str">
        <f>IF(NOT(AND(T555="",A556&lt;=S555)),"",IF(FALSE,"繰上返済後再計算","")&amp;IF(AND(入力!$B$13="有効",A556&gt;1,MOD(A556-1,60)=0),IF(FALSE,"・","")&amp;"5年見直し","")&amp;IF(AND(A556=入力!$B$11,A556&gt;1),IF(OR(FALSE,AND(入力!$B$13="有効",A556&gt;1,MOD(A556-1,60)=0)),"・","")&amp;"金利変更","")&amp;IF(AND(OR(AND(入力!$B$13="有効",A556&gt;1,MOD(A556-1,60)=0),AND(A556=入力!$B$11,A556&gt;1)),入力!$B$14="有効",IF(E556=0,ROUND(C556/MAX(1,S555-A556+1),0),ROUND(-PMT(E556/12,MAX(1,S555-A556+1),C556),0))&gt;ROUND(G555*1.25,0),NOT(FALSE)),"・上限適用",""))</f>
        <v/>
      </c>
      <c r="Q556" s="35" t="str">
        <f>IF(AND(T555="",A556&lt;=S555),入力!$B$13,"")</f>
        <v/>
      </c>
      <c r="R556" s="32" t="str">
        <f>IF(AND(AND(T555="",A556&lt;=S555),OR(AND(入力!$B$13="有効",A556&gt;1,MOD(A556-1,60)=0),AND(A556=入力!$B$11,A556&gt;1)),入力!$B$14="有効"),ROUND(G555*1.25,0),"")</f>
        <v/>
      </c>
      <c r="S556" s="36">
        <f t="shared" si="151"/>
        <v>420</v>
      </c>
      <c r="T556" s="35" t="str">
        <f t="shared" si="152"/>
        <v/>
      </c>
      <c r="U556" s="3">
        <f t="shared" si="136"/>
        <v>0</v>
      </c>
      <c r="V556" s="3">
        <f t="shared" si="137"/>
        <v>0</v>
      </c>
      <c r="W556" s="3">
        <f t="shared" si="138"/>
        <v>0</v>
      </c>
      <c r="X556" s="3">
        <f t="shared" si="139"/>
        <v>0</v>
      </c>
      <c r="Y556" s="3">
        <f>0</f>
        <v>0</v>
      </c>
      <c r="Z556" s="3">
        <f t="shared" si="140"/>
        <v>0</v>
      </c>
      <c r="AA556">
        <f>ROUND(IF(FALSE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,0)</f>
        <v>0</v>
      </c>
    </row>
    <row r="557" spans="1:27">
      <c r="A557" s="30">
        <f>552</f>
        <v>552</v>
      </c>
      <c r="B557" s="31">
        <f>EDATE(入力!$B$6,A557-1)</f>
        <v>63006</v>
      </c>
      <c r="C557" s="32">
        <f t="shared" si="141"/>
        <v>0</v>
      </c>
      <c r="D557" s="32">
        <f t="shared" si="142"/>
        <v>0</v>
      </c>
      <c r="E557" s="33">
        <f>IF(AND(T556="",A557&lt;=S556),IF(A557&lt;入力!$B$11,入力!$B$10,入力!$B$12),0)</f>
        <v>0</v>
      </c>
      <c r="F557" s="32">
        <f t="shared" si="143"/>
        <v>0</v>
      </c>
      <c r="G557" s="32">
        <f>ROUND(IF(NOT(AND(T556="",A557&lt;=S556)),0,IF(FALSE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),0)</f>
        <v>0</v>
      </c>
      <c r="H557" s="32">
        <f t="shared" si="144"/>
        <v>0</v>
      </c>
      <c r="I557" s="32">
        <f t="shared" si="145"/>
        <v>0</v>
      </c>
      <c r="J557" s="32">
        <f t="shared" si="146"/>
        <v>0</v>
      </c>
      <c r="K557" s="32">
        <f t="shared" si="147"/>
        <v>0</v>
      </c>
      <c r="L557" s="32">
        <f t="shared" si="148"/>
        <v>0</v>
      </c>
      <c r="M557" s="32">
        <f>0</f>
        <v>0</v>
      </c>
      <c r="N557" s="32">
        <f t="shared" si="149"/>
        <v>0</v>
      </c>
      <c r="O557" s="32">
        <f t="shared" si="150"/>
        <v>14115936</v>
      </c>
      <c r="P557" s="34" t="str">
        <f>IF(NOT(AND(T556="",A557&lt;=S556)),"",IF(FALSE,"繰上返済後再計算","")&amp;IF(AND(入力!$B$13="有効",A557&gt;1,MOD(A557-1,60)=0),IF(FALSE,"・","")&amp;"5年見直し","")&amp;IF(AND(A557=入力!$B$11,A557&gt;1),IF(OR(FALSE,AND(入力!$B$13="有効",A557&gt;1,MOD(A557-1,60)=0)),"・","")&amp;"金利変更","")&amp;IF(AND(OR(AND(入力!$B$13="有効",A557&gt;1,MOD(A557-1,60)=0),AND(A557=入力!$B$11,A557&gt;1)),入力!$B$14="有効",IF(E557=0,ROUND(C557/MAX(1,S556-A557+1),0),ROUND(-PMT(E557/12,MAX(1,S556-A557+1),C557),0))&gt;ROUND(G556*1.25,0),NOT(FALSE)),"・上限適用",""))</f>
        <v/>
      </c>
      <c r="Q557" s="35" t="str">
        <f>IF(AND(T556="",A557&lt;=S556),入力!$B$13,"")</f>
        <v/>
      </c>
      <c r="R557" s="32" t="str">
        <f>IF(AND(AND(T556="",A557&lt;=S556),OR(AND(入力!$B$13="有効",A557&gt;1,MOD(A557-1,60)=0),AND(A557=入力!$B$11,A557&gt;1)),入力!$B$14="有効"),ROUND(G556*1.25,0),"")</f>
        <v/>
      </c>
      <c r="S557" s="36">
        <f t="shared" si="151"/>
        <v>420</v>
      </c>
      <c r="T557" s="35" t="str">
        <f t="shared" si="152"/>
        <v/>
      </c>
      <c r="U557" s="3">
        <f t="shared" si="136"/>
        <v>0</v>
      </c>
      <c r="V557" s="3">
        <f t="shared" si="137"/>
        <v>0</v>
      </c>
      <c r="W557" s="3">
        <f t="shared" si="138"/>
        <v>0</v>
      </c>
      <c r="X557" s="3">
        <f t="shared" si="139"/>
        <v>0</v>
      </c>
      <c r="Y557" s="3">
        <f>0</f>
        <v>0</v>
      </c>
      <c r="Z557" s="3">
        <f t="shared" si="140"/>
        <v>0</v>
      </c>
      <c r="AA557">
        <f>ROUND(IF(FALSE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,0)</f>
        <v>0</v>
      </c>
    </row>
    <row r="558" spans="1:27">
      <c r="A558" s="30">
        <f>553</f>
        <v>553</v>
      </c>
      <c r="B558" s="31">
        <f>EDATE(入力!$B$6,A558-1)</f>
        <v>63037</v>
      </c>
      <c r="C558" s="32">
        <f t="shared" si="141"/>
        <v>0</v>
      </c>
      <c r="D558" s="32">
        <f t="shared" si="142"/>
        <v>0</v>
      </c>
      <c r="E558" s="33">
        <f>IF(AND(T557="",A558&lt;=S557),IF(A558&lt;入力!$B$11,入力!$B$10,入力!$B$12),0)</f>
        <v>0</v>
      </c>
      <c r="F558" s="32">
        <f t="shared" si="143"/>
        <v>0</v>
      </c>
      <c r="G558" s="32">
        <f>ROUND(IF(NOT(AND(T557="",A558&lt;=S557)),0,IF(FALSE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),0)</f>
        <v>0</v>
      </c>
      <c r="H558" s="32">
        <f t="shared" si="144"/>
        <v>0</v>
      </c>
      <c r="I558" s="32">
        <f t="shared" si="145"/>
        <v>0</v>
      </c>
      <c r="J558" s="32">
        <f t="shared" si="146"/>
        <v>0</v>
      </c>
      <c r="K558" s="32">
        <f t="shared" si="147"/>
        <v>0</v>
      </c>
      <c r="L558" s="32">
        <f t="shared" si="148"/>
        <v>0</v>
      </c>
      <c r="M558" s="32">
        <f>0</f>
        <v>0</v>
      </c>
      <c r="N558" s="32">
        <f t="shared" si="149"/>
        <v>0</v>
      </c>
      <c r="O558" s="32">
        <f t="shared" si="150"/>
        <v>14115936</v>
      </c>
      <c r="P558" s="34" t="str">
        <f>IF(NOT(AND(T557="",A558&lt;=S557)),"",IF(FALSE,"繰上返済後再計算","")&amp;IF(AND(入力!$B$13="有効",A558&gt;1,MOD(A558-1,60)=0),IF(FALSE,"・","")&amp;"5年見直し","")&amp;IF(AND(A558=入力!$B$11,A558&gt;1),IF(OR(FALSE,AND(入力!$B$13="有効",A558&gt;1,MOD(A558-1,60)=0)),"・","")&amp;"金利変更","")&amp;IF(AND(OR(AND(入力!$B$13="有効",A558&gt;1,MOD(A558-1,60)=0),AND(A558=入力!$B$11,A558&gt;1)),入力!$B$14="有効",IF(E558=0,ROUND(C558/MAX(1,S557-A558+1),0),ROUND(-PMT(E558/12,MAX(1,S557-A558+1),C558),0))&gt;ROUND(G557*1.25,0),NOT(FALSE)),"・上限適用",""))</f>
        <v/>
      </c>
      <c r="Q558" s="35" t="str">
        <f>IF(AND(T557="",A558&lt;=S557),入力!$B$13,"")</f>
        <v/>
      </c>
      <c r="R558" s="32" t="str">
        <f>IF(AND(AND(T557="",A558&lt;=S557),OR(AND(入力!$B$13="有効",A558&gt;1,MOD(A558-1,60)=0),AND(A558=入力!$B$11,A558&gt;1)),入力!$B$14="有効"),ROUND(G557*1.25,0),"")</f>
        <v/>
      </c>
      <c r="S558" s="36">
        <f t="shared" si="151"/>
        <v>420</v>
      </c>
      <c r="T558" s="35" t="str">
        <f t="shared" si="152"/>
        <v/>
      </c>
      <c r="U558" s="3">
        <f t="shared" si="136"/>
        <v>0</v>
      </c>
      <c r="V558" s="3">
        <f t="shared" si="137"/>
        <v>0</v>
      </c>
      <c r="W558" s="3">
        <f t="shared" si="138"/>
        <v>0</v>
      </c>
      <c r="X558" s="3">
        <f t="shared" si="139"/>
        <v>0</v>
      </c>
      <c r="Y558" s="3">
        <f>0</f>
        <v>0</v>
      </c>
      <c r="Z558" s="3">
        <f t="shared" si="140"/>
        <v>0</v>
      </c>
      <c r="AA558">
        <f>ROUND(IF(FALSE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,0)</f>
        <v>0</v>
      </c>
    </row>
    <row r="559" spans="1:27">
      <c r="A559" s="30">
        <f>554</f>
        <v>554</v>
      </c>
      <c r="B559" s="31">
        <f>EDATE(入力!$B$6,A559-1)</f>
        <v>63068</v>
      </c>
      <c r="C559" s="32">
        <f t="shared" si="141"/>
        <v>0</v>
      </c>
      <c r="D559" s="32">
        <f t="shared" si="142"/>
        <v>0</v>
      </c>
      <c r="E559" s="33">
        <f>IF(AND(T558="",A559&lt;=S558),IF(A559&lt;入力!$B$11,入力!$B$10,入力!$B$12),0)</f>
        <v>0</v>
      </c>
      <c r="F559" s="32">
        <f t="shared" si="143"/>
        <v>0</v>
      </c>
      <c r="G559" s="32">
        <f>ROUND(IF(NOT(AND(T558="",A559&lt;=S558)),0,IF(FALSE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),0)</f>
        <v>0</v>
      </c>
      <c r="H559" s="32">
        <f t="shared" si="144"/>
        <v>0</v>
      </c>
      <c r="I559" s="32">
        <f t="shared" si="145"/>
        <v>0</v>
      </c>
      <c r="J559" s="32">
        <f t="shared" si="146"/>
        <v>0</v>
      </c>
      <c r="K559" s="32">
        <f t="shared" si="147"/>
        <v>0</v>
      </c>
      <c r="L559" s="32">
        <f t="shared" si="148"/>
        <v>0</v>
      </c>
      <c r="M559" s="32">
        <f>0</f>
        <v>0</v>
      </c>
      <c r="N559" s="32">
        <f t="shared" si="149"/>
        <v>0</v>
      </c>
      <c r="O559" s="32">
        <f t="shared" si="150"/>
        <v>14115936</v>
      </c>
      <c r="P559" s="34" t="str">
        <f>IF(NOT(AND(T558="",A559&lt;=S558)),"",IF(FALSE,"繰上返済後再計算","")&amp;IF(AND(入力!$B$13="有効",A559&gt;1,MOD(A559-1,60)=0),IF(FALSE,"・","")&amp;"5年見直し","")&amp;IF(AND(A559=入力!$B$11,A559&gt;1),IF(OR(FALSE,AND(入力!$B$13="有効",A559&gt;1,MOD(A559-1,60)=0)),"・","")&amp;"金利変更","")&amp;IF(AND(OR(AND(入力!$B$13="有効",A559&gt;1,MOD(A559-1,60)=0),AND(A559=入力!$B$11,A559&gt;1)),入力!$B$14="有効",IF(E559=0,ROUND(C559/MAX(1,S558-A559+1),0),ROUND(-PMT(E559/12,MAX(1,S558-A559+1),C559),0))&gt;ROUND(G558*1.25,0),NOT(FALSE)),"・上限適用",""))</f>
        <v/>
      </c>
      <c r="Q559" s="35" t="str">
        <f>IF(AND(T558="",A559&lt;=S558),入力!$B$13,"")</f>
        <v/>
      </c>
      <c r="R559" s="32" t="str">
        <f>IF(AND(AND(T558="",A559&lt;=S558),OR(AND(入力!$B$13="有効",A559&gt;1,MOD(A559-1,60)=0),AND(A559=入力!$B$11,A559&gt;1)),入力!$B$14="有効"),ROUND(G558*1.25,0),"")</f>
        <v/>
      </c>
      <c r="S559" s="36">
        <f t="shared" si="151"/>
        <v>420</v>
      </c>
      <c r="T559" s="35" t="str">
        <f t="shared" si="152"/>
        <v/>
      </c>
      <c r="U559" s="3">
        <f t="shared" si="136"/>
        <v>0</v>
      </c>
      <c r="V559" s="3">
        <f t="shared" si="137"/>
        <v>0</v>
      </c>
      <c r="W559" s="3">
        <f t="shared" si="138"/>
        <v>0</v>
      </c>
      <c r="X559" s="3">
        <f t="shared" si="139"/>
        <v>0</v>
      </c>
      <c r="Y559" s="3">
        <f>0</f>
        <v>0</v>
      </c>
      <c r="Z559" s="3">
        <f t="shared" si="140"/>
        <v>0</v>
      </c>
      <c r="AA559">
        <f>ROUND(IF(FALSE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,0)</f>
        <v>0</v>
      </c>
    </row>
    <row r="560" spans="1:27">
      <c r="A560" s="30">
        <f>555</f>
        <v>555</v>
      </c>
      <c r="B560" s="31">
        <f>EDATE(入力!$B$6,A560-1)</f>
        <v>63098</v>
      </c>
      <c r="C560" s="32">
        <f t="shared" si="141"/>
        <v>0</v>
      </c>
      <c r="D560" s="32">
        <f t="shared" si="142"/>
        <v>0</v>
      </c>
      <c r="E560" s="33">
        <f>IF(AND(T559="",A560&lt;=S559),IF(A560&lt;入力!$B$11,入力!$B$10,入力!$B$12),0)</f>
        <v>0</v>
      </c>
      <c r="F560" s="32">
        <f t="shared" si="143"/>
        <v>0</v>
      </c>
      <c r="G560" s="32">
        <f>ROUND(IF(NOT(AND(T559="",A560&lt;=S559)),0,IF(FALSE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),0)</f>
        <v>0</v>
      </c>
      <c r="H560" s="32">
        <f t="shared" si="144"/>
        <v>0</v>
      </c>
      <c r="I560" s="32">
        <f t="shared" si="145"/>
        <v>0</v>
      </c>
      <c r="J560" s="32">
        <f t="shared" si="146"/>
        <v>0</v>
      </c>
      <c r="K560" s="32">
        <f t="shared" si="147"/>
        <v>0</v>
      </c>
      <c r="L560" s="32">
        <f t="shared" si="148"/>
        <v>0</v>
      </c>
      <c r="M560" s="32">
        <f>0</f>
        <v>0</v>
      </c>
      <c r="N560" s="32">
        <f t="shared" si="149"/>
        <v>0</v>
      </c>
      <c r="O560" s="32">
        <f t="shared" si="150"/>
        <v>14115936</v>
      </c>
      <c r="P560" s="34" t="str">
        <f>IF(NOT(AND(T559="",A560&lt;=S559)),"",IF(FALSE,"繰上返済後再計算","")&amp;IF(AND(入力!$B$13="有効",A560&gt;1,MOD(A560-1,60)=0),IF(FALSE,"・","")&amp;"5年見直し","")&amp;IF(AND(A560=入力!$B$11,A560&gt;1),IF(OR(FALSE,AND(入力!$B$13="有効",A560&gt;1,MOD(A560-1,60)=0)),"・","")&amp;"金利変更","")&amp;IF(AND(OR(AND(入力!$B$13="有効",A560&gt;1,MOD(A560-1,60)=0),AND(A560=入力!$B$11,A560&gt;1)),入力!$B$14="有効",IF(E560=0,ROUND(C560/MAX(1,S559-A560+1),0),ROUND(-PMT(E560/12,MAX(1,S559-A560+1),C560),0))&gt;ROUND(G559*1.25,0),NOT(FALSE)),"・上限適用",""))</f>
        <v/>
      </c>
      <c r="Q560" s="35" t="str">
        <f>IF(AND(T559="",A560&lt;=S559),入力!$B$13,"")</f>
        <v/>
      </c>
      <c r="R560" s="32" t="str">
        <f>IF(AND(AND(T559="",A560&lt;=S559),OR(AND(入力!$B$13="有効",A560&gt;1,MOD(A560-1,60)=0),AND(A560=入力!$B$11,A560&gt;1)),入力!$B$14="有効"),ROUND(G559*1.25,0),"")</f>
        <v/>
      </c>
      <c r="S560" s="36">
        <f t="shared" si="151"/>
        <v>420</v>
      </c>
      <c r="T560" s="35" t="str">
        <f t="shared" si="152"/>
        <v/>
      </c>
      <c r="U560" s="3">
        <f t="shared" si="136"/>
        <v>0</v>
      </c>
      <c r="V560" s="3">
        <f t="shared" si="137"/>
        <v>0</v>
      </c>
      <c r="W560" s="3">
        <f t="shared" si="138"/>
        <v>0</v>
      </c>
      <c r="X560" s="3">
        <f t="shared" si="139"/>
        <v>0</v>
      </c>
      <c r="Y560" s="3">
        <f>0</f>
        <v>0</v>
      </c>
      <c r="Z560" s="3">
        <f t="shared" si="140"/>
        <v>0</v>
      </c>
      <c r="AA560">
        <f>ROUND(IF(FALSE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,0)</f>
        <v>0</v>
      </c>
    </row>
    <row r="561" spans="1:27">
      <c r="A561" s="30">
        <f>556</f>
        <v>556</v>
      </c>
      <c r="B561" s="31">
        <f>EDATE(入力!$B$6,A561-1)</f>
        <v>63129</v>
      </c>
      <c r="C561" s="32">
        <f t="shared" si="141"/>
        <v>0</v>
      </c>
      <c r="D561" s="32">
        <f t="shared" si="142"/>
        <v>0</v>
      </c>
      <c r="E561" s="33">
        <f>IF(AND(T560="",A561&lt;=S560),IF(A561&lt;入力!$B$11,入力!$B$10,入力!$B$12),0)</f>
        <v>0</v>
      </c>
      <c r="F561" s="32">
        <f t="shared" si="143"/>
        <v>0</v>
      </c>
      <c r="G561" s="32">
        <f>ROUND(IF(NOT(AND(T560="",A561&lt;=S560)),0,IF(FALSE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),0)</f>
        <v>0</v>
      </c>
      <c r="H561" s="32">
        <f t="shared" si="144"/>
        <v>0</v>
      </c>
      <c r="I561" s="32">
        <f t="shared" si="145"/>
        <v>0</v>
      </c>
      <c r="J561" s="32">
        <f t="shared" si="146"/>
        <v>0</v>
      </c>
      <c r="K561" s="32">
        <f t="shared" si="147"/>
        <v>0</v>
      </c>
      <c r="L561" s="32">
        <f t="shared" si="148"/>
        <v>0</v>
      </c>
      <c r="M561" s="32">
        <f>0</f>
        <v>0</v>
      </c>
      <c r="N561" s="32">
        <f t="shared" si="149"/>
        <v>0</v>
      </c>
      <c r="O561" s="32">
        <f t="shared" si="150"/>
        <v>14115936</v>
      </c>
      <c r="P561" s="34" t="str">
        <f>IF(NOT(AND(T560="",A561&lt;=S560)),"",IF(FALSE,"繰上返済後再計算","")&amp;IF(AND(入力!$B$13="有効",A561&gt;1,MOD(A561-1,60)=0),IF(FALSE,"・","")&amp;"5年見直し","")&amp;IF(AND(A561=入力!$B$11,A561&gt;1),IF(OR(FALSE,AND(入力!$B$13="有効",A561&gt;1,MOD(A561-1,60)=0)),"・","")&amp;"金利変更","")&amp;IF(AND(OR(AND(入力!$B$13="有効",A561&gt;1,MOD(A561-1,60)=0),AND(A561=入力!$B$11,A561&gt;1)),入力!$B$14="有効",IF(E561=0,ROUND(C561/MAX(1,S560-A561+1),0),ROUND(-PMT(E561/12,MAX(1,S560-A561+1),C561),0))&gt;ROUND(G560*1.25,0),NOT(FALSE)),"・上限適用",""))</f>
        <v/>
      </c>
      <c r="Q561" s="35" t="str">
        <f>IF(AND(T560="",A561&lt;=S560),入力!$B$13,"")</f>
        <v/>
      </c>
      <c r="R561" s="32" t="str">
        <f>IF(AND(AND(T560="",A561&lt;=S560),OR(AND(入力!$B$13="有効",A561&gt;1,MOD(A561-1,60)=0),AND(A561=入力!$B$11,A561&gt;1)),入力!$B$14="有効"),ROUND(G560*1.25,0),"")</f>
        <v/>
      </c>
      <c r="S561" s="36">
        <f t="shared" si="151"/>
        <v>420</v>
      </c>
      <c r="T561" s="35" t="str">
        <f t="shared" si="152"/>
        <v/>
      </c>
      <c r="U561" s="3">
        <f t="shared" si="136"/>
        <v>0</v>
      </c>
      <c r="V561" s="3">
        <f t="shared" si="137"/>
        <v>0</v>
      </c>
      <c r="W561" s="3">
        <f t="shared" si="138"/>
        <v>0</v>
      </c>
      <c r="X561" s="3">
        <f t="shared" si="139"/>
        <v>0</v>
      </c>
      <c r="Y561" s="3">
        <f>0</f>
        <v>0</v>
      </c>
      <c r="Z561" s="3">
        <f t="shared" si="140"/>
        <v>0</v>
      </c>
      <c r="AA561">
        <f>ROUND(IF(FALSE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,0)</f>
        <v>0</v>
      </c>
    </row>
    <row r="562" spans="1:27">
      <c r="A562" s="30">
        <f>557</f>
        <v>557</v>
      </c>
      <c r="B562" s="31">
        <f>EDATE(入力!$B$6,A562-1)</f>
        <v>63159</v>
      </c>
      <c r="C562" s="32">
        <f t="shared" si="141"/>
        <v>0</v>
      </c>
      <c r="D562" s="32">
        <f t="shared" si="142"/>
        <v>0</v>
      </c>
      <c r="E562" s="33">
        <f>IF(AND(T561="",A562&lt;=S561),IF(A562&lt;入力!$B$11,入力!$B$10,入力!$B$12),0)</f>
        <v>0</v>
      </c>
      <c r="F562" s="32">
        <f t="shared" si="143"/>
        <v>0</v>
      </c>
      <c r="G562" s="32">
        <f>ROUND(IF(NOT(AND(T561="",A562&lt;=S561)),0,IF(FALSE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),0)</f>
        <v>0</v>
      </c>
      <c r="H562" s="32">
        <f t="shared" si="144"/>
        <v>0</v>
      </c>
      <c r="I562" s="32">
        <f t="shared" si="145"/>
        <v>0</v>
      </c>
      <c r="J562" s="32">
        <f t="shared" si="146"/>
        <v>0</v>
      </c>
      <c r="K562" s="32">
        <f t="shared" si="147"/>
        <v>0</v>
      </c>
      <c r="L562" s="32">
        <f t="shared" si="148"/>
        <v>0</v>
      </c>
      <c r="M562" s="32">
        <f>0</f>
        <v>0</v>
      </c>
      <c r="N562" s="32">
        <f t="shared" si="149"/>
        <v>0</v>
      </c>
      <c r="O562" s="32">
        <f t="shared" si="150"/>
        <v>14115936</v>
      </c>
      <c r="P562" s="34" t="str">
        <f>IF(NOT(AND(T561="",A562&lt;=S561)),"",IF(FALSE,"繰上返済後再計算","")&amp;IF(AND(入力!$B$13="有効",A562&gt;1,MOD(A562-1,60)=0),IF(FALSE,"・","")&amp;"5年見直し","")&amp;IF(AND(A562=入力!$B$11,A562&gt;1),IF(OR(FALSE,AND(入力!$B$13="有効",A562&gt;1,MOD(A562-1,60)=0)),"・","")&amp;"金利変更","")&amp;IF(AND(OR(AND(入力!$B$13="有効",A562&gt;1,MOD(A562-1,60)=0),AND(A562=入力!$B$11,A562&gt;1)),入力!$B$14="有効",IF(E562=0,ROUND(C562/MAX(1,S561-A562+1),0),ROUND(-PMT(E562/12,MAX(1,S561-A562+1),C562),0))&gt;ROUND(G561*1.25,0),NOT(FALSE)),"・上限適用",""))</f>
        <v/>
      </c>
      <c r="Q562" s="35" t="str">
        <f>IF(AND(T561="",A562&lt;=S561),入力!$B$13,"")</f>
        <v/>
      </c>
      <c r="R562" s="32" t="str">
        <f>IF(AND(AND(T561="",A562&lt;=S561),OR(AND(入力!$B$13="有効",A562&gt;1,MOD(A562-1,60)=0),AND(A562=入力!$B$11,A562&gt;1)),入力!$B$14="有効"),ROUND(G561*1.25,0),"")</f>
        <v/>
      </c>
      <c r="S562" s="36">
        <f t="shared" si="151"/>
        <v>420</v>
      </c>
      <c r="T562" s="35" t="str">
        <f t="shared" si="152"/>
        <v/>
      </c>
      <c r="U562" s="3">
        <f t="shared" si="136"/>
        <v>0</v>
      </c>
      <c r="V562" s="3">
        <f t="shared" si="137"/>
        <v>0</v>
      </c>
      <c r="W562" s="3">
        <f t="shared" si="138"/>
        <v>0</v>
      </c>
      <c r="X562" s="3">
        <f t="shared" si="139"/>
        <v>0</v>
      </c>
      <c r="Y562" s="3">
        <f>0</f>
        <v>0</v>
      </c>
      <c r="Z562" s="3">
        <f t="shared" si="140"/>
        <v>0</v>
      </c>
      <c r="AA562">
        <f>ROUND(IF(FALSE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,0)</f>
        <v>0</v>
      </c>
    </row>
    <row r="563" spans="1:27">
      <c r="A563" s="30">
        <f>558</f>
        <v>558</v>
      </c>
      <c r="B563" s="31">
        <f>EDATE(入力!$B$6,A563-1)</f>
        <v>63190</v>
      </c>
      <c r="C563" s="32">
        <f t="shared" si="141"/>
        <v>0</v>
      </c>
      <c r="D563" s="32">
        <f t="shared" si="142"/>
        <v>0</v>
      </c>
      <c r="E563" s="33">
        <f>IF(AND(T562="",A563&lt;=S562),IF(A563&lt;入力!$B$11,入力!$B$10,入力!$B$12),0)</f>
        <v>0</v>
      </c>
      <c r="F563" s="32">
        <f t="shared" si="143"/>
        <v>0</v>
      </c>
      <c r="G563" s="32">
        <f>ROUND(IF(NOT(AND(T562="",A563&lt;=S562)),0,IF(FALSE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),0)</f>
        <v>0</v>
      </c>
      <c r="H563" s="32">
        <f t="shared" si="144"/>
        <v>0</v>
      </c>
      <c r="I563" s="32">
        <f t="shared" si="145"/>
        <v>0</v>
      </c>
      <c r="J563" s="32">
        <f t="shared" si="146"/>
        <v>0</v>
      </c>
      <c r="K563" s="32">
        <f t="shared" si="147"/>
        <v>0</v>
      </c>
      <c r="L563" s="32">
        <f t="shared" si="148"/>
        <v>0</v>
      </c>
      <c r="M563" s="32">
        <f>0</f>
        <v>0</v>
      </c>
      <c r="N563" s="32">
        <f t="shared" si="149"/>
        <v>0</v>
      </c>
      <c r="O563" s="32">
        <f t="shared" si="150"/>
        <v>14115936</v>
      </c>
      <c r="P563" s="34" t="str">
        <f>IF(NOT(AND(T562="",A563&lt;=S562)),"",IF(FALSE,"繰上返済後再計算","")&amp;IF(AND(入力!$B$13="有効",A563&gt;1,MOD(A563-1,60)=0),IF(FALSE,"・","")&amp;"5年見直し","")&amp;IF(AND(A563=入力!$B$11,A563&gt;1),IF(OR(FALSE,AND(入力!$B$13="有効",A563&gt;1,MOD(A563-1,60)=0)),"・","")&amp;"金利変更","")&amp;IF(AND(OR(AND(入力!$B$13="有効",A563&gt;1,MOD(A563-1,60)=0),AND(A563=入力!$B$11,A563&gt;1)),入力!$B$14="有効",IF(E563=0,ROUND(C563/MAX(1,S562-A563+1),0),ROUND(-PMT(E563/12,MAX(1,S562-A563+1),C563),0))&gt;ROUND(G562*1.25,0),NOT(FALSE)),"・上限適用",""))</f>
        <v/>
      </c>
      <c r="Q563" s="35" t="str">
        <f>IF(AND(T562="",A563&lt;=S562),入力!$B$13,"")</f>
        <v/>
      </c>
      <c r="R563" s="32" t="str">
        <f>IF(AND(AND(T562="",A563&lt;=S562),OR(AND(入力!$B$13="有効",A563&gt;1,MOD(A563-1,60)=0),AND(A563=入力!$B$11,A563&gt;1)),入力!$B$14="有効"),ROUND(G562*1.25,0),"")</f>
        <v/>
      </c>
      <c r="S563" s="36">
        <f t="shared" si="151"/>
        <v>420</v>
      </c>
      <c r="T563" s="35" t="str">
        <f t="shared" si="152"/>
        <v/>
      </c>
      <c r="U563" s="3">
        <f t="shared" si="136"/>
        <v>0</v>
      </c>
      <c r="V563" s="3">
        <f t="shared" si="137"/>
        <v>0</v>
      </c>
      <c r="W563" s="3">
        <f t="shared" si="138"/>
        <v>0</v>
      </c>
      <c r="X563" s="3">
        <f t="shared" si="139"/>
        <v>0</v>
      </c>
      <c r="Y563" s="3">
        <f>0</f>
        <v>0</v>
      </c>
      <c r="Z563" s="3">
        <f t="shared" si="140"/>
        <v>0</v>
      </c>
      <c r="AA563">
        <f>ROUND(IF(FALSE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,0)</f>
        <v>0</v>
      </c>
    </row>
    <row r="564" spans="1:27">
      <c r="A564" s="30">
        <f>559</f>
        <v>559</v>
      </c>
      <c r="B564" s="31">
        <f>EDATE(入力!$B$6,A564-1)</f>
        <v>63221</v>
      </c>
      <c r="C564" s="32">
        <f t="shared" si="141"/>
        <v>0</v>
      </c>
      <c r="D564" s="32">
        <f t="shared" si="142"/>
        <v>0</v>
      </c>
      <c r="E564" s="33">
        <f>IF(AND(T563="",A564&lt;=S563),IF(A564&lt;入力!$B$11,入力!$B$10,入力!$B$12),0)</f>
        <v>0</v>
      </c>
      <c r="F564" s="32">
        <f t="shared" si="143"/>
        <v>0</v>
      </c>
      <c r="G564" s="32">
        <f>ROUND(IF(NOT(AND(T563="",A564&lt;=S563)),0,IF(FALSE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),0)</f>
        <v>0</v>
      </c>
      <c r="H564" s="32">
        <f t="shared" si="144"/>
        <v>0</v>
      </c>
      <c r="I564" s="32">
        <f t="shared" si="145"/>
        <v>0</v>
      </c>
      <c r="J564" s="32">
        <f t="shared" si="146"/>
        <v>0</v>
      </c>
      <c r="K564" s="32">
        <f t="shared" si="147"/>
        <v>0</v>
      </c>
      <c r="L564" s="32">
        <f t="shared" si="148"/>
        <v>0</v>
      </c>
      <c r="M564" s="32">
        <f>0</f>
        <v>0</v>
      </c>
      <c r="N564" s="32">
        <f t="shared" si="149"/>
        <v>0</v>
      </c>
      <c r="O564" s="32">
        <f t="shared" si="150"/>
        <v>14115936</v>
      </c>
      <c r="P564" s="34" t="str">
        <f>IF(NOT(AND(T563="",A564&lt;=S563)),"",IF(FALSE,"繰上返済後再計算","")&amp;IF(AND(入力!$B$13="有効",A564&gt;1,MOD(A564-1,60)=0),IF(FALSE,"・","")&amp;"5年見直し","")&amp;IF(AND(A564=入力!$B$11,A564&gt;1),IF(OR(FALSE,AND(入力!$B$13="有効",A564&gt;1,MOD(A564-1,60)=0)),"・","")&amp;"金利変更","")&amp;IF(AND(OR(AND(入力!$B$13="有効",A564&gt;1,MOD(A564-1,60)=0),AND(A564=入力!$B$11,A564&gt;1)),入力!$B$14="有効",IF(E564=0,ROUND(C564/MAX(1,S563-A564+1),0),ROUND(-PMT(E564/12,MAX(1,S563-A564+1),C564),0))&gt;ROUND(G563*1.25,0),NOT(FALSE)),"・上限適用",""))</f>
        <v/>
      </c>
      <c r="Q564" s="35" t="str">
        <f>IF(AND(T563="",A564&lt;=S563),入力!$B$13,"")</f>
        <v/>
      </c>
      <c r="R564" s="32" t="str">
        <f>IF(AND(AND(T563="",A564&lt;=S563),OR(AND(入力!$B$13="有効",A564&gt;1,MOD(A564-1,60)=0),AND(A564=入力!$B$11,A564&gt;1)),入力!$B$14="有効"),ROUND(G563*1.25,0),"")</f>
        <v/>
      </c>
      <c r="S564" s="36">
        <f t="shared" si="151"/>
        <v>420</v>
      </c>
      <c r="T564" s="35" t="str">
        <f t="shared" si="152"/>
        <v/>
      </c>
      <c r="U564" s="3">
        <f t="shared" si="136"/>
        <v>0</v>
      </c>
      <c r="V564" s="3">
        <f t="shared" si="137"/>
        <v>0</v>
      </c>
      <c r="W564" s="3">
        <f t="shared" si="138"/>
        <v>0</v>
      </c>
      <c r="X564" s="3">
        <f t="shared" si="139"/>
        <v>0</v>
      </c>
      <c r="Y564" s="3">
        <f>0</f>
        <v>0</v>
      </c>
      <c r="Z564" s="3">
        <f t="shared" si="140"/>
        <v>0</v>
      </c>
      <c r="AA564">
        <f>ROUND(IF(FALSE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,0)</f>
        <v>0</v>
      </c>
    </row>
    <row r="565" spans="1:27">
      <c r="A565" s="30">
        <f>560</f>
        <v>560</v>
      </c>
      <c r="B565" s="31">
        <f>EDATE(入力!$B$6,A565-1)</f>
        <v>63249</v>
      </c>
      <c r="C565" s="32">
        <f t="shared" si="141"/>
        <v>0</v>
      </c>
      <c r="D565" s="32">
        <f t="shared" si="142"/>
        <v>0</v>
      </c>
      <c r="E565" s="33">
        <f>IF(AND(T564="",A565&lt;=S564),IF(A565&lt;入力!$B$11,入力!$B$10,入力!$B$12),0)</f>
        <v>0</v>
      </c>
      <c r="F565" s="32">
        <f t="shared" si="143"/>
        <v>0</v>
      </c>
      <c r="G565" s="32">
        <f>ROUND(IF(NOT(AND(T564="",A565&lt;=S564)),0,IF(FALSE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),0)</f>
        <v>0</v>
      </c>
      <c r="H565" s="32">
        <f t="shared" si="144"/>
        <v>0</v>
      </c>
      <c r="I565" s="32">
        <f t="shared" si="145"/>
        <v>0</v>
      </c>
      <c r="J565" s="32">
        <f t="shared" si="146"/>
        <v>0</v>
      </c>
      <c r="K565" s="32">
        <f t="shared" si="147"/>
        <v>0</v>
      </c>
      <c r="L565" s="32">
        <f t="shared" si="148"/>
        <v>0</v>
      </c>
      <c r="M565" s="32">
        <f>0</f>
        <v>0</v>
      </c>
      <c r="N565" s="32">
        <f t="shared" si="149"/>
        <v>0</v>
      </c>
      <c r="O565" s="32">
        <f t="shared" si="150"/>
        <v>14115936</v>
      </c>
      <c r="P565" s="34" t="str">
        <f>IF(NOT(AND(T564="",A565&lt;=S564)),"",IF(FALSE,"繰上返済後再計算","")&amp;IF(AND(入力!$B$13="有効",A565&gt;1,MOD(A565-1,60)=0),IF(FALSE,"・","")&amp;"5年見直し","")&amp;IF(AND(A565=入力!$B$11,A565&gt;1),IF(OR(FALSE,AND(入力!$B$13="有効",A565&gt;1,MOD(A565-1,60)=0)),"・","")&amp;"金利変更","")&amp;IF(AND(OR(AND(入力!$B$13="有効",A565&gt;1,MOD(A565-1,60)=0),AND(A565=入力!$B$11,A565&gt;1)),入力!$B$14="有効",IF(E565=0,ROUND(C565/MAX(1,S564-A565+1),0),ROUND(-PMT(E565/12,MAX(1,S564-A565+1),C565),0))&gt;ROUND(G564*1.25,0),NOT(FALSE)),"・上限適用",""))</f>
        <v/>
      </c>
      <c r="Q565" s="35" t="str">
        <f>IF(AND(T564="",A565&lt;=S564),入力!$B$13,"")</f>
        <v/>
      </c>
      <c r="R565" s="32" t="str">
        <f>IF(AND(AND(T564="",A565&lt;=S564),OR(AND(入力!$B$13="有効",A565&gt;1,MOD(A565-1,60)=0),AND(A565=入力!$B$11,A565&gt;1)),入力!$B$14="有効"),ROUND(G564*1.25,0),"")</f>
        <v/>
      </c>
      <c r="S565" s="36">
        <f t="shared" si="151"/>
        <v>420</v>
      </c>
      <c r="T565" s="35" t="str">
        <f t="shared" si="152"/>
        <v/>
      </c>
      <c r="U565" s="3">
        <f t="shared" si="136"/>
        <v>0</v>
      </c>
      <c r="V565" s="3">
        <f t="shared" si="137"/>
        <v>0</v>
      </c>
      <c r="W565" s="3">
        <f t="shared" si="138"/>
        <v>0</v>
      </c>
      <c r="X565" s="3">
        <f t="shared" si="139"/>
        <v>0</v>
      </c>
      <c r="Y565" s="3">
        <f>0</f>
        <v>0</v>
      </c>
      <c r="Z565" s="3">
        <f t="shared" si="140"/>
        <v>0</v>
      </c>
      <c r="AA565">
        <f>ROUND(IF(FALSE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,0)</f>
        <v>0</v>
      </c>
    </row>
    <row r="566" spans="1:27">
      <c r="A566" s="30">
        <f>561</f>
        <v>561</v>
      </c>
      <c r="B566" s="31">
        <f>EDATE(入力!$B$6,A566-1)</f>
        <v>63280</v>
      </c>
      <c r="C566" s="32">
        <f t="shared" si="141"/>
        <v>0</v>
      </c>
      <c r="D566" s="32">
        <f t="shared" si="142"/>
        <v>0</v>
      </c>
      <c r="E566" s="33">
        <f>IF(AND(T565="",A566&lt;=S565),IF(A566&lt;入力!$B$11,入力!$B$10,入力!$B$12),0)</f>
        <v>0</v>
      </c>
      <c r="F566" s="32">
        <f t="shared" si="143"/>
        <v>0</v>
      </c>
      <c r="G566" s="32">
        <f>ROUND(IF(NOT(AND(T565="",A566&lt;=S565)),0,IF(FALSE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),0)</f>
        <v>0</v>
      </c>
      <c r="H566" s="32">
        <f t="shared" si="144"/>
        <v>0</v>
      </c>
      <c r="I566" s="32">
        <f t="shared" si="145"/>
        <v>0</v>
      </c>
      <c r="J566" s="32">
        <f t="shared" si="146"/>
        <v>0</v>
      </c>
      <c r="K566" s="32">
        <f t="shared" si="147"/>
        <v>0</v>
      </c>
      <c r="L566" s="32">
        <f t="shared" si="148"/>
        <v>0</v>
      </c>
      <c r="M566" s="32">
        <f>0</f>
        <v>0</v>
      </c>
      <c r="N566" s="32">
        <f t="shared" si="149"/>
        <v>0</v>
      </c>
      <c r="O566" s="32">
        <f t="shared" si="150"/>
        <v>14115936</v>
      </c>
      <c r="P566" s="34" t="str">
        <f>IF(NOT(AND(T565="",A566&lt;=S565)),"",IF(FALSE,"繰上返済後再計算","")&amp;IF(AND(入力!$B$13="有効",A566&gt;1,MOD(A566-1,60)=0),IF(FALSE,"・","")&amp;"5年見直し","")&amp;IF(AND(A566=入力!$B$11,A566&gt;1),IF(OR(FALSE,AND(入力!$B$13="有効",A566&gt;1,MOD(A566-1,60)=0)),"・","")&amp;"金利変更","")&amp;IF(AND(OR(AND(入力!$B$13="有効",A566&gt;1,MOD(A566-1,60)=0),AND(A566=入力!$B$11,A566&gt;1)),入力!$B$14="有効",IF(E566=0,ROUND(C566/MAX(1,S565-A566+1),0),ROUND(-PMT(E566/12,MAX(1,S565-A566+1),C566),0))&gt;ROUND(G565*1.25,0),NOT(FALSE)),"・上限適用",""))</f>
        <v/>
      </c>
      <c r="Q566" s="35" t="str">
        <f>IF(AND(T565="",A566&lt;=S565),入力!$B$13,"")</f>
        <v/>
      </c>
      <c r="R566" s="32" t="str">
        <f>IF(AND(AND(T565="",A566&lt;=S565),OR(AND(入力!$B$13="有効",A566&gt;1,MOD(A566-1,60)=0),AND(A566=入力!$B$11,A566&gt;1)),入力!$B$14="有効"),ROUND(G565*1.25,0),"")</f>
        <v/>
      </c>
      <c r="S566" s="36">
        <f t="shared" si="151"/>
        <v>420</v>
      </c>
      <c r="T566" s="35" t="str">
        <f t="shared" si="152"/>
        <v/>
      </c>
      <c r="U566" s="3">
        <f t="shared" si="136"/>
        <v>0</v>
      </c>
      <c r="V566" s="3">
        <f t="shared" si="137"/>
        <v>0</v>
      </c>
      <c r="W566" s="3">
        <f t="shared" si="138"/>
        <v>0</v>
      </c>
      <c r="X566" s="3">
        <f t="shared" si="139"/>
        <v>0</v>
      </c>
      <c r="Y566" s="3">
        <f>0</f>
        <v>0</v>
      </c>
      <c r="Z566" s="3">
        <f t="shared" si="140"/>
        <v>0</v>
      </c>
      <c r="AA566">
        <f>ROUND(IF(FALSE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,0)</f>
        <v>0</v>
      </c>
    </row>
    <row r="567" spans="1:27">
      <c r="A567" s="30">
        <f>562</f>
        <v>562</v>
      </c>
      <c r="B567" s="31">
        <f>EDATE(入力!$B$6,A567-1)</f>
        <v>63310</v>
      </c>
      <c r="C567" s="32">
        <f t="shared" si="141"/>
        <v>0</v>
      </c>
      <c r="D567" s="32">
        <f t="shared" si="142"/>
        <v>0</v>
      </c>
      <c r="E567" s="33">
        <f>IF(AND(T566="",A567&lt;=S566),IF(A567&lt;入力!$B$11,入力!$B$10,入力!$B$12),0)</f>
        <v>0</v>
      </c>
      <c r="F567" s="32">
        <f t="shared" si="143"/>
        <v>0</v>
      </c>
      <c r="G567" s="32">
        <f>ROUND(IF(NOT(AND(T566="",A567&lt;=S566)),0,IF(FALSE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),0)</f>
        <v>0</v>
      </c>
      <c r="H567" s="32">
        <f t="shared" si="144"/>
        <v>0</v>
      </c>
      <c r="I567" s="32">
        <f t="shared" si="145"/>
        <v>0</v>
      </c>
      <c r="J567" s="32">
        <f t="shared" si="146"/>
        <v>0</v>
      </c>
      <c r="K567" s="32">
        <f t="shared" si="147"/>
        <v>0</v>
      </c>
      <c r="L567" s="32">
        <f t="shared" si="148"/>
        <v>0</v>
      </c>
      <c r="M567" s="32">
        <f>0</f>
        <v>0</v>
      </c>
      <c r="N567" s="32">
        <f t="shared" si="149"/>
        <v>0</v>
      </c>
      <c r="O567" s="32">
        <f t="shared" si="150"/>
        <v>14115936</v>
      </c>
      <c r="P567" s="34" t="str">
        <f>IF(NOT(AND(T566="",A567&lt;=S566)),"",IF(FALSE,"繰上返済後再計算","")&amp;IF(AND(入力!$B$13="有効",A567&gt;1,MOD(A567-1,60)=0),IF(FALSE,"・","")&amp;"5年見直し","")&amp;IF(AND(A567=入力!$B$11,A567&gt;1),IF(OR(FALSE,AND(入力!$B$13="有効",A567&gt;1,MOD(A567-1,60)=0)),"・","")&amp;"金利変更","")&amp;IF(AND(OR(AND(入力!$B$13="有効",A567&gt;1,MOD(A567-1,60)=0),AND(A567=入力!$B$11,A567&gt;1)),入力!$B$14="有効",IF(E567=0,ROUND(C567/MAX(1,S566-A567+1),0),ROUND(-PMT(E567/12,MAX(1,S566-A567+1),C567),0))&gt;ROUND(G566*1.25,0),NOT(FALSE)),"・上限適用",""))</f>
        <v/>
      </c>
      <c r="Q567" s="35" t="str">
        <f>IF(AND(T566="",A567&lt;=S566),入力!$B$13,"")</f>
        <v/>
      </c>
      <c r="R567" s="32" t="str">
        <f>IF(AND(AND(T566="",A567&lt;=S566),OR(AND(入力!$B$13="有効",A567&gt;1,MOD(A567-1,60)=0),AND(A567=入力!$B$11,A567&gt;1)),入力!$B$14="有効"),ROUND(G566*1.25,0),"")</f>
        <v/>
      </c>
      <c r="S567" s="36">
        <f t="shared" si="151"/>
        <v>420</v>
      </c>
      <c r="T567" s="35" t="str">
        <f t="shared" si="152"/>
        <v/>
      </c>
      <c r="U567" s="3">
        <f t="shared" si="136"/>
        <v>0</v>
      </c>
      <c r="V567" s="3">
        <f t="shared" si="137"/>
        <v>0</v>
      </c>
      <c r="W567" s="3">
        <f t="shared" si="138"/>
        <v>0</v>
      </c>
      <c r="X567" s="3">
        <f t="shared" si="139"/>
        <v>0</v>
      </c>
      <c r="Y567" s="3">
        <f>0</f>
        <v>0</v>
      </c>
      <c r="Z567" s="3">
        <f t="shared" si="140"/>
        <v>0</v>
      </c>
      <c r="AA567">
        <f>ROUND(IF(FALSE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,0)</f>
        <v>0</v>
      </c>
    </row>
    <row r="568" spans="1:27">
      <c r="A568" s="30">
        <f>563</f>
        <v>563</v>
      </c>
      <c r="B568" s="31">
        <f>EDATE(入力!$B$6,A568-1)</f>
        <v>63341</v>
      </c>
      <c r="C568" s="32">
        <f t="shared" si="141"/>
        <v>0</v>
      </c>
      <c r="D568" s="32">
        <f t="shared" si="142"/>
        <v>0</v>
      </c>
      <c r="E568" s="33">
        <f>IF(AND(T567="",A568&lt;=S567),IF(A568&lt;入力!$B$11,入力!$B$10,入力!$B$12),0)</f>
        <v>0</v>
      </c>
      <c r="F568" s="32">
        <f t="shared" si="143"/>
        <v>0</v>
      </c>
      <c r="G568" s="32">
        <f>ROUND(IF(NOT(AND(T567="",A568&lt;=S567)),0,IF(FALSE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),0)</f>
        <v>0</v>
      </c>
      <c r="H568" s="32">
        <f t="shared" si="144"/>
        <v>0</v>
      </c>
      <c r="I568" s="32">
        <f t="shared" si="145"/>
        <v>0</v>
      </c>
      <c r="J568" s="32">
        <f t="shared" si="146"/>
        <v>0</v>
      </c>
      <c r="K568" s="32">
        <f t="shared" si="147"/>
        <v>0</v>
      </c>
      <c r="L568" s="32">
        <f t="shared" si="148"/>
        <v>0</v>
      </c>
      <c r="M568" s="32">
        <f>0</f>
        <v>0</v>
      </c>
      <c r="N568" s="32">
        <f t="shared" si="149"/>
        <v>0</v>
      </c>
      <c r="O568" s="32">
        <f t="shared" si="150"/>
        <v>14115936</v>
      </c>
      <c r="P568" s="34" t="str">
        <f>IF(NOT(AND(T567="",A568&lt;=S567)),"",IF(FALSE,"繰上返済後再計算","")&amp;IF(AND(入力!$B$13="有効",A568&gt;1,MOD(A568-1,60)=0),IF(FALSE,"・","")&amp;"5年見直し","")&amp;IF(AND(A568=入力!$B$11,A568&gt;1),IF(OR(FALSE,AND(入力!$B$13="有効",A568&gt;1,MOD(A568-1,60)=0)),"・","")&amp;"金利変更","")&amp;IF(AND(OR(AND(入力!$B$13="有効",A568&gt;1,MOD(A568-1,60)=0),AND(A568=入力!$B$11,A568&gt;1)),入力!$B$14="有効",IF(E568=0,ROUND(C568/MAX(1,S567-A568+1),0),ROUND(-PMT(E568/12,MAX(1,S567-A568+1),C568),0))&gt;ROUND(G567*1.25,0),NOT(FALSE)),"・上限適用",""))</f>
        <v/>
      </c>
      <c r="Q568" s="35" t="str">
        <f>IF(AND(T567="",A568&lt;=S567),入力!$B$13,"")</f>
        <v/>
      </c>
      <c r="R568" s="32" t="str">
        <f>IF(AND(AND(T567="",A568&lt;=S567),OR(AND(入力!$B$13="有効",A568&gt;1,MOD(A568-1,60)=0),AND(A568=入力!$B$11,A568&gt;1)),入力!$B$14="有効"),ROUND(G567*1.25,0),"")</f>
        <v/>
      </c>
      <c r="S568" s="36">
        <f t="shared" si="151"/>
        <v>420</v>
      </c>
      <c r="T568" s="35" t="str">
        <f t="shared" si="152"/>
        <v/>
      </c>
      <c r="U568" s="3">
        <f t="shared" si="136"/>
        <v>0</v>
      </c>
      <c r="V568" s="3">
        <f t="shared" si="137"/>
        <v>0</v>
      </c>
      <c r="W568" s="3">
        <f t="shared" si="138"/>
        <v>0</v>
      </c>
      <c r="X568" s="3">
        <f t="shared" si="139"/>
        <v>0</v>
      </c>
      <c r="Y568" s="3">
        <f>0</f>
        <v>0</v>
      </c>
      <c r="Z568" s="3">
        <f t="shared" si="140"/>
        <v>0</v>
      </c>
      <c r="AA568">
        <f>ROUND(IF(FALSE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,0)</f>
        <v>0</v>
      </c>
    </row>
    <row r="569" spans="1:27">
      <c r="A569" s="30">
        <f>564</f>
        <v>564</v>
      </c>
      <c r="B569" s="31">
        <f>EDATE(入力!$B$6,A569-1)</f>
        <v>63371</v>
      </c>
      <c r="C569" s="32">
        <f t="shared" si="141"/>
        <v>0</v>
      </c>
      <c r="D569" s="32">
        <f t="shared" si="142"/>
        <v>0</v>
      </c>
      <c r="E569" s="33">
        <f>IF(AND(T568="",A569&lt;=S568),IF(A569&lt;入力!$B$11,入力!$B$10,入力!$B$12),0)</f>
        <v>0</v>
      </c>
      <c r="F569" s="32">
        <f t="shared" si="143"/>
        <v>0</v>
      </c>
      <c r="G569" s="32">
        <f>ROUND(IF(NOT(AND(T568="",A569&lt;=S568)),0,IF(FALSE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),0)</f>
        <v>0</v>
      </c>
      <c r="H569" s="32">
        <f t="shared" si="144"/>
        <v>0</v>
      </c>
      <c r="I569" s="32">
        <f t="shared" si="145"/>
        <v>0</v>
      </c>
      <c r="J569" s="32">
        <f t="shared" si="146"/>
        <v>0</v>
      </c>
      <c r="K569" s="32">
        <f t="shared" si="147"/>
        <v>0</v>
      </c>
      <c r="L569" s="32">
        <f t="shared" si="148"/>
        <v>0</v>
      </c>
      <c r="M569" s="32">
        <f>0</f>
        <v>0</v>
      </c>
      <c r="N569" s="32">
        <f t="shared" si="149"/>
        <v>0</v>
      </c>
      <c r="O569" s="32">
        <f t="shared" si="150"/>
        <v>14115936</v>
      </c>
      <c r="P569" s="34" t="str">
        <f>IF(NOT(AND(T568="",A569&lt;=S568)),"",IF(FALSE,"繰上返済後再計算","")&amp;IF(AND(入力!$B$13="有効",A569&gt;1,MOD(A569-1,60)=0),IF(FALSE,"・","")&amp;"5年見直し","")&amp;IF(AND(A569=入力!$B$11,A569&gt;1),IF(OR(FALSE,AND(入力!$B$13="有効",A569&gt;1,MOD(A569-1,60)=0)),"・","")&amp;"金利変更","")&amp;IF(AND(OR(AND(入力!$B$13="有効",A569&gt;1,MOD(A569-1,60)=0),AND(A569=入力!$B$11,A569&gt;1)),入力!$B$14="有効",IF(E569=0,ROUND(C569/MAX(1,S568-A569+1),0),ROUND(-PMT(E569/12,MAX(1,S568-A569+1),C569),0))&gt;ROUND(G568*1.25,0),NOT(FALSE)),"・上限適用",""))</f>
        <v/>
      </c>
      <c r="Q569" s="35" t="str">
        <f>IF(AND(T568="",A569&lt;=S568),入力!$B$13,"")</f>
        <v/>
      </c>
      <c r="R569" s="32" t="str">
        <f>IF(AND(AND(T568="",A569&lt;=S568),OR(AND(入力!$B$13="有効",A569&gt;1,MOD(A569-1,60)=0),AND(A569=入力!$B$11,A569&gt;1)),入力!$B$14="有効"),ROUND(G568*1.25,0),"")</f>
        <v/>
      </c>
      <c r="S569" s="36">
        <f t="shared" si="151"/>
        <v>420</v>
      </c>
      <c r="T569" s="35" t="str">
        <f t="shared" si="152"/>
        <v/>
      </c>
      <c r="U569" s="3">
        <f t="shared" si="136"/>
        <v>0</v>
      </c>
      <c r="V569" s="3">
        <f t="shared" si="137"/>
        <v>0</v>
      </c>
      <c r="W569" s="3">
        <f t="shared" si="138"/>
        <v>0</v>
      </c>
      <c r="X569" s="3">
        <f t="shared" si="139"/>
        <v>0</v>
      </c>
      <c r="Y569" s="3">
        <f>0</f>
        <v>0</v>
      </c>
      <c r="Z569" s="3">
        <f t="shared" si="140"/>
        <v>0</v>
      </c>
      <c r="AA569">
        <f>ROUND(IF(FALSE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,0)</f>
        <v>0</v>
      </c>
    </row>
    <row r="570" spans="1:27">
      <c r="A570" s="30">
        <f>565</f>
        <v>565</v>
      </c>
      <c r="B570" s="31">
        <f>EDATE(入力!$B$6,A570-1)</f>
        <v>63402</v>
      </c>
      <c r="C570" s="32">
        <f t="shared" si="141"/>
        <v>0</v>
      </c>
      <c r="D570" s="32">
        <f t="shared" si="142"/>
        <v>0</v>
      </c>
      <c r="E570" s="33">
        <f>IF(AND(T569="",A570&lt;=S569),IF(A570&lt;入力!$B$11,入力!$B$10,入力!$B$12),0)</f>
        <v>0</v>
      </c>
      <c r="F570" s="32">
        <f t="shared" si="143"/>
        <v>0</v>
      </c>
      <c r="G570" s="32">
        <f>ROUND(IF(NOT(AND(T569="",A570&lt;=S569)),0,IF(FALSE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),0)</f>
        <v>0</v>
      </c>
      <c r="H570" s="32">
        <f t="shared" si="144"/>
        <v>0</v>
      </c>
      <c r="I570" s="32">
        <f t="shared" si="145"/>
        <v>0</v>
      </c>
      <c r="J570" s="32">
        <f t="shared" si="146"/>
        <v>0</v>
      </c>
      <c r="K570" s="32">
        <f t="shared" si="147"/>
        <v>0</v>
      </c>
      <c r="L570" s="32">
        <f t="shared" si="148"/>
        <v>0</v>
      </c>
      <c r="M570" s="32">
        <f>0</f>
        <v>0</v>
      </c>
      <c r="N570" s="32">
        <f t="shared" si="149"/>
        <v>0</v>
      </c>
      <c r="O570" s="32">
        <f t="shared" si="150"/>
        <v>14115936</v>
      </c>
      <c r="P570" s="34" t="str">
        <f>IF(NOT(AND(T569="",A570&lt;=S569)),"",IF(FALSE,"繰上返済後再計算","")&amp;IF(AND(入力!$B$13="有効",A570&gt;1,MOD(A570-1,60)=0),IF(FALSE,"・","")&amp;"5年見直し","")&amp;IF(AND(A570=入力!$B$11,A570&gt;1),IF(OR(FALSE,AND(入力!$B$13="有効",A570&gt;1,MOD(A570-1,60)=0)),"・","")&amp;"金利変更","")&amp;IF(AND(OR(AND(入力!$B$13="有効",A570&gt;1,MOD(A570-1,60)=0),AND(A570=入力!$B$11,A570&gt;1)),入力!$B$14="有効",IF(E570=0,ROUND(C570/MAX(1,S569-A570+1),0),ROUND(-PMT(E570/12,MAX(1,S569-A570+1),C570),0))&gt;ROUND(G569*1.25,0),NOT(FALSE)),"・上限適用",""))</f>
        <v/>
      </c>
      <c r="Q570" s="35" t="str">
        <f>IF(AND(T569="",A570&lt;=S569),入力!$B$13,"")</f>
        <v/>
      </c>
      <c r="R570" s="32" t="str">
        <f>IF(AND(AND(T569="",A570&lt;=S569),OR(AND(入力!$B$13="有効",A570&gt;1,MOD(A570-1,60)=0),AND(A570=入力!$B$11,A570&gt;1)),入力!$B$14="有効"),ROUND(G569*1.25,0),"")</f>
        <v/>
      </c>
      <c r="S570" s="36">
        <f t="shared" si="151"/>
        <v>420</v>
      </c>
      <c r="T570" s="35" t="str">
        <f t="shared" si="152"/>
        <v/>
      </c>
      <c r="U570" s="3">
        <f t="shared" si="136"/>
        <v>0</v>
      </c>
      <c r="V570" s="3">
        <f t="shared" si="137"/>
        <v>0</v>
      </c>
      <c r="W570" s="3">
        <f t="shared" si="138"/>
        <v>0</v>
      </c>
      <c r="X570" s="3">
        <f t="shared" si="139"/>
        <v>0</v>
      </c>
      <c r="Y570" s="3">
        <f>0</f>
        <v>0</v>
      </c>
      <c r="Z570" s="3">
        <f t="shared" si="140"/>
        <v>0</v>
      </c>
      <c r="AA570">
        <f>ROUND(IF(FALSE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,0)</f>
        <v>0</v>
      </c>
    </row>
    <row r="571" spans="1:27">
      <c r="A571" s="30">
        <f>566</f>
        <v>566</v>
      </c>
      <c r="B571" s="31">
        <f>EDATE(入力!$B$6,A571-1)</f>
        <v>63433</v>
      </c>
      <c r="C571" s="32">
        <f t="shared" si="141"/>
        <v>0</v>
      </c>
      <c r="D571" s="32">
        <f t="shared" si="142"/>
        <v>0</v>
      </c>
      <c r="E571" s="33">
        <f>IF(AND(T570="",A571&lt;=S570),IF(A571&lt;入力!$B$11,入力!$B$10,入力!$B$12),0)</f>
        <v>0</v>
      </c>
      <c r="F571" s="32">
        <f t="shared" si="143"/>
        <v>0</v>
      </c>
      <c r="G571" s="32">
        <f>ROUND(IF(NOT(AND(T570="",A571&lt;=S570)),0,IF(FALSE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),0)</f>
        <v>0</v>
      </c>
      <c r="H571" s="32">
        <f t="shared" si="144"/>
        <v>0</v>
      </c>
      <c r="I571" s="32">
        <f t="shared" si="145"/>
        <v>0</v>
      </c>
      <c r="J571" s="32">
        <f t="shared" si="146"/>
        <v>0</v>
      </c>
      <c r="K571" s="32">
        <f t="shared" si="147"/>
        <v>0</v>
      </c>
      <c r="L571" s="32">
        <f t="shared" si="148"/>
        <v>0</v>
      </c>
      <c r="M571" s="32">
        <f>0</f>
        <v>0</v>
      </c>
      <c r="N571" s="32">
        <f t="shared" si="149"/>
        <v>0</v>
      </c>
      <c r="O571" s="32">
        <f t="shared" si="150"/>
        <v>14115936</v>
      </c>
      <c r="P571" s="34" t="str">
        <f>IF(NOT(AND(T570="",A571&lt;=S570)),"",IF(FALSE,"繰上返済後再計算","")&amp;IF(AND(入力!$B$13="有効",A571&gt;1,MOD(A571-1,60)=0),IF(FALSE,"・","")&amp;"5年見直し","")&amp;IF(AND(A571=入力!$B$11,A571&gt;1),IF(OR(FALSE,AND(入力!$B$13="有効",A571&gt;1,MOD(A571-1,60)=0)),"・","")&amp;"金利変更","")&amp;IF(AND(OR(AND(入力!$B$13="有効",A571&gt;1,MOD(A571-1,60)=0),AND(A571=入力!$B$11,A571&gt;1)),入力!$B$14="有効",IF(E571=0,ROUND(C571/MAX(1,S570-A571+1),0),ROUND(-PMT(E571/12,MAX(1,S570-A571+1),C571),0))&gt;ROUND(G570*1.25,0),NOT(FALSE)),"・上限適用",""))</f>
        <v/>
      </c>
      <c r="Q571" s="35" t="str">
        <f>IF(AND(T570="",A571&lt;=S570),入力!$B$13,"")</f>
        <v/>
      </c>
      <c r="R571" s="32" t="str">
        <f>IF(AND(AND(T570="",A571&lt;=S570),OR(AND(入力!$B$13="有効",A571&gt;1,MOD(A571-1,60)=0),AND(A571=入力!$B$11,A571&gt;1)),入力!$B$14="有効"),ROUND(G570*1.25,0),"")</f>
        <v/>
      </c>
      <c r="S571" s="36">
        <f t="shared" si="151"/>
        <v>420</v>
      </c>
      <c r="T571" s="35" t="str">
        <f t="shared" si="152"/>
        <v/>
      </c>
      <c r="U571" s="3">
        <f t="shared" si="136"/>
        <v>0</v>
      </c>
      <c r="V571" s="3">
        <f t="shared" si="137"/>
        <v>0</v>
      </c>
      <c r="W571" s="3">
        <f t="shared" si="138"/>
        <v>0</v>
      </c>
      <c r="X571" s="3">
        <f t="shared" si="139"/>
        <v>0</v>
      </c>
      <c r="Y571" s="3">
        <f>0</f>
        <v>0</v>
      </c>
      <c r="Z571" s="3">
        <f t="shared" si="140"/>
        <v>0</v>
      </c>
      <c r="AA571">
        <f>ROUND(IF(FALSE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,0)</f>
        <v>0</v>
      </c>
    </row>
    <row r="572" spans="1:27">
      <c r="A572" s="30">
        <f>567</f>
        <v>567</v>
      </c>
      <c r="B572" s="31">
        <f>EDATE(入力!$B$6,A572-1)</f>
        <v>63463</v>
      </c>
      <c r="C572" s="32">
        <f t="shared" si="141"/>
        <v>0</v>
      </c>
      <c r="D572" s="32">
        <f t="shared" si="142"/>
        <v>0</v>
      </c>
      <c r="E572" s="33">
        <f>IF(AND(T571="",A572&lt;=S571),IF(A572&lt;入力!$B$11,入力!$B$10,入力!$B$12),0)</f>
        <v>0</v>
      </c>
      <c r="F572" s="32">
        <f t="shared" si="143"/>
        <v>0</v>
      </c>
      <c r="G572" s="32">
        <f>ROUND(IF(NOT(AND(T571="",A572&lt;=S571)),0,IF(FALSE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),0)</f>
        <v>0</v>
      </c>
      <c r="H572" s="32">
        <f t="shared" si="144"/>
        <v>0</v>
      </c>
      <c r="I572" s="32">
        <f t="shared" si="145"/>
        <v>0</v>
      </c>
      <c r="J572" s="32">
        <f t="shared" si="146"/>
        <v>0</v>
      </c>
      <c r="K572" s="32">
        <f t="shared" si="147"/>
        <v>0</v>
      </c>
      <c r="L572" s="32">
        <f t="shared" si="148"/>
        <v>0</v>
      </c>
      <c r="M572" s="32">
        <f>0</f>
        <v>0</v>
      </c>
      <c r="N572" s="32">
        <f t="shared" si="149"/>
        <v>0</v>
      </c>
      <c r="O572" s="32">
        <f t="shared" si="150"/>
        <v>14115936</v>
      </c>
      <c r="P572" s="34" t="str">
        <f>IF(NOT(AND(T571="",A572&lt;=S571)),"",IF(FALSE,"繰上返済後再計算","")&amp;IF(AND(入力!$B$13="有効",A572&gt;1,MOD(A572-1,60)=0),IF(FALSE,"・","")&amp;"5年見直し","")&amp;IF(AND(A572=入力!$B$11,A572&gt;1),IF(OR(FALSE,AND(入力!$B$13="有効",A572&gt;1,MOD(A572-1,60)=0)),"・","")&amp;"金利変更","")&amp;IF(AND(OR(AND(入力!$B$13="有効",A572&gt;1,MOD(A572-1,60)=0),AND(A572=入力!$B$11,A572&gt;1)),入力!$B$14="有効",IF(E572=0,ROUND(C572/MAX(1,S571-A572+1),0),ROUND(-PMT(E572/12,MAX(1,S571-A572+1),C572),0))&gt;ROUND(G571*1.25,0),NOT(FALSE)),"・上限適用",""))</f>
        <v/>
      </c>
      <c r="Q572" s="35" t="str">
        <f>IF(AND(T571="",A572&lt;=S571),入力!$B$13,"")</f>
        <v/>
      </c>
      <c r="R572" s="32" t="str">
        <f>IF(AND(AND(T571="",A572&lt;=S571),OR(AND(入力!$B$13="有効",A572&gt;1,MOD(A572-1,60)=0),AND(A572=入力!$B$11,A572&gt;1)),入力!$B$14="有効"),ROUND(G571*1.25,0),"")</f>
        <v/>
      </c>
      <c r="S572" s="36">
        <f t="shared" si="151"/>
        <v>420</v>
      </c>
      <c r="T572" s="35" t="str">
        <f t="shared" si="152"/>
        <v/>
      </c>
      <c r="U572" s="3">
        <f t="shared" si="136"/>
        <v>0</v>
      </c>
      <c r="V572" s="3">
        <f t="shared" si="137"/>
        <v>0</v>
      </c>
      <c r="W572" s="3">
        <f t="shared" si="138"/>
        <v>0</v>
      </c>
      <c r="X572" s="3">
        <f t="shared" si="139"/>
        <v>0</v>
      </c>
      <c r="Y572" s="3">
        <f>0</f>
        <v>0</v>
      </c>
      <c r="Z572" s="3">
        <f t="shared" si="140"/>
        <v>0</v>
      </c>
      <c r="AA572">
        <f>ROUND(IF(FALSE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,0)</f>
        <v>0</v>
      </c>
    </row>
    <row r="573" spans="1:27">
      <c r="A573" s="30">
        <f>568</f>
        <v>568</v>
      </c>
      <c r="B573" s="31">
        <f>EDATE(入力!$B$6,A573-1)</f>
        <v>63494</v>
      </c>
      <c r="C573" s="32">
        <f t="shared" si="141"/>
        <v>0</v>
      </c>
      <c r="D573" s="32">
        <f t="shared" si="142"/>
        <v>0</v>
      </c>
      <c r="E573" s="33">
        <f>IF(AND(T572="",A573&lt;=S572),IF(A573&lt;入力!$B$11,入力!$B$10,入力!$B$12),0)</f>
        <v>0</v>
      </c>
      <c r="F573" s="32">
        <f t="shared" si="143"/>
        <v>0</v>
      </c>
      <c r="G573" s="32">
        <f>ROUND(IF(NOT(AND(T572="",A573&lt;=S572)),0,IF(FALSE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),0)</f>
        <v>0</v>
      </c>
      <c r="H573" s="32">
        <f t="shared" si="144"/>
        <v>0</v>
      </c>
      <c r="I573" s="32">
        <f t="shared" si="145"/>
        <v>0</v>
      </c>
      <c r="J573" s="32">
        <f t="shared" si="146"/>
        <v>0</v>
      </c>
      <c r="K573" s="32">
        <f t="shared" si="147"/>
        <v>0</v>
      </c>
      <c r="L573" s="32">
        <f t="shared" si="148"/>
        <v>0</v>
      </c>
      <c r="M573" s="32">
        <f>0</f>
        <v>0</v>
      </c>
      <c r="N573" s="32">
        <f t="shared" si="149"/>
        <v>0</v>
      </c>
      <c r="O573" s="32">
        <f t="shared" si="150"/>
        <v>14115936</v>
      </c>
      <c r="P573" s="34" t="str">
        <f>IF(NOT(AND(T572="",A573&lt;=S572)),"",IF(FALSE,"繰上返済後再計算","")&amp;IF(AND(入力!$B$13="有効",A573&gt;1,MOD(A573-1,60)=0),IF(FALSE,"・","")&amp;"5年見直し","")&amp;IF(AND(A573=入力!$B$11,A573&gt;1),IF(OR(FALSE,AND(入力!$B$13="有効",A573&gt;1,MOD(A573-1,60)=0)),"・","")&amp;"金利変更","")&amp;IF(AND(OR(AND(入力!$B$13="有効",A573&gt;1,MOD(A573-1,60)=0),AND(A573=入力!$B$11,A573&gt;1)),入力!$B$14="有効",IF(E573=0,ROUND(C573/MAX(1,S572-A573+1),0),ROUND(-PMT(E573/12,MAX(1,S572-A573+1),C573),0))&gt;ROUND(G572*1.25,0),NOT(FALSE)),"・上限適用",""))</f>
        <v/>
      </c>
      <c r="Q573" s="35" t="str">
        <f>IF(AND(T572="",A573&lt;=S572),入力!$B$13,"")</f>
        <v/>
      </c>
      <c r="R573" s="32" t="str">
        <f>IF(AND(AND(T572="",A573&lt;=S572),OR(AND(入力!$B$13="有効",A573&gt;1,MOD(A573-1,60)=0),AND(A573=入力!$B$11,A573&gt;1)),入力!$B$14="有効"),ROUND(G572*1.25,0),"")</f>
        <v/>
      </c>
      <c r="S573" s="36">
        <f t="shared" si="151"/>
        <v>420</v>
      </c>
      <c r="T573" s="35" t="str">
        <f t="shared" si="152"/>
        <v/>
      </c>
      <c r="U573" s="3">
        <f t="shared" si="136"/>
        <v>0</v>
      </c>
      <c r="V573" s="3">
        <f t="shared" si="137"/>
        <v>0</v>
      </c>
      <c r="W573" s="3">
        <f t="shared" si="138"/>
        <v>0</v>
      </c>
      <c r="X573" s="3">
        <f t="shared" si="139"/>
        <v>0</v>
      </c>
      <c r="Y573" s="3">
        <f>0</f>
        <v>0</v>
      </c>
      <c r="Z573" s="3">
        <f t="shared" si="140"/>
        <v>0</v>
      </c>
      <c r="AA573">
        <f>ROUND(IF(FALSE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,0)</f>
        <v>0</v>
      </c>
    </row>
    <row r="574" spans="1:27">
      <c r="A574" s="30">
        <f>569</f>
        <v>569</v>
      </c>
      <c r="B574" s="31">
        <f>EDATE(入力!$B$6,A574-1)</f>
        <v>63524</v>
      </c>
      <c r="C574" s="32">
        <f t="shared" si="141"/>
        <v>0</v>
      </c>
      <c r="D574" s="32">
        <f t="shared" si="142"/>
        <v>0</v>
      </c>
      <c r="E574" s="33">
        <f>IF(AND(T573="",A574&lt;=S573),IF(A574&lt;入力!$B$11,入力!$B$10,入力!$B$12),0)</f>
        <v>0</v>
      </c>
      <c r="F574" s="32">
        <f t="shared" si="143"/>
        <v>0</v>
      </c>
      <c r="G574" s="32">
        <f>ROUND(IF(NOT(AND(T573="",A574&lt;=S573)),0,IF(FALSE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),0)</f>
        <v>0</v>
      </c>
      <c r="H574" s="32">
        <f t="shared" si="144"/>
        <v>0</v>
      </c>
      <c r="I574" s="32">
        <f t="shared" si="145"/>
        <v>0</v>
      </c>
      <c r="J574" s="32">
        <f t="shared" si="146"/>
        <v>0</v>
      </c>
      <c r="K574" s="32">
        <f t="shared" si="147"/>
        <v>0</v>
      </c>
      <c r="L574" s="32">
        <f t="shared" si="148"/>
        <v>0</v>
      </c>
      <c r="M574" s="32">
        <f>0</f>
        <v>0</v>
      </c>
      <c r="N574" s="32">
        <f t="shared" si="149"/>
        <v>0</v>
      </c>
      <c r="O574" s="32">
        <f t="shared" si="150"/>
        <v>14115936</v>
      </c>
      <c r="P574" s="34" t="str">
        <f>IF(NOT(AND(T573="",A574&lt;=S573)),"",IF(FALSE,"繰上返済後再計算","")&amp;IF(AND(入力!$B$13="有効",A574&gt;1,MOD(A574-1,60)=0),IF(FALSE,"・","")&amp;"5年見直し","")&amp;IF(AND(A574=入力!$B$11,A574&gt;1),IF(OR(FALSE,AND(入力!$B$13="有効",A574&gt;1,MOD(A574-1,60)=0)),"・","")&amp;"金利変更","")&amp;IF(AND(OR(AND(入力!$B$13="有効",A574&gt;1,MOD(A574-1,60)=0),AND(A574=入力!$B$11,A574&gt;1)),入力!$B$14="有効",IF(E574=0,ROUND(C574/MAX(1,S573-A574+1),0),ROUND(-PMT(E574/12,MAX(1,S573-A574+1),C574),0))&gt;ROUND(G573*1.25,0),NOT(FALSE)),"・上限適用",""))</f>
        <v/>
      </c>
      <c r="Q574" s="35" t="str">
        <f>IF(AND(T573="",A574&lt;=S573),入力!$B$13,"")</f>
        <v/>
      </c>
      <c r="R574" s="32" t="str">
        <f>IF(AND(AND(T573="",A574&lt;=S573),OR(AND(入力!$B$13="有効",A574&gt;1,MOD(A574-1,60)=0),AND(A574=入力!$B$11,A574&gt;1)),入力!$B$14="有効"),ROUND(G573*1.25,0),"")</f>
        <v/>
      </c>
      <c r="S574" s="36">
        <f t="shared" si="151"/>
        <v>420</v>
      </c>
      <c r="T574" s="35" t="str">
        <f t="shared" si="152"/>
        <v/>
      </c>
      <c r="U574" s="3">
        <f t="shared" si="136"/>
        <v>0</v>
      </c>
      <c r="V574" s="3">
        <f t="shared" si="137"/>
        <v>0</v>
      </c>
      <c r="W574" s="3">
        <f t="shared" si="138"/>
        <v>0</v>
      </c>
      <c r="X574" s="3">
        <f t="shared" si="139"/>
        <v>0</v>
      </c>
      <c r="Y574" s="3">
        <f>0</f>
        <v>0</v>
      </c>
      <c r="Z574" s="3">
        <f t="shared" si="140"/>
        <v>0</v>
      </c>
      <c r="AA574">
        <f>ROUND(IF(FALSE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,0)</f>
        <v>0</v>
      </c>
    </row>
    <row r="575" spans="1:27">
      <c r="A575" s="30">
        <f>570</f>
        <v>570</v>
      </c>
      <c r="B575" s="31">
        <f>EDATE(入力!$B$6,A575-1)</f>
        <v>63555</v>
      </c>
      <c r="C575" s="32">
        <f t="shared" si="141"/>
        <v>0</v>
      </c>
      <c r="D575" s="32">
        <f t="shared" si="142"/>
        <v>0</v>
      </c>
      <c r="E575" s="33">
        <f>IF(AND(T574="",A575&lt;=S574),IF(A575&lt;入力!$B$11,入力!$B$10,入力!$B$12),0)</f>
        <v>0</v>
      </c>
      <c r="F575" s="32">
        <f t="shared" si="143"/>
        <v>0</v>
      </c>
      <c r="G575" s="32">
        <f>ROUND(IF(NOT(AND(T574="",A575&lt;=S574)),0,IF(FALSE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),0)</f>
        <v>0</v>
      </c>
      <c r="H575" s="32">
        <f t="shared" si="144"/>
        <v>0</v>
      </c>
      <c r="I575" s="32">
        <f t="shared" si="145"/>
        <v>0</v>
      </c>
      <c r="J575" s="32">
        <f t="shared" si="146"/>
        <v>0</v>
      </c>
      <c r="K575" s="32">
        <f t="shared" si="147"/>
        <v>0</v>
      </c>
      <c r="L575" s="32">
        <f t="shared" si="148"/>
        <v>0</v>
      </c>
      <c r="M575" s="32">
        <f>0</f>
        <v>0</v>
      </c>
      <c r="N575" s="32">
        <f t="shared" si="149"/>
        <v>0</v>
      </c>
      <c r="O575" s="32">
        <f t="shared" si="150"/>
        <v>14115936</v>
      </c>
      <c r="P575" s="34" t="str">
        <f>IF(NOT(AND(T574="",A575&lt;=S574)),"",IF(FALSE,"繰上返済後再計算","")&amp;IF(AND(入力!$B$13="有効",A575&gt;1,MOD(A575-1,60)=0),IF(FALSE,"・","")&amp;"5年見直し","")&amp;IF(AND(A575=入力!$B$11,A575&gt;1),IF(OR(FALSE,AND(入力!$B$13="有効",A575&gt;1,MOD(A575-1,60)=0)),"・","")&amp;"金利変更","")&amp;IF(AND(OR(AND(入力!$B$13="有効",A575&gt;1,MOD(A575-1,60)=0),AND(A575=入力!$B$11,A575&gt;1)),入力!$B$14="有効",IF(E575=0,ROUND(C575/MAX(1,S574-A575+1),0),ROUND(-PMT(E575/12,MAX(1,S574-A575+1),C575),0))&gt;ROUND(G574*1.25,0),NOT(FALSE)),"・上限適用",""))</f>
        <v/>
      </c>
      <c r="Q575" s="35" t="str">
        <f>IF(AND(T574="",A575&lt;=S574),入力!$B$13,"")</f>
        <v/>
      </c>
      <c r="R575" s="32" t="str">
        <f>IF(AND(AND(T574="",A575&lt;=S574),OR(AND(入力!$B$13="有効",A575&gt;1,MOD(A575-1,60)=0),AND(A575=入力!$B$11,A575&gt;1)),入力!$B$14="有効"),ROUND(G574*1.25,0),"")</f>
        <v/>
      </c>
      <c r="S575" s="36">
        <f t="shared" si="151"/>
        <v>420</v>
      </c>
      <c r="T575" s="35" t="str">
        <f t="shared" si="152"/>
        <v/>
      </c>
      <c r="U575" s="3">
        <f t="shared" si="136"/>
        <v>0</v>
      </c>
      <c r="V575" s="3">
        <f t="shared" si="137"/>
        <v>0</v>
      </c>
      <c r="W575" s="3">
        <f t="shared" si="138"/>
        <v>0</v>
      </c>
      <c r="X575" s="3">
        <f t="shared" si="139"/>
        <v>0</v>
      </c>
      <c r="Y575" s="3">
        <f>0</f>
        <v>0</v>
      </c>
      <c r="Z575" s="3">
        <f t="shared" si="140"/>
        <v>0</v>
      </c>
      <c r="AA575">
        <f>ROUND(IF(FALSE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,0)</f>
        <v>0</v>
      </c>
    </row>
    <row r="576" spans="1:27">
      <c r="A576" s="30">
        <f>571</f>
        <v>571</v>
      </c>
      <c r="B576" s="31">
        <f>EDATE(入力!$B$6,A576-1)</f>
        <v>63586</v>
      </c>
      <c r="C576" s="32">
        <f t="shared" si="141"/>
        <v>0</v>
      </c>
      <c r="D576" s="32">
        <f t="shared" si="142"/>
        <v>0</v>
      </c>
      <c r="E576" s="33">
        <f>IF(AND(T575="",A576&lt;=S575),IF(A576&lt;入力!$B$11,入力!$B$10,入力!$B$12),0)</f>
        <v>0</v>
      </c>
      <c r="F576" s="32">
        <f t="shared" si="143"/>
        <v>0</v>
      </c>
      <c r="G576" s="32">
        <f>ROUND(IF(NOT(AND(T575="",A576&lt;=S575)),0,IF(FALSE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),0)</f>
        <v>0</v>
      </c>
      <c r="H576" s="32">
        <f t="shared" si="144"/>
        <v>0</v>
      </c>
      <c r="I576" s="32">
        <f t="shared" si="145"/>
        <v>0</v>
      </c>
      <c r="J576" s="32">
        <f t="shared" si="146"/>
        <v>0</v>
      </c>
      <c r="K576" s="32">
        <f t="shared" si="147"/>
        <v>0</v>
      </c>
      <c r="L576" s="32">
        <f t="shared" si="148"/>
        <v>0</v>
      </c>
      <c r="M576" s="32">
        <f>0</f>
        <v>0</v>
      </c>
      <c r="N576" s="32">
        <f t="shared" si="149"/>
        <v>0</v>
      </c>
      <c r="O576" s="32">
        <f t="shared" si="150"/>
        <v>14115936</v>
      </c>
      <c r="P576" s="34" t="str">
        <f>IF(NOT(AND(T575="",A576&lt;=S575)),"",IF(FALSE,"繰上返済後再計算","")&amp;IF(AND(入力!$B$13="有効",A576&gt;1,MOD(A576-1,60)=0),IF(FALSE,"・","")&amp;"5年見直し","")&amp;IF(AND(A576=入力!$B$11,A576&gt;1),IF(OR(FALSE,AND(入力!$B$13="有効",A576&gt;1,MOD(A576-1,60)=0)),"・","")&amp;"金利変更","")&amp;IF(AND(OR(AND(入力!$B$13="有効",A576&gt;1,MOD(A576-1,60)=0),AND(A576=入力!$B$11,A576&gt;1)),入力!$B$14="有効",IF(E576=0,ROUND(C576/MAX(1,S575-A576+1),0),ROUND(-PMT(E576/12,MAX(1,S575-A576+1),C576),0))&gt;ROUND(G575*1.25,0),NOT(FALSE)),"・上限適用",""))</f>
        <v/>
      </c>
      <c r="Q576" s="35" t="str">
        <f>IF(AND(T575="",A576&lt;=S575),入力!$B$13,"")</f>
        <v/>
      </c>
      <c r="R576" s="32" t="str">
        <f>IF(AND(AND(T575="",A576&lt;=S575),OR(AND(入力!$B$13="有効",A576&gt;1,MOD(A576-1,60)=0),AND(A576=入力!$B$11,A576&gt;1)),入力!$B$14="有効"),ROUND(G575*1.25,0),"")</f>
        <v/>
      </c>
      <c r="S576" s="36">
        <f t="shared" si="151"/>
        <v>420</v>
      </c>
      <c r="T576" s="35" t="str">
        <f t="shared" si="152"/>
        <v/>
      </c>
      <c r="U576" s="3">
        <f t="shared" si="136"/>
        <v>0</v>
      </c>
      <c r="V576" s="3">
        <f t="shared" si="137"/>
        <v>0</v>
      </c>
      <c r="W576" s="3">
        <f t="shared" si="138"/>
        <v>0</v>
      </c>
      <c r="X576" s="3">
        <f t="shared" si="139"/>
        <v>0</v>
      </c>
      <c r="Y576" s="3">
        <f>0</f>
        <v>0</v>
      </c>
      <c r="Z576" s="3">
        <f t="shared" si="140"/>
        <v>0</v>
      </c>
      <c r="AA576">
        <f>ROUND(IF(FALSE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,0)</f>
        <v>0</v>
      </c>
    </row>
    <row r="577" spans="1:27">
      <c r="A577" s="30">
        <f>572</f>
        <v>572</v>
      </c>
      <c r="B577" s="31">
        <f>EDATE(入力!$B$6,A577-1)</f>
        <v>63614</v>
      </c>
      <c r="C577" s="32">
        <f t="shared" si="141"/>
        <v>0</v>
      </c>
      <c r="D577" s="32">
        <f t="shared" si="142"/>
        <v>0</v>
      </c>
      <c r="E577" s="33">
        <f>IF(AND(T576="",A577&lt;=S576),IF(A577&lt;入力!$B$11,入力!$B$10,入力!$B$12),0)</f>
        <v>0</v>
      </c>
      <c r="F577" s="32">
        <f t="shared" si="143"/>
        <v>0</v>
      </c>
      <c r="G577" s="32">
        <f>ROUND(IF(NOT(AND(T576="",A577&lt;=S576)),0,IF(FALSE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),0)</f>
        <v>0</v>
      </c>
      <c r="H577" s="32">
        <f t="shared" si="144"/>
        <v>0</v>
      </c>
      <c r="I577" s="32">
        <f t="shared" si="145"/>
        <v>0</v>
      </c>
      <c r="J577" s="32">
        <f t="shared" si="146"/>
        <v>0</v>
      </c>
      <c r="K577" s="32">
        <f t="shared" si="147"/>
        <v>0</v>
      </c>
      <c r="L577" s="32">
        <f t="shared" si="148"/>
        <v>0</v>
      </c>
      <c r="M577" s="32">
        <f>0</f>
        <v>0</v>
      </c>
      <c r="N577" s="32">
        <f t="shared" si="149"/>
        <v>0</v>
      </c>
      <c r="O577" s="32">
        <f t="shared" si="150"/>
        <v>14115936</v>
      </c>
      <c r="P577" s="34" t="str">
        <f>IF(NOT(AND(T576="",A577&lt;=S576)),"",IF(FALSE,"繰上返済後再計算","")&amp;IF(AND(入力!$B$13="有効",A577&gt;1,MOD(A577-1,60)=0),IF(FALSE,"・","")&amp;"5年見直し","")&amp;IF(AND(A577=入力!$B$11,A577&gt;1),IF(OR(FALSE,AND(入力!$B$13="有効",A577&gt;1,MOD(A577-1,60)=0)),"・","")&amp;"金利変更","")&amp;IF(AND(OR(AND(入力!$B$13="有効",A577&gt;1,MOD(A577-1,60)=0),AND(A577=入力!$B$11,A577&gt;1)),入力!$B$14="有効",IF(E577=0,ROUND(C577/MAX(1,S576-A577+1),0),ROUND(-PMT(E577/12,MAX(1,S576-A577+1),C577),0))&gt;ROUND(G576*1.25,0),NOT(FALSE)),"・上限適用",""))</f>
        <v/>
      </c>
      <c r="Q577" s="35" t="str">
        <f>IF(AND(T576="",A577&lt;=S576),入力!$B$13,"")</f>
        <v/>
      </c>
      <c r="R577" s="32" t="str">
        <f>IF(AND(AND(T576="",A577&lt;=S576),OR(AND(入力!$B$13="有効",A577&gt;1,MOD(A577-1,60)=0),AND(A577=入力!$B$11,A577&gt;1)),入力!$B$14="有効"),ROUND(G576*1.25,0),"")</f>
        <v/>
      </c>
      <c r="S577" s="36">
        <f t="shared" si="151"/>
        <v>420</v>
      </c>
      <c r="T577" s="35" t="str">
        <f t="shared" si="152"/>
        <v/>
      </c>
      <c r="U577" s="3">
        <f t="shared" si="136"/>
        <v>0</v>
      </c>
      <c r="V577" s="3">
        <f t="shared" si="137"/>
        <v>0</v>
      </c>
      <c r="W577" s="3">
        <f t="shared" si="138"/>
        <v>0</v>
      </c>
      <c r="X577" s="3">
        <f t="shared" si="139"/>
        <v>0</v>
      </c>
      <c r="Y577" s="3">
        <f>0</f>
        <v>0</v>
      </c>
      <c r="Z577" s="3">
        <f t="shared" si="140"/>
        <v>0</v>
      </c>
      <c r="AA577">
        <f>ROUND(IF(FALSE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,0)</f>
        <v>0</v>
      </c>
    </row>
    <row r="578" spans="1:27">
      <c r="A578" s="30">
        <f>573</f>
        <v>573</v>
      </c>
      <c r="B578" s="31">
        <f>EDATE(入力!$B$6,A578-1)</f>
        <v>63645</v>
      </c>
      <c r="C578" s="32">
        <f t="shared" si="141"/>
        <v>0</v>
      </c>
      <c r="D578" s="32">
        <f t="shared" si="142"/>
        <v>0</v>
      </c>
      <c r="E578" s="33">
        <f>IF(AND(T577="",A578&lt;=S577),IF(A578&lt;入力!$B$11,入力!$B$10,入力!$B$12),0)</f>
        <v>0</v>
      </c>
      <c r="F578" s="32">
        <f t="shared" si="143"/>
        <v>0</v>
      </c>
      <c r="G578" s="32">
        <f>ROUND(IF(NOT(AND(T577="",A578&lt;=S577)),0,IF(FALSE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),0)</f>
        <v>0</v>
      </c>
      <c r="H578" s="32">
        <f t="shared" si="144"/>
        <v>0</v>
      </c>
      <c r="I578" s="32">
        <f t="shared" si="145"/>
        <v>0</v>
      </c>
      <c r="J578" s="32">
        <f t="shared" si="146"/>
        <v>0</v>
      </c>
      <c r="K578" s="32">
        <f t="shared" si="147"/>
        <v>0</v>
      </c>
      <c r="L578" s="32">
        <f t="shared" si="148"/>
        <v>0</v>
      </c>
      <c r="M578" s="32">
        <f>0</f>
        <v>0</v>
      </c>
      <c r="N578" s="32">
        <f t="shared" si="149"/>
        <v>0</v>
      </c>
      <c r="O578" s="32">
        <f t="shared" si="150"/>
        <v>14115936</v>
      </c>
      <c r="P578" s="34" t="str">
        <f>IF(NOT(AND(T577="",A578&lt;=S577)),"",IF(FALSE,"繰上返済後再計算","")&amp;IF(AND(入力!$B$13="有効",A578&gt;1,MOD(A578-1,60)=0),IF(FALSE,"・","")&amp;"5年見直し","")&amp;IF(AND(A578=入力!$B$11,A578&gt;1),IF(OR(FALSE,AND(入力!$B$13="有効",A578&gt;1,MOD(A578-1,60)=0)),"・","")&amp;"金利変更","")&amp;IF(AND(OR(AND(入力!$B$13="有効",A578&gt;1,MOD(A578-1,60)=0),AND(A578=入力!$B$11,A578&gt;1)),入力!$B$14="有効",IF(E578=0,ROUND(C578/MAX(1,S577-A578+1),0),ROUND(-PMT(E578/12,MAX(1,S577-A578+1),C578),0))&gt;ROUND(G577*1.25,0),NOT(FALSE)),"・上限適用",""))</f>
        <v/>
      </c>
      <c r="Q578" s="35" t="str">
        <f>IF(AND(T577="",A578&lt;=S577),入力!$B$13,"")</f>
        <v/>
      </c>
      <c r="R578" s="32" t="str">
        <f>IF(AND(AND(T577="",A578&lt;=S577),OR(AND(入力!$B$13="有効",A578&gt;1,MOD(A578-1,60)=0),AND(A578=入力!$B$11,A578&gt;1)),入力!$B$14="有効"),ROUND(G577*1.25,0),"")</f>
        <v/>
      </c>
      <c r="S578" s="36">
        <f t="shared" si="151"/>
        <v>420</v>
      </c>
      <c r="T578" s="35" t="str">
        <f t="shared" si="152"/>
        <v/>
      </c>
      <c r="U578" s="3">
        <f t="shared" si="136"/>
        <v>0</v>
      </c>
      <c r="V578" s="3">
        <f t="shared" si="137"/>
        <v>0</v>
      </c>
      <c r="W578" s="3">
        <f t="shared" si="138"/>
        <v>0</v>
      </c>
      <c r="X578" s="3">
        <f t="shared" si="139"/>
        <v>0</v>
      </c>
      <c r="Y578" s="3">
        <f>0</f>
        <v>0</v>
      </c>
      <c r="Z578" s="3">
        <f t="shared" si="140"/>
        <v>0</v>
      </c>
      <c r="AA578">
        <f>ROUND(IF(FALSE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,0)</f>
        <v>0</v>
      </c>
    </row>
    <row r="579" spans="1:27">
      <c r="A579" s="30">
        <f>574</f>
        <v>574</v>
      </c>
      <c r="B579" s="31">
        <f>EDATE(入力!$B$6,A579-1)</f>
        <v>63675</v>
      </c>
      <c r="C579" s="32">
        <f t="shared" si="141"/>
        <v>0</v>
      </c>
      <c r="D579" s="32">
        <f t="shared" si="142"/>
        <v>0</v>
      </c>
      <c r="E579" s="33">
        <f>IF(AND(T578="",A579&lt;=S578),IF(A579&lt;入力!$B$11,入力!$B$10,入力!$B$12),0)</f>
        <v>0</v>
      </c>
      <c r="F579" s="32">
        <f t="shared" si="143"/>
        <v>0</v>
      </c>
      <c r="G579" s="32">
        <f>ROUND(IF(NOT(AND(T578="",A579&lt;=S578)),0,IF(FALSE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),0)</f>
        <v>0</v>
      </c>
      <c r="H579" s="32">
        <f t="shared" si="144"/>
        <v>0</v>
      </c>
      <c r="I579" s="32">
        <f t="shared" si="145"/>
        <v>0</v>
      </c>
      <c r="J579" s="32">
        <f t="shared" si="146"/>
        <v>0</v>
      </c>
      <c r="K579" s="32">
        <f t="shared" si="147"/>
        <v>0</v>
      </c>
      <c r="L579" s="32">
        <f t="shared" si="148"/>
        <v>0</v>
      </c>
      <c r="M579" s="32">
        <f>0</f>
        <v>0</v>
      </c>
      <c r="N579" s="32">
        <f t="shared" si="149"/>
        <v>0</v>
      </c>
      <c r="O579" s="32">
        <f t="shared" si="150"/>
        <v>14115936</v>
      </c>
      <c r="P579" s="34" t="str">
        <f>IF(NOT(AND(T578="",A579&lt;=S578)),"",IF(FALSE,"繰上返済後再計算","")&amp;IF(AND(入力!$B$13="有効",A579&gt;1,MOD(A579-1,60)=0),IF(FALSE,"・","")&amp;"5年見直し","")&amp;IF(AND(A579=入力!$B$11,A579&gt;1),IF(OR(FALSE,AND(入力!$B$13="有効",A579&gt;1,MOD(A579-1,60)=0)),"・","")&amp;"金利変更","")&amp;IF(AND(OR(AND(入力!$B$13="有効",A579&gt;1,MOD(A579-1,60)=0),AND(A579=入力!$B$11,A579&gt;1)),入力!$B$14="有効",IF(E579=0,ROUND(C579/MAX(1,S578-A579+1),0),ROUND(-PMT(E579/12,MAX(1,S578-A579+1),C579),0))&gt;ROUND(G578*1.25,0),NOT(FALSE)),"・上限適用",""))</f>
        <v/>
      </c>
      <c r="Q579" s="35" t="str">
        <f>IF(AND(T578="",A579&lt;=S578),入力!$B$13,"")</f>
        <v/>
      </c>
      <c r="R579" s="32" t="str">
        <f>IF(AND(AND(T578="",A579&lt;=S578),OR(AND(入力!$B$13="有効",A579&gt;1,MOD(A579-1,60)=0),AND(A579=入力!$B$11,A579&gt;1)),入力!$B$14="有効"),ROUND(G578*1.25,0),"")</f>
        <v/>
      </c>
      <c r="S579" s="36">
        <f t="shared" si="151"/>
        <v>420</v>
      </c>
      <c r="T579" s="35" t="str">
        <f t="shared" si="152"/>
        <v/>
      </c>
      <c r="U579" s="3">
        <f t="shared" si="136"/>
        <v>0</v>
      </c>
      <c r="V579" s="3">
        <f t="shared" si="137"/>
        <v>0</v>
      </c>
      <c r="W579" s="3">
        <f t="shared" si="138"/>
        <v>0</v>
      </c>
      <c r="X579" s="3">
        <f t="shared" si="139"/>
        <v>0</v>
      </c>
      <c r="Y579" s="3">
        <f>0</f>
        <v>0</v>
      </c>
      <c r="Z579" s="3">
        <f t="shared" si="140"/>
        <v>0</v>
      </c>
      <c r="AA579">
        <f>ROUND(IF(FALSE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,0)</f>
        <v>0</v>
      </c>
    </row>
    <row r="580" spans="1:27">
      <c r="A580" s="30">
        <f>575</f>
        <v>575</v>
      </c>
      <c r="B580" s="31">
        <f>EDATE(入力!$B$6,A580-1)</f>
        <v>63706</v>
      </c>
      <c r="C580" s="32">
        <f t="shared" si="141"/>
        <v>0</v>
      </c>
      <c r="D580" s="32">
        <f t="shared" si="142"/>
        <v>0</v>
      </c>
      <c r="E580" s="33">
        <f>IF(AND(T579="",A580&lt;=S579),IF(A580&lt;入力!$B$11,入力!$B$10,入力!$B$12),0)</f>
        <v>0</v>
      </c>
      <c r="F580" s="32">
        <f t="shared" si="143"/>
        <v>0</v>
      </c>
      <c r="G580" s="32">
        <f>ROUND(IF(NOT(AND(T579="",A580&lt;=S579)),0,IF(FALSE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),0)</f>
        <v>0</v>
      </c>
      <c r="H580" s="32">
        <f t="shared" si="144"/>
        <v>0</v>
      </c>
      <c r="I580" s="32">
        <f t="shared" si="145"/>
        <v>0</v>
      </c>
      <c r="J580" s="32">
        <f t="shared" si="146"/>
        <v>0</v>
      </c>
      <c r="K580" s="32">
        <f t="shared" si="147"/>
        <v>0</v>
      </c>
      <c r="L580" s="32">
        <f t="shared" si="148"/>
        <v>0</v>
      </c>
      <c r="M580" s="32">
        <f>0</f>
        <v>0</v>
      </c>
      <c r="N580" s="32">
        <f t="shared" si="149"/>
        <v>0</v>
      </c>
      <c r="O580" s="32">
        <f t="shared" si="150"/>
        <v>14115936</v>
      </c>
      <c r="P580" s="34" t="str">
        <f>IF(NOT(AND(T579="",A580&lt;=S579)),"",IF(FALSE,"繰上返済後再計算","")&amp;IF(AND(入力!$B$13="有効",A580&gt;1,MOD(A580-1,60)=0),IF(FALSE,"・","")&amp;"5年見直し","")&amp;IF(AND(A580=入力!$B$11,A580&gt;1),IF(OR(FALSE,AND(入力!$B$13="有効",A580&gt;1,MOD(A580-1,60)=0)),"・","")&amp;"金利変更","")&amp;IF(AND(OR(AND(入力!$B$13="有効",A580&gt;1,MOD(A580-1,60)=0),AND(A580=入力!$B$11,A580&gt;1)),入力!$B$14="有効",IF(E580=0,ROUND(C580/MAX(1,S579-A580+1),0),ROUND(-PMT(E580/12,MAX(1,S579-A580+1),C580),0))&gt;ROUND(G579*1.25,0),NOT(FALSE)),"・上限適用",""))</f>
        <v/>
      </c>
      <c r="Q580" s="35" t="str">
        <f>IF(AND(T579="",A580&lt;=S579),入力!$B$13,"")</f>
        <v/>
      </c>
      <c r="R580" s="32" t="str">
        <f>IF(AND(AND(T579="",A580&lt;=S579),OR(AND(入力!$B$13="有効",A580&gt;1,MOD(A580-1,60)=0),AND(A580=入力!$B$11,A580&gt;1)),入力!$B$14="有効"),ROUND(G579*1.25,0),"")</f>
        <v/>
      </c>
      <c r="S580" s="36">
        <f t="shared" si="151"/>
        <v>420</v>
      </c>
      <c r="T580" s="35" t="str">
        <f t="shared" si="152"/>
        <v/>
      </c>
      <c r="U580" s="3">
        <f t="shared" si="136"/>
        <v>0</v>
      </c>
      <c r="V580" s="3">
        <f t="shared" si="137"/>
        <v>0</v>
      </c>
      <c r="W580" s="3">
        <f t="shared" si="138"/>
        <v>0</v>
      </c>
      <c r="X580" s="3">
        <f t="shared" si="139"/>
        <v>0</v>
      </c>
      <c r="Y580" s="3">
        <f>0</f>
        <v>0</v>
      </c>
      <c r="Z580" s="3">
        <f t="shared" si="140"/>
        <v>0</v>
      </c>
      <c r="AA580">
        <f>ROUND(IF(FALSE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,0)</f>
        <v>0</v>
      </c>
    </row>
    <row r="581" spans="1:27">
      <c r="A581" s="30">
        <f>576</f>
        <v>576</v>
      </c>
      <c r="B581" s="31">
        <f>EDATE(入力!$B$6,A581-1)</f>
        <v>63736</v>
      </c>
      <c r="C581" s="32">
        <f t="shared" si="141"/>
        <v>0</v>
      </c>
      <c r="D581" s="32">
        <f t="shared" si="142"/>
        <v>0</v>
      </c>
      <c r="E581" s="33">
        <f>IF(AND(T580="",A581&lt;=S580),IF(A581&lt;入力!$B$11,入力!$B$10,入力!$B$12),0)</f>
        <v>0</v>
      </c>
      <c r="F581" s="32">
        <f t="shared" si="143"/>
        <v>0</v>
      </c>
      <c r="G581" s="32">
        <f>ROUND(IF(NOT(AND(T580="",A581&lt;=S580)),0,IF(FALSE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),0)</f>
        <v>0</v>
      </c>
      <c r="H581" s="32">
        <f t="shared" si="144"/>
        <v>0</v>
      </c>
      <c r="I581" s="32">
        <f t="shared" si="145"/>
        <v>0</v>
      </c>
      <c r="J581" s="32">
        <f t="shared" si="146"/>
        <v>0</v>
      </c>
      <c r="K581" s="32">
        <f t="shared" si="147"/>
        <v>0</v>
      </c>
      <c r="L581" s="32">
        <f t="shared" si="148"/>
        <v>0</v>
      </c>
      <c r="M581" s="32">
        <f>0</f>
        <v>0</v>
      </c>
      <c r="N581" s="32">
        <f t="shared" si="149"/>
        <v>0</v>
      </c>
      <c r="O581" s="32">
        <f t="shared" si="150"/>
        <v>14115936</v>
      </c>
      <c r="P581" s="34" t="str">
        <f>IF(NOT(AND(T580="",A581&lt;=S580)),"",IF(FALSE,"繰上返済後再計算","")&amp;IF(AND(入力!$B$13="有効",A581&gt;1,MOD(A581-1,60)=0),IF(FALSE,"・","")&amp;"5年見直し","")&amp;IF(AND(A581=入力!$B$11,A581&gt;1),IF(OR(FALSE,AND(入力!$B$13="有効",A581&gt;1,MOD(A581-1,60)=0)),"・","")&amp;"金利変更","")&amp;IF(AND(OR(AND(入力!$B$13="有効",A581&gt;1,MOD(A581-1,60)=0),AND(A581=入力!$B$11,A581&gt;1)),入力!$B$14="有効",IF(E581=0,ROUND(C581/MAX(1,S580-A581+1),0),ROUND(-PMT(E581/12,MAX(1,S580-A581+1),C581),0))&gt;ROUND(G580*1.25,0),NOT(FALSE)),"・上限適用",""))</f>
        <v/>
      </c>
      <c r="Q581" s="35" t="str">
        <f>IF(AND(T580="",A581&lt;=S580),入力!$B$13,"")</f>
        <v/>
      </c>
      <c r="R581" s="32" t="str">
        <f>IF(AND(AND(T580="",A581&lt;=S580),OR(AND(入力!$B$13="有効",A581&gt;1,MOD(A581-1,60)=0),AND(A581=入力!$B$11,A581&gt;1)),入力!$B$14="有効"),ROUND(G580*1.25,0),"")</f>
        <v/>
      </c>
      <c r="S581" s="36">
        <f t="shared" si="151"/>
        <v>420</v>
      </c>
      <c r="T581" s="35" t="str">
        <f t="shared" si="152"/>
        <v/>
      </c>
      <c r="U581" s="3">
        <f t="shared" si="136"/>
        <v>0</v>
      </c>
      <c r="V581" s="3">
        <f t="shared" si="137"/>
        <v>0</v>
      </c>
      <c r="W581" s="3">
        <f t="shared" si="138"/>
        <v>0</v>
      </c>
      <c r="X581" s="3">
        <f t="shared" si="139"/>
        <v>0</v>
      </c>
      <c r="Y581" s="3">
        <f>0</f>
        <v>0</v>
      </c>
      <c r="Z581" s="3">
        <f t="shared" si="140"/>
        <v>0</v>
      </c>
      <c r="AA581">
        <f>ROUND(IF(FALSE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,0)</f>
        <v>0</v>
      </c>
    </row>
    <row r="582" spans="1:27">
      <c r="A582" s="30">
        <f>577</f>
        <v>577</v>
      </c>
      <c r="B582" s="31">
        <f>EDATE(入力!$B$6,A582-1)</f>
        <v>63767</v>
      </c>
      <c r="C582" s="32">
        <f t="shared" si="141"/>
        <v>0</v>
      </c>
      <c r="D582" s="32">
        <f t="shared" si="142"/>
        <v>0</v>
      </c>
      <c r="E582" s="33">
        <f>IF(AND(T581="",A582&lt;=S581),IF(A582&lt;入力!$B$11,入力!$B$10,入力!$B$12),0)</f>
        <v>0</v>
      </c>
      <c r="F582" s="32">
        <f t="shared" si="143"/>
        <v>0</v>
      </c>
      <c r="G582" s="32">
        <f>ROUND(IF(NOT(AND(T581="",A582&lt;=S581)),0,IF(FALSE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),0)</f>
        <v>0</v>
      </c>
      <c r="H582" s="32">
        <f t="shared" si="144"/>
        <v>0</v>
      </c>
      <c r="I582" s="32">
        <f t="shared" si="145"/>
        <v>0</v>
      </c>
      <c r="J582" s="32">
        <f t="shared" si="146"/>
        <v>0</v>
      </c>
      <c r="K582" s="32">
        <f t="shared" si="147"/>
        <v>0</v>
      </c>
      <c r="L582" s="32">
        <f t="shared" si="148"/>
        <v>0</v>
      </c>
      <c r="M582" s="32">
        <f>0</f>
        <v>0</v>
      </c>
      <c r="N582" s="32">
        <f t="shared" si="149"/>
        <v>0</v>
      </c>
      <c r="O582" s="32">
        <f t="shared" si="150"/>
        <v>14115936</v>
      </c>
      <c r="P582" s="34" t="str">
        <f>IF(NOT(AND(T581="",A582&lt;=S581)),"",IF(FALSE,"繰上返済後再計算","")&amp;IF(AND(入力!$B$13="有効",A582&gt;1,MOD(A582-1,60)=0),IF(FALSE,"・","")&amp;"5年見直し","")&amp;IF(AND(A582=入力!$B$11,A582&gt;1),IF(OR(FALSE,AND(入力!$B$13="有効",A582&gt;1,MOD(A582-1,60)=0)),"・","")&amp;"金利変更","")&amp;IF(AND(OR(AND(入力!$B$13="有効",A582&gt;1,MOD(A582-1,60)=0),AND(A582=入力!$B$11,A582&gt;1)),入力!$B$14="有効",IF(E582=0,ROUND(C582/MAX(1,S581-A582+1),0),ROUND(-PMT(E582/12,MAX(1,S581-A582+1),C582),0))&gt;ROUND(G581*1.25,0),NOT(FALSE)),"・上限適用",""))</f>
        <v/>
      </c>
      <c r="Q582" s="35" t="str">
        <f>IF(AND(T581="",A582&lt;=S581),入力!$B$13,"")</f>
        <v/>
      </c>
      <c r="R582" s="32" t="str">
        <f>IF(AND(AND(T581="",A582&lt;=S581),OR(AND(入力!$B$13="有効",A582&gt;1,MOD(A582-1,60)=0),AND(A582=入力!$B$11,A582&gt;1)),入力!$B$14="有効"),ROUND(G581*1.25,0),"")</f>
        <v/>
      </c>
      <c r="S582" s="36">
        <f t="shared" si="151"/>
        <v>420</v>
      </c>
      <c r="T582" s="35" t="str">
        <f t="shared" si="152"/>
        <v/>
      </c>
      <c r="U582" s="3">
        <f t="shared" ref="U582:U605" si="153">ABS(I582-MIN(H582,D582+F582))</f>
        <v>0</v>
      </c>
      <c r="V582" s="3">
        <f t="shared" ref="V582:V605" si="154">ABS(L582-(H582-I582))</f>
        <v>0</v>
      </c>
      <c r="W582" s="3">
        <f t="shared" ref="W582:W605" si="155">ABS(K582-(D582+J582))</f>
        <v>0</v>
      </c>
      <c r="X582" s="3">
        <f t="shared" ref="X582:X605" si="156">ABS(F582-ROUND(F582,0))+ABS(G582-ROUND(G582,0))+ABS(H582-ROUND(H582,0))+ABS(I582-ROUND(I582,0))+ABS(J582-ROUND(J582,0))+ABS(K582-ROUND(K582,0))+ABS(L582-ROUND(L582,0))+ABS(M582-ROUND(M582,0))+ABS(N582-ROUND(N582,0))+ABS(O582-ROUND(O582,0))</f>
        <v>0</v>
      </c>
      <c r="Y582" s="3">
        <f>0</f>
        <v>0</v>
      </c>
      <c r="Z582" s="3">
        <f t="shared" ref="Z582:Z605" si="157">SUM(--ISERROR(A582),--ISERROR(B582),--ISERROR(C582),--ISERROR(D582),--ISERROR(E582),--ISERROR(F582),--ISERROR(G582),--ISERROR(H582),--ISERROR(I582),--ISERROR(J582),--ISERROR(K582),--ISERROR(L582),--ISERROR(M582),--ISERROR(N582),--ISERROR(O582),--ISERROR(P582),--ISERROR(Q582),--ISERROR(R582),--ISERROR(S582),--ISERROR(T582))</f>
        <v>0</v>
      </c>
      <c r="AA582">
        <f>ROUND(IF(FALSE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,0)</f>
        <v>0</v>
      </c>
    </row>
    <row r="583" spans="1:27">
      <c r="A583" s="30">
        <f>578</f>
        <v>578</v>
      </c>
      <c r="B583" s="31">
        <f>EDATE(入力!$B$6,A583-1)</f>
        <v>63798</v>
      </c>
      <c r="C583" s="32">
        <f t="shared" ref="C583:C605" si="158">IF(AND(T582="",A583&lt;=S582),N582,0)</f>
        <v>0</v>
      </c>
      <c r="D583" s="32">
        <f t="shared" ref="D583:D605" si="159">IF(AND(T582="",A583&lt;=S582),K582,0)</f>
        <v>0</v>
      </c>
      <c r="E583" s="33">
        <f>IF(AND(T582="",A583&lt;=S582),IF(A583&lt;入力!$B$11,入力!$B$10,入力!$B$12),0)</f>
        <v>0</v>
      </c>
      <c r="F583" s="32">
        <f t="shared" ref="F583:F646" si="160">IF(AND(T582="",A583&lt;=S582),ROUND(C583*E583/12,0),0)</f>
        <v>0</v>
      </c>
      <c r="G583" s="32">
        <f>ROUND(IF(NOT(AND(T582="",A583&lt;=S582)),0,IF(FALSE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),0)</f>
        <v>0</v>
      </c>
      <c r="H583" s="32">
        <f t="shared" ref="H583:H646" si="161">IF(AND(T582="",A583&lt;=S582),ROUND(MIN(G583,C583+D583+F583),0),0)</f>
        <v>0</v>
      </c>
      <c r="I583" s="32">
        <f t="shared" ref="I583:I646" si="162">IF(AND(T582="",A583&lt;=S582),ROUND(MIN(H583,D583+F583),0),0)</f>
        <v>0</v>
      </c>
      <c r="J583" s="32">
        <f t="shared" ref="J583:J646" si="163">IF(AND(T582="",A583&lt;=S582),ROUND(F583-I583,0),0)</f>
        <v>0</v>
      </c>
      <c r="K583" s="32">
        <f t="shared" ref="K583:K646" si="164">IF(AND(T582="",A583&lt;=S582),ROUND(D583+J583,0),0)</f>
        <v>0</v>
      </c>
      <c r="L583" s="32">
        <f t="shared" ref="L583:L605" si="165">IF(AND(T582="",A583&lt;=S582),ROUND(H583-I583,0),0)</f>
        <v>0</v>
      </c>
      <c r="M583" s="32">
        <f>0</f>
        <v>0</v>
      </c>
      <c r="N583" s="32">
        <f t="shared" ref="N583:N646" si="166">IF(AND(T582="",A583&lt;=S582),ROUND(MAX(0,C583-L583-M583),0),0)</f>
        <v>0</v>
      </c>
      <c r="O583" s="32">
        <f t="shared" ref="O583:O605" si="167">IF(AND(T582="",A583&lt;=S582),ROUND(O582+F583,0),O582)</f>
        <v>14115936</v>
      </c>
      <c r="P583" s="34" t="str">
        <f>IF(NOT(AND(T582="",A583&lt;=S582)),"",IF(FALSE,"繰上返済後再計算","")&amp;IF(AND(入力!$B$13="有効",A583&gt;1,MOD(A583-1,60)=0),IF(FALSE,"・","")&amp;"5年見直し","")&amp;IF(AND(A583=入力!$B$11,A583&gt;1),IF(OR(FALSE,AND(入力!$B$13="有効",A583&gt;1,MOD(A583-1,60)=0)),"・","")&amp;"金利変更","")&amp;IF(AND(OR(AND(入力!$B$13="有効",A583&gt;1,MOD(A583-1,60)=0),AND(A583=入力!$B$11,A583&gt;1)),入力!$B$14="有効",IF(E583=0,ROUND(C583/MAX(1,S582-A583+1),0),ROUND(-PMT(E583/12,MAX(1,S582-A583+1),C583),0))&gt;ROUND(G582*1.25,0),NOT(FALSE)),"・上限適用",""))</f>
        <v/>
      </c>
      <c r="Q583" s="35" t="str">
        <f>IF(AND(T582="",A583&lt;=S582),入力!$B$13,"")</f>
        <v/>
      </c>
      <c r="R583" s="32" t="str">
        <f>IF(AND(AND(T582="",A583&lt;=S582),OR(AND(入力!$B$13="有効",A583&gt;1,MOD(A583-1,60)=0),AND(A583=入力!$B$11,A583&gt;1)),入力!$B$14="有効"),ROUND(G582*1.25,0),"")</f>
        <v/>
      </c>
      <c r="S583" s="36">
        <f t="shared" ref="S583:S605" si="168">S582</f>
        <v>420</v>
      </c>
      <c r="T583" s="35" t="str">
        <f t="shared" ref="T583:T646" si="169">IF(NOT(AND(T582="",A583&lt;=S582)),"",IF(AND(N583=0,K583=0),"完済",IF(A583=S583,"最終回清算","")))</f>
        <v/>
      </c>
      <c r="U583" s="3">
        <f t="shared" si="153"/>
        <v>0</v>
      </c>
      <c r="V583" s="3">
        <f t="shared" si="154"/>
        <v>0</v>
      </c>
      <c r="W583" s="3">
        <f t="shared" si="155"/>
        <v>0</v>
      </c>
      <c r="X583" s="3">
        <f t="shared" si="156"/>
        <v>0</v>
      </c>
      <c r="Y583" s="3">
        <f>0</f>
        <v>0</v>
      </c>
      <c r="Z583" s="3">
        <f t="shared" si="157"/>
        <v>0</v>
      </c>
      <c r="AA583">
        <f>ROUND(IF(FALSE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,0)</f>
        <v>0</v>
      </c>
    </row>
    <row r="584" spans="1:27">
      <c r="A584" s="30">
        <f>579</f>
        <v>579</v>
      </c>
      <c r="B584" s="31">
        <f>EDATE(入力!$B$6,A584-1)</f>
        <v>63828</v>
      </c>
      <c r="C584" s="32">
        <f t="shared" si="158"/>
        <v>0</v>
      </c>
      <c r="D584" s="32">
        <f t="shared" si="159"/>
        <v>0</v>
      </c>
      <c r="E584" s="33">
        <f>IF(AND(T583="",A584&lt;=S583),IF(A584&lt;入力!$B$11,入力!$B$10,入力!$B$12),0)</f>
        <v>0</v>
      </c>
      <c r="F584" s="32">
        <f t="shared" si="160"/>
        <v>0</v>
      </c>
      <c r="G584" s="32">
        <f>ROUND(IF(NOT(AND(T583="",A584&lt;=S583)),0,IF(FALSE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),0)</f>
        <v>0</v>
      </c>
      <c r="H584" s="32">
        <f t="shared" si="161"/>
        <v>0</v>
      </c>
      <c r="I584" s="32">
        <f t="shared" si="162"/>
        <v>0</v>
      </c>
      <c r="J584" s="32">
        <f t="shared" si="163"/>
        <v>0</v>
      </c>
      <c r="K584" s="32">
        <f t="shared" si="164"/>
        <v>0</v>
      </c>
      <c r="L584" s="32">
        <f t="shared" si="165"/>
        <v>0</v>
      </c>
      <c r="M584" s="32">
        <f>0</f>
        <v>0</v>
      </c>
      <c r="N584" s="32">
        <f t="shared" si="166"/>
        <v>0</v>
      </c>
      <c r="O584" s="32">
        <f t="shared" si="167"/>
        <v>14115936</v>
      </c>
      <c r="P584" s="34" t="str">
        <f>IF(NOT(AND(T583="",A584&lt;=S583)),"",IF(FALSE,"繰上返済後再計算","")&amp;IF(AND(入力!$B$13="有効",A584&gt;1,MOD(A584-1,60)=0),IF(FALSE,"・","")&amp;"5年見直し","")&amp;IF(AND(A584=入力!$B$11,A584&gt;1),IF(OR(FALSE,AND(入力!$B$13="有効",A584&gt;1,MOD(A584-1,60)=0)),"・","")&amp;"金利変更","")&amp;IF(AND(OR(AND(入力!$B$13="有効",A584&gt;1,MOD(A584-1,60)=0),AND(A584=入力!$B$11,A584&gt;1)),入力!$B$14="有効",IF(E584=0,ROUND(C584/MAX(1,S583-A584+1),0),ROUND(-PMT(E584/12,MAX(1,S583-A584+1),C584),0))&gt;ROUND(G583*1.25,0),NOT(FALSE)),"・上限適用",""))</f>
        <v/>
      </c>
      <c r="Q584" s="35" t="str">
        <f>IF(AND(T583="",A584&lt;=S583),入力!$B$13,"")</f>
        <v/>
      </c>
      <c r="R584" s="32" t="str">
        <f>IF(AND(AND(T583="",A584&lt;=S583),OR(AND(入力!$B$13="有効",A584&gt;1,MOD(A584-1,60)=0),AND(A584=入力!$B$11,A584&gt;1)),入力!$B$14="有効"),ROUND(G583*1.25,0),"")</f>
        <v/>
      </c>
      <c r="S584" s="36">
        <f t="shared" si="168"/>
        <v>420</v>
      </c>
      <c r="T584" s="35" t="str">
        <f t="shared" si="169"/>
        <v/>
      </c>
      <c r="U584" s="3">
        <f t="shared" si="153"/>
        <v>0</v>
      </c>
      <c r="V584" s="3">
        <f t="shared" si="154"/>
        <v>0</v>
      </c>
      <c r="W584" s="3">
        <f t="shared" si="155"/>
        <v>0</v>
      </c>
      <c r="X584" s="3">
        <f t="shared" si="156"/>
        <v>0</v>
      </c>
      <c r="Y584" s="3">
        <f>0</f>
        <v>0</v>
      </c>
      <c r="Z584" s="3">
        <f t="shared" si="157"/>
        <v>0</v>
      </c>
      <c r="AA584">
        <f>ROUND(IF(FALSE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,0)</f>
        <v>0</v>
      </c>
    </row>
    <row r="585" spans="1:27">
      <c r="A585" s="30">
        <f>580</f>
        <v>580</v>
      </c>
      <c r="B585" s="31">
        <f>EDATE(入力!$B$6,A585-1)</f>
        <v>63859</v>
      </c>
      <c r="C585" s="32">
        <f t="shared" si="158"/>
        <v>0</v>
      </c>
      <c r="D585" s="32">
        <f t="shared" si="159"/>
        <v>0</v>
      </c>
      <c r="E585" s="33">
        <f>IF(AND(T584="",A585&lt;=S584),IF(A585&lt;入力!$B$11,入力!$B$10,入力!$B$12),0)</f>
        <v>0</v>
      </c>
      <c r="F585" s="32">
        <f t="shared" si="160"/>
        <v>0</v>
      </c>
      <c r="G585" s="32">
        <f>ROUND(IF(NOT(AND(T584="",A585&lt;=S584)),0,IF(FALSE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),0)</f>
        <v>0</v>
      </c>
      <c r="H585" s="32">
        <f t="shared" si="161"/>
        <v>0</v>
      </c>
      <c r="I585" s="32">
        <f t="shared" si="162"/>
        <v>0</v>
      </c>
      <c r="J585" s="32">
        <f t="shared" si="163"/>
        <v>0</v>
      </c>
      <c r="K585" s="32">
        <f t="shared" si="164"/>
        <v>0</v>
      </c>
      <c r="L585" s="32">
        <f t="shared" si="165"/>
        <v>0</v>
      </c>
      <c r="M585" s="32">
        <f>0</f>
        <v>0</v>
      </c>
      <c r="N585" s="32">
        <f t="shared" si="166"/>
        <v>0</v>
      </c>
      <c r="O585" s="32">
        <f t="shared" si="167"/>
        <v>14115936</v>
      </c>
      <c r="P585" s="34" t="str">
        <f>IF(NOT(AND(T584="",A585&lt;=S584)),"",IF(FALSE,"繰上返済後再計算","")&amp;IF(AND(入力!$B$13="有効",A585&gt;1,MOD(A585-1,60)=0),IF(FALSE,"・","")&amp;"5年見直し","")&amp;IF(AND(A585=入力!$B$11,A585&gt;1),IF(OR(FALSE,AND(入力!$B$13="有効",A585&gt;1,MOD(A585-1,60)=0)),"・","")&amp;"金利変更","")&amp;IF(AND(OR(AND(入力!$B$13="有効",A585&gt;1,MOD(A585-1,60)=0),AND(A585=入力!$B$11,A585&gt;1)),入力!$B$14="有効",IF(E585=0,ROUND(C585/MAX(1,S584-A585+1),0),ROUND(-PMT(E585/12,MAX(1,S584-A585+1),C585),0))&gt;ROUND(G584*1.25,0),NOT(FALSE)),"・上限適用",""))</f>
        <v/>
      </c>
      <c r="Q585" s="35" t="str">
        <f>IF(AND(T584="",A585&lt;=S584),入力!$B$13,"")</f>
        <v/>
      </c>
      <c r="R585" s="32" t="str">
        <f>IF(AND(AND(T584="",A585&lt;=S584),OR(AND(入力!$B$13="有効",A585&gt;1,MOD(A585-1,60)=0),AND(A585=入力!$B$11,A585&gt;1)),入力!$B$14="有効"),ROUND(G584*1.25,0),"")</f>
        <v/>
      </c>
      <c r="S585" s="36">
        <f t="shared" si="168"/>
        <v>420</v>
      </c>
      <c r="T585" s="35" t="str">
        <f t="shared" si="169"/>
        <v/>
      </c>
      <c r="U585" s="3">
        <f t="shared" si="153"/>
        <v>0</v>
      </c>
      <c r="V585" s="3">
        <f t="shared" si="154"/>
        <v>0</v>
      </c>
      <c r="W585" s="3">
        <f t="shared" si="155"/>
        <v>0</v>
      </c>
      <c r="X585" s="3">
        <f t="shared" si="156"/>
        <v>0</v>
      </c>
      <c r="Y585" s="3">
        <f>0</f>
        <v>0</v>
      </c>
      <c r="Z585" s="3">
        <f t="shared" si="157"/>
        <v>0</v>
      </c>
      <c r="AA585">
        <f>ROUND(IF(FALSE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,0)</f>
        <v>0</v>
      </c>
    </row>
    <row r="586" spans="1:27">
      <c r="A586" s="30">
        <f>581</f>
        <v>581</v>
      </c>
      <c r="B586" s="31">
        <f>EDATE(入力!$B$6,A586-1)</f>
        <v>63889</v>
      </c>
      <c r="C586" s="32">
        <f t="shared" si="158"/>
        <v>0</v>
      </c>
      <c r="D586" s="32">
        <f t="shared" si="159"/>
        <v>0</v>
      </c>
      <c r="E586" s="33">
        <f>IF(AND(T585="",A586&lt;=S585),IF(A586&lt;入力!$B$11,入力!$B$10,入力!$B$12),0)</f>
        <v>0</v>
      </c>
      <c r="F586" s="32">
        <f t="shared" si="160"/>
        <v>0</v>
      </c>
      <c r="G586" s="32">
        <f>ROUND(IF(NOT(AND(T585="",A586&lt;=S585)),0,IF(FALSE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),0)</f>
        <v>0</v>
      </c>
      <c r="H586" s="32">
        <f t="shared" si="161"/>
        <v>0</v>
      </c>
      <c r="I586" s="32">
        <f t="shared" si="162"/>
        <v>0</v>
      </c>
      <c r="J586" s="32">
        <f t="shared" si="163"/>
        <v>0</v>
      </c>
      <c r="K586" s="32">
        <f t="shared" si="164"/>
        <v>0</v>
      </c>
      <c r="L586" s="32">
        <f t="shared" si="165"/>
        <v>0</v>
      </c>
      <c r="M586" s="32">
        <f>0</f>
        <v>0</v>
      </c>
      <c r="N586" s="32">
        <f t="shared" si="166"/>
        <v>0</v>
      </c>
      <c r="O586" s="32">
        <f t="shared" si="167"/>
        <v>14115936</v>
      </c>
      <c r="P586" s="34" t="str">
        <f>IF(NOT(AND(T585="",A586&lt;=S585)),"",IF(FALSE,"繰上返済後再計算","")&amp;IF(AND(入力!$B$13="有効",A586&gt;1,MOD(A586-1,60)=0),IF(FALSE,"・","")&amp;"5年見直し","")&amp;IF(AND(A586=入力!$B$11,A586&gt;1),IF(OR(FALSE,AND(入力!$B$13="有効",A586&gt;1,MOD(A586-1,60)=0)),"・","")&amp;"金利変更","")&amp;IF(AND(OR(AND(入力!$B$13="有効",A586&gt;1,MOD(A586-1,60)=0),AND(A586=入力!$B$11,A586&gt;1)),入力!$B$14="有効",IF(E586=0,ROUND(C586/MAX(1,S585-A586+1),0),ROUND(-PMT(E586/12,MAX(1,S585-A586+1),C586),0))&gt;ROUND(G585*1.25,0),NOT(FALSE)),"・上限適用",""))</f>
        <v/>
      </c>
      <c r="Q586" s="35" t="str">
        <f>IF(AND(T585="",A586&lt;=S585),入力!$B$13,"")</f>
        <v/>
      </c>
      <c r="R586" s="32" t="str">
        <f>IF(AND(AND(T585="",A586&lt;=S585),OR(AND(入力!$B$13="有効",A586&gt;1,MOD(A586-1,60)=0),AND(A586=入力!$B$11,A586&gt;1)),入力!$B$14="有効"),ROUND(G585*1.25,0),"")</f>
        <v/>
      </c>
      <c r="S586" s="36">
        <f t="shared" si="168"/>
        <v>420</v>
      </c>
      <c r="T586" s="35" t="str">
        <f t="shared" si="169"/>
        <v/>
      </c>
      <c r="U586" s="3">
        <f t="shared" si="153"/>
        <v>0</v>
      </c>
      <c r="V586" s="3">
        <f t="shared" si="154"/>
        <v>0</v>
      </c>
      <c r="W586" s="3">
        <f t="shared" si="155"/>
        <v>0</v>
      </c>
      <c r="X586" s="3">
        <f t="shared" si="156"/>
        <v>0</v>
      </c>
      <c r="Y586" s="3">
        <f>0</f>
        <v>0</v>
      </c>
      <c r="Z586" s="3">
        <f t="shared" si="157"/>
        <v>0</v>
      </c>
      <c r="AA586">
        <f>ROUND(IF(FALSE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,0)</f>
        <v>0</v>
      </c>
    </row>
    <row r="587" spans="1:27">
      <c r="A587" s="30">
        <f>582</f>
        <v>582</v>
      </c>
      <c r="B587" s="31">
        <f>EDATE(入力!$B$6,A587-1)</f>
        <v>63920</v>
      </c>
      <c r="C587" s="32">
        <f t="shared" si="158"/>
        <v>0</v>
      </c>
      <c r="D587" s="32">
        <f t="shared" si="159"/>
        <v>0</v>
      </c>
      <c r="E587" s="33">
        <f>IF(AND(T586="",A587&lt;=S586),IF(A587&lt;入力!$B$11,入力!$B$10,入力!$B$12),0)</f>
        <v>0</v>
      </c>
      <c r="F587" s="32">
        <f t="shared" si="160"/>
        <v>0</v>
      </c>
      <c r="G587" s="32">
        <f>ROUND(IF(NOT(AND(T586="",A587&lt;=S586)),0,IF(FALSE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),0)</f>
        <v>0</v>
      </c>
      <c r="H587" s="32">
        <f t="shared" si="161"/>
        <v>0</v>
      </c>
      <c r="I587" s="32">
        <f t="shared" si="162"/>
        <v>0</v>
      </c>
      <c r="J587" s="32">
        <f t="shared" si="163"/>
        <v>0</v>
      </c>
      <c r="K587" s="32">
        <f t="shared" si="164"/>
        <v>0</v>
      </c>
      <c r="L587" s="32">
        <f t="shared" si="165"/>
        <v>0</v>
      </c>
      <c r="M587" s="32">
        <f>0</f>
        <v>0</v>
      </c>
      <c r="N587" s="32">
        <f t="shared" si="166"/>
        <v>0</v>
      </c>
      <c r="O587" s="32">
        <f t="shared" si="167"/>
        <v>14115936</v>
      </c>
      <c r="P587" s="34" t="str">
        <f>IF(NOT(AND(T586="",A587&lt;=S586)),"",IF(FALSE,"繰上返済後再計算","")&amp;IF(AND(入力!$B$13="有効",A587&gt;1,MOD(A587-1,60)=0),IF(FALSE,"・","")&amp;"5年見直し","")&amp;IF(AND(A587=入力!$B$11,A587&gt;1),IF(OR(FALSE,AND(入力!$B$13="有効",A587&gt;1,MOD(A587-1,60)=0)),"・","")&amp;"金利変更","")&amp;IF(AND(OR(AND(入力!$B$13="有効",A587&gt;1,MOD(A587-1,60)=0),AND(A587=入力!$B$11,A587&gt;1)),入力!$B$14="有効",IF(E587=0,ROUND(C587/MAX(1,S586-A587+1),0),ROUND(-PMT(E587/12,MAX(1,S586-A587+1),C587),0))&gt;ROUND(G586*1.25,0),NOT(FALSE)),"・上限適用",""))</f>
        <v/>
      </c>
      <c r="Q587" s="35" t="str">
        <f>IF(AND(T586="",A587&lt;=S586),入力!$B$13,"")</f>
        <v/>
      </c>
      <c r="R587" s="32" t="str">
        <f>IF(AND(AND(T586="",A587&lt;=S586),OR(AND(入力!$B$13="有効",A587&gt;1,MOD(A587-1,60)=0),AND(A587=入力!$B$11,A587&gt;1)),入力!$B$14="有効"),ROUND(G586*1.25,0),"")</f>
        <v/>
      </c>
      <c r="S587" s="36">
        <f t="shared" si="168"/>
        <v>420</v>
      </c>
      <c r="T587" s="35" t="str">
        <f t="shared" si="169"/>
        <v/>
      </c>
      <c r="U587" s="3">
        <f t="shared" si="153"/>
        <v>0</v>
      </c>
      <c r="V587" s="3">
        <f t="shared" si="154"/>
        <v>0</v>
      </c>
      <c r="W587" s="3">
        <f t="shared" si="155"/>
        <v>0</v>
      </c>
      <c r="X587" s="3">
        <f t="shared" si="156"/>
        <v>0</v>
      </c>
      <c r="Y587" s="3">
        <f>0</f>
        <v>0</v>
      </c>
      <c r="Z587" s="3">
        <f t="shared" si="157"/>
        <v>0</v>
      </c>
      <c r="AA587">
        <f>ROUND(IF(FALSE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,0)</f>
        <v>0</v>
      </c>
    </row>
    <row r="588" spans="1:27">
      <c r="A588" s="30">
        <f>583</f>
        <v>583</v>
      </c>
      <c r="B588" s="31">
        <f>EDATE(入力!$B$6,A588-1)</f>
        <v>63951</v>
      </c>
      <c r="C588" s="32">
        <f t="shared" si="158"/>
        <v>0</v>
      </c>
      <c r="D588" s="32">
        <f t="shared" si="159"/>
        <v>0</v>
      </c>
      <c r="E588" s="33">
        <f>IF(AND(T587="",A588&lt;=S587),IF(A588&lt;入力!$B$11,入力!$B$10,入力!$B$12),0)</f>
        <v>0</v>
      </c>
      <c r="F588" s="32">
        <f t="shared" si="160"/>
        <v>0</v>
      </c>
      <c r="G588" s="32">
        <f>ROUND(IF(NOT(AND(T587="",A588&lt;=S587)),0,IF(FALSE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),0)</f>
        <v>0</v>
      </c>
      <c r="H588" s="32">
        <f t="shared" si="161"/>
        <v>0</v>
      </c>
      <c r="I588" s="32">
        <f t="shared" si="162"/>
        <v>0</v>
      </c>
      <c r="J588" s="32">
        <f t="shared" si="163"/>
        <v>0</v>
      </c>
      <c r="K588" s="32">
        <f t="shared" si="164"/>
        <v>0</v>
      </c>
      <c r="L588" s="32">
        <f t="shared" si="165"/>
        <v>0</v>
      </c>
      <c r="M588" s="32">
        <f>0</f>
        <v>0</v>
      </c>
      <c r="N588" s="32">
        <f t="shared" si="166"/>
        <v>0</v>
      </c>
      <c r="O588" s="32">
        <f t="shared" si="167"/>
        <v>14115936</v>
      </c>
      <c r="P588" s="34" t="str">
        <f>IF(NOT(AND(T587="",A588&lt;=S587)),"",IF(FALSE,"繰上返済後再計算","")&amp;IF(AND(入力!$B$13="有効",A588&gt;1,MOD(A588-1,60)=0),IF(FALSE,"・","")&amp;"5年見直し","")&amp;IF(AND(A588=入力!$B$11,A588&gt;1),IF(OR(FALSE,AND(入力!$B$13="有効",A588&gt;1,MOD(A588-1,60)=0)),"・","")&amp;"金利変更","")&amp;IF(AND(OR(AND(入力!$B$13="有効",A588&gt;1,MOD(A588-1,60)=0),AND(A588=入力!$B$11,A588&gt;1)),入力!$B$14="有効",IF(E588=0,ROUND(C588/MAX(1,S587-A588+1),0),ROUND(-PMT(E588/12,MAX(1,S587-A588+1),C588),0))&gt;ROUND(G587*1.25,0),NOT(FALSE)),"・上限適用",""))</f>
        <v/>
      </c>
      <c r="Q588" s="35" t="str">
        <f>IF(AND(T587="",A588&lt;=S587),入力!$B$13,"")</f>
        <v/>
      </c>
      <c r="R588" s="32" t="str">
        <f>IF(AND(AND(T587="",A588&lt;=S587),OR(AND(入力!$B$13="有効",A588&gt;1,MOD(A588-1,60)=0),AND(A588=入力!$B$11,A588&gt;1)),入力!$B$14="有効"),ROUND(G587*1.25,0),"")</f>
        <v/>
      </c>
      <c r="S588" s="36">
        <f t="shared" si="168"/>
        <v>420</v>
      </c>
      <c r="T588" s="35" t="str">
        <f t="shared" si="169"/>
        <v/>
      </c>
      <c r="U588" s="3">
        <f t="shared" si="153"/>
        <v>0</v>
      </c>
      <c r="V588" s="3">
        <f t="shared" si="154"/>
        <v>0</v>
      </c>
      <c r="W588" s="3">
        <f t="shared" si="155"/>
        <v>0</v>
      </c>
      <c r="X588" s="3">
        <f t="shared" si="156"/>
        <v>0</v>
      </c>
      <c r="Y588" s="3">
        <f>0</f>
        <v>0</v>
      </c>
      <c r="Z588" s="3">
        <f t="shared" si="157"/>
        <v>0</v>
      </c>
      <c r="AA588">
        <f>ROUND(IF(FALSE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,0)</f>
        <v>0</v>
      </c>
    </row>
    <row r="589" spans="1:27">
      <c r="A589" s="30">
        <f>584</f>
        <v>584</v>
      </c>
      <c r="B589" s="31">
        <f>EDATE(入力!$B$6,A589-1)</f>
        <v>63979</v>
      </c>
      <c r="C589" s="32">
        <f t="shared" si="158"/>
        <v>0</v>
      </c>
      <c r="D589" s="32">
        <f t="shared" si="159"/>
        <v>0</v>
      </c>
      <c r="E589" s="33">
        <f>IF(AND(T588="",A589&lt;=S588),IF(A589&lt;入力!$B$11,入力!$B$10,入力!$B$12),0)</f>
        <v>0</v>
      </c>
      <c r="F589" s="32">
        <f t="shared" si="160"/>
        <v>0</v>
      </c>
      <c r="G589" s="32">
        <f>ROUND(IF(NOT(AND(T588="",A589&lt;=S588)),0,IF(FALSE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),0)</f>
        <v>0</v>
      </c>
      <c r="H589" s="32">
        <f t="shared" si="161"/>
        <v>0</v>
      </c>
      <c r="I589" s="32">
        <f t="shared" si="162"/>
        <v>0</v>
      </c>
      <c r="J589" s="32">
        <f t="shared" si="163"/>
        <v>0</v>
      </c>
      <c r="K589" s="32">
        <f t="shared" si="164"/>
        <v>0</v>
      </c>
      <c r="L589" s="32">
        <f t="shared" si="165"/>
        <v>0</v>
      </c>
      <c r="M589" s="32">
        <f>0</f>
        <v>0</v>
      </c>
      <c r="N589" s="32">
        <f t="shared" si="166"/>
        <v>0</v>
      </c>
      <c r="O589" s="32">
        <f t="shared" si="167"/>
        <v>14115936</v>
      </c>
      <c r="P589" s="34" t="str">
        <f>IF(NOT(AND(T588="",A589&lt;=S588)),"",IF(FALSE,"繰上返済後再計算","")&amp;IF(AND(入力!$B$13="有効",A589&gt;1,MOD(A589-1,60)=0),IF(FALSE,"・","")&amp;"5年見直し","")&amp;IF(AND(A589=入力!$B$11,A589&gt;1),IF(OR(FALSE,AND(入力!$B$13="有効",A589&gt;1,MOD(A589-1,60)=0)),"・","")&amp;"金利変更","")&amp;IF(AND(OR(AND(入力!$B$13="有効",A589&gt;1,MOD(A589-1,60)=0),AND(A589=入力!$B$11,A589&gt;1)),入力!$B$14="有効",IF(E589=0,ROUND(C589/MAX(1,S588-A589+1),0),ROUND(-PMT(E589/12,MAX(1,S588-A589+1),C589),0))&gt;ROUND(G588*1.25,0),NOT(FALSE)),"・上限適用",""))</f>
        <v/>
      </c>
      <c r="Q589" s="35" t="str">
        <f>IF(AND(T588="",A589&lt;=S588),入力!$B$13,"")</f>
        <v/>
      </c>
      <c r="R589" s="32" t="str">
        <f>IF(AND(AND(T588="",A589&lt;=S588),OR(AND(入力!$B$13="有効",A589&gt;1,MOD(A589-1,60)=0),AND(A589=入力!$B$11,A589&gt;1)),入力!$B$14="有効"),ROUND(G588*1.25,0),"")</f>
        <v/>
      </c>
      <c r="S589" s="36">
        <f t="shared" si="168"/>
        <v>420</v>
      </c>
      <c r="T589" s="35" t="str">
        <f t="shared" si="169"/>
        <v/>
      </c>
      <c r="U589" s="3">
        <f t="shared" si="153"/>
        <v>0</v>
      </c>
      <c r="V589" s="3">
        <f t="shared" si="154"/>
        <v>0</v>
      </c>
      <c r="W589" s="3">
        <f t="shared" si="155"/>
        <v>0</v>
      </c>
      <c r="X589" s="3">
        <f t="shared" si="156"/>
        <v>0</v>
      </c>
      <c r="Y589" s="3">
        <f>0</f>
        <v>0</v>
      </c>
      <c r="Z589" s="3">
        <f t="shared" si="157"/>
        <v>0</v>
      </c>
      <c r="AA589">
        <f>ROUND(IF(FALSE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,0)</f>
        <v>0</v>
      </c>
    </row>
    <row r="590" spans="1:27">
      <c r="A590" s="30">
        <f>585</f>
        <v>585</v>
      </c>
      <c r="B590" s="31">
        <f>EDATE(入力!$B$6,A590-1)</f>
        <v>64010</v>
      </c>
      <c r="C590" s="32">
        <f t="shared" si="158"/>
        <v>0</v>
      </c>
      <c r="D590" s="32">
        <f t="shared" si="159"/>
        <v>0</v>
      </c>
      <c r="E590" s="33">
        <f>IF(AND(T589="",A590&lt;=S589),IF(A590&lt;入力!$B$11,入力!$B$10,入力!$B$12),0)</f>
        <v>0</v>
      </c>
      <c r="F590" s="32">
        <f t="shared" si="160"/>
        <v>0</v>
      </c>
      <c r="G590" s="32">
        <f>ROUND(IF(NOT(AND(T589="",A590&lt;=S589)),0,IF(FALSE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),0)</f>
        <v>0</v>
      </c>
      <c r="H590" s="32">
        <f t="shared" si="161"/>
        <v>0</v>
      </c>
      <c r="I590" s="32">
        <f t="shared" si="162"/>
        <v>0</v>
      </c>
      <c r="J590" s="32">
        <f t="shared" si="163"/>
        <v>0</v>
      </c>
      <c r="K590" s="32">
        <f t="shared" si="164"/>
        <v>0</v>
      </c>
      <c r="L590" s="32">
        <f t="shared" si="165"/>
        <v>0</v>
      </c>
      <c r="M590" s="32">
        <f>0</f>
        <v>0</v>
      </c>
      <c r="N590" s="32">
        <f t="shared" si="166"/>
        <v>0</v>
      </c>
      <c r="O590" s="32">
        <f t="shared" si="167"/>
        <v>14115936</v>
      </c>
      <c r="P590" s="34" t="str">
        <f>IF(NOT(AND(T589="",A590&lt;=S589)),"",IF(FALSE,"繰上返済後再計算","")&amp;IF(AND(入力!$B$13="有効",A590&gt;1,MOD(A590-1,60)=0),IF(FALSE,"・","")&amp;"5年見直し","")&amp;IF(AND(A590=入力!$B$11,A590&gt;1),IF(OR(FALSE,AND(入力!$B$13="有効",A590&gt;1,MOD(A590-1,60)=0)),"・","")&amp;"金利変更","")&amp;IF(AND(OR(AND(入力!$B$13="有効",A590&gt;1,MOD(A590-1,60)=0),AND(A590=入力!$B$11,A590&gt;1)),入力!$B$14="有効",IF(E590=0,ROUND(C590/MAX(1,S589-A590+1),0),ROUND(-PMT(E590/12,MAX(1,S589-A590+1),C590),0))&gt;ROUND(G589*1.25,0),NOT(FALSE)),"・上限適用",""))</f>
        <v/>
      </c>
      <c r="Q590" s="35" t="str">
        <f>IF(AND(T589="",A590&lt;=S589),入力!$B$13,"")</f>
        <v/>
      </c>
      <c r="R590" s="32" t="str">
        <f>IF(AND(AND(T589="",A590&lt;=S589),OR(AND(入力!$B$13="有効",A590&gt;1,MOD(A590-1,60)=0),AND(A590=入力!$B$11,A590&gt;1)),入力!$B$14="有効"),ROUND(G589*1.25,0),"")</f>
        <v/>
      </c>
      <c r="S590" s="36">
        <f t="shared" si="168"/>
        <v>420</v>
      </c>
      <c r="T590" s="35" t="str">
        <f t="shared" si="169"/>
        <v/>
      </c>
      <c r="U590" s="3">
        <f t="shared" si="153"/>
        <v>0</v>
      </c>
      <c r="V590" s="3">
        <f t="shared" si="154"/>
        <v>0</v>
      </c>
      <c r="W590" s="3">
        <f t="shared" si="155"/>
        <v>0</v>
      </c>
      <c r="X590" s="3">
        <f t="shared" si="156"/>
        <v>0</v>
      </c>
      <c r="Y590" s="3">
        <f>0</f>
        <v>0</v>
      </c>
      <c r="Z590" s="3">
        <f t="shared" si="157"/>
        <v>0</v>
      </c>
      <c r="AA590">
        <f>ROUND(IF(FALSE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,0)</f>
        <v>0</v>
      </c>
    </row>
    <row r="591" spans="1:27">
      <c r="A591" s="30">
        <f>586</f>
        <v>586</v>
      </c>
      <c r="B591" s="31">
        <f>EDATE(入力!$B$6,A591-1)</f>
        <v>64040</v>
      </c>
      <c r="C591" s="32">
        <f t="shared" si="158"/>
        <v>0</v>
      </c>
      <c r="D591" s="32">
        <f t="shared" si="159"/>
        <v>0</v>
      </c>
      <c r="E591" s="33">
        <f>IF(AND(T590="",A591&lt;=S590),IF(A591&lt;入力!$B$11,入力!$B$10,入力!$B$12),0)</f>
        <v>0</v>
      </c>
      <c r="F591" s="32">
        <f t="shared" si="160"/>
        <v>0</v>
      </c>
      <c r="G591" s="32">
        <f>ROUND(IF(NOT(AND(T590="",A591&lt;=S590)),0,IF(FALSE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),0)</f>
        <v>0</v>
      </c>
      <c r="H591" s="32">
        <f t="shared" si="161"/>
        <v>0</v>
      </c>
      <c r="I591" s="32">
        <f t="shared" si="162"/>
        <v>0</v>
      </c>
      <c r="J591" s="32">
        <f t="shared" si="163"/>
        <v>0</v>
      </c>
      <c r="K591" s="32">
        <f t="shared" si="164"/>
        <v>0</v>
      </c>
      <c r="L591" s="32">
        <f t="shared" si="165"/>
        <v>0</v>
      </c>
      <c r="M591" s="32">
        <f>0</f>
        <v>0</v>
      </c>
      <c r="N591" s="32">
        <f t="shared" si="166"/>
        <v>0</v>
      </c>
      <c r="O591" s="32">
        <f t="shared" si="167"/>
        <v>14115936</v>
      </c>
      <c r="P591" s="34" t="str">
        <f>IF(NOT(AND(T590="",A591&lt;=S590)),"",IF(FALSE,"繰上返済後再計算","")&amp;IF(AND(入力!$B$13="有効",A591&gt;1,MOD(A591-1,60)=0),IF(FALSE,"・","")&amp;"5年見直し","")&amp;IF(AND(A591=入力!$B$11,A591&gt;1),IF(OR(FALSE,AND(入力!$B$13="有効",A591&gt;1,MOD(A591-1,60)=0)),"・","")&amp;"金利変更","")&amp;IF(AND(OR(AND(入力!$B$13="有効",A591&gt;1,MOD(A591-1,60)=0),AND(A591=入力!$B$11,A591&gt;1)),入力!$B$14="有効",IF(E591=0,ROUND(C591/MAX(1,S590-A591+1),0),ROUND(-PMT(E591/12,MAX(1,S590-A591+1),C591),0))&gt;ROUND(G590*1.25,0),NOT(FALSE)),"・上限適用",""))</f>
        <v/>
      </c>
      <c r="Q591" s="35" t="str">
        <f>IF(AND(T590="",A591&lt;=S590),入力!$B$13,"")</f>
        <v/>
      </c>
      <c r="R591" s="32" t="str">
        <f>IF(AND(AND(T590="",A591&lt;=S590),OR(AND(入力!$B$13="有効",A591&gt;1,MOD(A591-1,60)=0),AND(A591=入力!$B$11,A591&gt;1)),入力!$B$14="有効"),ROUND(G590*1.25,0),"")</f>
        <v/>
      </c>
      <c r="S591" s="36">
        <f t="shared" si="168"/>
        <v>420</v>
      </c>
      <c r="T591" s="35" t="str">
        <f t="shared" si="169"/>
        <v/>
      </c>
      <c r="U591" s="3">
        <f t="shared" si="153"/>
        <v>0</v>
      </c>
      <c r="V591" s="3">
        <f t="shared" si="154"/>
        <v>0</v>
      </c>
      <c r="W591" s="3">
        <f t="shared" si="155"/>
        <v>0</v>
      </c>
      <c r="X591" s="3">
        <f t="shared" si="156"/>
        <v>0</v>
      </c>
      <c r="Y591" s="3">
        <f>0</f>
        <v>0</v>
      </c>
      <c r="Z591" s="3">
        <f t="shared" si="157"/>
        <v>0</v>
      </c>
      <c r="AA591">
        <f>ROUND(IF(FALSE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,0)</f>
        <v>0</v>
      </c>
    </row>
    <row r="592" spans="1:27">
      <c r="A592" s="30">
        <f>587</f>
        <v>587</v>
      </c>
      <c r="B592" s="31">
        <f>EDATE(入力!$B$6,A592-1)</f>
        <v>64071</v>
      </c>
      <c r="C592" s="32">
        <f t="shared" si="158"/>
        <v>0</v>
      </c>
      <c r="D592" s="32">
        <f t="shared" si="159"/>
        <v>0</v>
      </c>
      <c r="E592" s="33">
        <f>IF(AND(T591="",A592&lt;=S591),IF(A592&lt;入力!$B$11,入力!$B$10,入力!$B$12),0)</f>
        <v>0</v>
      </c>
      <c r="F592" s="32">
        <f t="shared" si="160"/>
        <v>0</v>
      </c>
      <c r="G592" s="32">
        <f>ROUND(IF(NOT(AND(T591="",A592&lt;=S591)),0,IF(FALSE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),0)</f>
        <v>0</v>
      </c>
      <c r="H592" s="32">
        <f t="shared" si="161"/>
        <v>0</v>
      </c>
      <c r="I592" s="32">
        <f t="shared" si="162"/>
        <v>0</v>
      </c>
      <c r="J592" s="32">
        <f t="shared" si="163"/>
        <v>0</v>
      </c>
      <c r="K592" s="32">
        <f t="shared" si="164"/>
        <v>0</v>
      </c>
      <c r="L592" s="32">
        <f t="shared" si="165"/>
        <v>0</v>
      </c>
      <c r="M592" s="32">
        <f>0</f>
        <v>0</v>
      </c>
      <c r="N592" s="32">
        <f t="shared" si="166"/>
        <v>0</v>
      </c>
      <c r="O592" s="32">
        <f t="shared" si="167"/>
        <v>14115936</v>
      </c>
      <c r="P592" s="34" t="str">
        <f>IF(NOT(AND(T591="",A592&lt;=S591)),"",IF(FALSE,"繰上返済後再計算","")&amp;IF(AND(入力!$B$13="有効",A592&gt;1,MOD(A592-1,60)=0),IF(FALSE,"・","")&amp;"5年見直し","")&amp;IF(AND(A592=入力!$B$11,A592&gt;1),IF(OR(FALSE,AND(入力!$B$13="有効",A592&gt;1,MOD(A592-1,60)=0)),"・","")&amp;"金利変更","")&amp;IF(AND(OR(AND(入力!$B$13="有効",A592&gt;1,MOD(A592-1,60)=0),AND(A592=入力!$B$11,A592&gt;1)),入力!$B$14="有効",IF(E592=0,ROUND(C592/MAX(1,S591-A592+1),0),ROUND(-PMT(E592/12,MAX(1,S591-A592+1),C592),0))&gt;ROUND(G591*1.25,0),NOT(FALSE)),"・上限適用",""))</f>
        <v/>
      </c>
      <c r="Q592" s="35" t="str">
        <f>IF(AND(T591="",A592&lt;=S591),入力!$B$13,"")</f>
        <v/>
      </c>
      <c r="R592" s="32" t="str">
        <f>IF(AND(AND(T591="",A592&lt;=S591),OR(AND(入力!$B$13="有効",A592&gt;1,MOD(A592-1,60)=0),AND(A592=入力!$B$11,A592&gt;1)),入力!$B$14="有効"),ROUND(G591*1.25,0),"")</f>
        <v/>
      </c>
      <c r="S592" s="36">
        <f t="shared" si="168"/>
        <v>420</v>
      </c>
      <c r="T592" s="35" t="str">
        <f t="shared" si="169"/>
        <v/>
      </c>
      <c r="U592" s="3">
        <f t="shared" si="153"/>
        <v>0</v>
      </c>
      <c r="V592" s="3">
        <f t="shared" si="154"/>
        <v>0</v>
      </c>
      <c r="W592" s="3">
        <f t="shared" si="155"/>
        <v>0</v>
      </c>
      <c r="X592" s="3">
        <f t="shared" si="156"/>
        <v>0</v>
      </c>
      <c r="Y592" s="3">
        <f>0</f>
        <v>0</v>
      </c>
      <c r="Z592" s="3">
        <f t="shared" si="157"/>
        <v>0</v>
      </c>
      <c r="AA592">
        <f>ROUND(IF(FALSE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,0)</f>
        <v>0</v>
      </c>
    </row>
    <row r="593" spans="1:27">
      <c r="A593" s="30">
        <f>588</f>
        <v>588</v>
      </c>
      <c r="B593" s="31">
        <f>EDATE(入力!$B$6,A593-1)</f>
        <v>64101</v>
      </c>
      <c r="C593" s="32">
        <f t="shared" si="158"/>
        <v>0</v>
      </c>
      <c r="D593" s="32">
        <f t="shared" si="159"/>
        <v>0</v>
      </c>
      <c r="E593" s="33">
        <f>IF(AND(T592="",A593&lt;=S592),IF(A593&lt;入力!$B$11,入力!$B$10,入力!$B$12),0)</f>
        <v>0</v>
      </c>
      <c r="F593" s="32">
        <f t="shared" si="160"/>
        <v>0</v>
      </c>
      <c r="G593" s="32">
        <f>ROUND(IF(NOT(AND(T592="",A593&lt;=S592)),0,IF(FALSE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),0)</f>
        <v>0</v>
      </c>
      <c r="H593" s="32">
        <f t="shared" si="161"/>
        <v>0</v>
      </c>
      <c r="I593" s="32">
        <f t="shared" si="162"/>
        <v>0</v>
      </c>
      <c r="J593" s="32">
        <f t="shared" si="163"/>
        <v>0</v>
      </c>
      <c r="K593" s="32">
        <f t="shared" si="164"/>
        <v>0</v>
      </c>
      <c r="L593" s="32">
        <f t="shared" si="165"/>
        <v>0</v>
      </c>
      <c r="M593" s="32">
        <f>0</f>
        <v>0</v>
      </c>
      <c r="N593" s="32">
        <f t="shared" si="166"/>
        <v>0</v>
      </c>
      <c r="O593" s="32">
        <f t="shared" si="167"/>
        <v>14115936</v>
      </c>
      <c r="P593" s="34" t="str">
        <f>IF(NOT(AND(T592="",A593&lt;=S592)),"",IF(FALSE,"繰上返済後再計算","")&amp;IF(AND(入力!$B$13="有効",A593&gt;1,MOD(A593-1,60)=0),IF(FALSE,"・","")&amp;"5年見直し","")&amp;IF(AND(A593=入力!$B$11,A593&gt;1),IF(OR(FALSE,AND(入力!$B$13="有効",A593&gt;1,MOD(A593-1,60)=0)),"・","")&amp;"金利変更","")&amp;IF(AND(OR(AND(入力!$B$13="有効",A593&gt;1,MOD(A593-1,60)=0),AND(A593=入力!$B$11,A593&gt;1)),入力!$B$14="有効",IF(E593=0,ROUND(C593/MAX(1,S592-A593+1),0),ROUND(-PMT(E593/12,MAX(1,S592-A593+1),C593),0))&gt;ROUND(G592*1.25,0),NOT(FALSE)),"・上限適用",""))</f>
        <v/>
      </c>
      <c r="Q593" s="35" t="str">
        <f>IF(AND(T592="",A593&lt;=S592),入力!$B$13,"")</f>
        <v/>
      </c>
      <c r="R593" s="32" t="str">
        <f>IF(AND(AND(T592="",A593&lt;=S592),OR(AND(入力!$B$13="有効",A593&gt;1,MOD(A593-1,60)=0),AND(A593=入力!$B$11,A593&gt;1)),入力!$B$14="有効"),ROUND(G592*1.25,0),"")</f>
        <v/>
      </c>
      <c r="S593" s="36">
        <f t="shared" si="168"/>
        <v>420</v>
      </c>
      <c r="T593" s="35" t="str">
        <f t="shared" si="169"/>
        <v/>
      </c>
      <c r="U593" s="3">
        <f t="shared" si="153"/>
        <v>0</v>
      </c>
      <c r="V593" s="3">
        <f t="shared" si="154"/>
        <v>0</v>
      </c>
      <c r="W593" s="3">
        <f t="shared" si="155"/>
        <v>0</v>
      </c>
      <c r="X593" s="3">
        <f t="shared" si="156"/>
        <v>0</v>
      </c>
      <c r="Y593" s="3">
        <f>0</f>
        <v>0</v>
      </c>
      <c r="Z593" s="3">
        <f t="shared" si="157"/>
        <v>0</v>
      </c>
      <c r="AA593">
        <f>ROUND(IF(FALSE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,0)</f>
        <v>0</v>
      </c>
    </row>
    <row r="594" spans="1:27">
      <c r="A594" s="30">
        <f>589</f>
        <v>589</v>
      </c>
      <c r="B594" s="31">
        <f>EDATE(入力!$B$6,A594-1)</f>
        <v>64132</v>
      </c>
      <c r="C594" s="32">
        <f t="shared" si="158"/>
        <v>0</v>
      </c>
      <c r="D594" s="32">
        <f t="shared" si="159"/>
        <v>0</v>
      </c>
      <c r="E594" s="33">
        <f>IF(AND(T593="",A594&lt;=S593),IF(A594&lt;入力!$B$11,入力!$B$10,入力!$B$12),0)</f>
        <v>0</v>
      </c>
      <c r="F594" s="32">
        <f t="shared" si="160"/>
        <v>0</v>
      </c>
      <c r="G594" s="32">
        <f>ROUND(IF(NOT(AND(T593="",A594&lt;=S593)),0,IF(FALSE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),0)</f>
        <v>0</v>
      </c>
      <c r="H594" s="32">
        <f t="shared" si="161"/>
        <v>0</v>
      </c>
      <c r="I594" s="32">
        <f t="shared" si="162"/>
        <v>0</v>
      </c>
      <c r="J594" s="32">
        <f t="shared" si="163"/>
        <v>0</v>
      </c>
      <c r="K594" s="32">
        <f t="shared" si="164"/>
        <v>0</v>
      </c>
      <c r="L594" s="32">
        <f t="shared" si="165"/>
        <v>0</v>
      </c>
      <c r="M594" s="32">
        <f>0</f>
        <v>0</v>
      </c>
      <c r="N594" s="32">
        <f t="shared" si="166"/>
        <v>0</v>
      </c>
      <c r="O594" s="32">
        <f t="shared" si="167"/>
        <v>14115936</v>
      </c>
      <c r="P594" s="34" t="str">
        <f>IF(NOT(AND(T593="",A594&lt;=S593)),"",IF(FALSE,"繰上返済後再計算","")&amp;IF(AND(入力!$B$13="有効",A594&gt;1,MOD(A594-1,60)=0),IF(FALSE,"・","")&amp;"5年見直し","")&amp;IF(AND(A594=入力!$B$11,A594&gt;1),IF(OR(FALSE,AND(入力!$B$13="有効",A594&gt;1,MOD(A594-1,60)=0)),"・","")&amp;"金利変更","")&amp;IF(AND(OR(AND(入力!$B$13="有効",A594&gt;1,MOD(A594-1,60)=0),AND(A594=入力!$B$11,A594&gt;1)),入力!$B$14="有効",IF(E594=0,ROUND(C594/MAX(1,S593-A594+1),0),ROUND(-PMT(E594/12,MAX(1,S593-A594+1),C594),0))&gt;ROUND(G593*1.25,0),NOT(FALSE)),"・上限適用",""))</f>
        <v/>
      </c>
      <c r="Q594" s="35" t="str">
        <f>IF(AND(T593="",A594&lt;=S593),入力!$B$13,"")</f>
        <v/>
      </c>
      <c r="R594" s="32" t="str">
        <f>IF(AND(AND(T593="",A594&lt;=S593),OR(AND(入力!$B$13="有効",A594&gt;1,MOD(A594-1,60)=0),AND(A594=入力!$B$11,A594&gt;1)),入力!$B$14="有効"),ROUND(G593*1.25,0),"")</f>
        <v/>
      </c>
      <c r="S594" s="36">
        <f t="shared" si="168"/>
        <v>420</v>
      </c>
      <c r="T594" s="35" t="str">
        <f t="shared" si="169"/>
        <v/>
      </c>
      <c r="U594" s="3">
        <f t="shared" si="153"/>
        <v>0</v>
      </c>
      <c r="V594" s="3">
        <f t="shared" si="154"/>
        <v>0</v>
      </c>
      <c r="W594" s="3">
        <f t="shared" si="155"/>
        <v>0</v>
      </c>
      <c r="X594" s="3">
        <f t="shared" si="156"/>
        <v>0</v>
      </c>
      <c r="Y594" s="3">
        <f>0</f>
        <v>0</v>
      </c>
      <c r="Z594" s="3">
        <f t="shared" si="157"/>
        <v>0</v>
      </c>
      <c r="AA594">
        <f>ROUND(IF(FALSE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,0)</f>
        <v>0</v>
      </c>
    </row>
    <row r="595" spans="1:27">
      <c r="A595" s="30">
        <f>590</f>
        <v>590</v>
      </c>
      <c r="B595" s="31">
        <f>EDATE(入力!$B$6,A595-1)</f>
        <v>64163</v>
      </c>
      <c r="C595" s="32">
        <f t="shared" si="158"/>
        <v>0</v>
      </c>
      <c r="D595" s="32">
        <f t="shared" si="159"/>
        <v>0</v>
      </c>
      <c r="E595" s="33">
        <f>IF(AND(T594="",A595&lt;=S594),IF(A595&lt;入力!$B$11,入力!$B$10,入力!$B$12),0)</f>
        <v>0</v>
      </c>
      <c r="F595" s="32">
        <f t="shared" si="160"/>
        <v>0</v>
      </c>
      <c r="G595" s="32">
        <f>ROUND(IF(NOT(AND(T594="",A595&lt;=S594)),0,IF(FALSE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),0)</f>
        <v>0</v>
      </c>
      <c r="H595" s="32">
        <f t="shared" si="161"/>
        <v>0</v>
      </c>
      <c r="I595" s="32">
        <f t="shared" si="162"/>
        <v>0</v>
      </c>
      <c r="J595" s="32">
        <f t="shared" si="163"/>
        <v>0</v>
      </c>
      <c r="K595" s="32">
        <f t="shared" si="164"/>
        <v>0</v>
      </c>
      <c r="L595" s="32">
        <f t="shared" si="165"/>
        <v>0</v>
      </c>
      <c r="M595" s="32">
        <f>0</f>
        <v>0</v>
      </c>
      <c r="N595" s="32">
        <f t="shared" si="166"/>
        <v>0</v>
      </c>
      <c r="O595" s="32">
        <f t="shared" si="167"/>
        <v>14115936</v>
      </c>
      <c r="P595" s="34" t="str">
        <f>IF(NOT(AND(T594="",A595&lt;=S594)),"",IF(FALSE,"繰上返済後再計算","")&amp;IF(AND(入力!$B$13="有効",A595&gt;1,MOD(A595-1,60)=0),IF(FALSE,"・","")&amp;"5年見直し","")&amp;IF(AND(A595=入力!$B$11,A595&gt;1),IF(OR(FALSE,AND(入力!$B$13="有効",A595&gt;1,MOD(A595-1,60)=0)),"・","")&amp;"金利変更","")&amp;IF(AND(OR(AND(入力!$B$13="有効",A595&gt;1,MOD(A595-1,60)=0),AND(A595=入力!$B$11,A595&gt;1)),入力!$B$14="有効",IF(E595=0,ROUND(C595/MAX(1,S594-A595+1),0),ROUND(-PMT(E595/12,MAX(1,S594-A595+1),C595),0))&gt;ROUND(G594*1.25,0),NOT(FALSE)),"・上限適用",""))</f>
        <v/>
      </c>
      <c r="Q595" s="35" t="str">
        <f>IF(AND(T594="",A595&lt;=S594),入力!$B$13,"")</f>
        <v/>
      </c>
      <c r="R595" s="32" t="str">
        <f>IF(AND(AND(T594="",A595&lt;=S594),OR(AND(入力!$B$13="有効",A595&gt;1,MOD(A595-1,60)=0),AND(A595=入力!$B$11,A595&gt;1)),入力!$B$14="有効"),ROUND(G594*1.25,0),"")</f>
        <v/>
      </c>
      <c r="S595" s="36">
        <f t="shared" si="168"/>
        <v>420</v>
      </c>
      <c r="T595" s="35" t="str">
        <f t="shared" si="169"/>
        <v/>
      </c>
      <c r="U595" s="3">
        <f t="shared" si="153"/>
        <v>0</v>
      </c>
      <c r="V595" s="3">
        <f t="shared" si="154"/>
        <v>0</v>
      </c>
      <c r="W595" s="3">
        <f t="shared" si="155"/>
        <v>0</v>
      </c>
      <c r="X595" s="3">
        <f t="shared" si="156"/>
        <v>0</v>
      </c>
      <c r="Y595" s="3">
        <f>0</f>
        <v>0</v>
      </c>
      <c r="Z595" s="3">
        <f t="shared" si="157"/>
        <v>0</v>
      </c>
      <c r="AA595">
        <f>ROUND(IF(FALSE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,0)</f>
        <v>0</v>
      </c>
    </row>
    <row r="596" spans="1:27">
      <c r="A596" s="30">
        <f>591</f>
        <v>591</v>
      </c>
      <c r="B596" s="31">
        <f>EDATE(入力!$B$6,A596-1)</f>
        <v>64193</v>
      </c>
      <c r="C596" s="32">
        <f t="shared" si="158"/>
        <v>0</v>
      </c>
      <c r="D596" s="32">
        <f t="shared" si="159"/>
        <v>0</v>
      </c>
      <c r="E596" s="33">
        <f>IF(AND(T595="",A596&lt;=S595),IF(A596&lt;入力!$B$11,入力!$B$10,入力!$B$12),0)</f>
        <v>0</v>
      </c>
      <c r="F596" s="32">
        <f t="shared" si="160"/>
        <v>0</v>
      </c>
      <c r="G596" s="32">
        <f>ROUND(IF(NOT(AND(T595="",A596&lt;=S595)),0,IF(FALSE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),0)</f>
        <v>0</v>
      </c>
      <c r="H596" s="32">
        <f t="shared" si="161"/>
        <v>0</v>
      </c>
      <c r="I596" s="32">
        <f t="shared" si="162"/>
        <v>0</v>
      </c>
      <c r="J596" s="32">
        <f t="shared" si="163"/>
        <v>0</v>
      </c>
      <c r="K596" s="32">
        <f t="shared" si="164"/>
        <v>0</v>
      </c>
      <c r="L596" s="32">
        <f t="shared" si="165"/>
        <v>0</v>
      </c>
      <c r="M596" s="32">
        <f>0</f>
        <v>0</v>
      </c>
      <c r="N596" s="32">
        <f t="shared" si="166"/>
        <v>0</v>
      </c>
      <c r="O596" s="32">
        <f t="shared" si="167"/>
        <v>14115936</v>
      </c>
      <c r="P596" s="34" t="str">
        <f>IF(NOT(AND(T595="",A596&lt;=S595)),"",IF(FALSE,"繰上返済後再計算","")&amp;IF(AND(入力!$B$13="有効",A596&gt;1,MOD(A596-1,60)=0),IF(FALSE,"・","")&amp;"5年見直し","")&amp;IF(AND(A596=入力!$B$11,A596&gt;1),IF(OR(FALSE,AND(入力!$B$13="有効",A596&gt;1,MOD(A596-1,60)=0)),"・","")&amp;"金利変更","")&amp;IF(AND(OR(AND(入力!$B$13="有効",A596&gt;1,MOD(A596-1,60)=0),AND(A596=入力!$B$11,A596&gt;1)),入力!$B$14="有効",IF(E596=0,ROUND(C596/MAX(1,S595-A596+1),0),ROUND(-PMT(E596/12,MAX(1,S595-A596+1),C596),0))&gt;ROUND(G595*1.25,0),NOT(FALSE)),"・上限適用",""))</f>
        <v/>
      </c>
      <c r="Q596" s="35" t="str">
        <f>IF(AND(T595="",A596&lt;=S595),入力!$B$13,"")</f>
        <v/>
      </c>
      <c r="R596" s="32" t="str">
        <f>IF(AND(AND(T595="",A596&lt;=S595),OR(AND(入力!$B$13="有効",A596&gt;1,MOD(A596-1,60)=0),AND(A596=入力!$B$11,A596&gt;1)),入力!$B$14="有効"),ROUND(G595*1.25,0),"")</f>
        <v/>
      </c>
      <c r="S596" s="36">
        <f t="shared" si="168"/>
        <v>420</v>
      </c>
      <c r="T596" s="35" t="str">
        <f t="shared" si="169"/>
        <v/>
      </c>
      <c r="U596" s="3">
        <f t="shared" si="153"/>
        <v>0</v>
      </c>
      <c r="V596" s="3">
        <f t="shared" si="154"/>
        <v>0</v>
      </c>
      <c r="W596" s="3">
        <f t="shared" si="155"/>
        <v>0</v>
      </c>
      <c r="X596" s="3">
        <f t="shared" si="156"/>
        <v>0</v>
      </c>
      <c r="Y596" s="3">
        <f>0</f>
        <v>0</v>
      </c>
      <c r="Z596" s="3">
        <f t="shared" si="157"/>
        <v>0</v>
      </c>
      <c r="AA596">
        <f>ROUND(IF(FALSE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,0)</f>
        <v>0</v>
      </c>
    </row>
    <row r="597" spans="1:27">
      <c r="A597" s="30">
        <f>592</f>
        <v>592</v>
      </c>
      <c r="B597" s="31">
        <f>EDATE(入力!$B$6,A597-1)</f>
        <v>64224</v>
      </c>
      <c r="C597" s="32">
        <f t="shared" si="158"/>
        <v>0</v>
      </c>
      <c r="D597" s="32">
        <f t="shared" si="159"/>
        <v>0</v>
      </c>
      <c r="E597" s="33">
        <f>IF(AND(T596="",A597&lt;=S596),IF(A597&lt;入力!$B$11,入力!$B$10,入力!$B$12),0)</f>
        <v>0</v>
      </c>
      <c r="F597" s="32">
        <f t="shared" si="160"/>
        <v>0</v>
      </c>
      <c r="G597" s="32">
        <f>ROUND(IF(NOT(AND(T596="",A597&lt;=S596)),0,IF(FALSE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),0)</f>
        <v>0</v>
      </c>
      <c r="H597" s="32">
        <f t="shared" si="161"/>
        <v>0</v>
      </c>
      <c r="I597" s="32">
        <f t="shared" si="162"/>
        <v>0</v>
      </c>
      <c r="J597" s="32">
        <f t="shared" si="163"/>
        <v>0</v>
      </c>
      <c r="K597" s="32">
        <f t="shared" si="164"/>
        <v>0</v>
      </c>
      <c r="L597" s="32">
        <f t="shared" si="165"/>
        <v>0</v>
      </c>
      <c r="M597" s="32">
        <f>0</f>
        <v>0</v>
      </c>
      <c r="N597" s="32">
        <f t="shared" si="166"/>
        <v>0</v>
      </c>
      <c r="O597" s="32">
        <f t="shared" si="167"/>
        <v>14115936</v>
      </c>
      <c r="P597" s="34" t="str">
        <f>IF(NOT(AND(T596="",A597&lt;=S596)),"",IF(FALSE,"繰上返済後再計算","")&amp;IF(AND(入力!$B$13="有効",A597&gt;1,MOD(A597-1,60)=0),IF(FALSE,"・","")&amp;"5年見直し","")&amp;IF(AND(A597=入力!$B$11,A597&gt;1),IF(OR(FALSE,AND(入力!$B$13="有効",A597&gt;1,MOD(A597-1,60)=0)),"・","")&amp;"金利変更","")&amp;IF(AND(OR(AND(入力!$B$13="有効",A597&gt;1,MOD(A597-1,60)=0),AND(A597=入力!$B$11,A597&gt;1)),入力!$B$14="有効",IF(E597=0,ROUND(C597/MAX(1,S596-A597+1),0),ROUND(-PMT(E597/12,MAX(1,S596-A597+1),C597),0))&gt;ROUND(G596*1.25,0),NOT(FALSE)),"・上限適用",""))</f>
        <v/>
      </c>
      <c r="Q597" s="35" t="str">
        <f>IF(AND(T596="",A597&lt;=S596),入力!$B$13,"")</f>
        <v/>
      </c>
      <c r="R597" s="32" t="str">
        <f>IF(AND(AND(T596="",A597&lt;=S596),OR(AND(入力!$B$13="有効",A597&gt;1,MOD(A597-1,60)=0),AND(A597=入力!$B$11,A597&gt;1)),入力!$B$14="有効"),ROUND(G596*1.25,0),"")</f>
        <v/>
      </c>
      <c r="S597" s="36">
        <f t="shared" si="168"/>
        <v>420</v>
      </c>
      <c r="T597" s="35" t="str">
        <f t="shared" si="169"/>
        <v/>
      </c>
      <c r="U597" s="3">
        <f t="shared" si="153"/>
        <v>0</v>
      </c>
      <c r="V597" s="3">
        <f t="shared" si="154"/>
        <v>0</v>
      </c>
      <c r="W597" s="3">
        <f t="shared" si="155"/>
        <v>0</v>
      </c>
      <c r="X597" s="3">
        <f t="shared" si="156"/>
        <v>0</v>
      </c>
      <c r="Y597" s="3">
        <f>0</f>
        <v>0</v>
      </c>
      <c r="Z597" s="3">
        <f t="shared" si="157"/>
        <v>0</v>
      </c>
      <c r="AA597">
        <f>ROUND(IF(FALSE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,0)</f>
        <v>0</v>
      </c>
    </row>
    <row r="598" spans="1:27">
      <c r="A598" s="30">
        <f>593</f>
        <v>593</v>
      </c>
      <c r="B598" s="31">
        <f>EDATE(入力!$B$6,A598-1)</f>
        <v>64254</v>
      </c>
      <c r="C598" s="32">
        <f t="shared" si="158"/>
        <v>0</v>
      </c>
      <c r="D598" s="32">
        <f t="shared" si="159"/>
        <v>0</v>
      </c>
      <c r="E598" s="33">
        <f>IF(AND(T597="",A598&lt;=S597),IF(A598&lt;入力!$B$11,入力!$B$10,入力!$B$12),0)</f>
        <v>0</v>
      </c>
      <c r="F598" s="32">
        <f t="shared" si="160"/>
        <v>0</v>
      </c>
      <c r="G598" s="32">
        <f>ROUND(IF(NOT(AND(T597="",A598&lt;=S597)),0,IF(FALSE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),0)</f>
        <v>0</v>
      </c>
      <c r="H598" s="32">
        <f t="shared" si="161"/>
        <v>0</v>
      </c>
      <c r="I598" s="32">
        <f t="shared" si="162"/>
        <v>0</v>
      </c>
      <c r="J598" s="32">
        <f t="shared" si="163"/>
        <v>0</v>
      </c>
      <c r="K598" s="32">
        <f t="shared" si="164"/>
        <v>0</v>
      </c>
      <c r="L598" s="32">
        <f t="shared" si="165"/>
        <v>0</v>
      </c>
      <c r="M598" s="32">
        <f>0</f>
        <v>0</v>
      </c>
      <c r="N598" s="32">
        <f t="shared" si="166"/>
        <v>0</v>
      </c>
      <c r="O598" s="32">
        <f t="shared" si="167"/>
        <v>14115936</v>
      </c>
      <c r="P598" s="34" t="str">
        <f>IF(NOT(AND(T597="",A598&lt;=S597)),"",IF(FALSE,"繰上返済後再計算","")&amp;IF(AND(入力!$B$13="有効",A598&gt;1,MOD(A598-1,60)=0),IF(FALSE,"・","")&amp;"5年見直し","")&amp;IF(AND(A598=入力!$B$11,A598&gt;1),IF(OR(FALSE,AND(入力!$B$13="有効",A598&gt;1,MOD(A598-1,60)=0)),"・","")&amp;"金利変更","")&amp;IF(AND(OR(AND(入力!$B$13="有効",A598&gt;1,MOD(A598-1,60)=0),AND(A598=入力!$B$11,A598&gt;1)),入力!$B$14="有効",IF(E598=0,ROUND(C598/MAX(1,S597-A598+1),0),ROUND(-PMT(E598/12,MAX(1,S597-A598+1),C598),0))&gt;ROUND(G597*1.25,0),NOT(FALSE)),"・上限適用",""))</f>
        <v/>
      </c>
      <c r="Q598" s="35" t="str">
        <f>IF(AND(T597="",A598&lt;=S597),入力!$B$13,"")</f>
        <v/>
      </c>
      <c r="R598" s="32" t="str">
        <f>IF(AND(AND(T597="",A598&lt;=S597),OR(AND(入力!$B$13="有効",A598&gt;1,MOD(A598-1,60)=0),AND(A598=入力!$B$11,A598&gt;1)),入力!$B$14="有効"),ROUND(G597*1.25,0),"")</f>
        <v/>
      </c>
      <c r="S598" s="36">
        <f t="shared" si="168"/>
        <v>420</v>
      </c>
      <c r="T598" s="35" t="str">
        <f t="shared" si="169"/>
        <v/>
      </c>
      <c r="U598" s="3">
        <f t="shared" si="153"/>
        <v>0</v>
      </c>
      <c r="V598" s="3">
        <f t="shared" si="154"/>
        <v>0</v>
      </c>
      <c r="W598" s="3">
        <f t="shared" si="155"/>
        <v>0</v>
      </c>
      <c r="X598" s="3">
        <f t="shared" si="156"/>
        <v>0</v>
      </c>
      <c r="Y598" s="3">
        <f>0</f>
        <v>0</v>
      </c>
      <c r="Z598" s="3">
        <f t="shared" si="157"/>
        <v>0</v>
      </c>
      <c r="AA598">
        <f>ROUND(IF(FALSE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,0)</f>
        <v>0</v>
      </c>
    </row>
    <row r="599" spans="1:27">
      <c r="A599" s="30">
        <f>594</f>
        <v>594</v>
      </c>
      <c r="B599" s="31">
        <f>EDATE(入力!$B$6,A599-1)</f>
        <v>64285</v>
      </c>
      <c r="C599" s="32">
        <f t="shared" si="158"/>
        <v>0</v>
      </c>
      <c r="D599" s="32">
        <f t="shared" si="159"/>
        <v>0</v>
      </c>
      <c r="E599" s="33">
        <f>IF(AND(T598="",A599&lt;=S598),IF(A599&lt;入力!$B$11,入力!$B$10,入力!$B$12),0)</f>
        <v>0</v>
      </c>
      <c r="F599" s="32">
        <f t="shared" si="160"/>
        <v>0</v>
      </c>
      <c r="G599" s="32">
        <f>ROUND(IF(NOT(AND(T598="",A599&lt;=S598)),0,IF(FALSE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),0)</f>
        <v>0</v>
      </c>
      <c r="H599" s="32">
        <f t="shared" si="161"/>
        <v>0</v>
      </c>
      <c r="I599" s="32">
        <f t="shared" si="162"/>
        <v>0</v>
      </c>
      <c r="J599" s="32">
        <f t="shared" si="163"/>
        <v>0</v>
      </c>
      <c r="K599" s="32">
        <f t="shared" si="164"/>
        <v>0</v>
      </c>
      <c r="L599" s="32">
        <f t="shared" si="165"/>
        <v>0</v>
      </c>
      <c r="M599" s="32">
        <f>0</f>
        <v>0</v>
      </c>
      <c r="N599" s="32">
        <f t="shared" si="166"/>
        <v>0</v>
      </c>
      <c r="O599" s="32">
        <f t="shared" si="167"/>
        <v>14115936</v>
      </c>
      <c r="P599" s="34" t="str">
        <f>IF(NOT(AND(T598="",A599&lt;=S598)),"",IF(FALSE,"繰上返済後再計算","")&amp;IF(AND(入力!$B$13="有効",A599&gt;1,MOD(A599-1,60)=0),IF(FALSE,"・","")&amp;"5年見直し","")&amp;IF(AND(A599=入力!$B$11,A599&gt;1),IF(OR(FALSE,AND(入力!$B$13="有効",A599&gt;1,MOD(A599-1,60)=0)),"・","")&amp;"金利変更","")&amp;IF(AND(OR(AND(入力!$B$13="有効",A599&gt;1,MOD(A599-1,60)=0),AND(A599=入力!$B$11,A599&gt;1)),入力!$B$14="有効",IF(E599=0,ROUND(C599/MAX(1,S598-A599+1),0),ROUND(-PMT(E599/12,MAX(1,S598-A599+1),C599),0))&gt;ROUND(G598*1.25,0),NOT(FALSE)),"・上限適用",""))</f>
        <v/>
      </c>
      <c r="Q599" s="35" t="str">
        <f>IF(AND(T598="",A599&lt;=S598),入力!$B$13,"")</f>
        <v/>
      </c>
      <c r="R599" s="32" t="str">
        <f>IF(AND(AND(T598="",A599&lt;=S598),OR(AND(入力!$B$13="有効",A599&gt;1,MOD(A599-1,60)=0),AND(A599=入力!$B$11,A599&gt;1)),入力!$B$14="有効"),ROUND(G598*1.25,0),"")</f>
        <v/>
      </c>
      <c r="S599" s="36">
        <f t="shared" si="168"/>
        <v>420</v>
      </c>
      <c r="T599" s="35" t="str">
        <f t="shared" si="169"/>
        <v/>
      </c>
      <c r="U599" s="3">
        <f t="shared" si="153"/>
        <v>0</v>
      </c>
      <c r="V599" s="3">
        <f t="shared" si="154"/>
        <v>0</v>
      </c>
      <c r="W599" s="3">
        <f t="shared" si="155"/>
        <v>0</v>
      </c>
      <c r="X599" s="3">
        <f t="shared" si="156"/>
        <v>0</v>
      </c>
      <c r="Y599" s="3">
        <f>0</f>
        <v>0</v>
      </c>
      <c r="Z599" s="3">
        <f t="shared" si="157"/>
        <v>0</v>
      </c>
      <c r="AA599">
        <f>ROUND(IF(FALSE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,0)</f>
        <v>0</v>
      </c>
    </row>
    <row r="600" spans="1:27">
      <c r="A600" s="30">
        <f>595</f>
        <v>595</v>
      </c>
      <c r="B600" s="31">
        <f>EDATE(入力!$B$6,A600-1)</f>
        <v>64316</v>
      </c>
      <c r="C600" s="32">
        <f t="shared" si="158"/>
        <v>0</v>
      </c>
      <c r="D600" s="32">
        <f t="shared" si="159"/>
        <v>0</v>
      </c>
      <c r="E600" s="33">
        <f>IF(AND(T599="",A600&lt;=S599),IF(A600&lt;入力!$B$11,入力!$B$10,入力!$B$12),0)</f>
        <v>0</v>
      </c>
      <c r="F600" s="32">
        <f t="shared" si="160"/>
        <v>0</v>
      </c>
      <c r="G600" s="32">
        <f>ROUND(IF(NOT(AND(T599="",A600&lt;=S599)),0,IF(FALSE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),0)</f>
        <v>0</v>
      </c>
      <c r="H600" s="32">
        <f t="shared" si="161"/>
        <v>0</v>
      </c>
      <c r="I600" s="32">
        <f t="shared" si="162"/>
        <v>0</v>
      </c>
      <c r="J600" s="32">
        <f t="shared" si="163"/>
        <v>0</v>
      </c>
      <c r="K600" s="32">
        <f t="shared" si="164"/>
        <v>0</v>
      </c>
      <c r="L600" s="32">
        <f t="shared" si="165"/>
        <v>0</v>
      </c>
      <c r="M600" s="32">
        <f>0</f>
        <v>0</v>
      </c>
      <c r="N600" s="32">
        <f t="shared" si="166"/>
        <v>0</v>
      </c>
      <c r="O600" s="32">
        <f t="shared" si="167"/>
        <v>14115936</v>
      </c>
      <c r="P600" s="34" t="str">
        <f>IF(NOT(AND(T599="",A600&lt;=S599)),"",IF(FALSE,"繰上返済後再計算","")&amp;IF(AND(入力!$B$13="有効",A600&gt;1,MOD(A600-1,60)=0),IF(FALSE,"・","")&amp;"5年見直し","")&amp;IF(AND(A600=入力!$B$11,A600&gt;1),IF(OR(FALSE,AND(入力!$B$13="有効",A600&gt;1,MOD(A600-1,60)=0)),"・","")&amp;"金利変更","")&amp;IF(AND(OR(AND(入力!$B$13="有効",A600&gt;1,MOD(A600-1,60)=0),AND(A600=入力!$B$11,A600&gt;1)),入力!$B$14="有効",IF(E600=0,ROUND(C600/MAX(1,S599-A600+1),0),ROUND(-PMT(E600/12,MAX(1,S599-A600+1),C600),0))&gt;ROUND(G599*1.25,0),NOT(FALSE)),"・上限適用",""))</f>
        <v/>
      </c>
      <c r="Q600" s="35" t="str">
        <f>IF(AND(T599="",A600&lt;=S599),入力!$B$13,"")</f>
        <v/>
      </c>
      <c r="R600" s="32" t="str">
        <f>IF(AND(AND(T599="",A600&lt;=S599),OR(AND(入力!$B$13="有効",A600&gt;1,MOD(A600-1,60)=0),AND(A600=入力!$B$11,A600&gt;1)),入力!$B$14="有効"),ROUND(G599*1.25,0),"")</f>
        <v/>
      </c>
      <c r="S600" s="36">
        <f t="shared" si="168"/>
        <v>420</v>
      </c>
      <c r="T600" s="35" t="str">
        <f t="shared" si="169"/>
        <v/>
      </c>
      <c r="U600" s="3">
        <f t="shared" si="153"/>
        <v>0</v>
      </c>
      <c r="V600" s="3">
        <f t="shared" si="154"/>
        <v>0</v>
      </c>
      <c r="W600" s="3">
        <f t="shared" si="155"/>
        <v>0</v>
      </c>
      <c r="X600" s="3">
        <f t="shared" si="156"/>
        <v>0</v>
      </c>
      <c r="Y600" s="3">
        <f>0</f>
        <v>0</v>
      </c>
      <c r="Z600" s="3">
        <f t="shared" si="157"/>
        <v>0</v>
      </c>
      <c r="AA600">
        <f>ROUND(IF(FALSE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,0)</f>
        <v>0</v>
      </c>
    </row>
    <row r="601" spans="1:27">
      <c r="A601" s="30">
        <f>596</f>
        <v>596</v>
      </c>
      <c r="B601" s="31">
        <f>EDATE(入力!$B$6,A601-1)</f>
        <v>64345</v>
      </c>
      <c r="C601" s="32">
        <f t="shared" si="158"/>
        <v>0</v>
      </c>
      <c r="D601" s="32">
        <f t="shared" si="159"/>
        <v>0</v>
      </c>
      <c r="E601" s="33">
        <f>IF(AND(T600="",A601&lt;=S600),IF(A601&lt;入力!$B$11,入力!$B$10,入力!$B$12),0)</f>
        <v>0</v>
      </c>
      <c r="F601" s="32">
        <f t="shared" si="160"/>
        <v>0</v>
      </c>
      <c r="G601" s="32">
        <f>ROUND(IF(NOT(AND(T600="",A601&lt;=S600)),0,IF(FALSE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),0)</f>
        <v>0</v>
      </c>
      <c r="H601" s="32">
        <f t="shared" si="161"/>
        <v>0</v>
      </c>
      <c r="I601" s="32">
        <f t="shared" si="162"/>
        <v>0</v>
      </c>
      <c r="J601" s="32">
        <f t="shared" si="163"/>
        <v>0</v>
      </c>
      <c r="K601" s="32">
        <f t="shared" si="164"/>
        <v>0</v>
      </c>
      <c r="L601" s="32">
        <f t="shared" si="165"/>
        <v>0</v>
      </c>
      <c r="M601" s="32">
        <f>0</f>
        <v>0</v>
      </c>
      <c r="N601" s="32">
        <f t="shared" si="166"/>
        <v>0</v>
      </c>
      <c r="O601" s="32">
        <f t="shared" si="167"/>
        <v>14115936</v>
      </c>
      <c r="P601" s="34" t="str">
        <f>IF(NOT(AND(T600="",A601&lt;=S600)),"",IF(FALSE,"繰上返済後再計算","")&amp;IF(AND(入力!$B$13="有効",A601&gt;1,MOD(A601-1,60)=0),IF(FALSE,"・","")&amp;"5年見直し","")&amp;IF(AND(A601=入力!$B$11,A601&gt;1),IF(OR(FALSE,AND(入力!$B$13="有効",A601&gt;1,MOD(A601-1,60)=0)),"・","")&amp;"金利変更","")&amp;IF(AND(OR(AND(入力!$B$13="有効",A601&gt;1,MOD(A601-1,60)=0),AND(A601=入力!$B$11,A601&gt;1)),入力!$B$14="有効",IF(E601=0,ROUND(C601/MAX(1,S600-A601+1),0),ROUND(-PMT(E601/12,MAX(1,S600-A601+1),C601),0))&gt;ROUND(G600*1.25,0),NOT(FALSE)),"・上限適用",""))</f>
        <v/>
      </c>
      <c r="Q601" s="35" t="str">
        <f>IF(AND(T600="",A601&lt;=S600),入力!$B$13,"")</f>
        <v/>
      </c>
      <c r="R601" s="32" t="str">
        <f>IF(AND(AND(T600="",A601&lt;=S600),OR(AND(入力!$B$13="有効",A601&gt;1,MOD(A601-1,60)=0),AND(A601=入力!$B$11,A601&gt;1)),入力!$B$14="有効"),ROUND(G600*1.25,0),"")</f>
        <v/>
      </c>
      <c r="S601" s="36">
        <f t="shared" si="168"/>
        <v>420</v>
      </c>
      <c r="T601" s="35" t="str">
        <f t="shared" si="169"/>
        <v/>
      </c>
      <c r="U601" s="3">
        <f t="shared" si="153"/>
        <v>0</v>
      </c>
      <c r="V601" s="3">
        <f t="shared" si="154"/>
        <v>0</v>
      </c>
      <c r="W601" s="3">
        <f t="shared" si="155"/>
        <v>0</v>
      </c>
      <c r="X601" s="3">
        <f t="shared" si="156"/>
        <v>0</v>
      </c>
      <c r="Y601" s="3">
        <f>0</f>
        <v>0</v>
      </c>
      <c r="Z601" s="3">
        <f t="shared" si="157"/>
        <v>0</v>
      </c>
      <c r="AA601">
        <f>ROUND(IF(FALSE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,0)</f>
        <v>0</v>
      </c>
    </row>
    <row r="602" spans="1:27">
      <c r="A602" s="30">
        <f>597</f>
        <v>597</v>
      </c>
      <c r="B602" s="31">
        <f>EDATE(入力!$B$6,A602-1)</f>
        <v>64376</v>
      </c>
      <c r="C602" s="32">
        <f t="shared" si="158"/>
        <v>0</v>
      </c>
      <c r="D602" s="32">
        <f t="shared" si="159"/>
        <v>0</v>
      </c>
      <c r="E602" s="33">
        <f>IF(AND(T601="",A602&lt;=S601),IF(A602&lt;入力!$B$11,入力!$B$10,入力!$B$12),0)</f>
        <v>0</v>
      </c>
      <c r="F602" s="32">
        <f t="shared" si="160"/>
        <v>0</v>
      </c>
      <c r="G602" s="32">
        <f>ROUND(IF(NOT(AND(T601="",A602&lt;=S601)),0,IF(FALSE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),0)</f>
        <v>0</v>
      </c>
      <c r="H602" s="32">
        <f t="shared" si="161"/>
        <v>0</v>
      </c>
      <c r="I602" s="32">
        <f t="shared" si="162"/>
        <v>0</v>
      </c>
      <c r="J602" s="32">
        <f t="shared" si="163"/>
        <v>0</v>
      </c>
      <c r="K602" s="32">
        <f t="shared" si="164"/>
        <v>0</v>
      </c>
      <c r="L602" s="32">
        <f t="shared" si="165"/>
        <v>0</v>
      </c>
      <c r="M602" s="32">
        <f>0</f>
        <v>0</v>
      </c>
      <c r="N602" s="32">
        <f t="shared" si="166"/>
        <v>0</v>
      </c>
      <c r="O602" s="32">
        <f t="shared" si="167"/>
        <v>14115936</v>
      </c>
      <c r="P602" s="34" t="str">
        <f>IF(NOT(AND(T601="",A602&lt;=S601)),"",IF(FALSE,"繰上返済後再計算","")&amp;IF(AND(入力!$B$13="有効",A602&gt;1,MOD(A602-1,60)=0),IF(FALSE,"・","")&amp;"5年見直し","")&amp;IF(AND(A602=入力!$B$11,A602&gt;1),IF(OR(FALSE,AND(入力!$B$13="有効",A602&gt;1,MOD(A602-1,60)=0)),"・","")&amp;"金利変更","")&amp;IF(AND(OR(AND(入力!$B$13="有効",A602&gt;1,MOD(A602-1,60)=0),AND(A602=入力!$B$11,A602&gt;1)),入力!$B$14="有効",IF(E602=0,ROUND(C602/MAX(1,S601-A602+1),0),ROUND(-PMT(E602/12,MAX(1,S601-A602+1),C602),0))&gt;ROUND(G601*1.25,0),NOT(FALSE)),"・上限適用",""))</f>
        <v/>
      </c>
      <c r="Q602" s="35" t="str">
        <f>IF(AND(T601="",A602&lt;=S601),入力!$B$13,"")</f>
        <v/>
      </c>
      <c r="R602" s="32" t="str">
        <f>IF(AND(AND(T601="",A602&lt;=S601),OR(AND(入力!$B$13="有効",A602&gt;1,MOD(A602-1,60)=0),AND(A602=入力!$B$11,A602&gt;1)),入力!$B$14="有効"),ROUND(G601*1.25,0),"")</f>
        <v/>
      </c>
      <c r="S602" s="36">
        <f t="shared" si="168"/>
        <v>420</v>
      </c>
      <c r="T602" s="35" t="str">
        <f t="shared" si="169"/>
        <v/>
      </c>
      <c r="U602" s="3">
        <f t="shared" si="153"/>
        <v>0</v>
      </c>
      <c r="V602" s="3">
        <f t="shared" si="154"/>
        <v>0</v>
      </c>
      <c r="W602" s="3">
        <f t="shared" si="155"/>
        <v>0</v>
      </c>
      <c r="X602" s="3">
        <f t="shared" si="156"/>
        <v>0</v>
      </c>
      <c r="Y602" s="3">
        <f>0</f>
        <v>0</v>
      </c>
      <c r="Z602" s="3">
        <f t="shared" si="157"/>
        <v>0</v>
      </c>
      <c r="AA602">
        <f>ROUND(IF(FALSE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,0)</f>
        <v>0</v>
      </c>
    </row>
    <row r="603" spans="1:27">
      <c r="A603" s="30">
        <f>598</f>
        <v>598</v>
      </c>
      <c r="B603" s="31">
        <f>EDATE(入力!$B$6,A603-1)</f>
        <v>64406</v>
      </c>
      <c r="C603" s="32">
        <f t="shared" si="158"/>
        <v>0</v>
      </c>
      <c r="D603" s="32">
        <f t="shared" si="159"/>
        <v>0</v>
      </c>
      <c r="E603" s="33">
        <f>IF(AND(T602="",A603&lt;=S602),IF(A603&lt;入力!$B$11,入力!$B$10,入力!$B$12),0)</f>
        <v>0</v>
      </c>
      <c r="F603" s="32">
        <f t="shared" si="160"/>
        <v>0</v>
      </c>
      <c r="G603" s="32">
        <f>ROUND(IF(NOT(AND(T602="",A603&lt;=S602)),0,IF(FALSE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),0)</f>
        <v>0</v>
      </c>
      <c r="H603" s="32">
        <f t="shared" si="161"/>
        <v>0</v>
      </c>
      <c r="I603" s="32">
        <f t="shared" si="162"/>
        <v>0</v>
      </c>
      <c r="J603" s="32">
        <f t="shared" si="163"/>
        <v>0</v>
      </c>
      <c r="K603" s="32">
        <f t="shared" si="164"/>
        <v>0</v>
      </c>
      <c r="L603" s="32">
        <f t="shared" si="165"/>
        <v>0</v>
      </c>
      <c r="M603" s="32">
        <f>0</f>
        <v>0</v>
      </c>
      <c r="N603" s="32">
        <f t="shared" si="166"/>
        <v>0</v>
      </c>
      <c r="O603" s="32">
        <f t="shared" si="167"/>
        <v>14115936</v>
      </c>
      <c r="P603" s="34" t="str">
        <f>IF(NOT(AND(T602="",A603&lt;=S602)),"",IF(FALSE,"繰上返済後再計算","")&amp;IF(AND(入力!$B$13="有効",A603&gt;1,MOD(A603-1,60)=0),IF(FALSE,"・","")&amp;"5年見直し","")&amp;IF(AND(A603=入力!$B$11,A603&gt;1),IF(OR(FALSE,AND(入力!$B$13="有効",A603&gt;1,MOD(A603-1,60)=0)),"・","")&amp;"金利変更","")&amp;IF(AND(OR(AND(入力!$B$13="有効",A603&gt;1,MOD(A603-1,60)=0),AND(A603=入力!$B$11,A603&gt;1)),入力!$B$14="有効",IF(E603=0,ROUND(C603/MAX(1,S602-A603+1),0),ROUND(-PMT(E603/12,MAX(1,S602-A603+1),C603),0))&gt;ROUND(G602*1.25,0),NOT(FALSE)),"・上限適用",""))</f>
        <v/>
      </c>
      <c r="Q603" s="35" t="str">
        <f>IF(AND(T602="",A603&lt;=S602),入力!$B$13,"")</f>
        <v/>
      </c>
      <c r="R603" s="32" t="str">
        <f>IF(AND(AND(T602="",A603&lt;=S602),OR(AND(入力!$B$13="有効",A603&gt;1,MOD(A603-1,60)=0),AND(A603=入力!$B$11,A603&gt;1)),入力!$B$14="有効"),ROUND(G602*1.25,0),"")</f>
        <v/>
      </c>
      <c r="S603" s="36">
        <f t="shared" si="168"/>
        <v>420</v>
      </c>
      <c r="T603" s="35" t="str">
        <f t="shared" si="169"/>
        <v/>
      </c>
      <c r="U603" s="3">
        <f t="shared" si="153"/>
        <v>0</v>
      </c>
      <c r="V603" s="3">
        <f t="shared" si="154"/>
        <v>0</v>
      </c>
      <c r="W603" s="3">
        <f t="shared" si="155"/>
        <v>0</v>
      </c>
      <c r="X603" s="3">
        <f t="shared" si="156"/>
        <v>0</v>
      </c>
      <c r="Y603" s="3">
        <f>0</f>
        <v>0</v>
      </c>
      <c r="Z603" s="3">
        <f t="shared" si="157"/>
        <v>0</v>
      </c>
      <c r="AA603">
        <f>ROUND(IF(FALSE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,0)</f>
        <v>0</v>
      </c>
    </row>
    <row r="604" spans="1:27">
      <c r="A604" s="30">
        <f>599</f>
        <v>599</v>
      </c>
      <c r="B604" s="31">
        <f>EDATE(入力!$B$6,A604-1)</f>
        <v>64437</v>
      </c>
      <c r="C604" s="32">
        <f t="shared" si="158"/>
        <v>0</v>
      </c>
      <c r="D604" s="32">
        <f t="shared" si="159"/>
        <v>0</v>
      </c>
      <c r="E604" s="33">
        <f>IF(AND(T603="",A604&lt;=S603),IF(A604&lt;入力!$B$11,入力!$B$10,入力!$B$12),0)</f>
        <v>0</v>
      </c>
      <c r="F604" s="32">
        <f t="shared" si="160"/>
        <v>0</v>
      </c>
      <c r="G604" s="32">
        <f>ROUND(IF(NOT(AND(T603="",A604&lt;=S603)),0,IF(FALSE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),0)</f>
        <v>0</v>
      </c>
      <c r="H604" s="32">
        <f t="shared" si="161"/>
        <v>0</v>
      </c>
      <c r="I604" s="32">
        <f t="shared" si="162"/>
        <v>0</v>
      </c>
      <c r="J604" s="32">
        <f t="shared" si="163"/>
        <v>0</v>
      </c>
      <c r="K604" s="32">
        <f t="shared" si="164"/>
        <v>0</v>
      </c>
      <c r="L604" s="32">
        <f t="shared" si="165"/>
        <v>0</v>
      </c>
      <c r="M604" s="32">
        <f>0</f>
        <v>0</v>
      </c>
      <c r="N604" s="32">
        <f t="shared" si="166"/>
        <v>0</v>
      </c>
      <c r="O604" s="32">
        <f t="shared" si="167"/>
        <v>14115936</v>
      </c>
      <c r="P604" s="34" t="str">
        <f>IF(NOT(AND(T603="",A604&lt;=S603)),"",IF(FALSE,"繰上返済後再計算","")&amp;IF(AND(入力!$B$13="有効",A604&gt;1,MOD(A604-1,60)=0),IF(FALSE,"・","")&amp;"5年見直し","")&amp;IF(AND(A604=入力!$B$11,A604&gt;1),IF(OR(FALSE,AND(入力!$B$13="有効",A604&gt;1,MOD(A604-1,60)=0)),"・","")&amp;"金利変更","")&amp;IF(AND(OR(AND(入力!$B$13="有効",A604&gt;1,MOD(A604-1,60)=0),AND(A604=入力!$B$11,A604&gt;1)),入力!$B$14="有効",IF(E604=0,ROUND(C604/MAX(1,S603-A604+1),0),ROUND(-PMT(E604/12,MAX(1,S603-A604+1),C604),0))&gt;ROUND(G603*1.25,0),NOT(FALSE)),"・上限適用",""))</f>
        <v/>
      </c>
      <c r="Q604" s="35" t="str">
        <f>IF(AND(T603="",A604&lt;=S603),入力!$B$13,"")</f>
        <v/>
      </c>
      <c r="R604" s="32" t="str">
        <f>IF(AND(AND(T603="",A604&lt;=S603),OR(AND(入力!$B$13="有効",A604&gt;1,MOD(A604-1,60)=0),AND(A604=入力!$B$11,A604&gt;1)),入力!$B$14="有効"),ROUND(G603*1.25,0),"")</f>
        <v/>
      </c>
      <c r="S604" s="36">
        <f t="shared" si="168"/>
        <v>420</v>
      </c>
      <c r="T604" s="35" t="str">
        <f t="shared" si="169"/>
        <v/>
      </c>
      <c r="U604" s="3">
        <f t="shared" si="153"/>
        <v>0</v>
      </c>
      <c r="V604" s="3">
        <f t="shared" si="154"/>
        <v>0</v>
      </c>
      <c r="W604" s="3">
        <f t="shared" si="155"/>
        <v>0</v>
      </c>
      <c r="X604" s="3">
        <f t="shared" si="156"/>
        <v>0</v>
      </c>
      <c r="Y604" s="3">
        <f>0</f>
        <v>0</v>
      </c>
      <c r="Z604" s="3">
        <f t="shared" si="157"/>
        <v>0</v>
      </c>
      <c r="AA604">
        <f>ROUND(IF(FALSE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,0)</f>
        <v>0</v>
      </c>
    </row>
    <row r="605" spans="1:27">
      <c r="A605" s="37">
        <f>600</f>
        <v>600</v>
      </c>
      <c r="B605" s="38">
        <f>EDATE(入力!$B$6,A605-1)</f>
        <v>64467</v>
      </c>
      <c r="C605" s="39">
        <f t="shared" si="158"/>
        <v>0</v>
      </c>
      <c r="D605" s="39">
        <f t="shared" si="159"/>
        <v>0</v>
      </c>
      <c r="E605" s="40">
        <f>IF(AND(T604="",A605&lt;=S604),IF(A605&lt;入力!$B$11,入力!$B$10,入力!$B$12),0)</f>
        <v>0</v>
      </c>
      <c r="F605" s="39">
        <f t="shared" si="160"/>
        <v>0</v>
      </c>
      <c r="G605" s="39">
        <f>ROUND(IF(NOT(AND(T604="",A605&lt;=S604)),0,IF(FALSE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),0)</f>
        <v>0</v>
      </c>
      <c r="H605" s="39">
        <f t="shared" si="161"/>
        <v>0</v>
      </c>
      <c r="I605" s="39">
        <f t="shared" si="162"/>
        <v>0</v>
      </c>
      <c r="J605" s="39">
        <f t="shared" si="163"/>
        <v>0</v>
      </c>
      <c r="K605" s="39">
        <f t="shared" si="164"/>
        <v>0</v>
      </c>
      <c r="L605" s="39">
        <f t="shared" si="165"/>
        <v>0</v>
      </c>
      <c r="M605" s="39">
        <f>0</f>
        <v>0</v>
      </c>
      <c r="N605" s="39">
        <f t="shared" si="166"/>
        <v>0</v>
      </c>
      <c r="O605" s="39">
        <f t="shared" si="167"/>
        <v>14115936</v>
      </c>
      <c r="P605" s="41" t="str">
        <f>IF(NOT(AND(T604="",A605&lt;=S604)),"",IF(FALSE,"繰上返済後再計算","")&amp;IF(AND(入力!$B$13="有効",A605&gt;1,MOD(A605-1,60)=0),IF(FALSE,"・","")&amp;"5年見直し","")&amp;IF(AND(A605=入力!$B$11,A605&gt;1),IF(OR(FALSE,AND(入力!$B$13="有効",A605&gt;1,MOD(A605-1,60)=0)),"・","")&amp;"金利変更","")&amp;IF(AND(OR(AND(入力!$B$13="有効",A605&gt;1,MOD(A605-1,60)=0),AND(A605=入力!$B$11,A605&gt;1)),入力!$B$14="有効",IF(E605=0,ROUND(C605/MAX(1,S604-A605+1),0),ROUND(-PMT(E605/12,MAX(1,S604-A605+1),C605),0))&gt;ROUND(G604*1.25,0),NOT(FALSE)),"・上限適用",""))</f>
        <v/>
      </c>
      <c r="Q605" s="42" t="str">
        <f>IF(AND(T604="",A605&lt;=S604),入力!$B$13,"")</f>
        <v/>
      </c>
      <c r="R605" s="39" t="str">
        <f>IF(AND(AND(T604="",A605&lt;=S604),OR(AND(入力!$B$13="有効",A605&gt;1,MOD(A605-1,60)=0),AND(A605=入力!$B$11,A605&gt;1)),入力!$B$14="有効"),ROUND(G604*1.25,0),"")</f>
        <v/>
      </c>
      <c r="S605" s="43">
        <f t="shared" si="168"/>
        <v>420</v>
      </c>
      <c r="T605" s="42" t="str">
        <f t="shared" si="169"/>
        <v/>
      </c>
      <c r="U605" s="3">
        <f t="shared" si="153"/>
        <v>0</v>
      </c>
      <c r="V605" s="3">
        <f t="shared" si="154"/>
        <v>0</v>
      </c>
      <c r="W605" s="3">
        <f t="shared" si="155"/>
        <v>0</v>
      </c>
      <c r="X605" s="3">
        <f t="shared" si="156"/>
        <v>0</v>
      </c>
      <c r="Y605" s="3">
        <f>0</f>
        <v>0</v>
      </c>
      <c r="Z605" s="3">
        <f t="shared" si="157"/>
        <v>0</v>
      </c>
      <c r="AA605">
        <f>ROUND(IF(FALSE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,0)</f>
        <v>0</v>
      </c>
    </row>
  </sheetData>
  <mergeCells count="2">
    <mergeCell ref="A1:T1"/>
    <mergeCell ref="A2:T3"/>
  </mergeCells>
  <phoneticPr fontId="1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605"/>
  <sheetViews>
    <sheetView showGridLines="0" workbookViewId="0"/>
  </sheetViews>
  <sheetFormatPr baseColWidth="10" defaultColWidth="8.83203125" defaultRowHeight="14"/>
  <cols>
    <col min="1" max="1" width="7" customWidth="1"/>
    <col min="2" max="2" width="13" customWidth="1"/>
    <col min="3" max="6" width="15" customWidth="1"/>
    <col min="7" max="8" width="18" customWidth="1"/>
    <col min="9" max="15" width="15" customWidth="1"/>
    <col min="16" max="16" width="30" customWidth="1"/>
    <col min="17" max="17" width="12" customWidth="1"/>
    <col min="18" max="18" width="15" customWidth="1"/>
    <col min="19" max="19" width="13" customWidth="1"/>
    <col min="20" max="20" width="14" customWidth="1"/>
    <col min="21" max="27" width="2" customWidth="1"/>
  </cols>
  <sheetData>
    <row r="1" spans="1:27" ht="30" customHeight="1">
      <c r="A1" s="47" t="s">
        <v>82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2"/>
      <c r="V1" s="22"/>
      <c r="W1" s="22"/>
      <c r="X1" s="22"/>
      <c r="Y1" s="22"/>
      <c r="Z1" s="22"/>
      <c r="AA1" s="2"/>
    </row>
    <row r="2" spans="1:27" ht="24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3"/>
      <c r="V2" s="3"/>
      <c r="W2" s="3"/>
      <c r="X2" s="3"/>
      <c r="Y2" s="3"/>
      <c r="Z2" s="3"/>
    </row>
    <row r="3" spans="1:27" ht="24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3"/>
      <c r="V3" s="3"/>
      <c r="W3" s="3"/>
      <c r="X3" s="3"/>
      <c r="Y3" s="3"/>
      <c r="Z3" s="3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42" customHeight="1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25</v>
      </c>
      <c r="N5" s="1" t="s">
        <v>69</v>
      </c>
      <c r="O5" s="1" t="s">
        <v>70</v>
      </c>
      <c r="P5" s="1" t="s">
        <v>71</v>
      </c>
      <c r="Q5" s="1" t="s">
        <v>20</v>
      </c>
      <c r="R5" s="1" t="s">
        <v>72</v>
      </c>
      <c r="S5" s="1" t="s">
        <v>73</v>
      </c>
      <c r="T5" s="1" t="s">
        <v>74</v>
      </c>
      <c r="U5" s="1" t="s">
        <v>75</v>
      </c>
      <c r="V5" s="1" t="s">
        <v>76</v>
      </c>
      <c r="W5" s="1" t="s">
        <v>77</v>
      </c>
      <c r="X5" s="1" t="s">
        <v>78</v>
      </c>
      <c r="Y5" s="1" t="s">
        <v>79</v>
      </c>
      <c r="Z5" s="1" t="s">
        <v>80</v>
      </c>
      <c r="AA5" s="1" t="s">
        <v>81</v>
      </c>
    </row>
    <row r="6" spans="1:27">
      <c r="A6" s="23">
        <f>1</f>
        <v>1</v>
      </c>
      <c r="B6" s="24">
        <f>EDATE(入力!$B$6,A6-1)</f>
        <v>46235</v>
      </c>
      <c r="C6" s="25">
        <f>入力!$B$7</f>
        <v>35000000</v>
      </c>
      <c r="D6" s="25">
        <f>0</f>
        <v>0</v>
      </c>
      <c r="E6" s="26">
        <f>IF(TRUE,IF(A6&lt;入力!$B$11,入力!$B$10,入力!$B$12),0)</f>
        <v>7.0000000000000001E-3</v>
      </c>
      <c r="F6" s="25">
        <f>IF(TRUE,ROUND(C6*E6/12,0),0)</f>
        <v>20417</v>
      </c>
      <c r="G6" s="25">
        <f>ROUND(IF(E6=0,ROUND(入力!$B$7/入力!$B$9,0),ROUND(-PMT(E6/12,入力!$B$9,入力!$B$7),0)),0)</f>
        <v>93982</v>
      </c>
      <c r="H6" s="25">
        <f>IF(TRUE,ROUND(MIN(G6,C6+D6+F6),0),0)</f>
        <v>93982</v>
      </c>
      <c r="I6" s="25">
        <f>IF(TRUE,ROUND(MIN(H6,D6+F6),0),0)</f>
        <v>20417</v>
      </c>
      <c r="J6" s="25">
        <f>IF(TRUE,ROUND(F6-I6,0),0)</f>
        <v>0</v>
      </c>
      <c r="K6" s="25">
        <f>IF(TRUE,ROUND(D6+J6,0),0)</f>
        <v>0</v>
      </c>
      <c r="L6" s="25">
        <f>IF(TRUE,ROUND(H6-I6,0),0)</f>
        <v>73565</v>
      </c>
      <c r="M6" s="25">
        <f>IF(AND(TRUE,A6=入力!$B$15),ROUND(MIN(入力!$B$16,MAX(0,C6-L6)),0),0)</f>
        <v>0</v>
      </c>
      <c r="N6" s="25">
        <f>IF(TRUE,ROUND(MAX(0,C6-L6-M6),0),0)</f>
        <v>34926435</v>
      </c>
      <c r="O6" s="25">
        <f>ROUND(F6,0)</f>
        <v>20417</v>
      </c>
      <c r="P6" s="27" t="str">
        <f>""</f>
        <v/>
      </c>
      <c r="Q6" s="28" t="str">
        <f>IF(TRUE,入力!$B$13,"")</f>
        <v>有効</v>
      </c>
      <c r="R6" s="25" t="str">
        <f>""</f>
        <v/>
      </c>
      <c r="S6" s="29">
        <f>入力!$B$9</f>
        <v>420</v>
      </c>
      <c r="T6" s="28" t="str">
        <f>IF(NOT(TRUE),"",IF(AND(N6=0,K6=0),"完済",IF(A6=S6,"最終回清算","")))</f>
        <v/>
      </c>
      <c r="U6" s="3">
        <f t="shared" ref="U6:U69" si="0">ABS(I6-MIN(H6,D6+F6))</f>
        <v>0</v>
      </c>
      <c r="V6" s="3">
        <f t="shared" ref="V6:V69" si="1">ABS(L6-(H6-I6))</f>
        <v>0</v>
      </c>
      <c r="W6" s="3">
        <f t="shared" ref="W6:W69" si="2">ABS(K6-(D6+J6))</f>
        <v>0</v>
      </c>
      <c r="X6" s="3">
        <f t="shared" ref="X6:X69" si="3">ABS(F6-ROUND(F6,0))+ABS(G6-ROUND(G6,0))+ABS(H6-ROUND(H6,0))+ABS(I6-ROUND(I6,0))+ABS(J6-ROUND(J6,0))+ABS(K6-ROUND(K6,0))+ABS(L6-ROUND(L6,0))+ABS(M6-ROUND(M6,0))+ABS(N6-ROUND(N6,0))+ABS(O6-ROUND(O6,0))</f>
        <v>0</v>
      </c>
      <c r="Y6" s="3">
        <f>0</f>
        <v>0</v>
      </c>
      <c r="Z6" s="3">
        <f t="shared" ref="Z6:Z69" si="4">SUM(--ISERROR(A6),--ISERROR(B6),--ISERROR(C6),--ISERROR(D6),--ISERROR(E6),--ISERROR(F6),--ISERROR(G6),--ISERROR(H6),--ISERROR(I6),--ISERROR(J6),--ISERROR(K6),--ISERROR(L6),--ISERROR(M6),--ISERROR(N6),--ISERROR(O6),--ISERROR(P6),--ISERROR(Q6),--ISERROR(R6),--ISERROR(S6),--ISERROR(T6))</f>
        <v>0</v>
      </c>
      <c r="AA6">
        <f>ROUND(IF(E6=0,ROUND(入力!$B$7/入力!$B$9,0),ROUND(-PMT(E6/12,入力!$B$9,入力!$B$7),0)),0)</f>
        <v>93982</v>
      </c>
    </row>
    <row r="7" spans="1:27">
      <c r="A7" s="30">
        <f>2</f>
        <v>2</v>
      </c>
      <c r="B7" s="31">
        <f>EDATE(入力!$B$6,A7-1)</f>
        <v>46266</v>
      </c>
      <c r="C7" s="32">
        <f t="shared" ref="C7:C70" si="5">IF(AND(T6="",A7&lt;=S6),N6,0)</f>
        <v>34926435</v>
      </c>
      <c r="D7" s="32">
        <f t="shared" ref="D7:D70" si="6">IF(AND(T6="",A7&lt;=S6),K6,0)</f>
        <v>0</v>
      </c>
      <c r="E7" s="33">
        <f>IF(AND(T6="",A7&lt;=S6),IF(A7&lt;入力!$B$11,入力!$B$10,入力!$B$12),0)</f>
        <v>7.0000000000000001E-3</v>
      </c>
      <c r="F7" s="32">
        <f t="shared" ref="F7:F70" si="7">IF(AND(T6="",A7&lt;=S6),ROUND(C7*E7/12,0),0)</f>
        <v>20374</v>
      </c>
      <c r="G7" s="32">
        <f>ROUND(IF(NOT(AND(T6="",A7&lt;=S6)),0,IF(FALSE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),0)</f>
        <v>93982</v>
      </c>
      <c r="H7" s="32">
        <f t="shared" ref="H7:H70" si="8">IF(AND(T6="",A7&lt;=S6),ROUND(MIN(G7,C7+D7+F7),0),0)</f>
        <v>93982</v>
      </c>
      <c r="I7" s="32">
        <f t="shared" ref="I7:I70" si="9">IF(AND(T6="",A7&lt;=S6),ROUND(MIN(H7,D7+F7),0),0)</f>
        <v>20374</v>
      </c>
      <c r="J7" s="32">
        <f t="shared" ref="J7:J70" si="10">IF(AND(T6="",A7&lt;=S6),ROUND(F7-I7,0),0)</f>
        <v>0</v>
      </c>
      <c r="K7" s="32">
        <f t="shared" ref="K7:K70" si="11">IF(AND(T6="",A7&lt;=S6),ROUND(D7+J7,0),0)</f>
        <v>0</v>
      </c>
      <c r="L7" s="32">
        <f t="shared" ref="L7:L70" si="12">IF(AND(T6="",A7&lt;=S6),ROUND(H7-I7,0),0)</f>
        <v>73608</v>
      </c>
      <c r="M7" s="32">
        <f>IF(AND(AND(T6="",A7&lt;=S6),A7=入力!$B$15),ROUND(MIN(入力!$B$16,MAX(0,C7-L7)),0),0)</f>
        <v>0</v>
      </c>
      <c r="N7" s="32">
        <f t="shared" ref="N7:N70" si="13">IF(AND(T6="",A7&lt;=S6),ROUND(MAX(0,C7-L7-M7),0),0)</f>
        <v>34852827</v>
      </c>
      <c r="O7" s="32">
        <f t="shared" ref="O7:O70" si="14">IF(AND(T6="",A7&lt;=S6),ROUND(O6+F7,0),O6)</f>
        <v>40791</v>
      </c>
      <c r="P7" s="34" t="str">
        <f>IF(NOT(AND(T6="",A7&lt;=S6)),"",IF(FALSE,"繰上返済後再計算","")&amp;IF(AND(入力!$B$13="有効",A7&gt;1,MOD(A7-1,60)=0),IF(FALSE,"・","")&amp;"5年見直し","")&amp;IF(AND(A7=入力!$B$11,A7&gt;1),IF(OR(FALSE,AND(入力!$B$13="有効",A7&gt;1,MOD(A7-1,60)=0)),"・","")&amp;"金利変更","")&amp;IF(AND(OR(AND(入力!$B$13="有効",A7&gt;1,MOD(A7-1,60)=0),AND(A7=入力!$B$11,A7&gt;1)),入力!$B$14="有効",IF(E7=0,ROUND(C7/MAX(1,S6-A7+1),0),ROUND(-PMT(E7/12,MAX(1,S6-A7+1),C7),0))&gt;ROUND(G6*1.25,0),NOT(FALSE)),"・上限適用",""))</f>
        <v/>
      </c>
      <c r="Q7" s="35" t="str">
        <f>IF(AND(T6="",A7&lt;=S6),入力!$B$13,"")</f>
        <v>有効</v>
      </c>
      <c r="R7" s="32" t="str">
        <f>IF(AND(AND(T6="",A7&lt;=S6),OR(AND(入力!$B$13="有効",A7&gt;1,MOD(A7-1,60)=0),AND(A7=入力!$B$11,A7&gt;1)),入力!$B$14="有効"),ROUND(G6*1.25,0),"")</f>
        <v/>
      </c>
      <c r="S7" s="36">
        <f>IF(A7&lt;&gt;入力!$B$15,S6,IF(K7&lt;&gt;0,S6,IF(G7&lt;=F7,S6,IF(M7&lt;=0,S6,IF(AND(N7&gt;0,E7&gt;0,G7&lt;=N7*E7/12),S6,IF(A7+IF(N7=0,0,IF(E7=0,ROUNDUP(N7/G7,0),ROUNDUP(NPER(E7/12,-G7,N7),0)))&lt;S6,A7+IF(N7=0,0,IF(E7=0,ROUNDUP(N7/G7,0),ROUNDUP(NPER(E7/12,-G7,N7),0))),S6))))))</f>
        <v>420</v>
      </c>
      <c r="T7" s="35" t="str">
        <f t="shared" ref="T7:T70" si="15">IF(NOT(AND(T6="",A7&lt;=S6)),"",IF(AND(N7=0,K7=0),"完済",IF(A7=S7,"最終回清算","")))</f>
        <v/>
      </c>
      <c r="U7" s="3">
        <f t="shared" si="0"/>
        <v>0</v>
      </c>
      <c r="V7" s="3">
        <f t="shared" si="1"/>
        <v>0</v>
      </c>
      <c r="W7" s="3">
        <f t="shared" si="2"/>
        <v>0</v>
      </c>
      <c r="X7" s="3">
        <f t="shared" si="3"/>
        <v>0</v>
      </c>
      <c r="Y7" s="3">
        <f>0</f>
        <v>0</v>
      </c>
      <c r="Z7" s="3">
        <f t="shared" si="4"/>
        <v>0</v>
      </c>
      <c r="AA7">
        <f>ROUND(IF(FALSE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,0)</f>
        <v>93982</v>
      </c>
    </row>
    <row r="8" spans="1:27">
      <c r="A8" s="30">
        <f>3</f>
        <v>3</v>
      </c>
      <c r="B8" s="31">
        <f>EDATE(入力!$B$6,A8-1)</f>
        <v>46296</v>
      </c>
      <c r="C8" s="32">
        <f t="shared" si="5"/>
        <v>34852827</v>
      </c>
      <c r="D8" s="32">
        <f t="shared" si="6"/>
        <v>0</v>
      </c>
      <c r="E8" s="33">
        <f>IF(AND(T7="",A8&lt;=S7),IF(A8&lt;入力!$B$11,入力!$B$10,入力!$B$12),0)</f>
        <v>7.0000000000000001E-3</v>
      </c>
      <c r="F8" s="32">
        <f t="shared" si="7"/>
        <v>20331</v>
      </c>
      <c r="G8" s="32">
        <f>ROUND(IF(NOT(AND(T7="",A8&lt;=S7)),0,IF(FALSE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),0)</f>
        <v>93982</v>
      </c>
      <c r="H8" s="32">
        <f t="shared" si="8"/>
        <v>93982</v>
      </c>
      <c r="I8" s="32">
        <f t="shared" si="9"/>
        <v>20331</v>
      </c>
      <c r="J8" s="32">
        <f t="shared" si="10"/>
        <v>0</v>
      </c>
      <c r="K8" s="32">
        <f t="shared" si="11"/>
        <v>0</v>
      </c>
      <c r="L8" s="32">
        <f t="shared" si="12"/>
        <v>73651</v>
      </c>
      <c r="M8" s="32">
        <f>IF(AND(AND(T7="",A8&lt;=S7),A8=入力!$B$15),ROUND(MIN(入力!$B$16,MAX(0,C8-L8)),0),0)</f>
        <v>0</v>
      </c>
      <c r="N8" s="32">
        <f t="shared" si="13"/>
        <v>34779176</v>
      </c>
      <c r="O8" s="32">
        <f t="shared" si="14"/>
        <v>61122</v>
      </c>
      <c r="P8" s="34" t="str">
        <f>IF(NOT(AND(T7="",A8&lt;=S7)),"",IF(FALSE,"繰上返済後再計算","")&amp;IF(AND(入力!$B$13="有効",A8&gt;1,MOD(A8-1,60)=0),IF(FALSE,"・","")&amp;"5年見直し","")&amp;IF(AND(A8=入力!$B$11,A8&gt;1),IF(OR(FALSE,AND(入力!$B$13="有効",A8&gt;1,MOD(A8-1,60)=0)),"・","")&amp;"金利変更","")&amp;IF(AND(OR(AND(入力!$B$13="有効",A8&gt;1,MOD(A8-1,60)=0),AND(A8=入力!$B$11,A8&gt;1)),入力!$B$14="有効",IF(E8=0,ROUND(C8/MAX(1,S7-A8+1),0),ROUND(-PMT(E8/12,MAX(1,S7-A8+1),C8),0))&gt;ROUND(G7*1.25,0),NOT(FALSE)),"・上限適用",""))</f>
        <v/>
      </c>
      <c r="Q8" s="35" t="str">
        <f>IF(AND(T7="",A8&lt;=S7),入力!$B$13,"")</f>
        <v>有効</v>
      </c>
      <c r="R8" s="32" t="str">
        <f>IF(AND(AND(T7="",A8&lt;=S7),OR(AND(入力!$B$13="有効",A8&gt;1,MOD(A8-1,60)=0),AND(A8=入力!$B$11,A8&gt;1)),入力!$B$14="有効"),ROUND(G7*1.25,0),"")</f>
        <v/>
      </c>
      <c r="S8" s="36">
        <f>IF(A8&lt;&gt;入力!$B$15,S7,IF(K8&lt;&gt;0,S7,IF(G8&lt;=F8,S7,IF(M8&lt;=0,S7,IF(AND(N8&gt;0,E8&gt;0,G8&lt;=N8*E8/12),S7,IF(A8+IF(N8=0,0,IF(E8=0,ROUNDUP(N8/G8,0),ROUNDUP(NPER(E8/12,-G8,N8),0)))&lt;S7,A8+IF(N8=0,0,IF(E8=0,ROUNDUP(N8/G8,0),ROUNDUP(NPER(E8/12,-G8,N8),0))),S7))))))</f>
        <v>420</v>
      </c>
      <c r="T8" s="35" t="str">
        <f t="shared" si="15"/>
        <v/>
      </c>
      <c r="U8" s="3">
        <f t="shared" si="0"/>
        <v>0</v>
      </c>
      <c r="V8" s="3">
        <f t="shared" si="1"/>
        <v>0</v>
      </c>
      <c r="W8" s="3">
        <f t="shared" si="2"/>
        <v>0</v>
      </c>
      <c r="X8" s="3">
        <f t="shared" si="3"/>
        <v>0</v>
      </c>
      <c r="Y8" s="3">
        <f>0</f>
        <v>0</v>
      </c>
      <c r="Z8" s="3">
        <f t="shared" si="4"/>
        <v>0</v>
      </c>
      <c r="AA8">
        <f>ROUND(IF(FALSE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,0)</f>
        <v>93982</v>
      </c>
    </row>
    <row r="9" spans="1:27">
      <c r="A9" s="30">
        <f>4</f>
        <v>4</v>
      </c>
      <c r="B9" s="31">
        <f>EDATE(入力!$B$6,A9-1)</f>
        <v>46327</v>
      </c>
      <c r="C9" s="32">
        <f t="shared" si="5"/>
        <v>34779176</v>
      </c>
      <c r="D9" s="32">
        <f t="shared" si="6"/>
        <v>0</v>
      </c>
      <c r="E9" s="33">
        <f>IF(AND(T8="",A9&lt;=S8),IF(A9&lt;入力!$B$11,入力!$B$10,入力!$B$12),0)</f>
        <v>7.0000000000000001E-3</v>
      </c>
      <c r="F9" s="32">
        <f t="shared" si="7"/>
        <v>20288</v>
      </c>
      <c r="G9" s="32">
        <f>ROUND(IF(NOT(AND(T8="",A9&lt;=S8)),0,IF(FALSE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),0)</f>
        <v>93982</v>
      </c>
      <c r="H9" s="32">
        <f t="shared" si="8"/>
        <v>93982</v>
      </c>
      <c r="I9" s="32">
        <f t="shared" si="9"/>
        <v>20288</v>
      </c>
      <c r="J9" s="32">
        <f t="shared" si="10"/>
        <v>0</v>
      </c>
      <c r="K9" s="32">
        <f t="shared" si="11"/>
        <v>0</v>
      </c>
      <c r="L9" s="32">
        <f t="shared" si="12"/>
        <v>73694</v>
      </c>
      <c r="M9" s="32">
        <f>IF(AND(AND(T8="",A9&lt;=S8),A9=入力!$B$15),ROUND(MIN(入力!$B$16,MAX(0,C9-L9)),0),0)</f>
        <v>0</v>
      </c>
      <c r="N9" s="32">
        <f t="shared" si="13"/>
        <v>34705482</v>
      </c>
      <c r="O9" s="32">
        <f t="shared" si="14"/>
        <v>81410</v>
      </c>
      <c r="P9" s="34" t="str">
        <f>IF(NOT(AND(T8="",A9&lt;=S8)),"",IF(FALSE,"繰上返済後再計算","")&amp;IF(AND(入力!$B$13="有効",A9&gt;1,MOD(A9-1,60)=0),IF(FALSE,"・","")&amp;"5年見直し","")&amp;IF(AND(A9=入力!$B$11,A9&gt;1),IF(OR(FALSE,AND(入力!$B$13="有効",A9&gt;1,MOD(A9-1,60)=0)),"・","")&amp;"金利変更","")&amp;IF(AND(OR(AND(入力!$B$13="有効",A9&gt;1,MOD(A9-1,60)=0),AND(A9=入力!$B$11,A9&gt;1)),入力!$B$14="有効",IF(E9=0,ROUND(C9/MAX(1,S8-A9+1),0),ROUND(-PMT(E9/12,MAX(1,S8-A9+1),C9),0))&gt;ROUND(G8*1.25,0),NOT(FALSE)),"・上限適用",""))</f>
        <v/>
      </c>
      <c r="Q9" s="35" t="str">
        <f>IF(AND(T8="",A9&lt;=S8),入力!$B$13,"")</f>
        <v>有効</v>
      </c>
      <c r="R9" s="32" t="str">
        <f>IF(AND(AND(T8="",A9&lt;=S8),OR(AND(入力!$B$13="有効",A9&gt;1,MOD(A9-1,60)=0),AND(A9=入力!$B$11,A9&gt;1)),入力!$B$14="有効"),ROUND(G8*1.25,0),"")</f>
        <v/>
      </c>
      <c r="S9" s="36">
        <f>IF(A9&lt;&gt;入力!$B$15,S8,IF(K9&lt;&gt;0,S8,IF(G9&lt;=F9,S8,IF(M9&lt;=0,S8,IF(AND(N9&gt;0,E9&gt;0,G9&lt;=N9*E9/12),S8,IF(A9+IF(N9=0,0,IF(E9=0,ROUNDUP(N9/G9,0),ROUNDUP(NPER(E9/12,-G9,N9),0)))&lt;S8,A9+IF(N9=0,0,IF(E9=0,ROUNDUP(N9/G9,0),ROUNDUP(NPER(E9/12,-G9,N9),0))),S8))))))</f>
        <v>420</v>
      </c>
      <c r="T9" s="35" t="str">
        <f t="shared" si="15"/>
        <v/>
      </c>
      <c r="U9" s="3">
        <f t="shared" si="0"/>
        <v>0</v>
      </c>
      <c r="V9" s="3">
        <f t="shared" si="1"/>
        <v>0</v>
      </c>
      <c r="W9" s="3">
        <f t="shared" si="2"/>
        <v>0</v>
      </c>
      <c r="X9" s="3">
        <f t="shared" si="3"/>
        <v>0</v>
      </c>
      <c r="Y9" s="3">
        <f>0</f>
        <v>0</v>
      </c>
      <c r="Z9" s="3">
        <f t="shared" si="4"/>
        <v>0</v>
      </c>
      <c r="AA9">
        <f>ROUND(IF(FALSE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,0)</f>
        <v>93982</v>
      </c>
    </row>
    <row r="10" spans="1:27">
      <c r="A10" s="30">
        <f>5</f>
        <v>5</v>
      </c>
      <c r="B10" s="31">
        <f>EDATE(入力!$B$6,A10-1)</f>
        <v>46357</v>
      </c>
      <c r="C10" s="32">
        <f t="shared" si="5"/>
        <v>34705482</v>
      </c>
      <c r="D10" s="32">
        <f t="shared" si="6"/>
        <v>0</v>
      </c>
      <c r="E10" s="33">
        <f>IF(AND(T9="",A10&lt;=S9),IF(A10&lt;入力!$B$11,入力!$B$10,入力!$B$12),0)</f>
        <v>7.0000000000000001E-3</v>
      </c>
      <c r="F10" s="32">
        <f t="shared" si="7"/>
        <v>20245</v>
      </c>
      <c r="G10" s="32">
        <f>ROUND(IF(NOT(AND(T9="",A10&lt;=S9)),0,IF(FALSE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),0)</f>
        <v>93982</v>
      </c>
      <c r="H10" s="32">
        <f t="shared" si="8"/>
        <v>93982</v>
      </c>
      <c r="I10" s="32">
        <f t="shared" si="9"/>
        <v>20245</v>
      </c>
      <c r="J10" s="32">
        <f t="shared" si="10"/>
        <v>0</v>
      </c>
      <c r="K10" s="32">
        <f t="shared" si="11"/>
        <v>0</v>
      </c>
      <c r="L10" s="32">
        <f t="shared" si="12"/>
        <v>73737</v>
      </c>
      <c r="M10" s="32">
        <f>IF(AND(AND(T9="",A10&lt;=S9),A10=入力!$B$15),ROUND(MIN(入力!$B$16,MAX(0,C10-L10)),0),0)</f>
        <v>0</v>
      </c>
      <c r="N10" s="32">
        <f t="shared" si="13"/>
        <v>34631745</v>
      </c>
      <c r="O10" s="32">
        <f t="shared" si="14"/>
        <v>101655</v>
      </c>
      <c r="P10" s="34" t="str">
        <f>IF(NOT(AND(T9="",A10&lt;=S9)),"",IF(FALSE,"繰上返済後再計算","")&amp;IF(AND(入力!$B$13="有効",A10&gt;1,MOD(A10-1,60)=0),IF(FALSE,"・","")&amp;"5年見直し","")&amp;IF(AND(A10=入力!$B$11,A10&gt;1),IF(OR(FALSE,AND(入力!$B$13="有効",A10&gt;1,MOD(A10-1,60)=0)),"・","")&amp;"金利変更","")&amp;IF(AND(OR(AND(入力!$B$13="有効",A10&gt;1,MOD(A10-1,60)=0),AND(A10=入力!$B$11,A10&gt;1)),入力!$B$14="有効",IF(E10=0,ROUND(C10/MAX(1,S9-A10+1),0),ROUND(-PMT(E10/12,MAX(1,S9-A10+1),C10),0))&gt;ROUND(G9*1.25,0),NOT(FALSE)),"・上限適用",""))</f>
        <v/>
      </c>
      <c r="Q10" s="35" t="str">
        <f>IF(AND(T9="",A10&lt;=S9),入力!$B$13,"")</f>
        <v>有効</v>
      </c>
      <c r="R10" s="32" t="str">
        <f>IF(AND(AND(T9="",A10&lt;=S9),OR(AND(入力!$B$13="有効",A10&gt;1,MOD(A10-1,60)=0),AND(A10=入力!$B$11,A10&gt;1)),入力!$B$14="有効"),ROUND(G9*1.25,0),"")</f>
        <v/>
      </c>
      <c r="S10" s="36">
        <f>IF(A10&lt;&gt;入力!$B$15,S9,IF(K10&lt;&gt;0,S9,IF(G10&lt;=F10,S9,IF(M10&lt;=0,S9,IF(AND(N10&gt;0,E10&gt;0,G10&lt;=N10*E10/12),S9,IF(A10+IF(N10=0,0,IF(E10=0,ROUNDUP(N10/G10,0),ROUNDUP(NPER(E10/12,-G10,N10),0)))&lt;S9,A10+IF(N10=0,0,IF(E10=0,ROUNDUP(N10/G10,0),ROUNDUP(NPER(E10/12,-G10,N10),0))),S9))))))</f>
        <v>420</v>
      </c>
      <c r="T10" s="35" t="str">
        <f t="shared" si="15"/>
        <v/>
      </c>
      <c r="U10" s="3">
        <f t="shared" si="0"/>
        <v>0</v>
      </c>
      <c r="V10" s="3">
        <f t="shared" si="1"/>
        <v>0</v>
      </c>
      <c r="W10" s="3">
        <f t="shared" si="2"/>
        <v>0</v>
      </c>
      <c r="X10" s="3">
        <f t="shared" si="3"/>
        <v>0</v>
      </c>
      <c r="Y10" s="3">
        <f>0</f>
        <v>0</v>
      </c>
      <c r="Z10" s="3">
        <f t="shared" si="4"/>
        <v>0</v>
      </c>
      <c r="AA10">
        <f>ROUND(IF(FALSE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,0)</f>
        <v>93982</v>
      </c>
    </row>
    <row r="11" spans="1:27">
      <c r="A11" s="30">
        <f>6</f>
        <v>6</v>
      </c>
      <c r="B11" s="31">
        <f>EDATE(入力!$B$6,A11-1)</f>
        <v>46388</v>
      </c>
      <c r="C11" s="32">
        <f t="shared" si="5"/>
        <v>34631745</v>
      </c>
      <c r="D11" s="32">
        <f t="shared" si="6"/>
        <v>0</v>
      </c>
      <c r="E11" s="33">
        <f>IF(AND(T10="",A11&lt;=S10),IF(A11&lt;入力!$B$11,入力!$B$10,入力!$B$12),0)</f>
        <v>7.0000000000000001E-3</v>
      </c>
      <c r="F11" s="32">
        <f t="shared" si="7"/>
        <v>20202</v>
      </c>
      <c r="G11" s="32">
        <f>ROUND(IF(NOT(AND(T10="",A11&lt;=S10)),0,IF(FALSE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),0)</f>
        <v>93982</v>
      </c>
      <c r="H11" s="32">
        <f t="shared" si="8"/>
        <v>93982</v>
      </c>
      <c r="I11" s="32">
        <f t="shared" si="9"/>
        <v>20202</v>
      </c>
      <c r="J11" s="32">
        <f t="shared" si="10"/>
        <v>0</v>
      </c>
      <c r="K11" s="32">
        <f t="shared" si="11"/>
        <v>0</v>
      </c>
      <c r="L11" s="32">
        <f t="shared" si="12"/>
        <v>73780</v>
      </c>
      <c r="M11" s="32">
        <f>IF(AND(AND(T10="",A11&lt;=S10),A11=入力!$B$15),ROUND(MIN(入力!$B$16,MAX(0,C11-L11)),0),0)</f>
        <v>0</v>
      </c>
      <c r="N11" s="32">
        <f t="shared" si="13"/>
        <v>34557965</v>
      </c>
      <c r="O11" s="32">
        <f t="shared" si="14"/>
        <v>121857</v>
      </c>
      <c r="P11" s="34" t="str">
        <f>IF(NOT(AND(T10="",A11&lt;=S10)),"",IF(FALSE,"繰上返済後再計算","")&amp;IF(AND(入力!$B$13="有効",A11&gt;1,MOD(A11-1,60)=0),IF(FALSE,"・","")&amp;"5年見直し","")&amp;IF(AND(A11=入力!$B$11,A11&gt;1),IF(OR(FALSE,AND(入力!$B$13="有効",A11&gt;1,MOD(A11-1,60)=0)),"・","")&amp;"金利変更","")&amp;IF(AND(OR(AND(入力!$B$13="有効",A11&gt;1,MOD(A11-1,60)=0),AND(A11=入力!$B$11,A11&gt;1)),入力!$B$14="有効",IF(E11=0,ROUND(C11/MAX(1,S10-A11+1),0),ROUND(-PMT(E11/12,MAX(1,S10-A11+1),C11),0))&gt;ROUND(G10*1.25,0),NOT(FALSE)),"・上限適用",""))</f>
        <v/>
      </c>
      <c r="Q11" s="35" t="str">
        <f>IF(AND(T10="",A11&lt;=S10),入力!$B$13,"")</f>
        <v>有効</v>
      </c>
      <c r="R11" s="32" t="str">
        <f>IF(AND(AND(T10="",A11&lt;=S10),OR(AND(入力!$B$13="有効",A11&gt;1,MOD(A11-1,60)=0),AND(A11=入力!$B$11,A11&gt;1)),入力!$B$14="有効"),ROUND(G10*1.25,0),"")</f>
        <v/>
      </c>
      <c r="S11" s="36">
        <f>IF(A11&lt;&gt;入力!$B$15,S10,IF(K11&lt;&gt;0,S10,IF(G11&lt;=F11,S10,IF(M11&lt;=0,S10,IF(AND(N11&gt;0,E11&gt;0,G11&lt;=N11*E11/12),S10,IF(A11+IF(N11=0,0,IF(E11=0,ROUNDUP(N11/G11,0),ROUNDUP(NPER(E11/12,-G11,N11),0)))&lt;S10,A11+IF(N11=0,0,IF(E11=0,ROUNDUP(N11/G11,0),ROUNDUP(NPER(E11/12,-G11,N11),0))),S10))))))</f>
        <v>420</v>
      </c>
      <c r="T11" s="35" t="str">
        <f t="shared" si="15"/>
        <v/>
      </c>
      <c r="U11" s="3">
        <f t="shared" si="0"/>
        <v>0</v>
      </c>
      <c r="V11" s="3">
        <f t="shared" si="1"/>
        <v>0</v>
      </c>
      <c r="W11" s="3">
        <f t="shared" si="2"/>
        <v>0</v>
      </c>
      <c r="X11" s="3">
        <f t="shared" si="3"/>
        <v>0</v>
      </c>
      <c r="Y11" s="3">
        <f>0</f>
        <v>0</v>
      </c>
      <c r="Z11" s="3">
        <f t="shared" si="4"/>
        <v>0</v>
      </c>
      <c r="AA11">
        <f>ROUND(IF(FALSE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,0)</f>
        <v>93982</v>
      </c>
    </row>
    <row r="12" spans="1:27">
      <c r="A12" s="30">
        <f>7</f>
        <v>7</v>
      </c>
      <c r="B12" s="31">
        <f>EDATE(入力!$B$6,A12-1)</f>
        <v>46419</v>
      </c>
      <c r="C12" s="32">
        <f t="shared" si="5"/>
        <v>34557965</v>
      </c>
      <c r="D12" s="32">
        <f t="shared" si="6"/>
        <v>0</v>
      </c>
      <c r="E12" s="33">
        <f>IF(AND(T11="",A12&lt;=S11),IF(A12&lt;入力!$B$11,入力!$B$10,入力!$B$12),0)</f>
        <v>7.0000000000000001E-3</v>
      </c>
      <c r="F12" s="32">
        <f t="shared" si="7"/>
        <v>20159</v>
      </c>
      <c r="G12" s="32">
        <f>ROUND(IF(NOT(AND(T11="",A12&lt;=S11)),0,IF(FALSE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),0)</f>
        <v>93982</v>
      </c>
      <c r="H12" s="32">
        <f t="shared" si="8"/>
        <v>93982</v>
      </c>
      <c r="I12" s="32">
        <f t="shared" si="9"/>
        <v>20159</v>
      </c>
      <c r="J12" s="32">
        <f t="shared" si="10"/>
        <v>0</v>
      </c>
      <c r="K12" s="32">
        <f t="shared" si="11"/>
        <v>0</v>
      </c>
      <c r="L12" s="32">
        <f t="shared" si="12"/>
        <v>73823</v>
      </c>
      <c r="M12" s="32">
        <f>IF(AND(AND(T11="",A12&lt;=S11),A12=入力!$B$15),ROUND(MIN(入力!$B$16,MAX(0,C12-L12)),0),0)</f>
        <v>0</v>
      </c>
      <c r="N12" s="32">
        <f t="shared" si="13"/>
        <v>34484142</v>
      </c>
      <c r="O12" s="32">
        <f t="shared" si="14"/>
        <v>142016</v>
      </c>
      <c r="P12" s="34" t="str">
        <f>IF(NOT(AND(T11="",A12&lt;=S11)),"",IF(FALSE,"繰上返済後再計算","")&amp;IF(AND(入力!$B$13="有効",A12&gt;1,MOD(A12-1,60)=0),IF(FALSE,"・","")&amp;"5年見直し","")&amp;IF(AND(A12=入力!$B$11,A12&gt;1),IF(OR(FALSE,AND(入力!$B$13="有効",A12&gt;1,MOD(A12-1,60)=0)),"・","")&amp;"金利変更","")&amp;IF(AND(OR(AND(入力!$B$13="有効",A12&gt;1,MOD(A12-1,60)=0),AND(A12=入力!$B$11,A12&gt;1)),入力!$B$14="有効",IF(E12=0,ROUND(C12/MAX(1,S11-A12+1),0),ROUND(-PMT(E12/12,MAX(1,S11-A12+1),C12),0))&gt;ROUND(G11*1.25,0),NOT(FALSE)),"・上限適用",""))</f>
        <v/>
      </c>
      <c r="Q12" s="35" t="str">
        <f>IF(AND(T11="",A12&lt;=S11),入力!$B$13,"")</f>
        <v>有効</v>
      </c>
      <c r="R12" s="32" t="str">
        <f>IF(AND(AND(T11="",A12&lt;=S11),OR(AND(入力!$B$13="有効",A12&gt;1,MOD(A12-1,60)=0),AND(A12=入力!$B$11,A12&gt;1)),入力!$B$14="有効"),ROUND(G11*1.25,0),"")</f>
        <v/>
      </c>
      <c r="S12" s="36">
        <f>IF(A12&lt;&gt;入力!$B$15,S11,IF(K12&lt;&gt;0,S11,IF(G12&lt;=F12,S11,IF(M12&lt;=0,S11,IF(AND(N12&gt;0,E12&gt;0,G12&lt;=N12*E12/12),S11,IF(A12+IF(N12=0,0,IF(E12=0,ROUNDUP(N12/G12,0),ROUNDUP(NPER(E12/12,-G12,N12),0)))&lt;S11,A12+IF(N12=0,0,IF(E12=0,ROUNDUP(N12/G12,0),ROUNDUP(NPER(E12/12,-G12,N12),0))),S11))))))</f>
        <v>420</v>
      </c>
      <c r="T12" s="35" t="str">
        <f t="shared" si="15"/>
        <v/>
      </c>
      <c r="U12" s="3">
        <f t="shared" si="0"/>
        <v>0</v>
      </c>
      <c r="V12" s="3">
        <f t="shared" si="1"/>
        <v>0</v>
      </c>
      <c r="W12" s="3">
        <f t="shared" si="2"/>
        <v>0</v>
      </c>
      <c r="X12" s="3">
        <f t="shared" si="3"/>
        <v>0</v>
      </c>
      <c r="Y12" s="3">
        <f>0</f>
        <v>0</v>
      </c>
      <c r="Z12" s="3">
        <f t="shared" si="4"/>
        <v>0</v>
      </c>
      <c r="AA12">
        <f>ROUND(IF(FALSE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,0)</f>
        <v>93982</v>
      </c>
    </row>
    <row r="13" spans="1:27">
      <c r="A13" s="30">
        <f>8</f>
        <v>8</v>
      </c>
      <c r="B13" s="31">
        <f>EDATE(入力!$B$6,A13-1)</f>
        <v>46447</v>
      </c>
      <c r="C13" s="32">
        <f t="shared" si="5"/>
        <v>34484142</v>
      </c>
      <c r="D13" s="32">
        <f t="shared" si="6"/>
        <v>0</v>
      </c>
      <c r="E13" s="33">
        <f>IF(AND(T12="",A13&lt;=S12),IF(A13&lt;入力!$B$11,入力!$B$10,入力!$B$12),0)</f>
        <v>7.0000000000000001E-3</v>
      </c>
      <c r="F13" s="32">
        <f t="shared" si="7"/>
        <v>20116</v>
      </c>
      <c r="G13" s="32">
        <f>ROUND(IF(NOT(AND(T12="",A13&lt;=S12)),0,IF(FALSE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),0)</f>
        <v>93982</v>
      </c>
      <c r="H13" s="32">
        <f t="shared" si="8"/>
        <v>93982</v>
      </c>
      <c r="I13" s="32">
        <f t="shared" si="9"/>
        <v>20116</v>
      </c>
      <c r="J13" s="32">
        <f t="shared" si="10"/>
        <v>0</v>
      </c>
      <c r="K13" s="32">
        <f t="shared" si="11"/>
        <v>0</v>
      </c>
      <c r="L13" s="32">
        <f t="shared" si="12"/>
        <v>73866</v>
      </c>
      <c r="M13" s="32">
        <f>IF(AND(AND(T12="",A13&lt;=S12),A13=入力!$B$15),ROUND(MIN(入力!$B$16,MAX(0,C13-L13)),0),0)</f>
        <v>0</v>
      </c>
      <c r="N13" s="32">
        <f t="shared" si="13"/>
        <v>34410276</v>
      </c>
      <c r="O13" s="32">
        <f t="shared" si="14"/>
        <v>162132</v>
      </c>
      <c r="P13" s="34" t="str">
        <f>IF(NOT(AND(T12="",A13&lt;=S12)),"",IF(FALSE,"繰上返済後再計算","")&amp;IF(AND(入力!$B$13="有効",A13&gt;1,MOD(A13-1,60)=0),IF(FALSE,"・","")&amp;"5年見直し","")&amp;IF(AND(A13=入力!$B$11,A13&gt;1),IF(OR(FALSE,AND(入力!$B$13="有効",A13&gt;1,MOD(A13-1,60)=0)),"・","")&amp;"金利変更","")&amp;IF(AND(OR(AND(入力!$B$13="有効",A13&gt;1,MOD(A13-1,60)=0),AND(A13=入力!$B$11,A13&gt;1)),入力!$B$14="有効",IF(E13=0,ROUND(C13/MAX(1,S12-A13+1),0),ROUND(-PMT(E13/12,MAX(1,S12-A13+1),C13),0))&gt;ROUND(G12*1.25,0),NOT(FALSE)),"・上限適用",""))</f>
        <v/>
      </c>
      <c r="Q13" s="35" t="str">
        <f>IF(AND(T12="",A13&lt;=S12),入力!$B$13,"")</f>
        <v>有効</v>
      </c>
      <c r="R13" s="32" t="str">
        <f>IF(AND(AND(T12="",A13&lt;=S12),OR(AND(入力!$B$13="有効",A13&gt;1,MOD(A13-1,60)=0),AND(A13=入力!$B$11,A13&gt;1)),入力!$B$14="有効"),ROUND(G12*1.25,0),"")</f>
        <v/>
      </c>
      <c r="S13" s="36">
        <f>IF(A13&lt;&gt;入力!$B$15,S12,IF(K13&lt;&gt;0,S12,IF(G13&lt;=F13,S12,IF(M13&lt;=0,S12,IF(AND(N13&gt;0,E13&gt;0,G13&lt;=N13*E13/12),S12,IF(A13+IF(N13=0,0,IF(E13=0,ROUNDUP(N13/G13,0),ROUNDUP(NPER(E13/12,-G13,N13),0)))&lt;S12,A13+IF(N13=0,0,IF(E13=0,ROUNDUP(N13/G13,0),ROUNDUP(NPER(E13/12,-G13,N13),0))),S12))))))</f>
        <v>420</v>
      </c>
      <c r="T13" s="35" t="str">
        <f t="shared" si="15"/>
        <v/>
      </c>
      <c r="U13" s="3">
        <f t="shared" si="0"/>
        <v>0</v>
      </c>
      <c r="V13" s="3">
        <f t="shared" si="1"/>
        <v>0</v>
      </c>
      <c r="W13" s="3">
        <f t="shared" si="2"/>
        <v>0</v>
      </c>
      <c r="X13" s="3">
        <f t="shared" si="3"/>
        <v>0</v>
      </c>
      <c r="Y13" s="3">
        <f>0</f>
        <v>0</v>
      </c>
      <c r="Z13" s="3">
        <f t="shared" si="4"/>
        <v>0</v>
      </c>
      <c r="AA13">
        <f>ROUND(IF(FALSE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,0)</f>
        <v>93982</v>
      </c>
    </row>
    <row r="14" spans="1:27">
      <c r="A14" s="30">
        <f>9</f>
        <v>9</v>
      </c>
      <c r="B14" s="31">
        <f>EDATE(入力!$B$6,A14-1)</f>
        <v>46478</v>
      </c>
      <c r="C14" s="32">
        <f t="shared" si="5"/>
        <v>34410276</v>
      </c>
      <c r="D14" s="32">
        <f t="shared" si="6"/>
        <v>0</v>
      </c>
      <c r="E14" s="33">
        <f>IF(AND(T13="",A14&lt;=S13),IF(A14&lt;入力!$B$11,入力!$B$10,入力!$B$12),0)</f>
        <v>7.0000000000000001E-3</v>
      </c>
      <c r="F14" s="32">
        <f t="shared" si="7"/>
        <v>20073</v>
      </c>
      <c r="G14" s="32">
        <f>ROUND(IF(NOT(AND(T13="",A14&lt;=S13)),0,IF(FALSE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),0)</f>
        <v>93982</v>
      </c>
      <c r="H14" s="32">
        <f t="shared" si="8"/>
        <v>93982</v>
      </c>
      <c r="I14" s="32">
        <f t="shared" si="9"/>
        <v>20073</v>
      </c>
      <c r="J14" s="32">
        <f t="shared" si="10"/>
        <v>0</v>
      </c>
      <c r="K14" s="32">
        <f t="shared" si="11"/>
        <v>0</v>
      </c>
      <c r="L14" s="32">
        <f t="shared" si="12"/>
        <v>73909</v>
      </c>
      <c r="M14" s="32">
        <f>IF(AND(AND(T13="",A14&lt;=S13),A14=入力!$B$15),ROUND(MIN(入力!$B$16,MAX(0,C14-L14)),0),0)</f>
        <v>0</v>
      </c>
      <c r="N14" s="32">
        <f t="shared" si="13"/>
        <v>34336367</v>
      </c>
      <c r="O14" s="32">
        <f t="shared" si="14"/>
        <v>182205</v>
      </c>
      <c r="P14" s="34" t="str">
        <f>IF(NOT(AND(T13="",A14&lt;=S13)),"",IF(FALSE,"繰上返済後再計算","")&amp;IF(AND(入力!$B$13="有効",A14&gt;1,MOD(A14-1,60)=0),IF(FALSE,"・","")&amp;"5年見直し","")&amp;IF(AND(A14=入力!$B$11,A14&gt;1),IF(OR(FALSE,AND(入力!$B$13="有効",A14&gt;1,MOD(A14-1,60)=0)),"・","")&amp;"金利変更","")&amp;IF(AND(OR(AND(入力!$B$13="有効",A14&gt;1,MOD(A14-1,60)=0),AND(A14=入力!$B$11,A14&gt;1)),入力!$B$14="有効",IF(E14=0,ROUND(C14/MAX(1,S13-A14+1),0),ROUND(-PMT(E14/12,MAX(1,S13-A14+1),C14),0))&gt;ROUND(G13*1.25,0),NOT(FALSE)),"・上限適用",""))</f>
        <v/>
      </c>
      <c r="Q14" s="35" t="str">
        <f>IF(AND(T13="",A14&lt;=S13),入力!$B$13,"")</f>
        <v>有効</v>
      </c>
      <c r="R14" s="32" t="str">
        <f>IF(AND(AND(T13="",A14&lt;=S13),OR(AND(入力!$B$13="有効",A14&gt;1,MOD(A14-1,60)=0),AND(A14=入力!$B$11,A14&gt;1)),入力!$B$14="有効"),ROUND(G13*1.25,0),"")</f>
        <v/>
      </c>
      <c r="S14" s="36">
        <f>IF(A14&lt;&gt;入力!$B$15,S13,IF(K14&lt;&gt;0,S13,IF(G14&lt;=F14,S13,IF(M14&lt;=0,S13,IF(AND(N14&gt;0,E14&gt;0,G14&lt;=N14*E14/12),S13,IF(A14+IF(N14=0,0,IF(E14=0,ROUNDUP(N14/G14,0),ROUNDUP(NPER(E14/12,-G14,N14),0)))&lt;S13,A14+IF(N14=0,0,IF(E14=0,ROUNDUP(N14/G14,0),ROUNDUP(NPER(E14/12,-G14,N14),0))),S13))))))</f>
        <v>420</v>
      </c>
      <c r="T14" s="35" t="str">
        <f t="shared" si="15"/>
        <v/>
      </c>
      <c r="U14" s="3">
        <f t="shared" si="0"/>
        <v>0</v>
      </c>
      <c r="V14" s="3">
        <f t="shared" si="1"/>
        <v>0</v>
      </c>
      <c r="W14" s="3">
        <f t="shared" si="2"/>
        <v>0</v>
      </c>
      <c r="X14" s="3">
        <f t="shared" si="3"/>
        <v>0</v>
      </c>
      <c r="Y14" s="3">
        <f>0</f>
        <v>0</v>
      </c>
      <c r="Z14" s="3">
        <f t="shared" si="4"/>
        <v>0</v>
      </c>
      <c r="AA14">
        <f>ROUND(IF(FALSE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,0)</f>
        <v>93982</v>
      </c>
    </row>
    <row r="15" spans="1:27">
      <c r="A15" s="30">
        <f>10</f>
        <v>10</v>
      </c>
      <c r="B15" s="31">
        <f>EDATE(入力!$B$6,A15-1)</f>
        <v>46508</v>
      </c>
      <c r="C15" s="32">
        <f t="shared" si="5"/>
        <v>34336367</v>
      </c>
      <c r="D15" s="32">
        <f t="shared" si="6"/>
        <v>0</v>
      </c>
      <c r="E15" s="33">
        <f>IF(AND(T14="",A15&lt;=S14),IF(A15&lt;入力!$B$11,入力!$B$10,入力!$B$12),0)</f>
        <v>7.0000000000000001E-3</v>
      </c>
      <c r="F15" s="32">
        <f t="shared" si="7"/>
        <v>20030</v>
      </c>
      <c r="G15" s="32">
        <f>ROUND(IF(NOT(AND(T14="",A15&lt;=S14)),0,IF(FALSE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),0)</f>
        <v>93982</v>
      </c>
      <c r="H15" s="32">
        <f t="shared" si="8"/>
        <v>93982</v>
      </c>
      <c r="I15" s="32">
        <f t="shared" si="9"/>
        <v>20030</v>
      </c>
      <c r="J15" s="32">
        <f t="shared" si="10"/>
        <v>0</v>
      </c>
      <c r="K15" s="32">
        <f t="shared" si="11"/>
        <v>0</v>
      </c>
      <c r="L15" s="32">
        <f t="shared" si="12"/>
        <v>73952</v>
      </c>
      <c r="M15" s="32">
        <f>IF(AND(AND(T14="",A15&lt;=S14),A15=入力!$B$15),ROUND(MIN(入力!$B$16,MAX(0,C15-L15)),0),0)</f>
        <v>0</v>
      </c>
      <c r="N15" s="32">
        <f t="shared" si="13"/>
        <v>34262415</v>
      </c>
      <c r="O15" s="32">
        <f t="shared" si="14"/>
        <v>202235</v>
      </c>
      <c r="P15" s="34" t="str">
        <f>IF(NOT(AND(T14="",A15&lt;=S14)),"",IF(FALSE,"繰上返済後再計算","")&amp;IF(AND(入力!$B$13="有効",A15&gt;1,MOD(A15-1,60)=0),IF(FALSE,"・","")&amp;"5年見直し","")&amp;IF(AND(A15=入力!$B$11,A15&gt;1),IF(OR(FALSE,AND(入力!$B$13="有効",A15&gt;1,MOD(A15-1,60)=0)),"・","")&amp;"金利変更","")&amp;IF(AND(OR(AND(入力!$B$13="有効",A15&gt;1,MOD(A15-1,60)=0),AND(A15=入力!$B$11,A15&gt;1)),入力!$B$14="有効",IF(E15=0,ROUND(C15/MAX(1,S14-A15+1),0),ROUND(-PMT(E15/12,MAX(1,S14-A15+1),C15),0))&gt;ROUND(G14*1.25,0),NOT(FALSE)),"・上限適用",""))</f>
        <v/>
      </c>
      <c r="Q15" s="35" t="str">
        <f>IF(AND(T14="",A15&lt;=S14),入力!$B$13,"")</f>
        <v>有効</v>
      </c>
      <c r="R15" s="32" t="str">
        <f>IF(AND(AND(T14="",A15&lt;=S14),OR(AND(入力!$B$13="有効",A15&gt;1,MOD(A15-1,60)=0),AND(A15=入力!$B$11,A15&gt;1)),入力!$B$14="有効"),ROUND(G14*1.25,0),"")</f>
        <v/>
      </c>
      <c r="S15" s="36">
        <f>IF(A15&lt;&gt;入力!$B$15,S14,IF(K15&lt;&gt;0,S14,IF(G15&lt;=F15,S14,IF(M15&lt;=0,S14,IF(AND(N15&gt;0,E15&gt;0,G15&lt;=N15*E15/12),S14,IF(A15+IF(N15=0,0,IF(E15=0,ROUNDUP(N15/G15,0),ROUNDUP(NPER(E15/12,-G15,N15),0)))&lt;S14,A15+IF(N15=0,0,IF(E15=0,ROUNDUP(N15/G15,0),ROUNDUP(NPER(E15/12,-G15,N15),0))),S14))))))</f>
        <v>420</v>
      </c>
      <c r="T15" s="35" t="str">
        <f t="shared" si="15"/>
        <v/>
      </c>
      <c r="U15" s="3">
        <f t="shared" si="0"/>
        <v>0</v>
      </c>
      <c r="V15" s="3">
        <f t="shared" si="1"/>
        <v>0</v>
      </c>
      <c r="W15" s="3">
        <f t="shared" si="2"/>
        <v>0</v>
      </c>
      <c r="X15" s="3">
        <f t="shared" si="3"/>
        <v>0</v>
      </c>
      <c r="Y15" s="3">
        <f>0</f>
        <v>0</v>
      </c>
      <c r="Z15" s="3">
        <f t="shared" si="4"/>
        <v>0</v>
      </c>
      <c r="AA15">
        <f>ROUND(IF(FALSE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,0)</f>
        <v>93982</v>
      </c>
    </row>
    <row r="16" spans="1:27">
      <c r="A16" s="30">
        <f>11</f>
        <v>11</v>
      </c>
      <c r="B16" s="31">
        <f>EDATE(入力!$B$6,A16-1)</f>
        <v>46539</v>
      </c>
      <c r="C16" s="32">
        <f t="shared" si="5"/>
        <v>34262415</v>
      </c>
      <c r="D16" s="32">
        <f t="shared" si="6"/>
        <v>0</v>
      </c>
      <c r="E16" s="33">
        <f>IF(AND(T15="",A16&lt;=S15),IF(A16&lt;入力!$B$11,入力!$B$10,入力!$B$12),0)</f>
        <v>7.0000000000000001E-3</v>
      </c>
      <c r="F16" s="32">
        <f t="shared" si="7"/>
        <v>19986</v>
      </c>
      <c r="G16" s="32">
        <f>ROUND(IF(NOT(AND(T15="",A16&lt;=S15)),0,IF(FALSE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),0)</f>
        <v>93982</v>
      </c>
      <c r="H16" s="32">
        <f t="shared" si="8"/>
        <v>93982</v>
      </c>
      <c r="I16" s="32">
        <f t="shared" si="9"/>
        <v>19986</v>
      </c>
      <c r="J16" s="32">
        <f t="shared" si="10"/>
        <v>0</v>
      </c>
      <c r="K16" s="32">
        <f t="shared" si="11"/>
        <v>0</v>
      </c>
      <c r="L16" s="32">
        <f t="shared" si="12"/>
        <v>73996</v>
      </c>
      <c r="M16" s="32">
        <f>IF(AND(AND(T15="",A16&lt;=S15),A16=入力!$B$15),ROUND(MIN(入力!$B$16,MAX(0,C16-L16)),0),0)</f>
        <v>0</v>
      </c>
      <c r="N16" s="32">
        <f t="shared" si="13"/>
        <v>34188419</v>
      </c>
      <c r="O16" s="32">
        <f t="shared" si="14"/>
        <v>222221</v>
      </c>
      <c r="P16" s="34" t="str">
        <f>IF(NOT(AND(T15="",A16&lt;=S15)),"",IF(FALSE,"繰上返済後再計算","")&amp;IF(AND(入力!$B$13="有効",A16&gt;1,MOD(A16-1,60)=0),IF(FALSE,"・","")&amp;"5年見直し","")&amp;IF(AND(A16=入力!$B$11,A16&gt;1),IF(OR(FALSE,AND(入力!$B$13="有効",A16&gt;1,MOD(A16-1,60)=0)),"・","")&amp;"金利変更","")&amp;IF(AND(OR(AND(入力!$B$13="有効",A16&gt;1,MOD(A16-1,60)=0),AND(A16=入力!$B$11,A16&gt;1)),入力!$B$14="有効",IF(E16=0,ROUND(C16/MAX(1,S15-A16+1),0),ROUND(-PMT(E16/12,MAX(1,S15-A16+1),C16),0))&gt;ROUND(G15*1.25,0),NOT(FALSE)),"・上限適用",""))</f>
        <v/>
      </c>
      <c r="Q16" s="35" t="str">
        <f>IF(AND(T15="",A16&lt;=S15),入力!$B$13,"")</f>
        <v>有効</v>
      </c>
      <c r="R16" s="32" t="str">
        <f>IF(AND(AND(T15="",A16&lt;=S15),OR(AND(入力!$B$13="有効",A16&gt;1,MOD(A16-1,60)=0),AND(A16=入力!$B$11,A16&gt;1)),入力!$B$14="有効"),ROUND(G15*1.25,0),"")</f>
        <v/>
      </c>
      <c r="S16" s="36">
        <f>IF(A16&lt;&gt;入力!$B$15,S15,IF(K16&lt;&gt;0,S15,IF(G16&lt;=F16,S15,IF(M16&lt;=0,S15,IF(AND(N16&gt;0,E16&gt;0,G16&lt;=N16*E16/12),S15,IF(A16+IF(N16=0,0,IF(E16=0,ROUNDUP(N16/G16,0),ROUNDUP(NPER(E16/12,-G16,N16),0)))&lt;S15,A16+IF(N16=0,0,IF(E16=0,ROUNDUP(N16/G16,0),ROUNDUP(NPER(E16/12,-G16,N16),0))),S15))))))</f>
        <v>420</v>
      </c>
      <c r="T16" s="35" t="str">
        <f t="shared" si="15"/>
        <v/>
      </c>
      <c r="U16" s="3">
        <f t="shared" si="0"/>
        <v>0</v>
      </c>
      <c r="V16" s="3">
        <f t="shared" si="1"/>
        <v>0</v>
      </c>
      <c r="W16" s="3">
        <f t="shared" si="2"/>
        <v>0</v>
      </c>
      <c r="X16" s="3">
        <f t="shared" si="3"/>
        <v>0</v>
      </c>
      <c r="Y16" s="3">
        <f>0</f>
        <v>0</v>
      </c>
      <c r="Z16" s="3">
        <f t="shared" si="4"/>
        <v>0</v>
      </c>
      <c r="AA16">
        <f>ROUND(IF(FALSE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,0)</f>
        <v>93982</v>
      </c>
    </row>
    <row r="17" spans="1:27">
      <c r="A17" s="30">
        <f>12</f>
        <v>12</v>
      </c>
      <c r="B17" s="31">
        <f>EDATE(入力!$B$6,A17-1)</f>
        <v>46569</v>
      </c>
      <c r="C17" s="32">
        <f t="shared" si="5"/>
        <v>34188419</v>
      </c>
      <c r="D17" s="32">
        <f t="shared" si="6"/>
        <v>0</v>
      </c>
      <c r="E17" s="33">
        <f>IF(AND(T16="",A17&lt;=S16),IF(A17&lt;入力!$B$11,入力!$B$10,入力!$B$12),0)</f>
        <v>7.0000000000000001E-3</v>
      </c>
      <c r="F17" s="32">
        <f t="shared" si="7"/>
        <v>19943</v>
      </c>
      <c r="G17" s="32">
        <f>ROUND(IF(NOT(AND(T16="",A17&lt;=S16)),0,IF(FALSE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),0)</f>
        <v>93982</v>
      </c>
      <c r="H17" s="32">
        <f t="shared" si="8"/>
        <v>93982</v>
      </c>
      <c r="I17" s="32">
        <f t="shared" si="9"/>
        <v>19943</v>
      </c>
      <c r="J17" s="32">
        <f t="shared" si="10"/>
        <v>0</v>
      </c>
      <c r="K17" s="32">
        <f t="shared" si="11"/>
        <v>0</v>
      </c>
      <c r="L17" s="32">
        <f t="shared" si="12"/>
        <v>74039</v>
      </c>
      <c r="M17" s="32">
        <f>IF(AND(AND(T16="",A17&lt;=S16),A17=入力!$B$15),ROUND(MIN(入力!$B$16,MAX(0,C17-L17)),0),0)</f>
        <v>0</v>
      </c>
      <c r="N17" s="32">
        <f t="shared" si="13"/>
        <v>34114380</v>
      </c>
      <c r="O17" s="32">
        <f t="shared" si="14"/>
        <v>242164</v>
      </c>
      <c r="P17" s="34" t="str">
        <f>IF(NOT(AND(T16="",A17&lt;=S16)),"",IF(FALSE,"繰上返済後再計算","")&amp;IF(AND(入力!$B$13="有効",A17&gt;1,MOD(A17-1,60)=0),IF(FALSE,"・","")&amp;"5年見直し","")&amp;IF(AND(A17=入力!$B$11,A17&gt;1),IF(OR(FALSE,AND(入力!$B$13="有効",A17&gt;1,MOD(A17-1,60)=0)),"・","")&amp;"金利変更","")&amp;IF(AND(OR(AND(入力!$B$13="有効",A17&gt;1,MOD(A17-1,60)=0),AND(A17=入力!$B$11,A17&gt;1)),入力!$B$14="有効",IF(E17=0,ROUND(C17/MAX(1,S16-A17+1),0),ROUND(-PMT(E17/12,MAX(1,S16-A17+1),C17),0))&gt;ROUND(G16*1.25,0),NOT(FALSE)),"・上限適用",""))</f>
        <v/>
      </c>
      <c r="Q17" s="35" t="str">
        <f>IF(AND(T16="",A17&lt;=S16),入力!$B$13,"")</f>
        <v>有効</v>
      </c>
      <c r="R17" s="32" t="str">
        <f>IF(AND(AND(T16="",A17&lt;=S16),OR(AND(入力!$B$13="有効",A17&gt;1,MOD(A17-1,60)=0),AND(A17=入力!$B$11,A17&gt;1)),入力!$B$14="有効"),ROUND(G16*1.25,0),"")</f>
        <v/>
      </c>
      <c r="S17" s="36">
        <f>IF(A17&lt;&gt;入力!$B$15,S16,IF(K17&lt;&gt;0,S16,IF(G17&lt;=F17,S16,IF(M17&lt;=0,S16,IF(AND(N17&gt;0,E17&gt;0,G17&lt;=N17*E17/12),S16,IF(A17+IF(N17=0,0,IF(E17=0,ROUNDUP(N17/G17,0),ROUNDUP(NPER(E17/12,-G17,N17),0)))&lt;S16,A17+IF(N17=0,0,IF(E17=0,ROUNDUP(N17/G17,0),ROUNDUP(NPER(E17/12,-G17,N17),0))),S16))))))</f>
        <v>420</v>
      </c>
      <c r="T17" s="35" t="str">
        <f t="shared" si="15"/>
        <v/>
      </c>
      <c r="U17" s="3">
        <f t="shared" si="0"/>
        <v>0</v>
      </c>
      <c r="V17" s="3">
        <f t="shared" si="1"/>
        <v>0</v>
      </c>
      <c r="W17" s="3">
        <f t="shared" si="2"/>
        <v>0</v>
      </c>
      <c r="X17" s="3">
        <f t="shared" si="3"/>
        <v>0</v>
      </c>
      <c r="Y17" s="3">
        <f>0</f>
        <v>0</v>
      </c>
      <c r="Z17" s="3">
        <f t="shared" si="4"/>
        <v>0</v>
      </c>
      <c r="AA17">
        <f>ROUND(IF(FALSE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,0)</f>
        <v>93982</v>
      </c>
    </row>
    <row r="18" spans="1:27">
      <c r="A18" s="30">
        <f>13</f>
        <v>13</v>
      </c>
      <c r="B18" s="31">
        <f>EDATE(入力!$B$6,A18-1)</f>
        <v>46600</v>
      </c>
      <c r="C18" s="32">
        <f t="shared" si="5"/>
        <v>34114380</v>
      </c>
      <c r="D18" s="32">
        <f t="shared" si="6"/>
        <v>0</v>
      </c>
      <c r="E18" s="33">
        <f>IF(AND(T17="",A18&lt;=S17),IF(A18&lt;入力!$B$11,入力!$B$10,入力!$B$12),0)</f>
        <v>7.0000000000000001E-3</v>
      </c>
      <c r="F18" s="32">
        <f t="shared" si="7"/>
        <v>19900</v>
      </c>
      <c r="G18" s="32">
        <f>ROUND(IF(NOT(AND(T17="",A18&lt;=S17)),0,IF(FALSE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),0)</f>
        <v>93982</v>
      </c>
      <c r="H18" s="32">
        <f t="shared" si="8"/>
        <v>93982</v>
      </c>
      <c r="I18" s="32">
        <f t="shared" si="9"/>
        <v>19900</v>
      </c>
      <c r="J18" s="32">
        <f t="shared" si="10"/>
        <v>0</v>
      </c>
      <c r="K18" s="32">
        <f t="shared" si="11"/>
        <v>0</v>
      </c>
      <c r="L18" s="32">
        <f t="shared" si="12"/>
        <v>74082</v>
      </c>
      <c r="M18" s="32">
        <f>IF(AND(AND(T17="",A18&lt;=S17),A18=入力!$B$15),ROUND(MIN(入力!$B$16,MAX(0,C18-L18)),0),0)</f>
        <v>0</v>
      </c>
      <c r="N18" s="32">
        <f t="shared" si="13"/>
        <v>34040298</v>
      </c>
      <c r="O18" s="32">
        <f t="shared" si="14"/>
        <v>262064</v>
      </c>
      <c r="P18" s="34" t="str">
        <f>IF(NOT(AND(T17="",A18&lt;=S17)),"",IF(FALSE,"繰上返済後再計算","")&amp;IF(AND(入力!$B$13="有効",A18&gt;1,MOD(A18-1,60)=0),IF(FALSE,"・","")&amp;"5年見直し","")&amp;IF(AND(A18=入力!$B$11,A18&gt;1),IF(OR(FALSE,AND(入力!$B$13="有効",A18&gt;1,MOD(A18-1,60)=0)),"・","")&amp;"金利変更","")&amp;IF(AND(OR(AND(入力!$B$13="有効",A18&gt;1,MOD(A18-1,60)=0),AND(A18=入力!$B$11,A18&gt;1)),入力!$B$14="有効",IF(E18=0,ROUND(C18/MAX(1,S17-A18+1),0),ROUND(-PMT(E18/12,MAX(1,S17-A18+1),C18),0))&gt;ROUND(G17*1.25,0),NOT(FALSE)),"・上限適用",""))</f>
        <v/>
      </c>
      <c r="Q18" s="35" t="str">
        <f>IF(AND(T17="",A18&lt;=S17),入力!$B$13,"")</f>
        <v>有効</v>
      </c>
      <c r="R18" s="32" t="str">
        <f>IF(AND(AND(T17="",A18&lt;=S17),OR(AND(入力!$B$13="有効",A18&gt;1,MOD(A18-1,60)=0),AND(A18=入力!$B$11,A18&gt;1)),入力!$B$14="有効"),ROUND(G17*1.25,0),"")</f>
        <v/>
      </c>
      <c r="S18" s="36">
        <f>IF(A18&lt;&gt;入力!$B$15,S17,IF(K18&lt;&gt;0,S17,IF(G18&lt;=F18,S17,IF(M18&lt;=0,S17,IF(AND(N18&gt;0,E18&gt;0,G18&lt;=N18*E18/12),S17,IF(A18+IF(N18=0,0,IF(E18=0,ROUNDUP(N18/G18,0),ROUNDUP(NPER(E18/12,-G18,N18),0)))&lt;S17,A18+IF(N18=0,0,IF(E18=0,ROUNDUP(N18/G18,0),ROUNDUP(NPER(E18/12,-G18,N18),0))),S17))))))</f>
        <v>420</v>
      </c>
      <c r="T18" s="35" t="str">
        <f t="shared" si="15"/>
        <v/>
      </c>
      <c r="U18" s="3">
        <f t="shared" si="0"/>
        <v>0</v>
      </c>
      <c r="V18" s="3">
        <f t="shared" si="1"/>
        <v>0</v>
      </c>
      <c r="W18" s="3">
        <f t="shared" si="2"/>
        <v>0</v>
      </c>
      <c r="X18" s="3">
        <f t="shared" si="3"/>
        <v>0</v>
      </c>
      <c r="Y18" s="3">
        <f>0</f>
        <v>0</v>
      </c>
      <c r="Z18" s="3">
        <f t="shared" si="4"/>
        <v>0</v>
      </c>
      <c r="AA18">
        <f>ROUND(IF(FALSE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,0)</f>
        <v>93982</v>
      </c>
    </row>
    <row r="19" spans="1:27">
      <c r="A19" s="30">
        <f>14</f>
        <v>14</v>
      </c>
      <c r="B19" s="31">
        <f>EDATE(入力!$B$6,A19-1)</f>
        <v>46631</v>
      </c>
      <c r="C19" s="32">
        <f t="shared" si="5"/>
        <v>34040298</v>
      </c>
      <c r="D19" s="32">
        <f t="shared" si="6"/>
        <v>0</v>
      </c>
      <c r="E19" s="33">
        <f>IF(AND(T18="",A19&lt;=S18),IF(A19&lt;入力!$B$11,入力!$B$10,入力!$B$12),0)</f>
        <v>7.0000000000000001E-3</v>
      </c>
      <c r="F19" s="32">
        <f t="shared" si="7"/>
        <v>19857</v>
      </c>
      <c r="G19" s="32">
        <f>ROUND(IF(NOT(AND(T18="",A19&lt;=S18)),0,IF(FALSE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),0)</f>
        <v>93982</v>
      </c>
      <c r="H19" s="32">
        <f t="shared" si="8"/>
        <v>93982</v>
      </c>
      <c r="I19" s="32">
        <f t="shared" si="9"/>
        <v>19857</v>
      </c>
      <c r="J19" s="32">
        <f t="shared" si="10"/>
        <v>0</v>
      </c>
      <c r="K19" s="32">
        <f t="shared" si="11"/>
        <v>0</v>
      </c>
      <c r="L19" s="32">
        <f t="shared" si="12"/>
        <v>74125</v>
      </c>
      <c r="M19" s="32">
        <f>IF(AND(AND(T18="",A19&lt;=S18),A19=入力!$B$15),ROUND(MIN(入力!$B$16,MAX(0,C19-L19)),0),0)</f>
        <v>0</v>
      </c>
      <c r="N19" s="32">
        <f t="shared" si="13"/>
        <v>33966173</v>
      </c>
      <c r="O19" s="32">
        <f t="shared" si="14"/>
        <v>281921</v>
      </c>
      <c r="P19" s="34" t="str">
        <f>IF(NOT(AND(T18="",A19&lt;=S18)),"",IF(FALSE,"繰上返済後再計算","")&amp;IF(AND(入力!$B$13="有効",A19&gt;1,MOD(A19-1,60)=0),IF(FALSE,"・","")&amp;"5年見直し","")&amp;IF(AND(A19=入力!$B$11,A19&gt;1),IF(OR(FALSE,AND(入力!$B$13="有効",A19&gt;1,MOD(A19-1,60)=0)),"・","")&amp;"金利変更","")&amp;IF(AND(OR(AND(入力!$B$13="有効",A19&gt;1,MOD(A19-1,60)=0),AND(A19=入力!$B$11,A19&gt;1)),入力!$B$14="有効",IF(E19=0,ROUND(C19/MAX(1,S18-A19+1),0),ROUND(-PMT(E19/12,MAX(1,S18-A19+1),C19),0))&gt;ROUND(G18*1.25,0),NOT(FALSE)),"・上限適用",""))</f>
        <v/>
      </c>
      <c r="Q19" s="35" t="str">
        <f>IF(AND(T18="",A19&lt;=S18),入力!$B$13,"")</f>
        <v>有効</v>
      </c>
      <c r="R19" s="32" t="str">
        <f>IF(AND(AND(T18="",A19&lt;=S18),OR(AND(入力!$B$13="有効",A19&gt;1,MOD(A19-1,60)=0),AND(A19=入力!$B$11,A19&gt;1)),入力!$B$14="有効"),ROUND(G18*1.25,0),"")</f>
        <v/>
      </c>
      <c r="S19" s="36">
        <f>IF(A19&lt;&gt;入力!$B$15,S18,IF(K19&lt;&gt;0,S18,IF(G19&lt;=F19,S18,IF(M19&lt;=0,S18,IF(AND(N19&gt;0,E19&gt;0,G19&lt;=N19*E19/12),S18,IF(A19+IF(N19=0,0,IF(E19=0,ROUNDUP(N19/G19,0),ROUNDUP(NPER(E19/12,-G19,N19),0)))&lt;S18,A19+IF(N19=0,0,IF(E19=0,ROUNDUP(N19/G19,0),ROUNDUP(NPER(E19/12,-G19,N19),0))),S18))))))</f>
        <v>420</v>
      </c>
      <c r="T19" s="35" t="str">
        <f t="shared" si="15"/>
        <v/>
      </c>
      <c r="U19" s="3">
        <f t="shared" si="0"/>
        <v>0</v>
      </c>
      <c r="V19" s="3">
        <f t="shared" si="1"/>
        <v>0</v>
      </c>
      <c r="W19" s="3">
        <f t="shared" si="2"/>
        <v>0</v>
      </c>
      <c r="X19" s="3">
        <f t="shared" si="3"/>
        <v>0</v>
      </c>
      <c r="Y19" s="3">
        <f>0</f>
        <v>0</v>
      </c>
      <c r="Z19" s="3">
        <f t="shared" si="4"/>
        <v>0</v>
      </c>
      <c r="AA19">
        <f>ROUND(IF(FALSE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,0)</f>
        <v>93982</v>
      </c>
    </row>
    <row r="20" spans="1:27">
      <c r="A20" s="30">
        <f>15</f>
        <v>15</v>
      </c>
      <c r="B20" s="31">
        <f>EDATE(入力!$B$6,A20-1)</f>
        <v>46661</v>
      </c>
      <c r="C20" s="32">
        <f t="shared" si="5"/>
        <v>33966173</v>
      </c>
      <c r="D20" s="32">
        <f t="shared" si="6"/>
        <v>0</v>
      </c>
      <c r="E20" s="33">
        <f>IF(AND(T19="",A20&lt;=S19),IF(A20&lt;入力!$B$11,入力!$B$10,入力!$B$12),0)</f>
        <v>7.0000000000000001E-3</v>
      </c>
      <c r="F20" s="32">
        <f t="shared" si="7"/>
        <v>19814</v>
      </c>
      <c r="G20" s="32">
        <f>ROUND(IF(NOT(AND(T19="",A20&lt;=S19)),0,IF(FALSE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),0)</f>
        <v>93982</v>
      </c>
      <c r="H20" s="32">
        <f t="shared" si="8"/>
        <v>93982</v>
      </c>
      <c r="I20" s="32">
        <f t="shared" si="9"/>
        <v>19814</v>
      </c>
      <c r="J20" s="32">
        <f t="shared" si="10"/>
        <v>0</v>
      </c>
      <c r="K20" s="32">
        <f t="shared" si="11"/>
        <v>0</v>
      </c>
      <c r="L20" s="32">
        <f t="shared" si="12"/>
        <v>74168</v>
      </c>
      <c r="M20" s="32">
        <f>IF(AND(AND(T19="",A20&lt;=S19),A20=入力!$B$15),ROUND(MIN(入力!$B$16,MAX(0,C20-L20)),0),0)</f>
        <v>0</v>
      </c>
      <c r="N20" s="32">
        <f t="shared" si="13"/>
        <v>33892005</v>
      </c>
      <c r="O20" s="32">
        <f t="shared" si="14"/>
        <v>301735</v>
      </c>
      <c r="P20" s="34" t="str">
        <f>IF(NOT(AND(T19="",A20&lt;=S19)),"",IF(FALSE,"繰上返済後再計算","")&amp;IF(AND(入力!$B$13="有効",A20&gt;1,MOD(A20-1,60)=0),IF(FALSE,"・","")&amp;"5年見直し","")&amp;IF(AND(A20=入力!$B$11,A20&gt;1),IF(OR(FALSE,AND(入力!$B$13="有効",A20&gt;1,MOD(A20-1,60)=0)),"・","")&amp;"金利変更","")&amp;IF(AND(OR(AND(入力!$B$13="有効",A20&gt;1,MOD(A20-1,60)=0),AND(A20=入力!$B$11,A20&gt;1)),入力!$B$14="有効",IF(E20=0,ROUND(C20/MAX(1,S19-A20+1),0),ROUND(-PMT(E20/12,MAX(1,S19-A20+1),C20),0))&gt;ROUND(G19*1.25,0),NOT(FALSE)),"・上限適用",""))</f>
        <v/>
      </c>
      <c r="Q20" s="35" t="str">
        <f>IF(AND(T19="",A20&lt;=S19),入力!$B$13,"")</f>
        <v>有効</v>
      </c>
      <c r="R20" s="32" t="str">
        <f>IF(AND(AND(T19="",A20&lt;=S19),OR(AND(入力!$B$13="有効",A20&gt;1,MOD(A20-1,60)=0),AND(A20=入力!$B$11,A20&gt;1)),入力!$B$14="有効"),ROUND(G19*1.25,0),"")</f>
        <v/>
      </c>
      <c r="S20" s="36">
        <f>IF(A20&lt;&gt;入力!$B$15,S19,IF(K20&lt;&gt;0,S19,IF(G20&lt;=F20,S19,IF(M20&lt;=0,S19,IF(AND(N20&gt;0,E20&gt;0,G20&lt;=N20*E20/12),S19,IF(A20+IF(N20=0,0,IF(E20=0,ROUNDUP(N20/G20,0),ROUNDUP(NPER(E20/12,-G20,N20),0)))&lt;S19,A20+IF(N20=0,0,IF(E20=0,ROUNDUP(N20/G20,0),ROUNDUP(NPER(E20/12,-G20,N20),0))),S19))))))</f>
        <v>420</v>
      </c>
      <c r="T20" s="35" t="str">
        <f t="shared" si="15"/>
        <v/>
      </c>
      <c r="U20" s="3">
        <f t="shared" si="0"/>
        <v>0</v>
      </c>
      <c r="V20" s="3">
        <f t="shared" si="1"/>
        <v>0</v>
      </c>
      <c r="W20" s="3">
        <f t="shared" si="2"/>
        <v>0</v>
      </c>
      <c r="X20" s="3">
        <f t="shared" si="3"/>
        <v>0</v>
      </c>
      <c r="Y20" s="3">
        <f>0</f>
        <v>0</v>
      </c>
      <c r="Z20" s="3">
        <f t="shared" si="4"/>
        <v>0</v>
      </c>
      <c r="AA20">
        <f>ROUND(IF(FALSE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,0)</f>
        <v>93982</v>
      </c>
    </row>
    <row r="21" spans="1:27">
      <c r="A21" s="30">
        <f>16</f>
        <v>16</v>
      </c>
      <c r="B21" s="31">
        <f>EDATE(入力!$B$6,A21-1)</f>
        <v>46692</v>
      </c>
      <c r="C21" s="32">
        <f t="shared" si="5"/>
        <v>33892005</v>
      </c>
      <c r="D21" s="32">
        <f t="shared" si="6"/>
        <v>0</v>
      </c>
      <c r="E21" s="33">
        <f>IF(AND(T20="",A21&lt;=S20),IF(A21&lt;入力!$B$11,入力!$B$10,入力!$B$12),0)</f>
        <v>7.0000000000000001E-3</v>
      </c>
      <c r="F21" s="32">
        <f t="shared" si="7"/>
        <v>19770</v>
      </c>
      <c r="G21" s="32">
        <f>ROUND(IF(NOT(AND(T20="",A21&lt;=S20)),0,IF(FALSE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),0)</f>
        <v>93982</v>
      </c>
      <c r="H21" s="32">
        <f t="shared" si="8"/>
        <v>93982</v>
      </c>
      <c r="I21" s="32">
        <f t="shared" si="9"/>
        <v>19770</v>
      </c>
      <c r="J21" s="32">
        <f t="shared" si="10"/>
        <v>0</v>
      </c>
      <c r="K21" s="32">
        <f t="shared" si="11"/>
        <v>0</v>
      </c>
      <c r="L21" s="32">
        <f t="shared" si="12"/>
        <v>74212</v>
      </c>
      <c r="M21" s="32">
        <f>IF(AND(AND(T20="",A21&lt;=S20),A21=入力!$B$15),ROUND(MIN(入力!$B$16,MAX(0,C21-L21)),0),0)</f>
        <v>0</v>
      </c>
      <c r="N21" s="32">
        <f t="shared" si="13"/>
        <v>33817793</v>
      </c>
      <c r="O21" s="32">
        <f t="shared" si="14"/>
        <v>321505</v>
      </c>
      <c r="P21" s="34" t="str">
        <f>IF(NOT(AND(T20="",A21&lt;=S20)),"",IF(FALSE,"繰上返済後再計算","")&amp;IF(AND(入力!$B$13="有効",A21&gt;1,MOD(A21-1,60)=0),IF(FALSE,"・","")&amp;"5年見直し","")&amp;IF(AND(A21=入力!$B$11,A21&gt;1),IF(OR(FALSE,AND(入力!$B$13="有効",A21&gt;1,MOD(A21-1,60)=0)),"・","")&amp;"金利変更","")&amp;IF(AND(OR(AND(入力!$B$13="有効",A21&gt;1,MOD(A21-1,60)=0),AND(A21=入力!$B$11,A21&gt;1)),入力!$B$14="有効",IF(E21=0,ROUND(C21/MAX(1,S20-A21+1),0),ROUND(-PMT(E21/12,MAX(1,S20-A21+1),C21),0))&gt;ROUND(G20*1.25,0),NOT(FALSE)),"・上限適用",""))</f>
        <v/>
      </c>
      <c r="Q21" s="35" t="str">
        <f>IF(AND(T20="",A21&lt;=S20),入力!$B$13,"")</f>
        <v>有効</v>
      </c>
      <c r="R21" s="32" t="str">
        <f>IF(AND(AND(T20="",A21&lt;=S20),OR(AND(入力!$B$13="有効",A21&gt;1,MOD(A21-1,60)=0),AND(A21=入力!$B$11,A21&gt;1)),入力!$B$14="有効"),ROUND(G20*1.25,0),"")</f>
        <v/>
      </c>
      <c r="S21" s="36">
        <f>IF(A21&lt;&gt;入力!$B$15,S20,IF(K21&lt;&gt;0,S20,IF(G21&lt;=F21,S20,IF(M21&lt;=0,S20,IF(AND(N21&gt;0,E21&gt;0,G21&lt;=N21*E21/12),S20,IF(A21+IF(N21=0,0,IF(E21=0,ROUNDUP(N21/G21,0),ROUNDUP(NPER(E21/12,-G21,N21),0)))&lt;S20,A21+IF(N21=0,0,IF(E21=0,ROUNDUP(N21/G21,0),ROUNDUP(NPER(E21/12,-G21,N21),0))),S20))))))</f>
        <v>420</v>
      </c>
      <c r="T21" s="35" t="str">
        <f t="shared" si="15"/>
        <v/>
      </c>
      <c r="U21" s="3">
        <f t="shared" si="0"/>
        <v>0</v>
      </c>
      <c r="V21" s="3">
        <f t="shared" si="1"/>
        <v>0</v>
      </c>
      <c r="W21" s="3">
        <f t="shared" si="2"/>
        <v>0</v>
      </c>
      <c r="X21" s="3">
        <f t="shared" si="3"/>
        <v>0</v>
      </c>
      <c r="Y21" s="3">
        <f>0</f>
        <v>0</v>
      </c>
      <c r="Z21" s="3">
        <f t="shared" si="4"/>
        <v>0</v>
      </c>
      <c r="AA21">
        <f>ROUND(IF(FALSE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,0)</f>
        <v>93982</v>
      </c>
    </row>
    <row r="22" spans="1:27">
      <c r="A22" s="30">
        <f>17</f>
        <v>17</v>
      </c>
      <c r="B22" s="31">
        <f>EDATE(入力!$B$6,A22-1)</f>
        <v>46722</v>
      </c>
      <c r="C22" s="32">
        <f t="shared" si="5"/>
        <v>33817793</v>
      </c>
      <c r="D22" s="32">
        <f t="shared" si="6"/>
        <v>0</v>
      </c>
      <c r="E22" s="33">
        <f>IF(AND(T21="",A22&lt;=S21),IF(A22&lt;入力!$B$11,入力!$B$10,入力!$B$12),0)</f>
        <v>7.0000000000000001E-3</v>
      </c>
      <c r="F22" s="32">
        <f t="shared" si="7"/>
        <v>19727</v>
      </c>
      <c r="G22" s="32">
        <f>ROUND(IF(NOT(AND(T21="",A22&lt;=S21)),0,IF(FALSE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),0)</f>
        <v>93982</v>
      </c>
      <c r="H22" s="32">
        <f t="shared" si="8"/>
        <v>93982</v>
      </c>
      <c r="I22" s="32">
        <f t="shared" si="9"/>
        <v>19727</v>
      </c>
      <c r="J22" s="32">
        <f t="shared" si="10"/>
        <v>0</v>
      </c>
      <c r="K22" s="32">
        <f t="shared" si="11"/>
        <v>0</v>
      </c>
      <c r="L22" s="32">
        <f t="shared" si="12"/>
        <v>74255</v>
      </c>
      <c r="M22" s="32">
        <f>IF(AND(AND(T21="",A22&lt;=S21),A22=入力!$B$15),ROUND(MIN(入力!$B$16,MAX(0,C22-L22)),0),0)</f>
        <v>0</v>
      </c>
      <c r="N22" s="32">
        <f t="shared" si="13"/>
        <v>33743538</v>
      </c>
      <c r="O22" s="32">
        <f t="shared" si="14"/>
        <v>341232</v>
      </c>
      <c r="P22" s="34" t="str">
        <f>IF(NOT(AND(T21="",A22&lt;=S21)),"",IF(FALSE,"繰上返済後再計算","")&amp;IF(AND(入力!$B$13="有効",A22&gt;1,MOD(A22-1,60)=0),IF(FALSE,"・","")&amp;"5年見直し","")&amp;IF(AND(A22=入力!$B$11,A22&gt;1),IF(OR(FALSE,AND(入力!$B$13="有効",A22&gt;1,MOD(A22-1,60)=0)),"・","")&amp;"金利変更","")&amp;IF(AND(OR(AND(入力!$B$13="有効",A22&gt;1,MOD(A22-1,60)=0),AND(A22=入力!$B$11,A22&gt;1)),入力!$B$14="有効",IF(E22=0,ROUND(C22/MAX(1,S21-A22+1),0),ROUND(-PMT(E22/12,MAX(1,S21-A22+1),C22),0))&gt;ROUND(G21*1.25,0),NOT(FALSE)),"・上限適用",""))</f>
        <v/>
      </c>
      <c r="Q22" s="35" t="str">
        <f>IF(AND(T21="",A22&lt;=S21),入力!$B$13,"")</f>
        <v>有効</v>
      </c>
      <c r="R22" s="32" t="str">
        <f>IF(AND(AND(T21="",A22&lt;=S21),OR(AND(入力!$B$13="有効",A22&gt;1,MOD(A22-1,60)=0),AND(A22=入力!$B$11,A22&gt;1)),入力!$B$14="有効"),ROUND(G21*1.25,0),"")</f>
        <v/>
      </c>
      <c r="S22" s="36">
        <f>IF(A22&lt;&gt;入力!$B$15,S21,IF(K22&lt;&gt;0,S21,IF(G22&lt;=F22,S21,IF(M22&lt;=0,S21,IF(AND(N22&gt;0,E22&gt;0,G22&lt;=N22*E22/12),S21,IF(A22+IF(N22=0,0,IF(E22=0,ROUNDUP(N22/G22,0),ROUNDUP(NPER(E22/12,-G22,N22),0)))&lt;S21,A22+IF(N22=0,0,IF(E22=0,ROUNDUP(N22/G22,0),ROUNDUP(NPER(E22/12,-G22,N22),0))),S21))))))</f>
        <v>420</v>
      </c>
      <c r="T22" s="35" t="str">
        <f t="shared" si="15"/>
        <v/>
      </c>
      <c r="U22" s="3">
        <f t="shared" si="0"/>
        <v>0</v>
      </c>
      <c r="V22" s="3">
        <f t="shared" si="1"/>
        <v>0</v>
      </c>
      <c r="W22" s="3">
        <f t="shared" si="2"/>
        <v>0</v>
      </c>
      <c r="X22" s="3">
        <f t="shared" si="3"/>
        <v>0</v>
      </c>
      <c r="Y22" s="3">
        <f>0</f>
        <v>0</v>
      </c>
      <c r="Z22" s="3">
        <f t="shared" si="4"/>
        <v>0</v>
      </c>
      <c r="AA22">
        <f>ROUND(IF(FALSE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,0)</f>
        <v>93982</v>
      </c>
    </row>
    <row r="23" spans="1:27">
      <c r="A23" s="30">
        <f>18</f>
        <v>18</v>
      </c>
      <c r="B23" s="31">
        <f>EDATE(入力!$B$6,A23-1)</f>
        <v>46753</v>
      </c>
      <c r="C23" s="32">
        <f t="shared" si="5"/>
        <v>33743538</v>
      </c>
      <c r="D23" s="32">
        <f t="shared" si="6"/>
        <v>0</v>
      </c>
      <c r="E23" s="33">
        <f>IF(AND(T22="",A23&lt;=S22),IF(A23&lt;入力!$B$11,入力!$B$10,入力!$B$12),0)</f>
        <v>7.0000000000000001E-3</v>
      </c>
      <c r="F23" s="32">
        <f t="shared" si="7"/>
        <v>19684</v>
      </c>
      <c r="G23" s="32">
        <f>ROUND(IF(NOT(AND(T22="",A23&lt;=S22)),0,IF(FALSE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),0)</f>
        <v>93982</v>
      </c>
      <c r="H23" s="32">
        <f t="shared" si="8"/>
        <v>93982</v>
      </c>
      <c r="I23" s="32">
        <f t="shared" si="9"/>
        <v>19684</v>
      </c>
      <c r="J23" s="32">
        <f t="shared" si="10"/>
        <v>0</v>
      </c>
      <c r="K23" s="32">
        <f t="shared" si="11"/>
        <v>0</v>
      </c>
      <c r="L23" s="32">
        <f t="shared" si="12"/>
        <v>74298</v>
      </c>
      <c r="M23" s="32">
        <f>IF(AND(AND(T22="",A23&lt;=S22),A23=入力!$B$15),ROUND(MIN(入力!$B$16,MAX(0,C23-L23)),0),0)</f>
        <v>0</v>
      </c>
      <c r="N23" s="32">
        <f t="shared" si="13"/>
        <v>33669240</v>
      </c>
      <c r="O23" s="32">
        <f t="shared" si="14"/>
        <v>360916</v>
      </c>
      <c r="P23" s="34" t="str">
        <f>IF(NOT(AND(T22="",A23&lt;=S22)),"",IF(FALSE,"繰上返済後再計算","")&amp;IF(AND(入力!$B$13="有効",A23&gt;1,MOD(A23-1,60)=0),IF(FALSE,"・","")&amp;"5年見直し","")&amp;IF(AND(A23=入力!$B$11,A23&gt;1),IF(OR(FALSE,AND(入力!$B$13="有効",A23&gt;1,MOD(A23-1,60)=0)),"・","")&amp;"金利変更","")&amp;IF(AND(OR(AND(入力!$B$13="有効",A23&gt;1,MOD(A23-1,60)=0),AND(A23=入力!$B$11,A23&gt;1)),入力!$B$14="有効",IF(E23=0,ROUND(C23/MAX(1,S22-A23+1),0),ROUND(-PMT(E23/12,MAX(1,S22-A23+1),C23),0))&gt;ROUND(G22*1.25,0),NOT(FALSE)),"・上限適用",""))</f>
        <v/>
      </c>
      <c r="Q23" s="35" t="str">
        <f>IF(AND(T22="",A23&lt;=S22),入力!$B$13,"")</f>
        <v>有効</v>
      </c>
      <c r="R23" s="32" t="str">
        <f>IF(AND(AND(T22="",A23&lt;=S22),OR(AND(入力!$B$13="有効",A23&gt;1,MOD(A23-1,60)=0),AND(A23=入力!$B$11,A23&gt;1)),入力!$B$14="有効"),ROUND(G22*1.25,0),"")</f>
        <v/>
      </c>
      <c r="S23" s="36">
        <f>IF(A23&lt;&gt;入力!$B$15,S22,IF(K23&lt;&gt;0,S22,IF(G23&lt;=F23,S22,IF(M23&lt;=0,S22,IF(AND(N23&gt;0,E23&gt;0,G23&lt;=N23*E23/12),S22,IF(A23+IF(N23=0,0,IF(E23=0,ROUNDUP(N23/G23,0),ROUNDUP(NPER(E23/12,-G23,N23),0)))&lt;S22,A23+IF(N23=0,0,IF(E23=0,ROUNDUP(N23/G23,0),ROUNDUP(NPER(E23/12,-G23,N23),0))),S22))))))</f>
        <v>420</v>
      </c>
      <c r="T23" s="35" t="str">
        <f t="shared" si="15"/>
        <v/>
      </c>
      <c r="U23" s="3">
        <f t="shared" si="0"/>
        <v>0</v>
      </c>
      <c r="V23" s="3">
        <f t="shared" si="1"/>
        <v>0</v>
      </c>
      <c r="W23" s="3">
        <f t="shared" si="2"/>
        <v>0</v>
      </c>
      <c r="X23" s="3">
        <f t="shared" si="3"/>
        <v>0</v>
      </c>
      <c r="Y23" s="3">
        <f>0</f>
        <v>0</v>
      </c>
      <c r="Z23" s="3">
        <f t="shared" si="4"/>
        <v>0</v>
      </c>
      <c r="AA23">
        <f>ROUND(IF(FALSE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,0)</f>
        <v>93982</v>
      </c>
    </row>
    <row r="24" spans="1:27">
      <c r="A24" s="30">
        <f>19</f>
        <v>19</v>
      </c>
      <c r="B24" s="31">
        <f>EDATE(入力!$B$6,A24-1)</f>
        <v>46784</v>
      </c>
      <c r="C24" s="32">
        <f t="shared" si="5"/>
        <v>33669240</v>
      </c>
      <c r="D24" s="32">
        <f t="shared" si="6"/>
        <v>0</v>
      </c>
      <c r="E24" s="33">
        <f>IF(AND(T23="",A24&lt;=S23),IF(A24&lt;入力!$B$11,入力!$B$10,入力!$B$12),0)</f>
        <v>7.0000000000000001E-3</v>
      </c>
      <c r="F24" s="32">
        <f t="shared" si="7"/>
        <v>19640</v>
      </c>
      <c r="G24" s="32">
        <f>ROUND(IF(NOT(AND(T23="",A24&lt;=S23)),0,IF(FALSE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),0)</f>
        <v>93982</v>
      </c>
      <c r="H24" s="32">
        <f t="shared" si="8"/>
        <v>93982</v>
      </c>
      <c r="I24" s="32">
        <f t="shared" si="9"/>
        <v>19640</v>
      </c>
      <c r="J24" s="32">
        <f t="shared" si="10"/>
        <v>0</v>
      </c>
      <c r="K24" s="32">
        <f t="shared" si="11"/>
        <v>0</v>
      </c>
      <c r="L24" s="32">
        <f t="shared" si="12"/>
        <v>74342</v>
      </c>
      <c r="M24" s="32">
        <f>IF(AND(AND(T23="",A24&lt;=S23),A24=入力!$B$15),ROUND(MIN(入力!$B$16,MAX(0,C24-L24)),0),0)</f>
        <v>0</v>
      </c>
      <c r="N24" s="32">
        <f t="shared" si="13"/>
        <v>33594898</v>
      </c>
      <c r="O24" s="32">
        <f t="shared" si="14"/>
        <v>380556</v>
      </c>
      <c r="P24" s="34" t="str">
        <f>IF(NOT(AND(T23="",A24&lt;=S23)),"",IF(FALSE,"繰上返済後再計算","")&amp;IF(AND(入力!$B$13="有効",A24&gt;1,MOD(A24-1,60)=0),IF(FALSE,"・","")&amp;"5年見直し","")&amp;IF(AND(A24=入力!$B$11,A24&gt;1),IF(OR(FALSE,AND(入力!$B$13="有効",A24&gt;1,MOD(A24-1,60)=0)),"・","")&amp;"金利変更","")&amp;IF(AND(OR(AND(入力!$B$13="有効",A24&gt;1,MOD(A24-1,60)=0),AND(A24=入力!$B$11,A24&gt;1)),入力!$B$14="有効",IF(E24=0,ROUND(C24/MAX(1,S23-A24+1),0),ROUND(-PMT(E24/12,MAX(1,S23-A24+1),C24),0))&gt;ROUND(G23*1.25,0),NOT(FALSE)),"・上限適用",""))</f>
        <v/>
      </c>
      <c r="Q24" s="35" t="str">
        <f>IF(AND(T23="",A24&lt;=S23),入力!$B$13,"")</f>
        <v>有効</v>
      </c>
      <c r="R24" s="32" t="str">
        <f>IF(AND(AND(T23="",A24&lt;=S23),OR(AND(入力!$B$13="有効",A24&gt;1,MOD(A24-1,60)=0),AND(A24=入力!$B$11,A24&gt;1)),入力!$B$14="有効"),ROUND(G23*1.25,0),"")</f>
        <v/>
      </c>
      <c r="S24" s="36">
        <f>IF(A24&lt;&gt;入力!$B$15,S23,IF(K24&lt;&gt;0,S23,IF(G24&lt;=F24,S23,IF(M24&lt;=0,S23,IF(AND(N24&gt;0,E24&gt;0,G24&lt;=N24*E24/12),S23,IF(A24+IF(N24=0,0,IF(E24=0,ROUNDUP(N24/G24,0),ROUNDUP(NPER(E24/12,-G24,N24),0)))&lt;S23,A24+IF(N24=0,0,IF(E24=0,ROUNDUP(N24/G24,0),ROUNDUP(NPER(E24/12,-G24,N24),0))),S23))))))</f>
        <v>420</v>
      </c>
      <c r="T24" s="35" t="str">
        <f t="shared" si="15"/>
        <v/>
      </c>
      <c r="U24" s="3">
        <f t="shared" si="0"/>
        <v>0</v>
      </c>
      <c r="V24" s="3">
        <f t="shared" si="1"/>
        <v>0</v>
      </c>
      <c r="W24" s="3">
        <f t="shared" si="2"/>
        <v>0</v>
      </c>
      <c r="X24" s="3">
        <f t="shared" si="3"/>
        <v>0</v>
      </c>
      <c r="Y24" s="3">
        <f>0</f>
        <v>0</v>
      </c>
      <c r="Z24" s="3">
        <f t="shared" si="4"/>
        <v>0</v>
      </c>
      <c r="AA24">
        <f>ROUND(IF(FALSE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,0)</f>
        <v>93982</v>
      </c>
    </row>
    <row r="25" spans="1:27">
      <c r="A25" s="30">
        <f>20</f>
        <v>20</v>
      </c>
      <c r="B25" s="31">
        <f>EDATE(入力!$B$6,A25-1)</f>
        <v>46813</v>
      </c>
      <c r="C25" s="32">
        <f t="shared" si="5"/>
        <v>33594898</v>
      </c>
      <c r="D25" s="32">
        <f t="shared" si="6"/>
        <v>0</v>
      </c>
      <c r="E25" s="33">
        <f>IF(AND(T24="",A25&lt;=S24),IF(A25&lt;入力!$B$11,入力!$B$10,入力!$B$12),0)</f>
        <v>7.0000000000000001E-3</v>
      </c>
      <c r="F25" s="32">
        <f t="shared" si="7"/>
        <v>19597</v>
      </c>
      <c r="G25" s="32">
        <f>ROUND(IF(NOT(AND(T24="",A25&lt;=S24)),0,IF(FALSE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),0)</f>
        <v>93982</v>
      </c>
      <c r="H25" s="32">
        <f t="shared" si="8"/>
        <v>93982</v>
      </c>
      <c r="I25" s="32">
        <f t="shared" si="9"/>
        <v>19597</v>
      </c>
      <c r="J25" s="32">
        <f t="shared" si="10"/>
        <v>0</v>
      </c>
      <c r="K25" s="32">
        <f t="shared" si="11"/>
        <v>0</v>
      </c>
      <c r="L25" s="32">
        <f t="shared" si="12"/>
        <v>74385</v>
      </c>
      <c r="M25" s="32">
        <f>IF(AND(AND(T24="",A25&lt;=S24),A25=入力!$B$15),ROUND(MIN(入力!$B$16,MAX(0,C25-L25)),0),0)</f>
        <v>0</v>
      </c>
      <c r="N25" s="32">
        <f t="shared" si="13"/>
        <v>33520513</v>
      </c>
      <c r="O25" s="32">
        <f t="shared" si="14"/>
        <v>400153</v>
      </c>
      <c r="P25" s="34" t="str">
        <f>IF(NOT(AND(T24="",A25&lt;=S24)),"",IF(FALSE,"繰上返済後再計算","")&amp;IF(AND(入力!$B$13="有効",A25&gt;1,MOD(A25-1,60)=0),IF(FALSE,"・","")&amp;"5年見直し","")&amp;IF(AND(A25=入力!$B$11,A25&gt;1),IF(OR(FALSE,AND(入力!$B$13="有効",A25&gt;1,MOD(A25-1,60)=0)),"・","")&amp;"金利変更","")&amp;IF(AND(OR(AND(入力!$B$13="有効",A25&gt;1,MOD(A25-1,60)=0),AND(A25=入力!$B$11,A25&gt;1)),入力!$B$14="有効",IF(E25=0,ROUND(C25/MAX(1,S24-A25+1),0),ROUND(-PMT(E25/12,MAX(1,S24-A25+1),C25),0))&gt;ROUND(G24*1.25,0),NOT(FALSE)),"・上限適用",""))</f>
        <v/>
      </c>
      <c r="Q25" s="35" t="str">
        <f>IF(AND(T24="",A25&lt;=S24),入力!$B$13,"")</f>
        <v>有効</v>
      </c>
      <c r="R25" s="32" t="str">
        <f>IF(AND(AND(T24="",A25&lt;=S24),OR(AND(入力!$B$13="有効",A25&gt;1,MOD(A25-1,60)=0),AND(A25=入力!$B$11,A25&gt;1)),入力!$B$14="有効"),ROUND(G24*1.25,0),"")</f>
        <v/>
      </c>
      <c r="S25" s="36">
        <f>IF(A25&lt;&gt;入力!$B$15,S24,IF(K25&lt;&gt;0,S24,IF(G25&lt;=F25,S24,IF(M25&lt;=0,S24,IF(AND(N25&gt;0,E25&gt;0,G25&lt;=N25*E25/12),S24,IF(A25+IF(N25=0,0,IF(E25=0,ROUNDUP(N25/G25,0),ROUNDUP(NPER(E25/12,-G25,N25),0)))&lt;S24,A25+IF(N25=0,0,IF(E25=0,ROUNDUP(N25/G25,0),ROUNDUP(NPER(E25/12,-G25,N25),0))),S24))))))</f>
        <v>420</v>
      </c>
      <c r="T25" s="35" t="str">
        <f t="shared" si="15"/>
        <v/>
      </c>
      <c r="U25" s="3">
        <f t="shared" si="0"/>
        <v>0</v>
      </c>
      <c r="V25" s="3">
        <f t="shared" si="1"/>
        <v>0</v>
      </c>
      <c r="W25" s="3">
        <f t="shared" si="2"/>
        <v>0</v>
      </c>
      <c r="X25" s="3">
        <f t="shared" si="3"/>
        <v>0</v>
      </c>
      <c r="Y25" s="3">
        <f>0</f>
        <v>0</v>
      </c>
      <c r="Z25" s="3">
        <f t="shared" si="4"/>
        <v>0</v>
      </c>
      <c r="AA25">
        <f>ROUND(IF(FALSE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,0)</f>
        <v>93982</v>
      </c>
    </row>
    <row r="26" spans="1:27">
      <c r="A26" s="30">
        <f>21</f>
        <v>21</v>
      </c>
      <c r="B26" s="31">
        <f>EDATE(入力!$B$6,A26-1)</f>
        <v>46844</v>
      </c>
      <c r="C26" s="32">
        <f t="shared" si="5"/>
        <v>33520513</v>
      </c>
      <c r="D26" s="32">
        <f t="shared" si="6"/>
        <v>0</v>
      </c>
      <c r="E26" s="33">
        <f>IF(AND(T25="",A26&lt;=S25),IF(A26&lt;入力!$B$11,入力!$B$10,入力!$B$12),0)</f>
        <v>7.0000000000000001E-3</v>
      </c>
      <c r="F26" s="32">
        <f t="shared" si="7"/>
        <v>19554</v>
      </c>
      <c r="G26" s="32">
        <f>ROUND(IF(NOT(AND(T25="",A26&lt;=S25)),0,IF(FALSE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),0)</f>
        <v>93982</v>
      </c>
      <c r="H26" s="32">
        <f t="shared" si="8"/>
        <v>93982</v>
      </c>
      <c r="I26" s="32">
        <f t="shared" si="9"/>
        <v>19554</v>
      </c>
      <c r="J26" s="32">
        <f t="shared" si="10"/>
        <v>0</v>
      </c>
      <c r="K26" s="32">
        <f t="shared" si="11"/>
        <v>0</v>
      </c>
      <c r="L26" s="32">
        <f t="shared" si="12"/>
        <v>74428</v>
      </c>
      <c r="M26" s="32">
        <f>IF(AND(AND(T25="",A26&lt;=S25),A26=入力!$B$15),ROUND(MIN(入力!$B$16,MAX(0,C26-L26)),0),0)</f>
        <v>0</v>
      </c>
      <c r="N26" s="32">
        <f t="shared" si="13"/>
        <v>33446085</v>
      </c>
      <c r="O26" s="32">
        <f t="shared" si="14"/>
        <v>419707</v>
      </c>
      <c r="P26" s="34" t="str">
        <f>IF(NOT(AND(T25="",A26&lt;=S25)),"",IF(FALSE,"繰上返済後再計算","")&amp;IF(AND(入力!$B$13="有効",A26&gt;1,MOD(A26-1,60)=0),IF(FALSE,"・","")&amp;"5年見直し","")&amp;IF(AND(A26=入力!$B$11,A26&gt;1),IF(OR(FALSE,AND(入力!$B$13="有効",A26&gt;1,MOD(A26-1,60)=0)),"・","")&amp;"金利変更","")&amp;IF(AND(OR(AND(入力!$B$13="有効",A26&gt;1,MOD(A26-1,60)=0),AND(A26=入力!$B$11,A26&gt;1)),入力!$B$14="有効",IF(E26=0,ROUND(C26/MAX(1,S25-A26+1),0),ROUND(-PMT(E26/12,MAX(1,S25-A26+1),C26),0))&gt;ROUND(G25*1.25,0),NOT(FALSE)),"・上限適用",""))</f>
        <v/>
      </c>
      <c r="Q26" s="35" t="str">
        <f>IF(AND(T25="",A26&lt;=S25),入力!$B$13,"")</f>
        <v>有効</v>
      </c>
      <c r="R26" s="32" t="str">
        <f>IF(AND(AND(T25="",A26&lt;=S25),OR(AND(入力!$B$13="有効",A26&gt;1,MOD(A26-1,60)=0),AND(A26=入力!$B$11,A26&gt;1)),入力!$B$14="有効"),ROUND(G25*1.25,0),"")</f>
        <v/>
      </c>
      <c r="S26" s="36">
        <f>IF(A26&lt;&gt;入力!$B$15,S25,IF(K26&lt;&gt;0,S25,IF(G26&lt;=F26,S25,IF(M26&lt;=0,S25,IF(AND(N26&gt;0,E26&gt;0,G26&lt;=N26*E26/12),S25,IF(A26+IF(N26=0,0,IF(E26=0,ROUNDUP(N26/G26,0),ROUNDUP(NPER(E26/12,-G26,N26),0)))&lt;S25,A26+IF(N26=0,0,IF(E26=0,ROUNDUP(N26/G26,0),ROUNDUP(NPER(E26/12,-G26,N26),0))),S25))))))</f>
        <v>420</v>
      </c>
      <c r="T26" s="35" t="str">
        <f t="shared" si="15"/>
        <v/>
      </c>
      <c r="U26" s="3">
        <f t="shared" si="0"/>
        <v>0</v>
      </c>
      <c r="V26" s="3">
        <f t="shared" si="1"/>
        <v>0</v>
      </c>
      <c r="W26" s="3">
        <f t="shared" si="2"/>
        <v>0</v>
      </c>
      <c r="X26" s="3">
        <f t="shared" si="3"/>
        <v>0</v>
      </c>
      <c r="Y26" s="3">
        <f>0</f>
        <v>0</v>
      </c>
      <c r="Z26" s="3">
        <f t="shared" si="4"/>
        <v>0</v>
      </c>
      <c r="AA26">
        <f>ROUND(IF(FALSE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,0)</f>
        <v>93982</v>
      </c>
    </row>
    <row r="27" spans="1:27">
      <c r="A27" s="30">
        <f>22</f>
        <v>22</v>
      </c>
      <c r="B27" s="31">
        <f>EDATE(入力!$B$6,A27-1)</f>
        <v>46874</v>
      </c>
      <c r="C27" s="32">
        <f t="shared" si="5"/>
        <v>33446085</v>
      </c>
      <c r="D27" s="32">
        <f t="shared" si="6"/>
        <v>0</v>
      </c>
      <c r="E27" s="33">
        <f>IF(AND(T26="",A27&lt;=S26),IF(A27&lt;入力!$B$11,入力!$B$10,入力!$B$12),0)</f>
        <v>7.0000000000000001E-3</v>
      </c>
      <c r="F27" s="32">
        <f t="shared" si="7"/>
        <v>19510</v>
      </c>
      <c r="G27" s="32">
        <f>ROUND(IF(NOT(AND(T26="",A27&lt;=S26)),0,IF(FALSE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),0)</f>
        <v>93982</v>
      </c>
      <c r="H27" s="32">
        <f t="shared" si="8"/>
        <v>93982</v>
      </c>
      <c r="I27" s="32">
        <f t="shared" si="9"/>
        <v>19510</v>
      </c>
      <c r="J27" s="32">
        <f t="shared" si="10"/>
        <v>0</v>
      </c>
      <c r="K27" s="32">
        <f t="shared" si="11"/>
        <v>0</v>
      </c>
      <c r="L27" s="32">
        <f t="shared" si="12"/>
        <v>74472</v>
      </c>
      <c r="M27" s="32">
        <f>IF(AND(AND(T26="",A27&lt;=S26),A27=入力!$B$15),ROUND(MIN(入力!$B$16,MAX(0,C27-L27)),0),0)</f>
        <v>0</v>
      </c>
      <c r="N27" s="32">
        <f t="shared" si="13"/>
        <v>33371613</v>
      </c>
      <c r="O27" s="32">
        <f t="shared" si="14"/>
        <v>439217</v>
      </c>
      <c r="P27" s="34" t="str">
        <f>IF(NOT(AND(T26="",A27&lt;=S26)),"",IF(FALSE,"繰上返済後再計算","")&amp;IF(AND(入力!$B$13="有効",A27&gt;1,MOD(A27-1,60)=0),IF(FALSE,"・","")&amp;"5年見直し","")&amp;IF(AND(A27=入力!$B$11,A27&gt;1),IF(OR(FALSE,AND(入力!$B$13="有効",A27&gt;1,MOD(A27-1,60)=0)),"・","")&amp;"金利変更","")&amp;IF(AND(OR(AND(入力!$B$13="有効",A27&gt;1,MOD(A27-1,60)=0),AND(A27=入力!$B$11,A27&gt;1)),入力!$B$14="有効",IF(E27=0,ROUND(C27/MAX(1,S26-A27+1),0),ROUND(-PMT(E27/12,MAX(1,S26-A27+1),C27),0))&gt;ROUND(G26*1.25,0),NOT(FALSE)),"・上限適用",""))</f>
        <v/>
      </c>
      <c r="Q27" s="35" t="str">
        <f>IF(AND(T26="",A27&lt;=S26),入力!$B$13,"")</f>
        <v>有効</v>
      </c>
      <c r="R27" s="32" t="str">
        <f>IF(AND(AND(T26="",A27&lt;=S26),OR(AND(入力!$B$13="有効",A27&gt;1,MOD(A27-1,60)=0),AND(A27=入力!$B$11,A27&gt;1)),入力!$B$14="有効"),ROUND(G26*1.25,0),"")</f>
        <v/>
      </c>
      <c r="S27" s="36">
        <f>IF(A27&lt;&gt;入力!$B$15,S26,IF(K27&lt;&gt;0,S26,IF(G27&lt;=F27,S26,IF(M27&lt;=0,S26,IF(AND(N27&gt;0,E27&gt;0,G27&lt;=N27*E27/12),S26,IF(A27+IF(N27=0,0,IF(E27=0,ROUNDUP(N27/G27,0),ROUNDUP(NPER(E27/12,-G27,N27),0)))&lt;S26,A27+IF(N27=0,0,IF(E27=0,ROUNDUP(N27/G27,0),ROUNDUP(NPER(E27/12,-G27,N27),0))),S26))))))</f>
        <v>420</v>
      </c>
      <c r="T27" s="35" t="str">
        <f t="shared" si="15"/>
        <v/>
      </c>
      <c r="U27" s="3">
        <f t="shared" si="0"/>
        <v>0</v>
      </c>
      <c r="V27" s="3">
        <f t="shared" si="1"/>
        <v>0</v>
      </c>
      <c r="W27" s="3">
        <f t="shared" si="2"/>
        <v>0</v>
      </c>
      <c r="X27" s="3">
        <f t="shared" si="3"/>
        <v>0</v>
      </c>
      <c r="Y27" s="3">
        <f>0</f>
        <v>0</v>
      </c>
      <c r="Z27" s="3">
        <f t="shared" si="4"/>
        <v>0</v>
      </c>
      <c r="AA27">
        <f>ROUND(IF(FALSE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,0)</f>
        <v>93982</v>
      </c>
    </row>
    <row r="28" spans="1:27">
      <c r="A28" s="30">
        <f>23</f>
        <v>23</v>
      </c>
      <c r="B28" s="31">
        <f>EDATE(入力!$B$6,A28-1)</f>
        <v>46905</v>
      </c>
      <c r="C28" s="32">
        <f t="shared" si="5"/>
        <v>33371613</v>
      </c>
      <c r="D28" s="32">
        <f t="shared" si="6"/>
        <v>0</v>
      </c>
      <c r="E28" s="33">
        <f>IF(AND(T27="",A28&lt;=S27),IF(A28&lt;入力!$B$11,入力!$B$10,入力!$B$12),0)</f>
        <v>7.0000000000000001E-3</v>
      </c>
      <c r="F28" s="32">
        <f t="shared" si="7"/>
        <v>19467</v>
      </c>
      <c r="G28" s="32">
        <f>ROUND(IF(NOT(AND(T27="",A28&lt;=S27)),0,IF(FALSE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),0)</f>
        <v>93982</v>
      </c>
      <c r="H28" s="32">
        <f t="shared" si="8"/>
        <v>93982</v>
      </c>
      <c r="I28" s="32">
        <f t="shared" si="9"/>
        <v>19467</v>
      </c>
      <c r="J28" s="32">
        <f t="shared" si="10"/>
        <v>0</v>
      </c>
      <c r="K28" s="32">
        <f t="shared" si="11"/>
        <v>0</v>
      </c>
      <c r="L28" s="32">
        <f t="shared" si="12"/>
        <v>74515</v>
      </c>
      <c r="M28" s="32">
        <f>IF(AND(AND(T27="",A28&lt;=S27),A28=入力!$B$15),ROUND(MIN(入力!$B$16,MAX(0,C28-L28)),0),0)</f>
        <v>0</v>
      </c>
      <c r="N28" s="32">
        <f t="shared" si="13"/>
        <v>33297098</v>
      </c>
      <c r="O28" s="32">
        <f t="shared" si="14"/>
        <v>458684</v>
      </c>
      <c r="P28" s="34" t="str">
        <f>IF(NOT(AND(T27="",A28&lt;=S27)),"",IF(FALSE,"繰上返済後再計算","")&amp;IF(AND(入力!$B$13="有効",A28&gt;1,MOD(A28-1,60)=0),IF(FALSE,"・","")&amp;"5年見直し","")&amp;IF(AND(A28=入力!$B$11,A28&gt;1),IF(OR(FALSE,AND(入力!$B$13="有効",A28&gt;1,MOD(A28-1,60)=0)),"・","")&amp;"金利変更","")&amp;IF(AND(OR(AND(入力!$B$13="有効",A28&gt;1,MOD(A28-1,60)=0),AND(A28=入力!$B$11,A28&gt;1)),入力!$B$14="有効",IF(E28=0,ROUND(C28/MAX(1,S27-A28+1),0),ROUND(-PMT(E28/12,MAX(1,S27-A28+1),C28),0))&gt;ROUND(G27*1.25,0),NOT(FALSE)),"・上限適用",""))</f>
        <v/>
      </c>
      <c r="Q28" s="35" t="str">
        <f>IF(AND(T27="",A28&lt;=S27),入力!$B$13,"")</f>
        <v>有効</v>
      </c>
      <c r="R28" s="32" t="str">
        <f>IF(AND(AND(T27="",A28&lt;=S27),OR(AND(入力!$B$13="有効",A28&gt;1,MOD(A28-1,60)=0),AND(A28=入力!$B$11,A28&gt;1)),入力!$B$14="有効"),ROUND(G27*1.25,0),"")</f>
        <v/>
      </c>
      <c r="S28" s="36">
        <f>IF(A28&lt;&gt;入力!$B$15,S27,IF(K28&lt;&gt;0,S27,IF(G28&lt;=F28,S27,IF(M28&lt;=0,S27,IF(AND(N28&gt;0,E28&gt;0,G28&lt;=N28*E28/12),S27,IF(A28+IF(N28=0,0,IF(E28=0,ROUNDUP(N28/G28,0),ROUNDUP(NPER(E28/12,-G28,N28),0)))&lt;S27,A28+IF(N28=0,0,IF(E28=0,ROUNDUP(N28/G28,0),ROUNDUP(NPER(E28/12,-G28,N28),0))),S27))))))</f>
        <v>420</v>
      </c>
      <c r="T28" s="35" t="str">
        <f t="shared" si="15"/>
        <v/>
      </c>
      <c r="U28" s="3">
        <f t="shared" si="0"/>
        <v>0</v>
      </c>
      <c r="V28" s="3">
        <f t="shared" si="1"/>
        <v>0</v>
      </c>
      <c r="W28" s="3">
        <f t="shared" si="2"/>
        <v>0</v>
      </c>
      <c r="X28" s="3">
        <f t="shared" si="3"/>
        <v>0</v>
      </c>
      <c r="Y28" s="3">
        <f>0</f>
        <v>0</v>
      </c>
      <c r="Z28" s="3">
        <f t="shared" si="4"/>
        <v>0</v>
      </c>
      <c r="AA28">
        <f>ROUND(IF(FALSE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,0)</f>
        <v>93982</v>
      </c>
    </row>
    <row r="29" spans="1:27">
      <c r="A29" s="30">
        <f>24</f>
        <v>24</v>
      </c>
      <c r="B29" s="31">
        <f>EDATE(入力!$B$6,A29-1)</f>
        <v>46935</v>
      </c>
      <c r="C29" s="32">
        <f t="shared" si="5"/>
        <v>33297098</v>
      </c>
      <c r="D29" s="32">
        <f t="shared" si="6"/>
        <v>0</v>
      </c>
      <c r="E29" s="33">
        <f>IF(AND(T28="",A29&lt;=S28),IF(A29&lt;入力!$B$11,入力!$B$10,入力!$B$12),0)</f>
        <v>7.0000000000000001E-3</v>
      </c>
      <c r="F29" s="32">
        <f t="shared" si="7"/>
        <v>19423</v>
      </c>
      <c r="G29" s="32">
        <f>ROUND(IF(NOT(AND(T28="",A29&lt;=S28)),0,IF(FALSE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),0)</f>
        <v>93982</v>
      </c>
      <c r="H29" s="32">
        <f t="shared" si="8"/>
        <v>93982</v>
      </c>
      <c r="I29" s="32">
        <f t="shared" si="9"/>
        <v>19423</v>
      </c>
      <c r="J29" s="32">
        <f t="shared" si="10"/>
        <v>0</v>
      </c>
      <c r="K29" s="32">
        <f t="shared" si="11"/>
        <v>0</v>
      </c>
      <c r="L29" s="32">
        <f t="shared" si="12"/>
        <v>74559</v>
      </c>
      <c r="M29" s="32">
        <f>IF(AND(AND(T28="",A29&lt;=S28),A29=入力!$B$15),ROUND(MIN(入力!$B$16,MAX(0,C29-L29)),0),0)</f>
        <v>0</v>
      </c>
      <c r="N29" s="32">
        <f t="shared" si="13"/>
        <v>33222539</v>
      </c>
      <c r="O29" s="32">
        <f t="shared" si="14"/>
        <v>478107</v>
      </c>
      <c r="P29" s="34" t="str">
        <f>IF(NOT(AND(T28="",A29&lt;=S28)),"",IF(FALSE,"繰上返済後再計算","")&amp;IF(AND(入力!$B$13="有効",A29&gt;1,MOD(A29-1,60)=0),IF(FALSE,"・","")&amp;"5年見直し","")&amp;IF(AND(A29=入力!$B$11,A29&gt;1),IF(OR(FALSE,AND(入力!$B$13="有効",A29&gt;1,MOD(A29-1,60)=0)),"・","")&amp;"金利変更","")&amp;IF(AND(OR(AND(入力!$B$13="有効",A29&gt;1,MOD(A29-1,60)=0),AND(A29=入力!$B$11,A29&gt;1)),入力!$B$14="有効",IF(E29=0,ROUND(C29/MAX(1,S28-A29+1),0),ROUND(-PMT(E29/12,MAX(1,S28-A29+1),C29),0))&gt;ROUND(G28*1.25,0),NOT(FALSE)),"・上限適用",""))</f>
        <v/>
      </c>
      <c r="Q29" s="35" t="str">
        <f>IF(AND(T28="",A29&lt;=S28),入力!$B$13,"")</f>
        <v>有効</v>
      </c>
      <c r="R29" s="32" t="str">
        <f>IF(AND(AND(T28="",A29&lt;=S28),OR(AND(入力!$B$13="有効",A29&gt;1,MOD(A29-1,60)=0),AND(A29=入力!$B$11,A29&gt;1)),入力!$B$14="有効"),ROUND(G28*1.25,0),"")</f>
        <v/>
      </c>
      <c r="S29" s="36">
        <f>IF(A29&lt;&gt;入力!$B$15,S28,IF(K29&lt;&gt;0,S28,IF(G29&lt;=F29,S28,IF(M29&lt;=0,S28,IF(AND(N29&gt;0,E29&gt;0,G29&lt;=N29*E29/12),S28,IF(A29+IF(N29=0,0,IF(E29=0,ROUNDUP(N29/G29,0),ROUNDUP(NPER(E29/12,-G29,N29),0)))&lt;S28,A29+IF(N29=0,0,IF(E29=0,ROUNDUP(N29/G29,0),ROUNDUP(NPER(E29/12,-G29,N29),0))),S28))))))</f>
        <v>420</v>
      </c>
      <c r="T29" s="35" t="str">
        <f t="shared" si="15"/>
        <v/>
      </c>
      <c r="U29" s="3">
        <f t="shared" si="0"/>
        <v>0</v>
      </c>
      <c r="V29" s="3">
        <f t="shared" si="1"/>
        <v>0</v>
      </c>
      <c r="W29" s="3">
        <f t="shared" si="2"/>
        <v>0</v>
      </c>
      <c r="X29" s="3">
        <f t="shared" si="3"/>
        <v>0</v>
      </c>
      <c r="Y29" s="3">
        <f>0</f>
        <v>0</v>
      </c>
      <c r="Z29" s="3">
        <f t="shared" si="4"/>
        <v>0</v>
      </c>
      <c r="AA29">
        <f>ROUND(IF(FALSE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,0)</f>
        <v>93982</v>
      </c>
    </row>
    <row r="30" spans="1:27">
      <c r="A30" s="30">
        <f>25</f>
        <v>25</v>
      </c>
      <c r="B30" s="31">
        <f>EDATE(入力!$B$6,A30-1)</f>
        <v>46966</v>
      </c>
      <c r="C30" s="32">
        <f t="shared" si="5"/>
        <v>33222539</v>
      </c>
      <c r="D30" s="32">
        <f t="shared" si="6"/>
        <v>0</v>
      </c>
      <c r="E30" s="33">
        <f>IF(AND(T29="",A30&lt;=S29),IF(A30&lt;入力!$B$11,入力!$B$10,入力!$B$12),0)</f>
        <v>7.0000000000000001E-3</v>
      </c>
      <c r="F30" s="32">
        <f t="shared" si="7"/>
        <v>19380</v>
      </c>
      <c r="G30" s="32">
        <f>ROUND(IF(NOT(AND(T29="",A30&lt;=S29)),0,IF(FALSE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),0)</f>
        <v>93982</v>
      </c>
      <c r="H30" s="32">
        <f t="shared" si="8"/>
        <v>93982</v>
      </c>
      <c r="I30" s="32">
        <f t="shared" si="9"/>
        <v>19380</v>
      </c>
      <c r="J30" s="32">
        <f t="shared" si="10"/>
        <v>0</v>
      </c>
      <c r="K30" s="32">
        <f t="shared" si="11"/>
        <v>0</v>
      </c>
      <c r="L30" s="32">
        <f t="shared" si="12"/>
        <v>74602</v>
      </c>
      <c r="M30" s="32">
        <f>IF(AND(AND(T29="",A30&lt;=S29),A30=入力!$B$15),ROUND(MIN(入力!$B$16,MAX(0,C30-L30)),0),0)</f>
        <v>0</v>
      </c>
      <c r="N30" s="32">
        <f t="shared" si="13"/>
        <v>33147937</v>
      </c>
      <c r="O30" s="32">
        <f t="shared" si="14"/>
        <v>497487</v>
      </c>
      <c r="P30" s="34" t="str">
        <f>IF(NOT(AND(T29="",A30&lt;=S29)),"",IF(FALSE,"繰上返済後再計算","")&amp;IF(AND(入力!$B$13="有効",A30&gt;1,MOD(A30-1,60)=0),IF(FALSE,"・","")&amp;"5年見直し","")&amp;IF(AND(A30=入力!$B$11,A30&gt;1),IF(OR(FALSE,AND(入力!$B$13="有効",A30&gt;1,MOD(A30-1,60)=0)),"・","")&amp;"金利変更","")&amp;IF(AND(OR(AND(入力!$B$13="有効",A30&gt;1,MOD(A30-1,60)=0),AND(A30=入力!$B$11,A30&gt;1)),入力!$B$14="有効",IF(E30=0,ROUND(C30/MAX(1,S29-A30+1),0),ROUND(-PMT(E30/12,MAX(1,S29-A30+1),C30),0))&gt;ROUND(G29*1.25,0),NOT(FALSE)),"・上限適用",""))</f>
        <v/>
      </c>
      <c r="Q30" s="35" t="str">
        <f>IF(AND(T29="",A30&lt;=S29),入力!$B$13,"")</f>
        <v>有効</v>
      </c>
      <c r="R30" s="32" t="str">
        <f>IF(AND(AND(T29="",A30&lt;=S29),OR(AND(入力!$B$13="有効",A30&gt;1,MOD(A30-1,60)=0),AND(A30=入力!$B$11,A30&gt;1)),入力!$B$14="有効"),ROUND(G29*1.25,0),"")</f>
        <v/>
      </c>
      <c r="S30" s="36">
        <f>IF(A30&lt;&gt;入力!$B$15,S29,IF(K30&lt;&gt;0,S29,IF(G30&lt;=F30,S29,IF(M30&lt;=0,S29,IF(AND(N30&gt;0,E30&gt;0,G30&lt;=N30*E30/12),S29,IF(A30+IF(N30=0,0,IF(E30=0,ROUNDUP(N30/G30,0),ROUNDUP(NPER(E30/12,-G30,N30),0)))&lt;S29,A30+IF(N30=0,0,IF(E30=0,ROUNDUP(N30/G30,0),ROUNDUP(NPER(E30/12,-G30,N30),0))),S29))))))</f>
        <v>420</v>
      </c>
      <c r="T30" s="35" t="str">
        <f t="shared" si="15"/>
        <v/>
      </c>
      <c r="U30" s="3">
        <f t="shared" si="0"/>
        <v>0</v>
      </c>
      <c r="V30" s="3">
        <f t="shared" si="1"/>
        <v>0</v>
      </c>
      <c r="W30" s="3">
        <f t="shared" si="2"/>
        <v>0</v>
      </c>
      <c r="X30" s="3">
        <f t="shared" si="3"/>
        <v>0</v>
      </c>
      <c r="Y30" s="3">
        <f>0</f>
        <v>0</v>
      </c>
      <c r="Z30" s="3">
        <f t="shared" si="4"/>
        <v>0</v>
      </c>
      <c r="AA30">
        <f>ROUND(IF(FALSE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,0)</f>
        <v>93982</v>
      </c>
    </row>
    <row r="31" spans="1:27">
      <c r="A31" s="30">
        <f>26</f>
        <v>26</v>
      </c>
      <c r="B31" s="31">
        <f>EDATE(入力!$B$6,A31-1)</f>
        <v>46997</v>
      </c>
      <c r="C31" s="32">
        <f t="shared" si="5"/>
        <v>33147937</v>
      </c>
      <c r="D31" s="32">
        <f t="shared" si="6"/>
        <v>0</v>
      </c>
      <c r="E31" s="33">
        <f>IF(AND(T30="",A31&lt;=S30),IF(A31&lt;入力!$B$11,入力!$B$10,入力!$B$12),0)</f>
        <v>7.0000000000000001E-3</v>
      </c>
      <c r="F31" s="32">
        <f t="shared" si="7"/>
        <v>19336</v>
      </c>
      <c r="G31" s="32">
        <f>ROUND(IF(NOT(AND(T30="",A31&lt;=S30)),0,IF(FALSE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),0)</f>
        <v>93982</v>
      </c>
      <c r="H31" s="32">
        <f t="shared" si="8"/>
        <v>93982</v>
      </c>
      <c r="I31" s="32">
        <f t="shared" si="9"/>
        <v>19336</v>
      </c>
      <c r="J31" s="32">
        <f t="shared" si="10"/>
        <v>0</v>
      </c>
      <c r="K31" s="32">
        <f t="shared" si="11"/>
        <v>0</v>
      </c>
      <c r="L31" s="32">
        <f t="shared" si="12"/>
        <v>74646</v>
      </c>
      <c r="M31" s="32">
        <f>IF(AND(AND(T30="",A31&lt;=S30),A31=入力!$B$15),ROUND(MIN(入力!$B$16,MAX(0,C31-L31)),0),0)</f>
        <v>0</v>
      </c>
      <c r="N31" s="32">
        <f t="shared" si="13"/>
        <v>33073291</v>
      </c>
      <c r="O31" s="32">
        <f t="shared" si="14"/>
        <v>516823</v>
      </c>
      <c r="P31" s="34" t="str">
        <f>IF(NOT(AND(T30="",A31&lt;=S30)),"",IF(FALSE,"繰上返済後再計算","")&amp;IF(AND(入力!$B$13="有効",A31&gt;1,MOD(A31-1,60)=0),IF(FALSE,"・","")&amp;"5年見直し","")&amp;IF(AND(A31=入力!$B$11,A31&gt;1),IF(OR(FALSE,AND(入力!$B$13="有効",A31&gt;1,MOD(A31-1,60)=0)),"・","")&amp;"金利変更","")&amp;IF(AND(OR(AND(入力!$B$13="有効",A31&gt;1,MOD(A31-1,60)=0),AND(A31=入力!$B$11,A31&gt;1)),入力!$B$14="有効",IF(E31=0,ROUND(C31/MAX(1,S30-A31+1),0),ROUND(-PMT(E31/12,MAX(1,S30-A31+1),C31),0))&gt;ROUND(G30*1.25,0),NOT(FALSE)),"・上限適用",""))</f>
        <v/>
      </c>
      <c r="Q31" s="35" t="str">
        <f>IF(AND(T30="",A31&lt;=S30),入力!$B$13,"")</f>
        <v>有効</v>
      </c>
      <c r="R31" s="32" t="str">
        <f>IF(AND(AND(T30="",A31&lt;=S30),OR(AND(入力!$B$13="有効",A31&gt;1,MOD(A31-1,60)=0),AND(A31=入力!$B$11,A31&gt;1)),入力!$B$14="有効"),ROUND(G30*1.25,0),"")</f>
        <v/>
      </c>
      <c r="S31" s="36">
        <f>IF(A31&lt;&gt;入力!$B$15,S30,IF(K31&lt;&gt;0,S30,IF(G31&lt;=F31,S30,IF(M31&lt;=0,S30,IF(AND(N31&gt;0,E31&gt;0,G31&lt;=N31*E31/12),S30,IF(A31+IF(N31=0,0,IF(E31=0,ROUNDUP(N31/G31,0),ROUNDUP(NPER(E31/12,-G31,N31),0)))&lt;S30,A31+IF(N31=0,0,IF(E31=0,ROUNDUP(N31/G31,0),ROUNDUP(NPER(E31/12,-G31,N31),0))),S30))))))</f>
        <v>420</v>
      </c>
      <c r="T31" s="35" t="str">
        <f t="shared" si="15"/>
        <v/>
      </c>
      <c r="U31" s="3">
        <f t="shared" si="0"/>
        <v>0</v>
      </c>
      <c r="V31" s="3">
        <f t="shared" si="1"/>
        <v>0</v>
      </c>
      <c r="W31" s="3">
        <f t="shared" si="2"/>
        <v>0</v>
      </c>
      <c r="X31" s="3">
        <f t="shared" si="3"/>
        <v>0</v>
      </c>
      <c r="Y31" s="3">
        <f>0</f>
        <v>0</v>
      </c>
      <c r="Z31" s="3">
        <f t="shared" si="4"/>
        <v>0</v>
      </c>
      <c r="AA31">
        <f>ROUND(IF(FALSE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,0)</f>
        <v>93982</v>
      </c>
    </row>
    <row r="32" spans="1:27">
      <c r="A32" s="30">
        <f>27</f>
        <v>27</v>
      </c>
      <c r="B32" s="31">
        <f>EDATE(入力!$B$6,A32-1)</f>
        <v>47027</v>
      </c>
      <c r="C32" s="32">
        <f t="shared" si="5"/>
        <v>33073291</v>
      </c>
      <c r="D32" s="32">
        <f t="shared" si="6"/>
        <v>0</v>
      </c>
      <c r="E32" s="33">
        <f>IF(AND(T31="",A32&lt;=S31),IF(A32&lt;入力!$B$11,入力!$B$10,入力!$B$12),0)</f>
        <v>7.0000000000000001E-3</v>
      </c>
      <c r="F32" s="32">
        <f t="shared" si="7"/>
        <v>19293</v>
      </c>
      <c r="G32" s="32">
        <f>ROUND(IF(NOT(AND(T31="",A32&lt;=S31)),0,IF(FALSE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),0)</f>
        <v>93982</v>
      </c>
      <c r="H32" s="32">
        <f t="shared" si="8"/>
        <v>93982</v>
      </c>
      <c r="I32" s="32">
        <f t="shared" si="9"/>
        <v>19293</v>
      </c>
      <c r="J32" s="32">
        <f t="shared" si="10"/>
        <v>0</v>
      </c>
      <c r="K32" s="32">
        <f t="shared" si="11"/>
        <v>0</v>
      </c>
      <c r="L32" s="32">
        <f t="shared" si="12"/>
        <v>74689</v>
      </c>
      <c r="M32" s="32">
        <f>IF(AND(AND(T31="",A32&lt;=S31),A32=入力!$B$15),ROUND(MIN(入力!$B$16,MAX(0,C32-L32)),0),0)</f>
        <v>0</v>
      </c>
      <c r="N32" s="32">
        <f t="shared" si="13"/>
        <v>32998602</v>
      </c>
      <c r="O32" s="32">
        <f t="shared" si="14"/>
        <v>536116</v>
      </c>
      <c r="P32" s="34" t="str">
        <f>IF(NOT(AND(T31="",A32&lt;=S31)),"",IF(FALSE,"繰上返済後再計算","")&amp;IF(AND(入力!$B$13="有効",A32&gt;1,MOD(A32-1,60)=0),IF(FALSE,"・","")&amp;"5年見直し","")&amp;IF(AND(A32=入力!$B$11,A32&gt;1),IF(OR(FALSE,AND(入力!$B$13="有効",A32&gt;1,MOD(A32-1,60)=0)),"・","")&amp;"金利変更","")&amp;IF(AND(OR(AND(入力!$B$13="有効",A32&gt;1,MOD(A32-1,60)=0),AND(A32=入力!$B$11,A32&gt;1)),入力!$B$14="有効",IF(E32=0,ROUND(C32/MAX(1,S31-A32+1),0),ROUND(-PMT(E32/12,MAX(1,S31-A32+1),C32),0))&gt;ROUND(G31*1.25,0),NOT(FALSE)),"・上限適用",""))</f>
        <v/>
      </c>
      <c r="Q32" s="35" t="str">
        <f>IF(AND(T31="",A32&lt;=S31),入力!$B$13,"")</f>
        <v>有効</v>
      </c>
      <c r="R32" s="32" t="str">
        <f>IF(AND(AND(T31="",A32&lt;=S31),OR(AND(入力!$B$13="有効",A32&gt;1,MOD(A32-1,60)=0),AND(A32=入力!$B$11,A32&gt;1)),入力!$B$14="有効"),ROUND(G31*1.25,0),"")</f>
        <v/>
      </c>
      <c r="S32" s="36">
        <f>IF(A32&lt;&gt;入力!$B$15,S31,IF(K32&lt;&gt;0,S31,IF(G32&lt;=F32,S31,IF(M32&lt;=0,S31,IF(AND(N32&gt;0,E32&gt;0,G32&lt;=N32*E32/12),S31,IF(A32+IF(N32=0,0,IF(E32=0,ROUNDUP(N32/G32,0),ROUNDUP(NPER(E32/12,-G32,N32),0)))&lt;S31,A32+IF(N32=0,0,IF(E32=0,ROUNDUP(N32/G32,0),ROUNDUP(NPER(E32/12,-G32,N32),0))),S31))))))</f>
        <v>420</v>
      </c>
      <c r="T32" s="35" t="str">
        <f t="shared" si="15"/>
        <v/>
      </c>
      <c r="U32" s="3">
        <f t="shared" si="0"/>
        <v>0</v>
      </c>
      <c r="V32" s="3">
        <f t="shared" si="1"/>
        <v>0</v>
      </c>
      <c r="W32" s="3">
        <f t="shared" si="2"/>
        <v>0</v>
      </c>
      <c r="X32" s="3">
        <f t="shared" si="3"/>
        <v>0</v>
      </c>
      <c r="Y32" s="3">
        <f>0</f>
        <v>0</v>
      </c>
      <c r="Z32" s="3">
        <f t="shared" si="4"/>
        <v>0</v>
      </c>
      <c r="AA32">
        <f>ROUND(IF(FALSE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,0)</f>
        <v>93982</v>
      </c>
    </row>
    <row r="33" spans="1:27">
      <c r="A33" s="30">
        <f>28</f>
        <v>28</v>
      </c>
      <c r="B33" s="31">
        <f>EDATE(入力!$B$6,A33-1)</f>
        <v>47058</v>
      </c>
      <c r="C33" s="32">
        <f t="shared" si="5"/>
        <v>32998602</v>
      </c>
      <c r="D33" s="32">
        <f t="shared" si="6"/>
        <v>0</v>
      </c>
      <c r="E33" s="33">
        <f>IF(AND(T32="",A33&lt;=S32),IF(A33&lt;入力!$B$11,入力!$B$10,入力!$B$12),0)</f>
        <v>7.0000000000000001E-3</v>
      </c>
      <c r="F33" s="32">
        <f t="shared" si="7"/>
        <v>19249</v>
      </c>
      <c r="G33" s="32">
        <f>ROUND(IF(NOT(AND(T32="",A33&lt;=S32)),0,IF(FALSE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),0)</f>
        <v>93982</v>
      </c>
      <c r="H33" s="32">
        <f t="shared" si="8"/>
        <v>93982</v>
      </c>
      <c r="I33" s="32">
        <f t="shared" si="9"/>
        <v>19249</v>
      </c>
      <c r="J33" s="32">
        <f t="shared" si="10"/>
        <v>0</v>
      </c>
      <c r="K33" s="32">
        <f t="shared" si="11"/>
        <v>0</v>
      </c>
      <c r="L33" s="32">
        <f t="shared" si="12"/>
        <v>74733</v>
      </c>
      <c r="M33" s="32">
        <f>IF(AND(AND(T32="",A33&lt;=S32),A33=入力!$B$15),ROUND(MIN(入力!$B$16,MAX(0,C33-L33)),0),0)</f>
        <v>0</v>
      </c>
      <c r="N33" s="32">
        <f t="shared" si="13"/>
        <v>32923869</v>
      </c>
      <c r="O33" s="32">
        <f t="shared" si="14"/>
        <v>555365</v>
      </c>
      <c r="P33" s="34" t="str">
        <f>IF(NOT(AND(T32="",A33&lt;=S32)),"",IF(FALSE,"繰上返済後再計算","")&amp;IF(AND(入力!$B$13="有効",A33&gt;1,MOD(A33-1,60)=0),IF(FALSE,"・","")&amp;"5年見直し","")&amp;IF(AND(A33=入力!$B$11,A33&gt;1),IF(OR(FALSE,AND(入力!$B$13="有効",A33&gt;1,MOD(A33-1,60)=0)),"・","")&amp;"金利変更","")&amp;IF(AND(OR(AND(入力!$B$13="有効",A33&gt;1,MOD(A33-1,60)=0),AND(A33=入力!$B$11,A33&gt;1)),入力!$B$14="有効",IF(E33=0,ROUND(C33/MAX(1,S32-A33+1),0),ROUND(-PMT(E33/12,MAX(1,S32-A33+1),C33),0))&gt;ROUND(G32*1.25,0),NOT(FALSE)),"・上限適用",""))</f>
        <v/>
      </c>
      <c r="Q33" s="35" t="str">
        <f>IF(AND(T32="",A33&lt;=S32),入力!$B$13,"")</f>
        <v>有効</v>
      </c>
      <c r="R33" s="32" t="str">
        <f>IF(AND(AND(T32="",A33&lt;=S32),OR(AND(入力!$B$13="有効",A33&gt;1,MOD(A33-1,60)=0),AND(A33=入力!$B$11,A33&gt;1)),入力!$B$14="有効"),ROUND(G32*1.25,0),"")</f>
        <v/>
      </c>
      <c r="S33" s="36">
        <f>IF(A33&lt;&gt;入力!$B$15,S32,IF(K33&lt;&gt;0,S32,IF(G33&lt;=F33,S32,IF(M33&lt;=0,S32,IF(AND(N33&gt;0,E33&gt;0,G33&lt;=N33*E33/12),S32,IF(A33+IF(N33=0,0,IF(E33=0,ROUNDUP(N33/G33,0),ROUNDUP(NPER(E33/12,-G33,N33),0)))&lt;S32,A33+IF(N33=0,0,IF(E33=0,ROUNDUP(N33/G33,0),ROUNDUP(NPER(E33/12,-G33,N33),0))),S32))))))</f>
        <v>420</v>
      </c>
      <c r="T33" s="35" t="str">
        <f t="shared" si="15"/>
        <v/>
      </c>
      <c r="U33" s="3">
        <f t="shared" si="0"/>
        <v>0</v>
      </c>
      <c r="V33" s="3">
        <f t="shared" si="1"/>
        <v>0</v>
      </c>
      <c r="W33" s="3">
        <f t="shared" si="2"/>
        <v>0</v>
      </c>
      <c r="X33" s="3">
        <f t="shared" si="3"/>
        <v>0</v>
      </c>
      <c r="Y33" s="3">
        <f>0</f>
        <v>0</v>
      </c>
      <c r="Z33" s="3">
        <f t="shared" si="4"/>
        <v>0</v>
      </c>
      <c r="AA33">
        <f>ROUND(IF(FALSE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,0)</f>
        <v>93982</v>
      </c>
    </row>
    <row r="34" spans="1:27">
      <c r="A34" s="30">
        <f>29</f>
        <v>29</v>
      </c>
      <c r="B34" s="31">
        <f>EDATE(入力!$B$6,A34-1)</f>
        <v>47088</v>
      </c>
      <c r="C34" s="32">
        <f t="shared" si="5"/>
        <v>32923869</v>
      </c>
      <c r="D34" s="32">
        <f t="shared" si="6"/>
        <v>0</v>
      </c>
      <c r="E34" s="33">
        <f>IF(AND(T33="",A34&lt;=S33),IF(A34&lt;入力!$B$11,入力!$B$10,入力!$B$12),0)</f>
        <v>7.0000000000000001E-3</v>
      </c>
      <c r="F34" s="32">
        <f t="shared" si="7"/>
        <v>19206</v>
      </c>
      <c r="G34" s="32">
        <f>ROUND(IF(NOT(AND(T33="",A34&lt;=S33)),0,IF(FALSE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),0)</f>
        <v>93982</v>
      </c>
      <c r="H34" s="32">
        <f t="shared" si="8"/>
        <v>93982</v>
      </c>
      <c r="I34" s="32">
        <f t="shared" si="9"/>
        <v>19206</v>
      </c>
      <c r="J34" s="32">
        <f t="shared" si="10"/>
        <v>0</v>
      </c>
      <c r="K34" s="32">
        <f t="shared" si="11"/>
        <v>0</v>
      </c>
      <c r="L34" s="32">
        <f t="shared" si="12"/>
        <v>74776</v>
      </c>
      <c r="M34" s="32">
        <f>IF(AND(AND(T33="",A34&lt;=S33),A34=入力!$B$15),ROUND(MIN(入力!$B$16,MAX(0,C34-L34)),0),0)</f>
        <v>0</v>
      </c>
      <c r="N34" s="32">
        <f t="shared" si="13"/>
        <v>32849093</v>
      </c>
      <c r="O34" s="32">
        <f t="shared" si="14"/>
        <v>574571</v>
      </c>
      <c r="P34" s="34" t="str">
        <f>IF(NOT(AND(T33="",A34&lt;=S33)),"",IF(FALSE,"繰上返済後再計算","")&amp;IF(AND(入力!$B$13="有効",A34&gt;1,MOD(A34-1,60)=0),IF(FALSE,"・","")&amp;"5年見直し","")&amp;IF(AND(A34=入力!$B$11,A34&gt;1),IF(OR(FALSE,AND(入力!$B$13="有効",A34&gt;1,MOD(A34-1,60)=0)),"・","")&amp;"金利変更","")&amp;IF(AND(OR(AND(入力!$B$13="有効",A34&gt;1,MOD(A34-1,60)=0),AND(A34=入力!$B$11,A34&gt;1)),入力!$B$14="有効",IF(E34=0,ROUND(C34/MAX(1,S33-A34+1),0),ROUND(-PMT(E34/12,MAX(1,S33-A34+1),C34),0))&gt;ROUND(G33*1.25,0),NOT(FALSE)),"・上限適用",""))</f>
        <v/>
      </c>
      <c r="Q34" s="35" t="str">
        <f>IF(AND(T33="",A34&lt;=S33),入力!$B$13,"")</f>
        <v>有効</v>
      </c>
      <c r="R34" s="32" t="str">
        <f>IF(AND(AND(T33="",A34&lt;=S33),OR(AND(入力!$B$13="有効",A34&gt;1,MOD(A34-1,60)=0),AND(A34=入力!$B$11,A34&gt;1)),入力!$B$14="有効"),ROUND(G33*1.25,0),"")</f>
        <v/>
      </c>
      <c r="S34" s="36">
        <f>IF(A34&lt;&gt;入力!$B$15,S33,IF(K34&lt;&gt;0,S33,IF(G34&lt;=F34,S33,IF(M34&lt;=0,S33,IF(AND(N34&gt;0,E34&gt;0,G34&lt;=N34*E34/12),S33,IF(A34+IF(N34=0,0,IF(E34=0,ROUNDUP(N34/G34,0),ROUNDUP(NPER(E34/12,-G34,N34),0)))&lt;S33,A34+IF(N34=0,0,IF(E34=0,ROUNDUP(N34/G34,0),ROUNDUP(NPER(E34/12,-G34,N34),0))),S33))))))</f>
        <v>420</v>
      </c>
      <c r="T34" s="35" t="str">
        <f t="shared" si="15"/>
        <v/>
      </c>
      <c r="U34" s="3">
        <f t="shared" si="0"/>
        <v>0</v>
      </c>
      <c r="V34" s="3">
        <f t="shared" si="1"/>
        <v>0</v>
      </c>
      <c r="W34" s="3">
        <f t="shared" si="2"/>
        <v>0</v>
      </c>
      <c r="X34" s="3">
        <f t="shared" si="3"/>
        <v>0</v>
      </c>
      <c r="Y34" s="3">
        <f>0</f>
        <v>0</v>
      </c>
      <c r="Z34" s="3">
        <f t="shared" si="4"/>
        <v>0</v>
      </c>
      <c r="AA34">
        <f>ROUND(IF(FALSE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,0)</f>
        <v>93982</v>
      </c>
    </row>
    <row r="35" spans="1:27">
      <c r="A35" s="30">
        <f>30</f>
        <v>30</v>
      </c>
      <c r="B35" s="31">
        <f>EDATE(入力!$B$6,A35-1)</f>
        <v>47119</v>
      </c>
      <c r="C35" s="32">
        <f t="shared" si="5"/>
        <v>32849093</v>
      </c>
      <c r="D35" s="32">
        <f t="shared" si="6"/>
        <v>0</v>
      </c>
      <c r="E35" s="33">
        <f>IF(AND(T34="",A35&lt;=S34),IF(A35&lt;入力!$B$11,入力!$B$10,入力!$B$12),0)</f>
        <v>7.0000000000000001E-3</v>
      </c>
      <c r="F35" s="32">
        <f t="shared" si="7"/>
        <v>19162</v>
      </c>
      <c r="G35" s="32">
        <f>ROUND(IF(NOT(AND(T34="",A35&lt;=S34)),0,IF(FALSE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),0)</f>
        <v>93982</v>
      </c>
      <c r="H35" s="32">
        <f t="shared" si="8"/>
        <v>93982</v>
      </c>
      <c r="I35" s="32">
        <f t="shared" si="9"/>
        <v>19162</v>
      </c>
      <c r="J35" s="32">
        <f t="shared" si="10"/>
        <v>0</v>
      </c>
      <c r="K35" s="32">
        <f t="shared" si="11"/>
        <v>0</v>
      </c>
      <c r="L35" s="32">
        <f t="shared" si="12"/>
        <v>74820</v>
      </c>
      <c r="M35" s="32">
        <f>IF(AND(AND(T34="",A35&lt;=S34),A35=入力!$B$15),ROUND(MIN(入力!$B$16,MAX(0,C35-L35)),0),0)</f>
        <v>0</v>
      </c>
      <c r="N35" s="32">
        <f t="shared" si="13"/>
        <v>32774273</v>
      </c>
      <c r="O35" s="32">
        <f t="shared" si="14"/>
        <v>593733</v>
      </c>
      <c r="P35" s="34" t="str">
        <f>IF(NOT(AND(T34="",A35&lt;=S34)),"",IF(FALSE,"繰上返済後再計算","")&amp;IF(AND(入力!$B$13="有効",A35&gt;1,MOD(A35-1,60)=0),IF(FALSE,"・","")&amp;"5年見直し","")&amp;IF(AND(A35=入力!$B$11,A35&gt;1),IF(OR(FALSE,AND(入力!$B$13="有効",A35&gt;1,MOD(A35-1,60)=0)),"・","")&amp;"金利変更","")&amp;IF(AND(OR(AND(入力!$B$13="有効",A35&gt;1,MOD(A35-1,60)=0),AND(A35=入力!$B$11,A35&gt;1)),入力!$B$14="有効",IF(E35=0,ROUND(C35/MAX(1,S34-A35+1),0),ROUND(-PMT(E35/12,MAX(1,S34-A35+1),C35),0))&gt;ROUND(G34*1.25,0),NOT(FALSE)),"・上限適用",""))</f>
        <v/>
      </c>
      <c r="Q35" s="35" t="str">
        <f>IF(AND(T34="",A35&lt;=S34),入力!$B$13,"")</f>
        <v>有効</v>
      </c>
      <c r="R35" s="32" t="str">
        <f>IF(AND(AND(T34="",A35&lt;=S34),OR(AND(入力!$B$13="有効",A35&gt;1,MOD(A35-1,60)=0),AND(A35=入力!$B$11,A35&gt;1)),入力!$B$14="有効"),ROUND(G34*1.25,0),"")</f>
        <v/>
      </c>
      <c r="S35" s="36">
        <f>IF(A35&lt;&gt;入力!$B$15,S34,IF(K35&lt;&gt;0,S34,IF(G35&lt;=F35,S34,IF(M35&lt;=0,S34,IF(AND(N35&gt;0,E35&gt;0,G35&lt;=N35*E35/12),S34,IF(A35+IF(N35=0,0,IF(E35=0,ROUNDUP(N35/G35,0),ROUNDUP(NPER(E35/12,-G35,N35),0)))&lt;S34,A35+IF(N35=0,0,IF(E35=0,ROUNDUP(N35/G35,0),ROUNDUP(NPER(E35/12,-G35,N35),0))),S34))))))</f>
        <v>420</v>
      </c>
      <c r="T35" s="35" t="str">
        <f t="shared" si="15"/>
        <v/>
      </c>
      <c r="U35" s="3">
        <f t="shared" si="0"/>
        <v>0</v>
      </c>
      <c r="V35" s="3">
        <f t="shared" si="1"/>
        <v>0</v>
      </c>
      <c r="W35" s="3">
        <f t="shared" si="2"/>
        <v>0</v>
      </c>
      <c r="X35" s="3">
        <f t="shared" si="3"/>
        <v>0</v>
      </c>
      <c r="Y35" s="3">
        <f>0</f>
        <v>0</v>
      </c>
      <c r="Z35" s="3">
        <f t="shared" si="4"/>
        <v>0</v>
      </c>
      <c r="AA35">
        <f>ROUND(IF(FALSE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,0)</f>
        <v>93982</v>
      </c>
    </row>
    <row r="36" spans="1:27">
      <c r="A36" s="30">
        <f>31</f>
        <v>31</v>
      </c>
      <c r="B36" s="31">
        <f>EDATE(入力!$B$6,A36-1)</f>
        <v>47150</v>
      </c>
      <c r="C36" s="32">
        <f t="shared" si="5"/>
        <v>32774273</v>
      </c>
      <c r="D36" s="32">
        <f t="shared" si="6"/>
        <v>0</v>
      </c>
      <c r="E36" s="33">
        <f>IF(AND(T35="",A36&lt;=S35),IF(A36&lt;入力!$B$11,入力!$B$10,入力!$B$12),0)</f>
        <v>7.0000000000000001E-3</v>
      </c>
      <c r="F36" s="32">
        <f t="shared" si="7"/>
        <v>19118</v>
      </c>
      <c r="G36" s="32">
        <f>ROUND(IF(NOT(AND(T35="",A36&lt;=S35)),0,IF(FALSE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),0)</f>
        <v>93982</v>
      </c>
      <c r="H36" s="32">
        <f t="shared" si="8"/>
        <v>93982</v>
      </c>
      <c r="I36" s="32">
        <f t="shared" si="9"/>
        <v>19118</v>
      </c>
      <c r="J36" s="32">
        <f t="shared" si="10"/>
        <v>0</v>
      </c>
      <c r="K36" s="32">
        <f t="shared" si="11"/>
        <v>0</v>
      </c>
      <c r="L36" s="32">
        <f t="shared" si="12"/>
        <v>74864</v>
      </c>
      <c r="M36" s="32">
        <f>IF(AND(AND(T35="",A36&lt;=S35),A36=入力!$B$15),ROUND(MIN(入力!$B$16,MAX(0,C36-L36)),0),0)</f>
        <v>0</v>
      </c>
      <c r="N36" s="32">
        <f t="shared" si="13"/>
        <v>32699409</v>
      </c>
      <c r="O36" s="32">
        <f t="shared" si="14"/>
        <v>612851</v>
      </c>
      <c r="P36" s="34" t="str">
        <f>IF(NOT(AND(T35="",A36&lt;=S35)),"",IF(FALSE,"繰上返済後再計算","")&amp;IF(AND(入力!$B$13="有効",A36&gt;1,MOD(A36-1,60)=0),IF(FALSE,"・","")&amp;"5年見直し","")&amp;IF(AND(A36=入力!$B$11,A36&gt;1),IF(OR(FALSE,AND(入力!$B$13="有効",A36&gt;1,MOD(A36-1,60)=0)),"・","")&amp;"金利変更","")&amp;IF(AND(OR(AND(入力!$B$13="有効",A36&gt;1,MOD(A36-1,60)=0),AND(A36=入力!$B$11,A36&gt;1)),入力!$B$14="有効",IF(E36=0,ROUND(C36/MAX(1,S35-A36+1),0),ROUND(-PMT(E36/12,MAX(1,S35-A36+1),C36),0))&gt;ROUND(G35*1.25,0),NOT(FALSE)),"・上限適用",""))</f>
        <v/>
      </c>
      <c r="Q36" s="35" t="str">
        <f>IF(AND(T35="",A36&lt;=S35),入力!$B$13,"")</f>
        <v>有効</v>
      </c>
      <c r="R36" s="32" t="str">
        <f>IF(AND(AND(T35="",A36&lt;=S35),OR(AND(入力!$B$13="有効",A36&gt;1,MOD(A36-1,60)=0),AND(A36=入力!$B$11,A36&gt;1)),入力!$B$14="有効"),ROUND(G35*1.25,0),"")</f>
        <v/>
      </c>
      <c r="S36" s="36">
        <f>IF(A36&lt;&gt;入力!$B$15,S35,IF(K36&lt;&gt;0,S35,IF(G36&lt;=F36,S35,IF(M36&lt;=0,S35,IF(AND(N36&gt;0,E36&gt;0,G36&lt;=N36*E36/12),S35,IF(A36+IF(N36=0,0,IF(E36=0,ROUNDUP(N36/G36,0),ROUNDUP(NPER(E36/12,-G36,N36),0)))&lt;S35,A36+IF(N36=0,0,IF(E36=0,ROUNDUP(N36/G36,0),ROUNDUP(NPER(E36/12,-G36,N36),0))),S35))))))</f>
        <v>420</v>
      </c>
      <c r="T36" s="35" t="str">
        <f t="shared" si="15"/>
        <v/>
      </c>
      <c r="U36" s="3">
        <f t="shared" si="0"/>
        <v>0</v>
      </c>
      <c r="V36" s="3">
        <f t="shared" si="1"/>
        <v>0</v>
      </c>
      <c r="W36" s="3">
        <f t="shared" si="2"/>
        <v>0</v>
      </c>
      <c r="X36" s="3">
        <f t="shared" si="3"/>
        <v>0</v>
      </c>
      <c r="Y36" s="3">
        <f>0</f>
        <v>0</v>
      </c>
      <c r="Z36" s="3">
        <f t="shared" si="4"/>
        <v>0</v>
      </c>
      <c r="AA36">
        <f>ROUND(IF(FALSE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,0)</f>
        <v>93982</v>
      </c>
    </row>
    <row r="37" spans="1:27">
      <c r="A37" s="30">
        <f>32</f>
        <v>32</v>
      </c>
      <c r="B37" s="31">
        <f>EDATE(入力!$B$6,A37-1)</f>
        <v>47178</v>
      </c>
      <c r="C37" s="32">
        <f t="shared" si="5"/>
        <v>32699409</v>
      </c>
      <c r="D37" s="32">
        <f t="shared" si="6"/>
        <v>0</v>
      </c>
      <c r="E37" s="33">
        <f>IF(AND(T36="",A37&lt;=S36),IF(A37&lt;入力!$B$11,入力!$B$10,入力!$B$12),0)</f>
        <v>7.0000000000000001E-3</v>
      </c>
      <c r="F37" s="32">
        <f t="shared" si="7"/>
        <v>19075</v>
      </c>
      <c r="G37" s="32">
        <f>ROUND(IF(NOT(AND(T36="",A37&lt;=S36)),0,IF(FALSE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),0)</f>
        <v>93982</v>
      </c>
      <c r="H37" s="32">
        <f t="shared" si="8"/>
        <v>93982</v>
      </c>
      <c r="I37" s="32">
        <f t="shared" si="9"/>
        <v>19075</v>
      </c>
      <c r="J37" s="32">
        <f t="shared" si="10"/>
        <v>0</v>
      </c>
      <c r="K37" s="32">
        <f t="shared" si="11"/>
        <v>0</v>
      </c>
      <c r="L37" s="32">
        <f t="shared" si="12"/>
        <v>74907</v>
      </c>
      <c r="M37" s="32">
        <f>IF(AND(AND(T36="",A37&lt;=S36),A37=入力!$B$15),ROUND(MIN(入力!$B$16,MAX(0,C37-L37)),0),0)</f>
        <v>0</v>
      </c>
      <c r="N37" s="32">
        <f t="shared" si="13"/>
        <v>32624502</v>
      </c>
      <c r="O37" s="32">
        <f t="shared" si="14"/>
        <v>631926</v>
      </c>
      <c r="P37" s="34" t="str">
        <f>IF(NOT(AND(T36="",A37&lt;=S36)),"",IF(FALSE,"繰上返済後再計算","")&amp;IF(AND(入力!$B$13="有効",A37&gt;1,MOD(A37-1,60)=0),IF(FALSE,"・","")&amp;"5年見直し","")&amp;IF(AND(A37=入力!$B$11,A37&gt;1),IF(OR(FALSE,AND(入力!$B$13="有効",A37&gt;1,MOD(A37-1,60)=0)),"・","")&amp;"金利変更","")&amp;IF(AND(OR(AND(入力!$B$13="有効",A37&gt;1,MOD(A37-1,60)=0),AND(A37=入力!$B$11,A37&gt;1)),入力!$B$14="有効",IF(E37=0,ROUND(C37/MAX(1,S36-A37+1),0),ROUND(-PMT(E37/12,MAX(1,S36-A37+1),C37),0))&gt;ROUND(G36*1.25,0),NOT(FALSE)),"・上限適用",""))</f>
        <v/>
      </c>
      <c r="Q37" s="35" t="str">
        <f>IF(AND(T36="",A37&lt;=S36),入力!$B$13,"")</f>
        <v>有効</v>
      </c>
      <c r="R37" s="32" t="str">
        <f>IF(AND(AND(T36="",A37&lt;=S36),OR(AND(入力!$B$13="有効",A37&gt;1,MOD(A37-1,60)=0),AND(A37=入力!$B$11,A37&gt;1)),入力!$B$14="有効"),ROUND(G36*1.25,0),"")</f>
        <v/>
      </c>
      <c r="S37" s="36">
        <f>IF(A37&lt;&gt;入力!$B$15,S36,IF(K37&lt;&gt;0,S36,IF(G37&lt;=F37,S36,IF(M37&lt;=0,S36,IF(AND(N37&gt;0,E37&gt;0,G37&lt;=N37*E37/12),S36,IF(A37+IF(N37=0,0,IF(E37=0,ROUNDUP(N37/G37,0),ROUNDUP(NPER(E37/12,-G37,N37),0)))&lt;S36,A37+IF(N37=0,0,IF(E37=0,ROUNDUP(N37/G37,0),ROUNDUP(NPER(E37/12,-G37,N37),0))),S36))))))</f>
        <v>420</v>
      </c>
      <c r="T37" s="35" t="str">
        <f t="shared" si="15"/>
        <v/>
      </c>
      <c r="U37" s="3">
        <f t="shared" si="0"/>
        <v>0</v>
      </c>
      <c r="V37" s="3">
        <f t="shared" si="1"/>
        <v>0</v>
      </c>
      <c r="W37" s="3">
        <f t="shared" si="2"/>
        <v>0</v>
      </c>
      <c r="X37" s="3">
        <f t="shared" si="3"/>
        <v>0</v>
      </c>
      <c r="Y37" s="3">
        <f>0</f>
        <v>0</v>
      </c>
      <c r="Z37" s="3">
        <f t="shared" si="4"/>
        <v>0</v>
      </c>
      <c r="AA37">
        <f>ROUND(IF(FALSE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,0)</f>
        <v>93982</v>
      </c>
    </row>
    <row r="38" spans="1:27">
      <c r="A38" s="30">
        <f>33</f>
        <v>33</v>
      </c>
      <c r="B38" s="31">
        <f>EDATE(入力!$B$6,A38-1)</f>
        <v>47209</v>
      </c>
      <c r="C38" s="32">
        <f t="shared" si="5"/>
        <v>32624502</v>
      </c>
      <c r="D38" s="32">
        <f t="shared" si="6"/>
        <v>0</v>
      </c>
      <c r="E38" s="33">
        <f>IF(AND(T37="",A38&lt;=S37),IF(A38&lt;入力!$B$11,入力!$B$10,入力!$B$12),0)</f>
        <v>7.0000000000000001E-3</v>
      </c>
      <c r="F38" s="32">
        <f t="shared" si="7"/>
        <v>19031</v>
      </c>
      <c r="G38" s="32">
        <f>ROUND(IF(NOT(AND(T37="",A38&lt;=S37)),0,IF(FALSE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),0)</f>
        <v>93982</v>
      </c>
      <c r="H38" s="32">
        <f t="shared" si="8"/>
        <v>93982</v>
      </c>
      <c r="I38" s="32">
        <f t="shared" si="9"/>
        <v>19031</v>
      </c>
      <c r="J38" s="32">
        <f t="shared" si="10"/>
        <v>0</v>
      </c>
      <c r="K38" s="32">
        <f t="shared" si="11"/>
        <v>0</v>
      </c>
      <c r="L38" s="32">
        <f t="shared" si="12"/>
        <v>74951</v>
      </c>
      <c r="M38" s="32">
        <f>IF(AND(AND(T37="",A38&lt;=S37),A38=入力!$B$15),ROUND(MIN(入力!$B$16,MAX(0,C38-L38)),0),0)</f>
        <v>0</v>
      </c>
      <c r="N38" s="32">
        <f t="shared" si="13"/>
        <v>32549551</v>
      </c>
      <c r="O38" s="32">
        <f t="shared" si="14"/>
        <v>650957</v>
      </c>
      <c r="P38" s="34" t="str">
        <f>IF(NOT(AND(T37="",A38&lt;=S37)),"",IF(FALSE,"繰上返済後再計算","")&amp;IF(AND(入力!$B$13="有効",A38&gt;1,MOD(A38-1,60)=0),IF(FALSE,"・","")&amp;"5年見直し","")&amp;IF(AND(A38=入力!$B$11,A38&gt;1),IF(OR(FALSE,AND(入力!$B$13="有効",A38&gt;1,MOD(A38-1,60)=0)),"・","")&amp;"金利変更","")&amp;IF(AND(OR(AND(入力!$B$13="有効",A38&gt;1,MOD(A38-1,60)=0),AND(A38=入力!$B$11,A38&gt;1)),入力!$B$14="有効",IF(E38=0,ROUND(C38/MAX(1,S37-A38+1),0),ROUND(-PMT(E38/12,MAX(1,S37-A38+1),C38),0))&gt;ROUND(G37*1.25,0),NOT(FALSE)),"・上限適用",""))</f>
        <v/>
      </c>
      <c r="Q38" s="35" t="str">
        <f>IF(AND(T37="",A38&lt;=S37),入力!$B$13,"")</f>
        <v>有効</v>
      </c>
      <c r="R38" s="32" t="str">
        <f>IF(AND(AND(T37="",A38&lt;=S37),OR(AND(入力!$B$13="有効",A38&gt;1,MOD(A38-1,60)=0),AND(A38=入力!$B$11,A38&gt;1)),入力!$B$14="有効"),ROUND(G37*1.25,0),"")</f>
        <v/>
      </c>
      <c r="S38" s="36">
        <f>IF(A38&lt;&gt;入力!$B$15,S37,IF(K38&lt;&gt;0,S37,IF(G38&lt;=F38,S37,IF(M38&lt;=0,S37,IF(AND(N38&gt;0,E38&gt;0,G38&lt;=N38*E38/12),S37,IF(A38+IF(N38=0,0,IF(E38=0,ROUNDUP(N38/G38,0),ROUNDUP(NPER(E38/12,-G38,N38),0)))&lt;S37,A38+IF(N38=0,0,IF(E38=0,ROUNDUP(N38/G38,0),ROUNDUP(NPER(E38/12,-G38,N38),0))),S37))))))</f>
        <v>420</v>
      </c>
      <c r="T38" s="35" t="str">
        <f t="shared" si="15"/>
        <v/>
      </c>
      <c r="U38" s="3">
        <f t="shared" si="0"/>
        <v>0</v>
      </c>
      <c r="V38" s="3">
        <f t="shared" si="1"/>
        <v>0</v>
      </c>
      <c r="W38" s="3">
        <f t="shared" si="2"/>
        <v>0</v>
      </c>
      <c r="X38" s="3">
        <f t="shared" si="3"/>
        <v>0</v>
      </c>
      <c r="Y38" s="3">
        <f>0</f>
        <v>0</v>
      </c>
      <c r="Z38" s="3">
        <f t="shared" si="4"/>
        <v>0</v>
      </c>
      <c r="AA38">
        <f>ROUND(IF(FALSE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,0)</f>
        <v>93982</v>
      </c>
    </row>
    <row r="39" spans="1:27">
      <c r="A39" s="30">
        <f>34</f>
        <v>34</v>
      </c>
      <c r="B39" s="31">
        <f>EDATE(入力!$B$6,A39-1)</f>
        <v>47239</v>
      </c>
      <c r="C39" s="32">
        <f t="shared" si="5"/>
        <v>32549551</v>
      </c>
      <c r="D39" s="32">
        <f t="shared" si="6"/>
        <v>0</v>
      </c>
      <c r="E39" s="33">
        <f>IF(AND(T38="",A39&lt;=S38),IF(A39&lt;入力!$B$11,入力!$B$10,入力!$B$12),0)</f>
        <v>7.0000000000000001E-3</v>
      </c>
      <c r="F39" s="32">
        <f t="shared" si="7"/>
        <v>18987</v>
      </c>
      <c r="G39" s="32">
        <f>ROUND(IF(NOT(AND(T38="",A39&lt;=S38)),0,IF(FALSE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),0)</f>
        <v>93982</v>
      </c>
      <c r="H39" s="32">
        <f t="shared" si="8"/>
        <v>93982</v>
      </c>
      <c r="I39" s="32">
        <f t="shared" si="9"/>
        <v>18987</v>
      </c>
      <c r="J39" s="32">
        <f t="shared" si="10"/>
        <v>0</v>
      </c>
      <c r="K39" s="32">
        <f t="shared" si="11"/>
        <v>0</v>
      </c>
      <c r="L39" s="32">
        <f t="shared" si="12"/>
        <v>74995</v>
      </c>
      <c r="M39" s="32">
        <f>IF(AND(AND(T38="",A39&lt;=S38),A39=入力!$B$15),ROUND(MIN(入力!$B$16,MAX(0,C39-L39)),0),0)</f>
        <v>0</v>
      </c>
      <c r="N39" s="32">
        <f t="shared" si="13"/>
        <v>32474556</v>
      </c>
      <c r="O39" s="32">
        <f t="shared" si="14"/>
        <v>669944</v>
      </c>
      <c r="P39" s="34" t="str">
        <f>IF(NOT(AND(T38="",A39&lt;=S38)),"",IF(FALSE,"繰上返済後再計算","")&amp;IF(AND(入力!$B$13="有効",A39&gt;1,MOD(A39-1,60)=0),IF(FALSE,"・","")&amp;"5年見直し","")&amp;IF(AND(A39=入力!$B$11,A39&gt;1),IF(OR(FALSE,AND(入力!$B$13="有効",A39&gt;1,MOD(A39-1,60)=0)),"・","")&amp;"金利変更","")&amp;IF(AND(OR(AND(入力!$B$13="有効",A39&gt;1,MOD(A39-1,60)=0),AND(A39=入力!$B$11,A39&gt;1)),入力!$B$14="有効",IF(E39=0,ROUND(C39/MAX(1,S38-A39+1),0),ROUND(-PMT(E39/12,MAX(1,S38-A39+1),C39),0))&gt;ROUND(G38*1.25,0),NOT(FALSE)),"・上限適用",""))</f>
        <v/>
      </c>
      <c r="Q39" s="35" t="str">
        <f>IF(AND(T38="",A39&lt;=S38),入力!$B$13,"")</f>
        <v>有効</v>
      </c>
      <c r="R39" s="32" t="str">
        <f>IF(AND(AND(T38="",A39&lt;=S38),OR(AND(入力!$B$13="有効",A39&gt;1,MOD(A39-1,60)=0),AND(A39=入力!$B$11,A39&gt;1)),入力!$B$14="有効"),ROUND(G38*1.25,0),"")</f>
        <v/>
      </c>
      <c r="S39" s="36">
        <f>IF(A39&lt;&gt;入力!$B$15,S38,IF(K39&lt;&gt;0,S38,IF(G39&lt;=F39,S38,IF(M39&lt;=0,S38,IF(AND(N39&gt;0,E39&gt;0,G39&lt;=N39*E39/12),S38,IF(A39+IF(N39=0,0,IF(E39=0,ROUNDUP(N39/G39,0),ROUNDUP(NPER(E39/12,-G39,N39),0)))&lt;S38,A39+IF(N39=0,0,IF(E39=0,ROUNDUP(N39/G39,0),ROUNDUP(NPER(E39/12,-G39,N39),0))),S38))))))</f>
        <v>420</v>
      </c>
      <c r="T39" s="35" t="str">
        <f t="shared" si="15"/>
        <v/>
      </c>
      <c r="U39" s="3">
        <f t="shared" si="0"/>
        <v>0</v>
      </c>
      <c r="V39" s="3">
        <f t="shared" si="1"/>
        <v>0</v>
      </c>
      <c r="W39" s="3">
        <f t="shared" si="2"/>
        <v>0</v>
      </c>
      <c r="X39" s="3">
        <f t="shared" si="3"/>
        <v>0</v>
      </c>
      <c r="Y39" s="3">
        <f>0</f>
        <v>0</v>
      </c>
      <c r="Z39" s="3">
        <f t="shared" si="4"/>
        <v>0</v>
      </c>
      <c r="AA39">
        <f>ROUND(IF(FALSE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,0)</f>
        <v>93982</v>
      </c>
    </row>
    <row r="40" spans="1:27">
      <c r="A40" s="30">
        <f>35</f>
        <v>35</v>
      </c>
      <c r="B40" s="31">
        <f>EDATE(入力!$B$6,A40-1)</f>
        <v>47270</v>
      </c>
      <c r="C40" s="32">
        <f t="shared" si="5"/>
        <v>32474556</v>
      </c>
      <c r="D40" s="32">
        <f t="shared" si="6"/>
        <v>0</v>
      </c>
      <c r="E40" s="33">
        <f>IF(AND(T39="",A40&lt;=S39),IF(A40&lt;入力!$B$11,入力!$B$10,入力!$B$12),0)</f>
        <v>7.0000000000000001E-3</v>
      </c>
      <c r="F40" s="32">
        <f t="shared" si="7"/>
        <v>18943</v>
      </c>
      <c r="G40" s="32">
        <f>ROUND(IF(NOT(AND(T39="",A40&lt;=S39)),0,IF(FALSE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),0)</f>
        <v>93982</v>
      </c>
      <c r="H40" s="32">
        <f t="shared" si="8"/>
        <v>93982</v>
      </c>
      <c r="I40" s="32">
        <f t="shared" si="9"/>
        <v>18943</v>
      </c>
      <c r="J40" s="32">
        <f t="shared" si="10"/>
        <v>0</v>
      </c>
      <c r="K40" s="32">
        <f t="shared" si="11"/>
        <v>0</v>
      </c>
      <c r="L40" s="32">
        <f t="shared" si="12"/>
        <v>75039</v>
      </c>
      <c r="M40" s="32">
        <f>IF(AND(AND(T39="",A40&lt;=S39),A40=入力!$B$15),ROUND(MIN(入力!$B$16,MAX(0,C40-L40)),0),0)</f>
        <v>0</v>
      </c>
      <c r="N40" s="32">
        <f t="shared" si="13"/>
        <v>32399517</v>
      </c>
      <c r="O40" s="32">
        <f t="shared" si="14"/>
        <v>688887</v>
      </c>
      <c r="P40" s="34" t="str">
        <f>IF(NOT(AND(T39="",A40&lt;=S39)),"",IF(FALSE,"繰上返済後再計算","")&amp;IF(AND(入力!$B$13="有効",A40&gt;1,MOD(A40-1,60)=0),IF(FALSE,"・","")&amp;"5年見直し","")&amp;IF(AND(A40=入力!$B$11,A40&gt;1),IF(OR(FALSE,AND(入力!$B$13="有効",A40&gt;1,MOD(A40-1,60)=0)),"・","")&amp;"金利変更","")&amp;IF(AND(OR(AND(入力!$B$13="有効",A40&gt;1,MOD(A40-1,60)=0),AND(A40=入力!$B$11,A40&gt;1)),入力!$B$14="有効",IF(E40=0,ROUND(C40/MAX(1,S39-A40+1),0),ROUND(-PMT(E40/12,MAX(1,S39-A40+1),C40),0))&gt;ROUND(G39*1.25,0),NOT(FALSE)),"・上限適用",""))</f>
        <v/>
      </c>
      <c r="Q40" s="35" t="str">
        <f>IF(AND(T39="",A40&lt;=S39),入力!$B$13,"")</f>
        <v>有効</v>
      </c>
      <c r="R40" s="32" t="str">
        <f>IF(AND(AND(T39="",A40&lt;=S39),OR(AND(入力!$B$13="有効",A40&gt;1,MOD(A40-1,60)=0),AND(A40=入力!$B$11,A40&gt;1)),入力!$B$14="有効"),ROUND(G39*1.25,0),"")</f>
        <v/>
      </c>
      <c r="S40" s="36">
        <f>IF(A40&lt;&gt;入力!$B$15,S39,IF(K40&lt;&gt;0,S39,IF(G40&lt;=F40,S39,IF(M40&lt;=0,S39,IF(AND(N40&gt;0,E40&gt;0,G40&lt;=N40*E40/12),S39,IF(A40+IF(N40=0,0,IF(E40=0,ROUNDUP(N40/G40,0),ROUNDUP(NPER(E40/12,-G40,N40),0)))&lt;S39,A40+IF(N40=0,0,IF(E40=0,ROUNDUP(N40/G40,0),ROUNDUP(NPER(E40/12,-G40,N40),0))),S39))))))</f>
        <v>420</v>
      </c>
      <c r="T40" s="35" t="str">
        <f t="shared" si="15"/>
        <v/>
      </c>
      <c r="U40" s="3">
        <f t="shared" si="0"/>
        <v>0</v>
      </c>
      <c r="V40" s="3">
        <f t="shared" si="1"/>
        <v>0</v>
      </c>
      <c r="W40" s="3">
        <f t="shared" si="2"/>
        <v>0</v>
      </c>
      <c r="X40" s="3">
        <f t="shared" si="3"/>
        <v>0</v>
      </c>
      <c r="Y40" s="3">
        <f>0</f>
        <v>0</v>
      </c>
      <c r="Z40" s="3">
        <f t="shared" si="4"/>
        <v>0</v>
      </c>
      <c r="AA40">
        <f>ROUND(IF(FALSE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,0)</f>
        <v>93982</v>
      </c>
    </row>
    <row r="41" spans="1:27">
      <c r="A41" s="30">
        <f>36</f>
        <v>36</v>
      </c>
      <c r="B41" s="31">
        <f>EDATE(入力!$B$6,A41-1)</f>
        <v>47300</v>
      </c>
      <c r="C41" s="32">
        <f t="shared" si="5"/>
        <v>32399517</v>
      </c>
      <c r="D41" s="32">
        <f t="shared" si="6"/>
        <v>0</v>
      </c>
      <c r="E41" s="33">
        <f>IF(AND(T40="",A41&lt;=S40),IF(A41&lt;入力!$B$11,入力!$B$10,入力!$B$12),0)</f>
        <v>7.0000000000000001E-3</v>
      </c>
      <c r="F41" s="32">
        <f t="shared" si="7"/>
        <v>18900</v>
      </c>
      <c r="G41" s="32">
        <f>ROUND(IF(NOT(AND(T40="",A41&lt;=S40)),0,IF(FALSE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),0)</f>
        <v>93982</v>
      </c>
      <c r="H41" s="32">
        <f t="shared" si="8"/>
        <v>93982</v>
      </c>
      <c r="I41" s="32">
        <f t="shared" si="9"/>
        <v>18900</v>
      </c>
      <c r="J41" s="32">
        <f t="shared" si="10"/>
        <v>0</v>
      </c>
      <c r="K41" s="32">
        <f t="shared" si="11"/>
        <v>0</v>
      </c>
      <c r="L41" s="32">
        <f t="shared" si="12"/>
        <v>75082</v>
      </c>
      <c r="M41" s="32">
        <f>IF(AND(AND(T40="",A41&lt;=S40),A41=入力!$B$15),ROUND(MIN(入力!$B$16,MAX(0,C41-L41)),0),0)</f>
        <v>0</v>
      </c>
      <c r="N41" s="32">
        <f t="shared" si="13"/>
        <v>32324435</v>
      </c>
      <c r="O41" s="32">
        <f t="shared" si="14"/>
        <v>707787</v>
      </c>
      <c r="P41" s="34" t="str">
        <f>IF(NOT(AND(T40="",A41&lt;=S40)),"",IF(FALSE,"繰上返済後再計算","")&amp;IF(AND(入力!$B$13="有効",A41&gt;1,MOD(A41-1,60)=0),IF(FALSE,"・","")&amp;"5年見直し","")&amp;IF(AND(A41=入力!$B$11,A41&gt;1),IF(OR(FALSE,AND(入力!$B$13="有効",A41&gt;1,MOD(A41-1,60)=0)),"・","")&amp;"金利変更","")&amp;IF(AND(OR(AND(入力!$B$13="有効",A41&gt;1,MOD(A41-1,60)=0),AND(A41=入力!$B$11,A41&gt;1)),入力!$B$14="有効",IF(E41=0,ROUND(C41/MAX(1,S40-A41+1),0),ROUND(-PMT(E41/12,MAX(1,S40-A41+1),C41),0))&gt;ROUND(G40*1.25,0),NOT(FALSE)),"・上限適用",""))</f>
        <v/>
      </c>
      <c r="Q41" s="35" t="str">
        <f>IF(AND(T40="",A41&lt;=S40),入力!$B$13,"")</f>
        <v>有効</v>
      </c>
      <c r="R41" s="32" t="str">
        <f>IF(AND(AND(T40="",A41&lt;=S40),OR(AND(入力!$B$13="有効",A41&gt;1,MOD(A41-1,60)=0),AND(A41=入力!$B$11,A41&gt;1)),入力!$B$14="有効"),ROUND(G40*1.25,0),"")</f>
        <v/>
      </c>
      <c r="S41" s="36">
        <f>IF(A41&lt;&gt;入力!$B$15,S40,IF(K41&lt;&gt;0,S40,IF(G41&lt;=F41,S40,IF(M41&lt;=0,S40,IF(AND(N41&gt;0,E41&gt;0,G41&lt;=N41*E41/12),S40,IF(A41+IF(N41=0,0,IF(E41=0,ROUNDUP(N41/G41,0),ROUNDUP(NPER(E41/12,-G41,N41),0)))&lt;S40,A41+IF(N41=0,0,IF(E41=0,ROUNDUP(N41/G41,0),ROUNDUP(NPER(E41/12,-G41,N41),0))),S40))))))</f>
        <v>420</v>
      </c>
      <c r="T41" s="35" t="str">
        <f t="shared" si="15"/>
        <v/>
      </c>
      <c r="U41" s="3">
        <f t="shared" si="0"/>
        <v>0</v>
      </c>
      <c r="V41" s="3">
        <f t="shared" si="1"/>
        <v>0</v>
      </c>
      <c r="W41" s="3">
        <f t="shared" si="2"/>
        <v>0</v>
      </c>
      <c r="X41" s="3">
        <f t="shared" si="3"/>
        <v>0</v>
      </c>
      <c r="Y41" s="3">
        <f>0</f>
        <v>0</v>
      </c>
      <c r="Z41" s="3">
        <f t="shared" si="4"/>
        <v>0</v>
      </c>
      <c r="AA41">
        <f>ROUND(IF(FALSE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,0)</f>
        <v>93982</v>
      </c>
    </row>
    <row r="42" spans="1:27">
      <c r="A42" s="30">
        <f>37</f>
        <v>37</v>
      </c>
      <c r="B42" s="31">
        <f>EDATE(入力!$B$6,A42-1)</f>
        <v>47331</v>
      </c>
      <c r="C42" s="32">
        <f t="shared" si="5"/>
        <v>32324435</v>
      </c>
      <c r="D42" s="32">
        <f t="shared" si="6"/>
        <v>0</v>
      </c>
      <c r="E42" s="33">
        <f>IF(AND(T41="",A42&lt;=S41),IF(A42&lt;入力!$B$11,入力!$B$10,入力!$B$12),0)</f>
        <v>7.0000000000000001E-3</v>
      </c>
      <c r="F42" s="32">
        <f t="shared" si="7"/>
        <v>18856</v>
      </c>
      <c r="G42" s="32">
        <f>ROUND(IF(NOT(AND(T41="",A42&lt;=S41)),0,IF(FALSE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),0)</f>
        <v>93982</v>
      </c>
      <c r="H42" s="32">
        <f t="shared" si="8"/>
        <v>93982</v>
      </c>
      <c r="I42" s="32">
        <f t="shared" si="9"/>
        <v>18856</v>
      </c>
      <c r="J42" s="32">
        <f t="shared" si="10"/>
        <v>0</v>
      </c>
      <c r="K42" s="32">
        <f t="shared" si="11"/>
        <v>0</v>
      </c>
      <c r="L42" s="32">
        <f t="shared" si="12"/>
        <v>75126</v>
      </c>
      <c r="M42" s="32">
        <f>IF(AND(AND(T41="",A42&lt;=S41),A42=入力!$B$15),ROUND(MIN(入力!$B$16,MAX(0,C42-L42)),0),0)</f>
        <v>0</v>
      </c>
      <c r="N42" s="32">
        <f t="shared" si="13"/>
        <v>32249309</v>
      </c>
      <c r="O42" s="32">
        <f t="shared" si="14"/>
        <v>726643</v>
      </c>
      <c r="P42" s="34" t="str">
        <f>IF(NOT(AND(T41="",A42&lt;=S41)),"",IF(FALSE,"繰上返済後再計算","")&amp;IF(AND(入力!$B$13="有効",A42&gt;1,MOD(A42-1,60)=0),IF(FALSE,"・","")&amp;"5年見直し","")&amp;IF(AND(A42=入力!$B$11,A42&gt;1),IF(OR(FALSE,AND(入力!$B$13="有効",A42&gt;1,MOD(A42-1,60)=0)),"・","")&amp;"金利変更","")&amp;IF(AND(OR(AND(入力!$B$13="有効",A42&gt;1,MOD(A42-1,60)=0),AND(A42=入力!$B$11,A42&gt;1)),入力!$B$14="有効",IF(E42=0,ROUND(C42/MAX(1,S41-A42+1),0),ROUND(-PMT(E42/12,MAX(1,S41-A42+1),C42),0))&gt;ROUND(G41*1.25,0),NOT(FALSE)),"・上限適用",""))</f>
        <v/>
      </c>
      <c r="Q42" s="35" t="str">
        <f>IF(AND(T41="",A42&lt;=S41),入力!$B$13,"")</f>
        <v>有効</v>
      </c>
      <c r="R42" s="32" t="str">
        <f>IF(AND(AND(T41="",A42&lt;=S41),OR(AND(入力!$B$13="有効",A42&gt;1,MOD(A42-1,60)=0),AND(A42=入力!$B$11,A42&gt;1)),入力!$B$14="有効"),ROUND(G41*1.25,0),"")</f>
        <v/>
      </c>
      <c r="S42" s="36">
        <f>IF(A42&lt;&gt;入力!$B$15,S41,IF(K42&lt;&gt;0,S41,IF(G42&lt;=F42,S41,IF(M42&lt;=0,S41,IF(AND(N42&gt;0,E42&gt;0,G42&lt;=N42*E42/12),S41,IF(A42+IF(N42=0,0,IF(E42=0,ROUNDUP(N42/G42,0),ROUNDUP(NPER(E42/12,-G42,N42),0)))&lt;S41,A42+IF(N42=0,0,IF(E42=0,ROUNDUP(N42/G42,0),ROUNDUP(NPER(E42/12,-G42,N42),0))),S41))))))</f>
        <v>420</v>
      </c>
      <c r="T42" s="35" t="str">
        <f t="shared" si="15"/>
        <v/>
      </c>
      <c r="U42" s="3">
        <f t="shared" si="0"/>
        <v>0</v>
      </c>
      <c r="V42" s="3">
        <f t="shared" si="1"/>
        <v>0</v>
      </c>
      <c r="W42" s="3">
        <f t="shared" si="2"/>
        <v>0</v>
      </c>
      <c r="X42" s="3">
        <f t="shared" si="3"/>
        <v>0</v>
      </c>
      <c r="Y42" s="3">
        <f>0</f>
        <v>0</v>
      </c>
      <c r="Z42" s="3">
        <f t="shared" si="4"/>
        <v>0</v>
      </c>
      <c r="AA42">
        <f>ROUND(IF(FALSE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,0)</f>
        <v>93982</v>
      </c>
    </row>
    <row r="43" spans="1:27">
      <c r="A43" s="30">
        <f>38</f>
        <v>38</v>
      </c>
      <c r="B43" s="31">
        <f>EDATE(入力!$B$6,A43-1)</f>
        <v>47362</v>
      </c>
      <c r="C43" s="32">
        <f t="shared" si="5"/>
        <v>32249309</v>
      </c>
      <c r="D43" s="32">
        <f t="shared" si="6"/>
        <v>0</v>
      </c>
      <c r="E43" s="33">
        <f>IF(AND(T42="",A43&lt;=S42),IF(A43&lt;入力!$B$11,入力!$B$10,入力!$B$12),0)</f>
        <v>7.0000000000000001E-3</v>
      </c>
      <c r="F43" s="32">
        <f t="shared" si="7"/>
        <v>18812</v>
      </c>
      <c r="G43" s="32">
        <f>ROUND(IF(NOT(AND(T42="",A43&lt;=S42)),0,IF(FALSE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),0)</f>
        <v>93982</v>
      </c>
      <c r="H43" s="32">
        <f t="shared" si="8"/>
        <v>93982</v>
      </c>
      <c r="I43" s="32">
        <f t="shared" si="9"/>
        <v>18812</v>
      </c>
      <c r="J43" s="32">
        <f t="shared" si="10"/>
        <v>0</v>
      </c>
      <c r="K43" s="32">
        <f t="shared" si="11"/>
        <v>0</v>
      </c>
      <c r="L43" s="32">
        <f t="shared" si="12"/>
        <v>75170</v>
      </c>
      <c r="M43" s="32">
        <f>IF(AND(AND(T42="",A43&lt;=S42),A43=入力!$B$15),ROUND(MIN(入力!$B$16,MAX(0,C43-L43)),0),0)</f>
        <v>0</v>
      </c>
      <c r="N43" s="32">
        <f t="shared" si="13"/>
        <v>32174139</v>
      </c>
      <c r="O43" s="32">
        <f t="shared" si="14"/>
        <v>745455</v>
      </c>
      <c r="P43" s="34" t="str">
        <f>IF(NOT(AND(T42="",A43&lt;=S42)),"",IF(FALSE,"繰上返済後再計算","")&amp;IF(AND(入力!$B$13="有効",A43&gt;1,MOD(A43-1,60)=0),IF(FALSE,"・","")&amp;"5年見直し","")&amp;IF(AND(A43=入力!$B$11,A43&gt;1),IF(OR(FALSE,AND(入力!$B$13="有効",A43&gt;1,MOD(A43-1,60)=0)),"・","")&amp;"金利変更","")&amp;IF(AND(OR(AND(入力!$B$13="有効",A43&gt;1,MOD(A43-1,60)=0),AND(A43=入力!$B$11,A43&gt;1)),入力!$B$14="有効",IF(E43=0,ROUND(C43/MAX(1,S42-A43+1),0),ROUND(-PMT(E43/12,MAX(1,S42-A43+1),C43),0))&gt;ROUND(G42*1.25,0),NOT(FALSE)),"・上限適用",""))</f>
        <v/>
      </c>
      <c r="Q43" s="35" t="str">
        <f>IF(AND(T42="",A43&lt;=S42),入力!$B$13,"")</f>
        <v>有効</v>
      </c>
      <c r="R43" s="32" t="str">
        <f>IF(AND(AND(T42="",A43&lt;=S42),OR(AND(入力!$B$13="有効",A43&gt;1,MOD(A43-1,60)=0),AND(A43=入力!$B$11,A43&gt;1)),入力!$B$14="有効"),ROUND(G42*1.25,0),"")</f>
        <v/>
      </c>
      <c r="S43" s="36">
        <f>IF(A43&lt;&gt;入力!$B$15,S42,IF(K43&lt;&gt;0,S42,IF(G43&lt;=F43,S42,IF(M43&lt;=0,S42,IF(AND(N43&gt;0,E43&gt;0,G43&lt;=N43*E43/12),S42,IF(A43+IF(N43=0,0,IF(E43=0,ROUNDUP(N43/G43,0),ROUNDUP(NPER(E43/12,-G43,N43),0)))&lt;S42,A43+IF(N43=0,0,IF(E43=0,ROUNDUP(N43/G43,0),ROUNDUP(NPER(E43/12,-G43,N43),0))),S42))))))</f>
        <v>420</v>
      </c>
      <c r="T43" s="35" t="str">
        <f t="shared" si="15"/>
        <v/>
      </c>
      <c r="U43" s="3">
        <f t="shared" si="0"/>
        <v>0</v>
      </c>
      <c r="V43" s="3">
        <f t="shared" si="1"/>
        <v>0</v>
      </c>
      <c r="W43" s="3">
        <f t="shared" si="2"/>
        <v>0</v>
      </c>
      <c r="X43" s="3">
        <f t="shared" si="3"/>
        <v>0</v>
      </c>
      <c r="Y43" s="3">
        <f>0</f>
        <v>0</v>
      </c>
      <c r="Z43" s="3">
        <f t="shared" si="4"/>
        <v>0</v>
      </c>
      <c r="AA43">
        <f>ROUND(IF(FALSE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,0)</f>
        <v>93982</v>
      </c>
    </row>
    <row r="44" spans="1:27">
      <c r="A44" s="30">
        <f>39</f>
        <v>39</v>
      </c>
      <c r="B44" s="31">
        <f>EDATE(入力!$B$6,A44-1)</f>
        <v>47392</v>
      </c>
      <c r="C44" s="32">
        <f t="shared" si="5"/>
        <v>32174139</v>
      </c>
      <c r="D44" s="32">
        <f t="shared" si="6"/>
        <v>0</v>
      </c>
      <c r="E44" s="33">
        <f>IF(AND(T43="",A44&lt;=S43),IF(A44&lt;入力!$B$11,入力!$B$10,入力!$B$12),0)</f>
        <v>7.0000000000000001E-3</v>
      </c>
      <c r="F44" s="32">
        <f t="shared" si="7"/>
        <v>18768</v>
      </c>
      <c r="G44" s="32">
        <f>ROUND(IF(NOT(AND(T43="",A44&lt;=S43)),0,IF(FALSE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),0)</f>
        <v>93982</v>
      </c>
      <c r="H44" s="32">
        <f t="shared" si="8"/>
        <v>93982</v>
      </c>
      <c r="I44" s="32">
        <f t="shared" si="9"/>
        <v>18768</v>
      </c>
      <c r="J44" s="32">
        <f t="shared" si="10"/>
        <v>0</v>
      </c>
      <c r="K44" s="32">
        <f t="shared" si="11"/>
        <v>0</v>
      </c>
      <c r="L44" s="32">
        <f t="shared" si="12"/>
        <v>75214</v>
      </c>
      <c r="M44" s="32">
        <f>IF(AND(AND(T43="",A44&lt;=S43),A44=入力!$B$15),ROUND(MIN(入力!$B$16,MAX(0,C44-L44)),0),0)</f>
        <v>0</v>
      </c>
      <c r="N44" s="32">
        <f t="shared" si="13"/>
        <v>32098925</v>
      </c>
      <c r="O44" s="32">
        <f t="shared" si="14"/>
        <v>764223</v>
      </c>
      <c r="P44" s="34" t="str">
        <f>IF(NOT(AND(T43="",A44&lt;=S43)),"",IF(FALSE,"繰上返済後再計算","")&amp;IF(AND(入力!$B$13="有効",A44&gt;1,MOD(A44-1,60)=0),IF(FALSE,"・","")&amp;"5年見直し","")&amp;IF(AND(A44=入力!$B$11,A44&gt;1),IF(OR(FALSE,AND(入力!$B$13="有効",A44&gt;1,MOD(A44-1,60)=0)),"・","")&amp;"金利変更","")&amp;IF(AND(OR(AND(入力!$B$13="有効",A44&gt;1,MOD(A44-1,60)=0),AND(A44=入力!$B$11,A44&gt;1)),入力!$B$14="有効",IF(E44=0,ROUND(C44/MAX(1,S43-A44+1),0),ROUND(-PMT(E44/12,MAX(1,S43-A44+1),C44),0))&gt;ROUND(G43*1.25,0),NOT(FALSE)),"・上限適用",""))</f>
        <v/>
      </c>
      <c r="Q44" s="35" t="str">
        <f>IF(AND(T43="",A44&lt;=S43),入力!$B$13,"")</f>
        <v>有効</v>
      </c>
      <c r="R44" s="32" t="str">
        <f>IF(AND(AND(T43="",A44&lt;=S43),OR(AND(入力!$B$13="有効",A44&gt;1,MOD(A44-1,60)=0),AND(A44=入力!$B$11,A44&gt;1)),入力!$B$14="有効"),ROUND(G43*1.25,0),"")</f>
        <v/>
      </c>
      <c r="S44" s="36">
        <f>IF(A44&lt;&gt;入力!$B$15,S43,IF(K44&lt;&gt;0,S43,IF(G44&lt;=F44,S43,IF(M44&lt;=0,S43,IF(AND(N44&gt;0,E44&gt;0,G44&lt;=N44*E44/12),S43,IF(A44+IF(N44=0,0,IF(E44=0,ROUNDUP(N44/G44,0),ROUNDUP(NPER(E44/12,-G44,N44),0)))&lt;S43,A44+IF(N44=0,0,IF(E44=0,ROUNDUP(N44/G44,0),ROUNDUP(NPER(E44/12,-G44,N44),0))),S43))))))</f>
        <v>420</v>
      </c>
      <c r="T44" s="35" t="str">
        <f t="shared" si="15"/>
        <v/>
      </c>
      <c r="U44" s="3">
        <f t="shared" si="0"/>
        <v>0</v>
      </c>
      <c r="V44" s="3">
        <f t="shared" si="1"/>
        <v>0</v>
      </c>
      <c r="W44" s="3">
        <f t="shared" si="2"/>
        <v>0</v>
      </c>
      <c r="X44" s="3">
        <f t="shared" si="3"/>
        <v>0</v>
      </c>
      <c r="Y44" s="3">
        <f>0</f>
        <v>0</v>
      </c>
      <c r="Z44" s="3">
        <f t="shared" si="4"/>
        <v>0</v>
      </c>
      <c r="AA44">
        <f>ROUND(IF(FALSE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,0)</f>
        <v>93982</v>
      </c>
    </row>
    <row r="45" spans="1:27">
      <c r="A45" s="30">
        <f>40</f>
        <v>40</v>
      </c>
      <c r="B45" s="31">
        <f>EDATE(入力!$B$6,A45-1)</f>
        <v>47423</v>
      </c>
      <c r="C45" s="32">
        <f t="shared" si="5"/>
        <v>32098925</v>
      </c>
      <c r="D45" s="32">
        <f t="shared" si="6"/>
        <v>0</v>
      </c>
      <c r="E45" s="33">
        <f>IF(AND(T44="",A45&lt;=S44),IF(A45&lt;入力!$B$11,入力!$B$10,入力!$B$12),0)</f>
        <v>7.0000000000000001E-3</v>
      </c>
      <c r="F45" s="32">
        <f t="shared" si="7"/>
        <v>18724</v>
      </c>
      <c r="G45" s="32">
        <f>ROUND(IF(NOT(AND(T44="",A45&lt;=S44)),0,IF(FALSE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),0)</f>
        <v>93982</v>
      </c>
      <c r="H45" s="32">
        <f t="shared" si="8"/>
        <v>93982</v>
      </c>
      <c r="I45" s="32">
        <f t="shared" si="9"/>
        <v>18724</v>
      </c>
      <c r="J45" s="32">
        <f t="shared" si="10"/>
        <v>0</v>
      </c>
      <c r="K45" s="32">
        <f t="shared" si="11"/>
        <v>0</v>
      </c>
      <c r="L45" s="32">
        <f t="shared" si="12"/>
        <v>75258</v>
      </c>
      <c r="M45" s="32">
        <f>IF(AND(AND(T44="",A45&lt;=S44),A45=入力!$B$15),ROUND(MIN(入力!$B$16,MAX(0,C45-L45)),0),0)</f>
        <v>0</v>
      </c>
      <c r="N45" s="32">
        <f t="shared" si="13"/>
        <v>32023667</v>
      </c>
      <c r="O45" s="32">
        <f t="shared" si="14"/>
        <v>782947</v>
      </c>
      <c r="P45" s="34" t="str">
        <f>IF(NOT(AND(T44="",A45&lt;=S44)),"",IF(FALSE,"繰上返済後再計算","")&amp;IF(AND(入力!$B$13="有効",A45&gt;1,MOD(A45-1,60)=0),IF(FALSE,"・","")&amp;"5年見直し","")&amp;IF(AND(A45=入力!$B$11,A45&gt;1),IF(OR(FALSE,AND(入力!$B$13="有効",A45&gt;1,MOD(A45-1,60)=0)),"・","")&amp;"金利変更","")&amp;IF(AND(OR(AND(入力!$B$13="有効",A45&gt;1,MOD(A45-1,60)=0),AND(A45=入力!$B$11,A45&gt;1)),入力!$B$14="有効",IF(E45=0,ROUND(C45/MAX(1,S44-A45+1),0),ROUND(-PMT(E45/12,MAX(1,S44-A45+1),C45),0))&gt;ROUND(G44*1.25,0),NOT(FALSE)),"・上限適用",""))</f>
        <v/>
      </c>
      <c r="Q45" s="35" t="str">
        <f>IF(AND(T44="",A45&lt;=S44),入力!$B$13,"")</f>
        <v>有効</v>
      </c>
      <c r="R45" s="32" t="str">
        <f>IF(AND(AND(T44="",A45&lt;=S44),OR(AND(入力!$B$13="有効",A45&gt;1,MOD(A45-1,60)=0),AND(A45=入力!$B$11,A45&gt;1)),入力!$B$14="有効"),ROUND(G44*1.25,0),"")</f>
        <v/>
      </c>
      <c r="S45" s="36">
        <f>IF(A45&lt;&gt;入力!$B$15,S44,IF(K45&lt;&gt;0,S44,IF(G45&lt;=F45,S44,IF(M45&lt;=0,S44,IF(AND(N45&gt;0,E45&gt;0,G45&lt;=N45*E45/12),S44,IF(A45+IF(N45=0,0,IF(E45=0,ROUNDUP(N45/G45,0),ROUNDUP(NPER(E45/12,-G45,N45),0)))&lt;S44,A45+IF(N45=0,0,IF(E45=0,ROUNDUP(N45/G45,0),ROUNDUP(NPER(E45/12,-G45,N45),0))),S44))))))</f>
        <v>420</v>
      </c>
      <c r="T45" s="35" t="str">
        <f t="shared" si="15"/>
        <v/>
      </c>
      <c r="U45" s="3">
        <f t="shared" si="0"/>
        <v>0</v>
      </c>
      <c r="V45" s="3">
        <f t="shared" si="1"/>
        <v>0</v>
      </c>
      <c r="W45" s="3">
        <f t="shared" si="2"/>
        <v>0</v>
      </c>
      <c r="X45" s="3">
        <f t="shared" si="3"/>
        <v>0</v>
      </c>
      <c r="Y45" s="3">
        <f>0</f>
        <v>0</v>
      </c>
      <c r="Z45" s="3">
        <f t="shared" si="4"/>
        <v>0</v>
      </c>
      <c r="AA45">
        <f>ROUND(IF(FALSE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,0)</f>
        <v>93982</v>
      </c>
    </row>
    <row r="46" spans="1:27">
      <c r="A46" s="30">
        <f>41</f>
        <v>41</v>
      </c>
      <c r="B46" s="31">
        <f>EDATE(入力!$B$6,A46-1)</f>
        <v>47453</v>
      </c>
      <c r="C46" s="32">
        <f t="shared" si="5"/>
        <v>32023667</v>
      </c>
      <c r="D46" s="32">
        <f t="shared" si="6"/>
        <v>0</v>
      </c>
      <c r="E46" s="33">
        <f>IF(AND(T45="",A46&lt;=S45),IF(A46&lt;入力!$B$11,入力!$B$10,入力!$B$12),0)</f>
        <v>7.0000000000000001E-3</v>
      </c>
      <c r="F46" s="32">
        <f t="shared" si="7"/>
        <v>18680</v>
      </c>
      <c r="G46" s="32">
        <f>ROUND(IF(NOT(AND(T45="",A46&lt;=S45)),0,IF(FALSE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),0)</f>
        <v>93982</v>
      </c>
      <c r="H46" s="32">
        <f t="shared" si="8"/>
        <v>93982</v>
      </c>
      <c r="I46" s="32">
        <f t="shared" si="9"/>
        <v>18680</v>
      </c>
      <c r="J46" s="32">
        <f t="shared" si="10"/>
        <v>0</v>
      </c>
      <c r="K46" s="32">
        <f t="shared" si="11"/>
        <v>0</v>
      </c>
      <c r="L46" s="32">
        <f t="shared" si="12"/>
        <v>75302</v>
      </c>
      <c r="M46" s="32">
        <f>IF(AND(AND(T45="",A46&lt;=S45),A46=入力!$B$15),ROUND(MIN(入力!$B$16,MAX(0,C46-L46)),0),0)</f>
        <v>0</v>
      </c>
      <c r="N46" s="32">
        <f t="shared" si="13"/>
        <v>31948365</v>
      </c>
      <c r="O46" s="32">
        <f t="shared" si="14"/>
        <v>801627</v>
      </c>
      <c r="P46" s="34" t="str">
        <f>IF(NOT(AND(T45="",A46&lt;=S45)),"",IF(FALSE,"繰上返済後再計算","")&amp;IF(AND(入力!$B$13="有効",A46&gt;1,MOD(A46-1,60)=0),IF(FALSE,"・","")&amp;"5年見直し","")&amp;IF(AND(A46=入力!$B$11,A46&gt;1),IF(OR(FALSE,AND(入力!$B$13="有効",A46&gt;1,MOD(A46-1,60)=0)),"・","")&amp;"金利変更","")&amp;IF(AND(OR(AND(入力!$B$13="有効",A46&gt;1,MOD(A46-1,60)=0),AND(A46=入力!$B$11,A46&gt;1)),入力!$B$14="有効",IF(E46=0,ROUND(C46/MAX(1,S45-A46+1),0),ROUND(-PMT(E46/12,MAX(1,S45-A46+1),C46),0))&gt;ROUND(G45*1.25,0),NOT(FALSE)),"・上限適用",""))</f>
        <v/>
      </c>
      <c r="Q46" s="35" t="str">
        <f>IF(AND(T45="",A46&lt;=S45),入力!$B$13,"")</f>
        <v>有効</v>
      </c>
      <c r="R46" s="32" t="str">
        <f>IF(AND(AND(T45="",A46&lt;=S45),OR(AND(入力!$B$13="有効",A46&gt;1,MOD(A46-1,60)=0),AND(A46=入力!$B$11,A46&gt;1)),入力!$B$14="有効"),ROUND(G45*1.25,0),"")</f>
        <v/>
      </c>
      <c r="S46" s="36">
        <f>IF(A46&lt;&gt;入力!$B$15,S45,IF(K46&lt;&gt;0,S45,IF(G46&lt;=F46,S45,IF(M46&lt;=0,S45,IF(AND(N46&gt;0,E46&gt;0,G46&lt;=N46*E46/12),S45,IF(A46+IF(N46=0,0,IF(E46=0,ROUNDUP(N46/G46,0),ROUNDUP(NPER(E46/12,-G46,N46),0)))&lt;S45,A46+IF(N46=0,0,IF(E46=0,ROUNDUP(N46/G46,0),ROUNDUP(NPER(E46/12,-G46,N46),0))),S45))))))</f>
        <v>420</v>
      </c>
      <c r="T46" s="35" t="str">
        <f t="shared" si="15"/>
        <v/>
      </c>
      <c r="U46" s="3">
        <f t="shared" si="0"/>
        <v>0</v>
      </c>
      <c r="V46" s="3">
        <f t="shared" si="1"/>
        <v>0</v>
      </c>
      <c r="W46" s="3">
        <f t="shared" si="2"/>
        <v>0</v>
      </c>
      <c r="X46" s="3">
        <f t="shared" si="3"/>
        <v>0</v>
      </c>
      <c r="Y46" s="3">
        <f>0</f>
        <v>0</v>
      </c>
      <c r="Z46" s="3">
        <f t="shared" si="4"/>
        <v>0</v>
      </c>
      <c r="AA46">
        <f>ROUND(IF(FALSE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,0)</f>
        <v>93982</v>
      </c>
    </row>
    <row r="47" spans="1:27">
      <c r="A47" s="30">
        <f>42</f>
        <v>42</v>
      </c>
      <c r="B47" s="31">
        <f>EDATE(入力!$B$6,A47-1)</f>
        <v>47484</v>
      </c>
      <c r="C47" s="32">
        <f t="shared" si="5"/>
        <v>31948365</v>
      </c>
      <c r="D47" s="32">
        <f t="shared" si="6"/>
        <v>0</v>
      </c>
      <c r="E47" s="33">
        <f>IF(AND(T46="",A47&lt;=S46),IF(A47&lt;入力!$B$11,入力!$B$10,入力!$B$12),0)</f>
        <v>7.0000000000000001E-3</v>
      </c>
      <c r="F47" s="32">
        <f t="shared" si="7"/>
        <v>18637</v>
      </c>
      <c r="G47" s="32">
        <f>ROUND(IF(NOT(AND(T46="",A47&lt;=S46)),0,IF(FALSE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),0)</f>
        <v>93982</v>
      </c>
      <c r="H47" s="32">
        <f t="shared" si="8"/>
        <v>93982</v>
      </c>
      <c r="I47" s="32">
        <f t="shared" si="9"/>
        <v>18637</v>
      </c>
      <c r="J47" s="32">
        <f t="shared" si="10"/>
        <v>0</v>
      </c>
      <c r="K47" s="32">
        <f t="shared" si="11"/>
        <v>0</v>
      </c>
      <c r="L47" s="32">
        <f t="shared" si="12"/>
        <v>75345</v>
      </c>
      <c r="M47" s="32">
        <f>IF(AND(AND(T46="",A47&lt;=S46),A47=入力!$B$15),ROUND(MIN(入力!$B$16,MAX(0,C47-L47)),0),0)</f>
        <v>0</v>
      </c>
      <c r="N47" s="32">
        <f t="shared" si="13"/>
        <v>31873020</v>
      </c>
      <c r="O47" s="32">
        <f t="shared" si="14"/>
        <v>820264</v>
      </c>
      <c r="P47" s="34" t="str">
        <f>IF(NOT(AND(T46="",A47&lt;=S46)),"",IF(FALSE,"繰上返済後再計算","")&amp;IF(AND(入力!$B$13="有効",A47&gt;1,MOD(A47-1,60)=0),IF(FALSE,"・","")&amp;"5年見直し","")&amp;IF(AND(A47=入力!$B$11,A47&gt;1),IF(OR(FALSE,AND(入力!$B$13="有効",A47&gt;1,MOD(A47-1,60)=0)),"・","")&amp;"金利変更","")&amp;IF(AND(OR(AND(入力!$B$13="有効",A47&gt;1,MOD(A47-1,60)=0),AND(A47=入力!$B$11,A47&gt;1)),入力!$B$14="有効",IF(E47=0,ROUND(C47/MAX(1,S46-A47+1),0),ROUND(-PMT(E47/12,MAX(1,S46-A47+1),C47),0))&gt;ROUND(G46*1.25,0),NOT(FALSE)),"・上限適用",""))</f>
        <v/>
      </c>
      <c r="Q47" s="35" t="str">
        <f>IF(AND(T46="",A47&lt;=S46),入力!$B$13,"")</f>
        <v>有効</v>
      </c>
      <c r="R47" s="32" t="str">
        <f>IF(AND(AND(T46="",A47&lt;=S46),OR(AND(入力!$B$13="有効",A47&gt;1,MOD(A47-1,60)=0),AND(A47=入力!$B$11,A47&gt;1)),入力!$B$14="有効"),ROUND(G46*1.25,0),"")</f>
        <v/>
      </c>
      <c r="S47" s="36">
        <f>IF(A47&lt;&gt;入力!$B$15,S46,IF(K47&lt;&gt;0,S46,IF(G47&lt;=F47,S46,IF(M47&lt;=0,S46,IF(AND(N47&gt;0,E47&gt;0,G47&lt;=N47*E47/12),S46,IF(A47+IF(N47=0,0,IF(E47=0,ROUNDUP(N47/G47,0),ROUNDUP(NPER(E47/12,-G47,N47),0)))&lt;S46,A47+IF(N47=0,0,IF(E47=0,ROUNDUP(N47/G47,0),ROUNDUP(NPER(E47/12,-G47,N47),0))),S46))))))</f>
        <v>420</v>
      </c>
      <c r="T47" s="35" t="str">
        <f t="shared" si="15"/>
        <v/>
      </c>
      <c r="U47" s="3">
        <f t="shared" si="0"/>
        <v>0</v>
      </c>
      <c r="V47" s="3">
        <f t="shared" si="1"/>
        <v>0</v>
      </c>
      <c r="W47" s="3">
        <f t="shared" si="2"/>
        <v>0</v>
      </c>
      <c r="X47" s="3">
        <f t="shared" si="3"/>
        <v>0</v>
      </c>
      <c r="Y47" s="3">
        <f>0</f>
        <v>0</v>
      </c>
      <c r="Z47" s="3">
        <f t="shared" si="4"/>
        <v>0</v>
      </c>
      <c r="AA47">
        <f>ROUND(IF(FALSE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,0)</f>
        <v>93982</v>
      </c>
    </row>
    <row r="48" spans="1:27">
      <c r="A48" s="30">
        <f>43</f>
        <v>43</v>
      </c>
      <c r="B48" s="31">
        <f>EDATE(入力!$B$6,A48-1)</f>
        <v>47515</v>
      </c>
      <c r="C48" s="32">
        <f t="shared" si="5"/>
        <v>31873020</v>
      </c>
      <c r="D48" s="32">
        <f t="shared" si="6"/>
        <v>0</v>
      </c>
      <c r="E48" s="33">
        <f>IF(AND(T47="",A48&lt;=S47),IF(A48&lt;入力!$B$11,入力!$B$10,入力!$B$12),0)</f>
        <v>7.0000000000000001E-3</v>
      </c>
      <c r="F48" s="32">
        <f t="shared" si="7"/>
        <v>18593</v>
      </c>
      <c r="G48" s="32">
        <f>ROUND(IF(NOT(AND(T47="",A48&lt;=S47)),0,IF(FALSE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),0)</f>
        <v>93982</v>
      </c>
      <c r="H48" s="32">
        <f t="shared" si="8"/>
        <v>93982</v>
      </c>
      <c r="I48" s="32">
        <f t="shared" si="9"/>
        <v>18593</v>
      </c>
      <c r="J48" s="32">
        <f t="shared" si="10"/>
        <v>0</v>
      </c>
      <c r="K48" s="32">
        <f t="shared" si="11"/>
        <v>0</v>
      </c>
      <c r="L48" s="32">
        <f t="shared" si="12"/>
        <v>75389</v>
      </c>
      <c r="M48" s="32">
        <f>IF(AND(AND(T47="",A48&lt;=S47),A48=入力!$B$15),ROUND(MIN(入力!$B$16,MAX(0,C48-L48)),0),0)</f>
        <v>0</v>
      </c>
      <c r="N48" s="32">
        <f t="shared" si="13"/>
        <v>31797631</v>
      </c>
      <c r="O48" s="32">
        <f t="shared" si="14"/>
        <v>838857</v>
      </c>
      <c r="P48" s="34" t="str">
        <f>IF(NOT(AND(T47="",A48&lt;=S47)),"",IF(FALSE,"繰上返済後再計算","")&amp;IF(AND(入力!$B$13="有効",A48&gt;1,MOD(A48-1,60)=0),IF(FALSE,"・","")&amp;"5年見直し","")&amp;IF(AND(A48=入力!$B$11,A48&gt;1),IF(OR(FALSE,AND(入力!$B$13="有効",A48&gt;1,MOD(A48-1,60)=0)),"・","")&amp;"金利変更","")&amp;IF(AND(OR(AND(入力!$B$13="有効",A48&gt;1,MOD(A48-1,60)=0),AND(A48=入力!$B$11,A48&gt;1)),入力!$B$14="有効",IF(E48=0,ROUND(C48/MAX(1,S47-A48+1),0),ROUND(-PMT(E48/12,MAX(1,S47-A48+1),C48),0))&gt;ROUND(G47*1.25,0),NOT(FALSE)),"・上限適用",""))</f>
        <v/>
      </c>
      <c r="Q48" s="35" t="str">
        <f>IF(AND(T47="",A48&lt;=S47),入力!$B$13,"")</f>
        <v>有効</v>
      </c>
      <c r="R48" s="32" t="str">
        <f>IF(AND(AND(T47="",A48&lt;=S47),OR(AND(入力!$B$13="有効",A48&gt;1,MOD(A48-1,60)=0),AND(A48=入力!$B$11,A48&gt;1)),入力!$B$14="有効"),ROUND(G47*1.25,0),"")</f>
        <v/>
      </c>
      <c r="S48" s="36">
        <f>IF(A48&lt;&gt;入力!$B$15,S47,IF(K48&lt;&gt;0,S47,IF(G48&lt;=F48,S47,IF(M48&lt;=0,S47,IF(AND(N48&gt;0,E48&gt;0,G48&lt;=N48*E48/12),S47,IF(A48+IF(N48=0,0,IF(E48=0,ROUNDUP(N48/G48,0),ROUNDUP(NPER(E48/12,-G48,N48),0)))&lt;S47,A48+IF(N48=0,0,IF(E48=0,ROUNDUP(N48/G48,0),ROUNDUP(NPER(E48/12,-G48,N48),0))),S47))))))</f>
        <v>420</v>
      </c>
      <c r="T48" s="35" t="str">
        <f t="shared" si="15"/>
        <v/>
      </c>
      <c r="U48" s="3">
        <f t="shared" si="0"/>
        <v>0</v>
      </c>
      <c r="V48" s="3">
        <f t="shared" si="1"/>
        <v>0</v>
      </c>
      <c r="W48" s="3">
        <f t="shared" si="2"/>
        <v>0</v>
      </c>
      <c r="X48" s="3">
        <f t="shared" si="3"/>
        <v>0</v>
      </c>
      <c r="Y48" s="3">
        <f>0</f>
        <v>0</v>
      </c>
      <c r="Z48" s="3">
        <f t="shared" si="4"/>
        <v>0</v>
      </c>
      <c r="AA48">
        <f>ROUND(IF(FALSE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,0)</f>
        <v>93982</v>
      </c>
    </row>
    <row r="49" spans="1:27">
      <c r="A49" s="30">
        <f>44</f>
        <v>44</v>
      </c>
      <c r="B49" s="31">
        <f>EDATE(入力!$B$6,A49-1)</f>
        <v>47543</v>
      </c>
      <c r="C49" s="32">
        <f t="shared" si="5"/>
        <v>31797631</v>
      </c>
      <c r="D49" s="32">
        <f t="shared" si="6"/>
        <v>0</v>
      </c>
      <c r="E49" s="33">
        <f>IF(AND(T48="",A49&lt;=S48),IF(A49&lt;入力!$B$11,入力!$B$10,入力!$B$12),0)</f>
        <v>7.0000000000000001E-3</v>
      </c>
      <c r="F49" s="32">
        <f t="shared" si="7"/>
        <v>18549</v>
      </c>
      <c r="G49" s="32">
        <f>ROUND(IF(NOT(AND(T48="",A49&lt;=S48)),0,IF(FALSE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),0)</f>
        <v>93982</v>
      </c>
      <c r="H49" s="32">
        <f t="shared" si="8"/>
        <v>93982</v>
      </c>
      <c r="I49" s="32">
        <f t="shared" si="9"/>
        <v>18549</v>
      </c>
      <c r="J49" s="32">
        <f t="shared" si="10"/>
        <v>0</v>
      </c>
      <c r="K49" s="32">
        <f t="shared" si="11"/>
        <v>0</v>
      </c>
      <c r="L49" s="32">
        <f t="shared" si="12"/>
        <v>75433</v>
      </c>
      <c r="M49" s="32">
        <f>IF(AND(AND(T48="",A49&lt;=S48),A49=入力!$B$15),ROUND(MIN(入力!$B$16,MAX(0,C49-L49)),0),0)</f>
        <v>0</v>
      </c>
      <c r="N49" s="32">
        <f t="shared" si="13"/>
        <v>31722198</v>
      </c>
      <c r="O49" s="32">
        <f t="shared" si="14"/>
        <v>857406</v>
      </c>
      <c r="P49" s="34" t="str">
        <f>IF(NOT(AND(T48="",A49&lt;=S48)),"",IF(FALSE,"繰上返済後再計算","")&amp;IF(AND(入力!$B$13="有効",A49&gt;1,MOD(A49-1,60)=0),IF(FALSE,"・","")&amp;"5年見直し","")&amp;IF(AND(A49=入力!$B$11,A49&gt;1),IF(OR(FALSE,AND(入力!$B$13="有効",A49&gt;1,MOD(A49-1,60)=0)),"・","")&amp;"金利変更","")&amp;IF(AND(OR(AND(入力!$B$13="有効",A49&gt;1,MOD(A49-1,60)=0),AND(A49=入力!$B$11,A49&gt;1)),入力!$B$14="有効",IF(E49=0,ROUND(C49/MAX(1,S48-A49+1),0),ROUND(-PMT(E49/12,MAX(1,S48-A49+1),C49),0))&gt;ROUND(G48*1.25,0),NOT(FALSE)),"・上限適用",""))</f>
        <v/>
      </c>
      <c r="Q49" s="35" t="str">
        <f>IF(AND(T48="",A49&lt;=S48),入力!$B$13,"")</f>
        <v>有効</v>
      </c>
      <c r="R49" s="32" t="str">
        <f>IF(AND(AND(T48="",A49&lt;=S48),OR(AND(入力!$B$13="有効",A49&gt;1,MOD(A49-1,60)=0),AND(A49=入力!$B$11,A49&gt;1)),入力!$B$14="有効"),ROUND(G48*1.25,0),"")</f>
        <v/>
      </c>
      <c r="S49" s="36">
        <f>IF(A49&lt;&gt;入力!$B$15,S48,IF(K49&lt;&gt;0,S48,IF(G49&lt;=F49,S48,IF(M49&lt;=0,S48,IF(AND(N49&gt;0,E49&gt;0,G49&lt;=N49*E49/12),S48,IF(A49+IF(N49=0,0,IF(E49=0,ROUNDUP(N49/G49,0),ROUNDUP(NPER(E49/12,-G49,N49),0)))&lt;S48,A49+IF(N49=0,0,IF(E49=0,ROUNDUP(N49/G49,0),ROUNDUP(NPER(E49/12,-G49,N49),0))),S48))))))</f>
        <v>420</v>
      </c>
      <c r="T49" s="35" t="str">
        <f t="shared" si="15"/>
        <v/>
      </c>
      <c r="U49" s="3">
        <f t="shared" si="0"/>
        <v>0</v>
      </c>
      <c r="V49" s="3">
        <f t="shared" si="1"/>
        <v>0</v>
      </c>
      <c r="W49" s="3">
        <f t="shared" si="2"/>
        <v>0</v>
      </c>
      <c r="X49" s="3">
        <f t="shared" si="3"/>
        <v>0</v>
      </c>
      <c r="Y49" s="3">
        <f>0</f>
        <v>0</v>
      </c>
      <c r="Z49" s="3">
        <f t="shared" si="4"/>
        <v>0</v>
      </c>
      <c r="AA49">
        <f>ROUND(IF(FALSE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,0)</f>
        <v>93982</v>
      </c>
    </row>
    <row r="50" spans="1:27">
      <c r="A50" s="30">
        <f>45</f>
        <v>45</v>
      </c>
      <c r="B50" s="31">
        <f>EDATE(入力!$B$6,A50-1)</f>
        <v>47574</v>
      </c>
      <c r="C50" s="32">
        <f t="shared" si="5"/>
        <v>31722198</v>
      </c>
      <c r="D50" s="32">
        <f t="shared" si="6"/>
        <v>0</v>
      </c>
      <c r="E50" s="33">
        <f>IF(AND(T49="",A50&lt;=S49),IF(A50&lt;入力!$B$11,入力!$B$10,入力!$B$12),0)</f>
        <v>7.0000000000000001E-3</v>
      </c>
      <c r="F50" s="32">
        <f t="shared" si="7"/>
        <v>18505</v>
      </c>
      <c r="G50" s="32">
        <f>ROUND(IF(NOT(AND(T49="",A50&lt;=S49)),0,IF(FALSE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),0)</f>
        <v>93982</v>
      </c>
      <c r="H50" s="32">
        <f t="shared" si="8"/>
        <v>93982</v>
      </c>
      <c r="I50" s="32">
        <f t="shared" si="9"/>
        <v>18505</v>
      </c>
      <c r="J50" s="32">
        <f t="shared" si="10"/>
        <v>0</v>
      </c>
      <c r="K50" s="32">
        <f t="shared" si="11"/>
        <v>0</v>
      </c>
      <c r="L50" s="32">
        <f t="shared" si="12"/>
        <v>75477</v>
      </c>
      <c r="M50" s="32">
        <f>IF(AND(AND(T49="",A50&lt;=S49),A50=入力!$B$15),ROUND(MIN(入力!$B$16,MAX(0,C50-L50)),0),0)</f>
        <v>0</v>
      </c>
      <c r="N50" s="32">
        <f t="shared" si="13"/>
        <v>31646721</v>
      </c>
      <c r="O50" s="32">
        <f t="shared" si="14"/>
        <v>875911</v>
      </c>
      <c r="P50" s="34" t="str">
        <f>IF(NOT(AND(T49="",A50&lt;=S49)),"",IF(FALSE,"繰上返済後再計算","")&amp;IF(AND(入力!$B$13="有効",A50&gt;1,MOD(A50-1,60)=0),IF(FALSE,"・","")&amp;"5年見直し","")&amp;IF(AND(A50=入力!$B$11,A50&gt;1),IF(OR(FALSE,AND(入力!$B$13="有効",A50&gt;1,MOD(A50-1,60)=0)),"・","")&amp;"金利変更","")&amp;IF(AND(OR(AND(入力!$B$13="有効",A50&gt;1,MOD(A50-1,60)=0),AND(A50=入力!$B$11,A50&gt;1)),入力!$B$14="有効",IF(E50=0,ROUND(C50/MAX(1,S49-A50+1),0),ROUND(-PMT(E50/12,MAX(1,S49-A50+1),C50),0))&gt;ROUND(G49*1.25,0),NOT(FALSE)),"・上限適用",""))</f>
        <v/>
      </c>
      <c r="Q50" s="35" t="str">
        <f>IF(AND(T49="",A50&lt;=S49),入力!$B$13,"")</f>
        <v>有効</v>
      </c>
      <c r="R50" s="32" t="str">
        <f>IF(AND(AND(T49="",A50&lt;=S49),OR(AND(入力!$B$13="有効",A50&gt;1,MOD(A50-1,60)=0),AND(A50=入力!$B$11,A50&gt;1)),入力!$B$14="有効"),ROUND(G49*1.25,0),"")</f>
        <v/>
      </c>
      <c r="S50" s="36">
        <f>IF(A50&lt;&gt;入力!$B$15,S49,IF(K50&lt;&gt;0,S49,IF(G50&lt;=F50,S49,IF(M50&lt;=0,S49,IF(AND(N50&gt;0,E50&gt;0,G50&lt;=N50*E50/12),S49,IF(A50+IF(N50=0,0,IF(E50=0,ROUNDUP(N50/G50,0),ROUNDUP(NPER(E50/12,-G50,N50),0)))&lt;S49,A50+IF(N50=0,0,IF(E50=0,ROUNDUP(N50/G50,0),ROUNDUP(NPER(E50/12,-G50,N50),0))),S49))))))</f>
        <v>420</v>
      </c>
      <c r="T50" s="35" t="str">
        <f t="shared" si="15"/>
        <v/>
      </c>
      <c r="U50" s="3">
        <f t="shared" si="0"/>
        <v>0</v>
      </c>
      <c r="V50" s="3">
        <f t="shared" si="1"/>
        <v>0</v>
      </c>
      <c r="W50" s="3">
        <f t="shared" si="2"/>
        <v>0</v>
      </c>
      <c r="X50" s="3">
        <f t="shared" si="3"/>
        <v>0</v>
      </c>
      <c r="Y50" s="3">
        <f>0</f>
        <v>0</v>
      </c>
      <c r="Z50" s="3">
        <f t="shared" si="4"/>
        <v>0</v>
      </c>
      <c r="AA50">
        <f>ROUND(IF(FALSE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,0)</f>
        <v>93982</v>
      </c>
    </row>
    <row r="51" spans="1:27">
      <c r="A51" s="30">
        <f>46</f>
        <v>46</v>
      </c>
      <c r="B51" s="31">
        <f>EDATE(入力!$B$6,A51-1)</f>
        <v>47604</v>
      </c>
      <c r="C51" s="32">
        <f t="shared" si="5"/>
        <v>31646721</v>
      </c>
      <c r="D51" s="32">
        <f t="shared" si="6"/>
        <v>0</v>
      </c>
      <c r="E51" s="33">
        <f>IF(AND(T50="",A51&lt;=S50),IF(A51&lt;入力!$B$11,入力!$B$10,入力!$B$12),0)</f>
        <v>7.0000000000000001E-3</v>
      </c>
      <c r="F51" s="32">
        <f t="shared" si="7"/>
        <v>18461</v>
      </c>
      <c r="G51" s="32">
        <f>ROUND(IF(NOT(AND(T50="",A51&lt;=S50)),0,IF(FALSE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),0)</f>
        <v>93982</v>
      </c>
      <c r="H51" s="32">
        <f t="shared" si="8"/>
        <v>93982</v>
      </c>
      <c r="I51" s="32">
        <f t="shared" si="9"/>
        <v>18461</v>
      </c>
      <c r="J51" s="32">
        <f t="shared" si="10"/>
        <v>0</v>
      </c>
      <c r="K51" s="32">
        <f t="shared" si="11"/>
        <v>0</v>
      </c>
      <c r="L51" s="32">
        <f t="shared" si="12"/>
        <v>75521</v>
      </c>
      <c r="M51" s="32">
        <f>IF(AND(AND(T50="",A51&lt;=S50),A51=入力!$B$15),ROUND(MIN(入力!$B$16,MAX(0,C51-L51)),0),0)</f>
        <v>0</v>
      </c>
      <c r="N51" s="32">
        <f t="shared" si="13"/>
        <v>31571200</v>
      </c>
      <c r="O51" s="32">
        <f t="shared" si="14"/>
        <v>894372</v>
      </c>
      <c r="P51" s="34" t="str">
        <f>IF(NOT(AND(T50="",A51&lt;=S50)),"",IF(FALSE,"繰上返済後再計算","")&amp;IF(AND(入力!$B$13="有効",A51&gt;1,MOD(A51-1,60)=0),IF(FALSE,"・","")&amp;"5年見直し","")&amp;IF(AND(A51=入力!$B$11,A51&gt;1),IF(OR(FALSE,AND(入力!$B$13="有効",A51&gt;1,MOD(A51-1,60)=0)),"・","")&amp;"金利変更","")&amp;IF(AND(OR(AND(入力!$B$13="有効",A51&gt;1,MOD(A51-1,60)=0),AND(A51=入力!$B$11,A51&gt;1)),入力!$B$14="有効",IF(E51=0,ROUND(C51/MAX(1,S50-A51+1),0),ROUND(-PMT(E51/12,MAX(1,S50-A51+1),C51),0))&gt;ROUND(G50*1.25,0),NOT(FALSE)),"・上限適用",""))</f>
        <v/>
      </c>
      <c r="Q51" s="35" t="str">
        <f>IF(AND(T50="",A51&lt;=S50),入力!$B$13,"")</f>
        <v>有効</v>
      </c>
      <c r="R51" s="32" t="str">
        <f>IF(AND(AND(T50="",A51&lt;=S50),OR(AND(入力!$B$13="有効",A51&gt;1,MOD(A51-1,60)=0),AND(A51=入力!$B$11,A51&gt;1)),入力!$B$14="有効"),ROUND(G50*1.25,0),"")</f>
        <v/>
      </c>
      <c r="S51" s="36">
        <f>IF(A51&lt;&gt;入力!$B$15,S50,IF(K51&lt;&gt;0,S50,IF(G51&lt;=F51,S50,IF(M51&lt;=0,S50,IF(AND(N51&gt;0,E51&gt;0,G51&lt;=N51*E51/12),S50,IF(A51+IF(N51=0,0,IF(E51=0,ROUNDUP(N51/G51,0),ROUNDUP(NPER(E51/12,-G51,N51),0)))&lt;S50,A51+IF(N51=0,0,IF(E51=0,ROUNDUP(N51/G51,0),ROUNDUP(NPER(E51/12,-G51,N51),0))),S50))))))</f>
        <v>420</v>
      </c>
      <c r="T51" s="35" t="str">
        <f t="shared" si="15"/>
        <v/>
      </c>
      <c r="U51" s="3">
        <f t="shared" si="0"/>
        <v>0</v>
      </c>
      <c r="V51" s="3">
        <f t="shared" si="1"/>
        <v>0</v>
      </c>
      <c r="W51" s="3">
        <f t="shared" si="2"/>
        <v>0</v>
      </c>
      <c r="X51" s="3">
        <f t="shared" si="3"/>
        <v>0</v>
      </c>
      <c r="Y51" s="3">
        <f>0</f>
        <v>0</v>
      </c>
      <c r="Z51" s="3">
        <f t="shared" si="4"/>
        <v>0</v>
      </c>
      <c r="AA51">
        <f>ROUND(IF(FALSE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,0)</f>
        <v>93982</v>
      </c>
    </row>
    <row r="52" spans="1:27">
      <c r="A52" s="30">
        <f>47</f>
        <v>47</v>
      </c>
      <c r="B52" s="31">
        <f>EDATE(入力!$B$6,A52-1)</f>
        <v>47635</v>
      </c>
      <c r="C52" s="32">
        <f t="shared" si="5"/>
        <v>31571200</v>
      </c>
      <c r="D52" s="32">
        <f t="shared" si="6"/>
        <v>0</v>
      </c>
      <c r="E52" s="33">
        <f>IF(AND(T51="",A52&lt;=S51),IF(A52&lt;入力!$B$11,入力!$B$10,入力!$B$12),0)</f>
        <v>7.0000000000000001E-3</v>
      </c>
      <c r="F52" s="32">
        <f t="shared" si="7"/>
        <v>18417</v>
      </c>
      <c r="G52" s="32">
        <f>ROUND(IF(NOT(AND(T51="",A52&lt;=S51)),0,IF(FALSE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),0)</f>
        <v>93982</v>
      </c>
      <c r="H52" s="32">
        <f t="shared" si="8"/>
        <v>93982</v>
      </c>
      <c r="I52" s="32">
        <f t="shared" si="9"/>
        <v>18417</v>
      </c>
      <c r="J52" s="32">
        <f t="shared" si="10"/>
        <v>0</v>
      </c>
      <c r="K52" s="32">
        <f t="shared" si="11"/>
        <v>0</v>
      </c>
      <c r="L52" s="32">
        <f t="shared" si="12"/>
        <v>75565</v>
      </c>
      <c r="M52" s="32">
        <f>IF(AND(AND(T51="",A52&lt;=S51),A52=入力!$B$15),ROUND(MIN(入力!$B$16,MAX(0,C52-L52)),0),0)</f>
        <v>0</v>
      </c>
      <c r="N52" s="32">
        <f t="shared" si="13"/>
        <v>31495635</v>
      </c>
      <c r="O52" s="32">
        <f t="shared" si="14"/>
        <v>912789</v>
      </c>
      <c r="P52" s="34" t="str">
        <f>IF(NOT(AND(T51="",A52&lt;=S51)),"",IF(FALSE,"繰上返済後再計算","")&amp;IF(AND(入力!$B$13="有効",A52&gt;1,MOD(A52-1,60)=0),IF(FALSE,"・","")&amp;"5年見直し","")&amp;IF(AND(A52=入力!$B$11,A52&gt;1),IF(OR(FALSE,AND(入力!$B$13="有効",A52&gt;1,MOD(A52-1,60)=0)),"・","")&amp;"金利変更","")&amp;IF(AND(OR(AND(入力!$B$13="有効",A52&gt;1,MOD(A52-1,60)=0),AND(A52=入力!$B$11,A52&gt;1)),入力!$B$14="有効",IF(E52=0,ROUND(C52/MAX(1,S51-A52+1),0),ROUND(-PMT(E52/12,MAX(1,S51-A52+1),C52),0))&gt;ROUND(G51*1.25,0),NOT(FALSE)),"・上限適用",""))</f>
        <v/>
      </c>
      <c r="Q52" s="35" t="str">
        <f>IF(AND(T51="",A52&lt;=S51),入力!$B$13,"")</f>
        <v>有効</v>
      </c>
      <c r="R52" s="32" t="str">
        <f>IF(AND(AND(T51="",A52&lt;=S51),OR(AND(入力!$B$13="有効",A52&gt;1,MOD(A52-1,60)=0),AND(A52=入力!$B$11,A52&gt;1)),入力!$B$14="有効"),ROUND(G51*1.25,0),"")</f>
        <v/>
      </c>
      <c r="S52" s="36">
        <f>IF(A52&lt;&gt;入力!$B$15,S51,IF(K52&lt;&gt;0,S51,IF(G52&lt;=F52,S51,IF(M52&lt;=0,S51,IF(AND(N52&gt;0,E52&gt;0,G52&lt;=N52*E52/12),S51,IF(A52+IF(N52=0,0,IF(E52=0,ROUNDUP(N52/G52,0),ROUNDUP(NPER(E52/12,-G52,N52),0)))&lt;S51,A52+IF(N52=0,0,IF(E52=0,ROUNDUP(N52/G52,0),ROUNDUP(NPER(E52/12,-G52,N52),0))),S51))))))</f>
        <v>420</v>
      </c>
      <c r="T52" s="35" t="str">
        <f t="shared" si="15"/>
        <v/>
      </c>
      <c r="U52" s="3">
        <f t="shared" si="0"/>
        <v>0</v>
      </c>
      <c r="V52" s="3">
        <f t="shared" si="1"/>
        <v>0</v>
      </c>
      <c r="W52" s="3">
        <f t="shared" si="2"/>
        <v>0</v>
      </c>
      <c r="X52" s="3">
        <f t="shared" si="3"/>
        <v>0</v>
      </c>
      <c r="Y52" s="3">
        <f>0</f>
        <v>0</v>
      </c>
      <c r="Z52" s="3">
        <f t="shared" si="4"/>
        <v>0</v>
      </c>
      <c r="AA52">
        <f>ROUND(IF(FALSE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,0)</f>
        <v>93982</v>
      </c>
    </row>
    <row r="53" spans="1:27">
      <c r="A53" s="30">
        <f>48</f>
        <v>48</v>
      </c>
      <c r="B53" s="31">
        <f>EDATE(入力!$B$6,A53-1)</f>
        <v>47665</v>
      </c>
      <c r="C53" s="32">
        <f t="shared" si="5"/>
        <v>31495635</v>
      </c>
      <c r="D53" s="32">
        <f t="shared" si="6"/>
        <v>0</v>
      </c>
      <c r="E53" s="33">
        <f>IF(AND(T52="",A53&lt;=S52),IF(A53&lt;入力!$B$11,入力!$B$10,入力!$B$12),0)</f>
        <v>7.0000000000000001E-3</v>
      </c>
      <c r="F53" s="32">
        <f t="shared" si="7"/>
        <v>18372</v>
      </c>
      <c r="G53" s="32">
        <f>ROUND(IF(NOT(AND(T52="",A53&lt;=S52)),0,IF(FALSE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),0)</f>
        <v>93982</v>
      </c>
      <c r="H53" s="32">
        <f t="shared" si="8"/>
        <v>93982</v>
      </c>
      <c r="I53" s="32">
        <f t="shared" si="9"/>
        <v>18372</v>
      </c>
      <c r="J53" s="32">
        <f t="shared" si="10"/>
        <v>0</v>
      </c>
      <c r="K53" s="32">
        <f t="shared" si="11"/>
        <v>0</v>
      </c>
      <c r="L53" s="32">
        <f t="shared" si="12"/>
        <v>75610</v>
      </c>
      <c r="M53" s="32">
        <f>IF(AND(AND(T52="",A53&lt;=S52),A53=入力!$B$15),ROUND(MIN(入力!$B$16,MAX(0,C53-L53)),0),0)</f>
        <v>0</v>
      </c>
      <c r="N53" s="32">
        <f t="shared" si="13"/>
        <v>31420025</v>
      </c>
      <c r="O53" s="32">
        <f t="shared" si="14"/>
        <v>931161</v>
      </c>
      <c r="P53" s="34" t="str">
        <f>IF(NOT(AND(T52="",A53&lt;=S52)),"",IF(FALSE,"繰上返済後再計算","")&amp;IF(AND(入力!$B$13="有効",A53&gt;1,MOD(A53-1,60)=0),IF(FALSE,"・","")&amp;"5年見直し","")&amp;IF(AND(A53=入力!$B$11,A53&gt;1),IF(OR(FALSE,AND(入力!$B$13="有効",A53&gt;1,MOD(A53-1,60)=0)),"・","")&amp;"金利変更","")&amp;IF(AND(OR(AND(入力!$B$13="有効",A53&gt;1,MOD(A53-1,60)=0),AND(A53=入力!$B$11,A53&gt;1)),入力!$B$14="有効",IF(E53=0,ROUND(C53/MAX(1,S52-A53+1),0),ROUND(-PMT(E53/12,MAX(1,S52-A53+1),C53),0))&gt;ROUND(G52*1.25,0),NOT(FALSE)),"・上限適用",""))</f>
        <v/>
      </c>
      <c r="Q53" s="35" t="str">
        <f>IF(AND(T52="",A53&lt;=S52),入力!$B$13,"")</f>
        <v>有効</v>
      </c>
      <c r="R53" s="32" t="str">
        <f>IF(AND(AND(T52="",A53&lt;=S52),OR(AND(入力!$B$13="有効",A53&gt;1,MOD(A53-1,60)=0),AND(A53=入力!$B$11,A53&gt;1)),入力!$B$14="有効"),ROUND(G52*1.25,0),"")</f>
        <v/>
      </c>
      <c r="S53" s="36">
        <f>IF(A53&lt;&gt;入力!$B$15,S52,IF(K53&lt;&gt;0,S52,IF(G53&lt;=F53,S52,IF(M53&lt;=0,S52,IF(AND(N53&gt;0,E53&gt;0,G53&lt;=N53*E53/12),S52,IF(A53+IF(N53=0,0,IF(E53=0,ROUNDUP(N53/G53,0),ROUNDUP(NPER(E53/12,-G53,N53),0)))&lt;S52,A53+IF(N53=0,0,IF(E53=0,ROUNDUP(N53/G53,0),ROUNDUP(NPER(E53/12,-G53,N53),0))),S52))))))</f>
        <v>420</v>
      </c>
      <c r="T53" s="35" t="str">
        <f t="shared" si="15"/>
        <v/>
      </c>
      <c r="U53" s="3">
        <f t="shared" si="0"/>
        <v>0</v>
      </c>
      <c r="V53" s="3">
        <f t="shared" si="1"/>
        <v>0</v>
      </c>
      <c r="W53" s="3">
        <f t="shared" si="2"/>
        <v>0</v>
      </c>
      <c r="X53" s="3">
        <f t="shared" si="3"/>
        <v>0</v>
      </c>
      <c r="Y53" s="3">
        <f>0</f>
        <v>0</v>
      </c>
      <c r="Z53" s="3">
        <f t="shared" si="4"/>
        <v>0</v>
      </c>
      <c r="AA53">
        <f>ROUND(IF(FALSE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,0)</f>
        <v>93982</v>
      </c>
    </row>
    <row r="54" spans="1:27">
      <c r="A54" s="30">
        <f>49</f>
        <v>49</v>
      </c>
      <c r="B54" s="31">
        <f>EDATE(入力!$B$6,A54-1)</f>
        <v>47696</v>
      </c>
      <c r="C54" s="32">
        <f t="shared" si="5"/>
        <v>31420025</v>
      </c>
      <c r="D54" s="32">
        <f t="shared" si="6"/>
        <v>0</v>
      </c>
      <c r="E54" s="33">
        <f>IF(AND(T53="",A54&lt;=S53),IF(A54&lt;入力!$B$11,入力!$B$10,入力!$B$12),0)</f>
        <v>7.0000000000000001E-3</v>
      </c>
      <c r="F54" s="32">
        <f t="shared" si="7"/>
        <v>18328</v>
      </c>
      <c r="G54" s="32">
        <f>ROUND(IF(NOT(AND(T53="",A54&lt;=S53)),0,IF(FALSE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),0)</f>
        <v>93982</v>
      </c>
      <c r="H54" s="32">
        <f t="shared" si="8"/>
        <v>93982</v>
      </c>
      <c r="I54" s="32">
        <f t="shared" si="9"/>
        <v>18328</v>
      </c>
      <c r="J54" s="32">
        <f t="shared" si="10"/>
        <v>0</v>
      </c>
      <c r="K54" s="32">
        <f t="shared" si="11"/>
        <v>0</v>
      </c>
      <c r="L54" s="32">
        <f t="shared" si="12"/>
        <v>75654</v>
      </c>
      <c r="M54" s="32">
        <f>IF(AND(AND(T53="",A54&lt;=S53),A54=入力!$B$15),ROUND(MIN(入力!$B$16,MAX(0,C54-L54)),0),0)</f>
        <v>0</v>
      </c>
      <c r="N54" s="32">
        <f t="shared" si="13"/>
        <v>31344371</v>
      </c>
      <c r="O54" s="32">
        <f t="shared" si="14"/>
        <v>949489</v>
      </c>
      <c r="P54" s="34" t="str">
        <f>IF(NOT(AND(T53="",A54&lt;=S53)),"",IF(FALSE,"繰上返済後再計算","")&amp;IF(AND(入力!$B$13="有効",A54&gt;1,MOD(A54-1,60)=0),IF(FALSE,"・","")&amp;"5年見直し","")&amp;IF(AND(A54=入力!$B$11,A54&gt;1),IF(OR(FALSE,AND(入力!$B$13="有効",A54&gt;1,MOD(A54-1,60)=0)),"・","")&amp;"金利変更","")&amp;IF(AND(OR(AND(入力!$B$13="有効",A54&gt;1,MOD(A54-1,60)=0),AND(A54=入力!$B$11,A54&gt;1)),入力!$B$14="有効",IF(E54=0,ROUND(C54/MAX(1,S53-A54+1),0),ROUND(-PMT(E54/12,MAX(1,S53-A54+1),C54),0))&gt;ROUND(G53*1.25,0),NOT(FALSE)),"・上限適用",""))</f>
        <v/>
      </c>
      <c r="Q54" s="35" t="str">
        <f>IF(AND(T53="",A54&lt;=S53),入力!$B$13,"")</f>
        <v>有効</v>
      </c>
      <c r="R54" s="32" t="str">
        <f>IF(AND(AND(T53="",A54&lt;=S53),OR(AND(入力!$B$13="有効",A54&gt;1,MOD(A54-1,60)=0),AND(A54=入力!$B$11,A54&gt;1)),入力!$B$14="有効"),ROUND(G53*1.25,0),"")</f>
        <v/>
      </c>
      <c r="S54" s="36">
        <f>IF(A54&lt;&gt;入力!$B$15,S53,IF(K54&lt;&gt;0,S53,IF(G54&lt;=F54,S53,IF(M54&lt;=0,S53,IF(AND(N54&gt;0,E54&gt;0,G54&lt;=N54*E54/12),S53,IF(A54+IF(N54=0,0,IF(E54=0,ROUNDUP(N54/G54,0),ROUNDUP(NPER(E54/12,-G54,N54),0)))&lt;S53,A54+IF(N54=0,0,IF(E54=0,ROUNDUP(N54/G54,0),ROUNDUP(NPER(E54/12,-G54,N54),0))),S53))))))</f>
        <v>420</v>
      </c>
      <c r="T54" s="35" t="str">
        <f t="shared" si="15"/>
        <v/>
      </c>
      <c r="U54" s="3">
        <f t="shared" si="0"/>
        <v>0</v>
      </c>
      <c r="V54" s="3">
        <f t="shared" si="1"/>
        <v>0</v>
      </c>
      <c r="W54" s="3">
        <f t="shared" si="2"/>
        <v>0</v>
      </c>
      <c r="X54" s="3">
        <f t="shared" si="3"/>
        <v>0</v>
      </c>
      <c r="Y54" s="3">
        <f>0</f>
        <v>0</v>
      </c>
      <c r="Z54" s="3">
        <f t="shared" si="4"/>
        <v>0</v>
      </c>
      <c r="AA54">
        <f>ROUND(IF(FALSE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,0)</f>
        <v>93982</v>
      </c>
    </row>
    <row r="55" spans="1:27">
      <c r="A55" s="30">
        <f>50</f>
        <v>50</v>
      </c>
      <c r="B55" s="31">
        <f>EDATE(入力!$B$6,A55-1)</f>
        <v>47727</v>
      </c>
      <c r="C55" s="32">
        <f t="shared" si="5"/>
        <v>31344371</v>
      </c>
      <c r="D55" s="32">
        <f t="shared" si="6"/>
        <v>0</v>
      </c>
      <c r="E55" s="33">
        <f>IF(AND(T54="",A55&lt;=S54),IF(A55&lt;入力!$B$11,入力!$B$10,入力!$B$12),0)</f>
        <v>7.0000000000000001E-3</v>
      </c>
      <c r="F55" s="32">
        <f t="shared" si="7"/>
        <v>18284</v>
      </c>
      <c r="G55" s="32">
        <f>ROUND(IF(NOT(AND(T54="",A55&lt;=S54)),0,IF(FALSE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),0)</f>
        <v>93982</v>
      </c>
      <c r="H55" s="32">
        <f t="shared" si="8"/>
        <v>93982</v>
      </c>
      <c r="I55" s="32">
        <f t="shared" si="9"/>
        <v>18284</v>
      </c>
      <c r="J55" s="32">
        <f t="shared" si="10"/>
        <v>0</v>
      </c>
      <c r="K55" s="32">
        <f t="shared" si="11"/>
        <v>0</v>
      </c>
      <c r="L55" s="32">
        <f t="shared" si="12"/>
        <v>75698</v>
      </c>
      <c r="M55" s="32">
        <f>IF(AND(AND(T54="",A55&lt;=S54),A55=入力!$B$15),ROUND(MIN(入力!$B$16,MAX(0,C55-L55)),0),0)</f>
        <v>0</v>
      </c>
      <c r="N55" s="32">
        <f t="shared" si="13"/>
        <v>31268673</v>
      </c>
      <c r="O55" s="32">
        <f t="shared" si="14"/>
        <v>967773</v>
      </c>
      <c r="P55" s="34" t="str">
        <f>IF(NOT(AND(T54="",A55&lt;=S54)),"",IF(FALSE,"繰上返済後再計算","")&amp;IF(AND(入力!$B$13="有効",A55&gt;1,MOD(A55-1,60)=0),IF(FALSE,"・","")&amp;"5年見直し","")&amp;IF(AND(A55=入力!$B$11,A55&gt;1),IF(OR(FALSE,AND(入力!$B$13="有効",A55&gt;1,MOD(A55-1,60)=0)),"・","")&amp;"金利変更","")&amp;IF(AND(OR(AND(入力!$B$13="有効",A55&gt;1,MOD(A55-1,60)=0),AND(A55=入力!$B$11,A55&gt;1)),入力!$B$14="有効",IF(E55=0,ROUND(C55/MAX(1,S54-A55+1),0),ROUND(-PMT(E55/12,MAX(1,S54-A55+1),C55),0))&gt;ROUND(G54*1.25,0),NOT(FALSE)),"・上限適用",""))</f>
        <v/>
      </c>
      <c r="Q55" s="35" t="str">
        <f>IF(AND(T54="",A55&lt;=S54),入力!$B$13,"")</f>
        <v>有効</v>
      </c>
      <c r="R55" s="32" t="str">
        <f>IF(AND(AND(T54="",A55&lt;=S54),OR(AND(入力!$B$13="有効",A55&gt;1,MOD(A55-1,60)=0),AND(A55=入力!$B$11,A55&gt;1)),入力!$B$14="有効"),ROUND(G54*1.25,0),"")</f>
        <v/>
      </c>
      <c r="S55" s="36">
        <f>IF(A55&lt;&gt;入力!$B$15,S54,IF(K55&lt;&gt;0,S54,IF(G55&lt;=F55,S54,IF(M55&lt;=0,S54,IF(AND(N55&gt;0,E55&gt;0,G55&lt;=N55*E55/12),S54,IF(A55+IF(N55=0,0,IF(E55=0,ROUNDUP(N55/G55,0),ROUNDUP(NPER(E55/12,-G55,N55),0)))&lt;S54,A55+IF(N55=0,0,IF(E55=0,ROUNDUP(N55/G55,0),ROUNDUP(NPER(E55/12,-G55,N55),0))),S54))))))</f>
        <v>420</v>
      </c>
      <c r="T55" s="35" t="str">
        <f t="shared" si="15"/>
        <v/>
      </c>
      <c r="U55" s="3">
        <f t="shared" si="0"/>
        <v>0</v>
      </c>
      <c r="V55" s="3">
        <f t="shared" si="1"/>
        <v>0</v>
      </c>
      <c r="W55" s="3">
        <f t="shared" si="2"/>
        <v>0</v>
      </c>
      <c r="X55" s="3">
        <f t="shared" si="3"/>
        <v>0</v>
      </c>
      <c r="Y55" s="3">
        <f>0</f>
        <v>0</v>
      </c>
      <c r="Z55" s="3">
        <f t="shared" si="4"/>
        <v>0</v>
      </c>
      <c r="AA55">
        <f>ROUND(IF(FALSE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,0)</f>
        <v>93982</v>
      </c>
    </row>
    <row r="56" spans="1:27">
      <c r="A56" s="30">
        <f>51</f>
        <v>51</v>
      </c>
      <c r="B56" s="31">
        <f>EDATE(入力!$B$6,A56-1)</f>
        <v>47757</v>
      </c>
      <c r="C56" s="32">
        <f t="shared" si="5"/>
        <v>31268673</v>
      </c>
      <c r="D56" s="32">
        <f t="shared" si="6"/>
        <v>0</v>
      </c>
      <c r="E56" s="33">
        <f>IF(AND(T55="",A56&lt;=S55),IF(A56&lt;入力!$B$11,入力!$B$10,入力!$B$12),0)</f>
        <v>7.0000000000000001E-3</v>
      </c>
      <c r="F56" s="32">
        <f t="shared" si="7"/>
        <v>18240</v>
      </c>
      <c r="G56" s="32">
        <f>ROUND(IF(NOT(AND(T55="",A56&lt;=S55)),0,IF(FALSE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),0)</f>
        <v>93982</v>
      </c>
      <c r="H56" s="32">
        <f t="shared" si="8"/>
        <v>93982</v>
      </c>
      <c r="I56" s="32">
        <f t="shared" si="9"/>
        <v>18240</v>
      </c>
      <c r="J56" s="32">
        <f t="shared" si="10"/>
        <v>0</v>
      </c>
      <c r="K56" s="32">
        <f t="shared" si="11"/>
        <v>0</v>
      </c>
      <c r="L56" s="32">
        <f t="shared" si="12"/>
        <v>75742</v>
      </c>
      <c r="M56" s="32">
        <f>IF(AND(AND(T55="",A56&lt;=S55),A56=入力!$B$15),ROUND(MIN(入力!$B$16,MAX(0,C56-L56)),0),0)</f>
        <v>0</v>
      </c>
      <c r="N56" s="32">
        <f t="shared" si="13"/>
        <v>31192931</v>
      </c>
      <c r="O56" s="32">
        <f t="shared" si="14"/>
        <v>986013</v>
      </c>
      <c r="P56" s="34" t="str">
        <f>IF(NOT(AND(T55="",A56&lt;=S55)),"",IF(FALSE,"繰上返済後再計算","")&amp;IF(AND(入力!$B$13="有効",A56&gt;1,MOD(A56-1,60)=0),IF(FALSE,"・","")&amp;"5年見直し","")&amp;IF(AND(A56=入力!$B$11,A56&gt;1),IF(OR(FALSE,AND(入力!$B$13="有効",A56&gt;1,MOD(A56-1,60)=0)),"・","")&amp;"金利変更","")&amp;IF(AND(OR(AND(入力!$B$13="有効",A56&gt;1,MOD(A56-1,60)=0),AND(A56=入力!$B$11,A56&gt;1)),入力!$B$14="有効",IF(E56=0,ROUND(C56/MAX(1,S55-A56+1),0),ROUND(-PMT(E56/12,MAX(1,S55-A56+1),C56),0))&gt;ROUND(G55*1.25,0),NOT(FALSE)),"・上限適用",""))</f>
        <v/>
      </c>
      <c r="Q56" s="35" t="str">
        <f>IF(AND(T55="",A56&lt;=S55),入力!$B$13,"")</f>
        <v>有効</v>
      </c>
      <c r="R56" s="32" t="str">
        <f>IF(AND(AND(T55="",A56&lt;=S55),OR(AND(入力!$B$13="有効",A56&gt;1,MOD(A56-1,60)=0),AND(A56=入力!$B$11,A56&gt;1)),入力!$B$14="有効"),ROUND(G55*1.25,0),"")</f>
        <v/>
      </c>
      <c r="S56" s="36">
        <f>IF(A56&lt;&gt;入力!$B$15,S55,IF(K56&lt;&gt;0,S55,IF(G56&lt;=F56,S55,IF(M56&lt;=0,S55,IF(AND(N56&gt;0,E56&gt;0,G56&lt;=N56*E56/12),S55,IF(A56+IF(N56=0,0,IF(E56=0,ROUNDUP(N56/G56,0),ROUNDUP(NPER(E56/12,-G56,N56),0)))&lt;S55,A56+IF(N56=0,0,IF(E56=0,ROUNDUP(N56/G56,0),ROUNDUP(NPER(E56/12,-G56,N56),0))),S55))))))</f>
        <v>420</v>
      </c>
      <c r="T56" s="35" t="str">
        <f t="shared" si="15"/>
        <v/>
      </c>
      <c r="U56" s="3">
        <f t="shared" si="0"/>
        <v>0</v>
      </c>
      <c r="V56" s="3">
        <f t="shared" si="1"/>
        <v>0</v>
      </c>
      <c r="W56" s="3">
        <f t="shared" si="2"/>
        <v>0</v>
      </c>
      <c r="X56" s="3">
        <f t="shared" si="3"/>
        <v>0</v>
      </c>
      <c r="Y56" s="3">
        <f>0</f>
        <v>0</v>
      </c>
      <c r="Z56" s="3">
        <f t="shared" si="4"/>
        <v>0</v>
      </c>
      <c r="AA56">
        <f>ROUND(IF(FALSE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,0)</f>
        <v>93982</v>
      </c>
    </row>
    <row r="57" spans="1:27">
      <c r="A57" s="30">
        <f>52</f>
        <v>52</v>
      </c>
      <c r="B57" s="31">
        <f>EDATE(入力!$B$6,A57-1)</f>
        <v>47788</v>
      </c>
      <c r="C57" s="32">
        <f t="shared" si="5"/>
        <v>31192931</v>
      </c>
      <c r="D57" s="32">
        <f t="shared" si="6"/>
        <v>0</v>
      </c>
      <c r="E57" s="33">
        <f>IF(AND(T56="",A57&lt;=S56),IF(A57&lt;入力!$B$11,入力!$B$10,入力!$B$12),0)</f>
        <v>7.0000000000000001E-3</v>
      </c>
      <c r="F57" s="32">
        <f t="shared" si="7"/>
        <v>18196</v>
      </c>
      <c r="G57" s="32">
        <f>ROUND(IF(NOT(AND(T56="",A57&lt;=S56)),0,IF(FALSE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),0)</f>
        <v>93982</v>
      </c>
      <c r="H57" s="32">
        <f t="shared" si="8"/>
        <v>93982</v>
      </c>
      <c r="I57" s="32">
        <f t="shared" si="9"/>
        <v>18196</v>
      </c>
      <c r="J57" s="32">
        <f t="shared" si="10"/>
        <v>0</v>
      </c>
      <c r="K57" s="32">
        <f t="shared" si="11"/>
        <v>0</v>
      </c>
      <c r="L57" s="32">
        <f t="shared" si="12"/>
        <v>75786</v>
      </c>
      <c r="M57" s="32">
        <f>IF(AND(AND(T56="",A57&lt;=S56),A57=入力!$B$15),ROUND(MIN(入力!$B$16,MAX(0,C57-L57)),0),0)</f>
        <v>0</v>
      </c>
      <c r="N57" s="32">
        <f t="shared" si="13"/>
        <v>31117145</v>
      </c>
      <c r="O57" s="32">
        <f t="shared" si="14"/>
        <v>1004209</v>
      </c>
      <c r="P57" s="34" t="str">
        <f>IF(NOT(AND(T56="",A57&lt;=S56)),"",IF(FALSE,"繰上返済後再計算","")&amp;IF(AND(入力!$B$13="有効",A57&gt;1,MOD(A57-1,60)=0),IF(FALSE,"・","")&amp;"5年見直し","")&amp;IF(AND(A57=入力!$B$11,A57&gt;1),IF(OR(FALSE,AND(入力!$B$13="有効",A57&gt;1,MOD(A57-1,60)=0)),"・","")&amp;"金利変更","")&amp;IF(AND(OR(AND(入力!$B$13="有効",A57&gt;1,MOD(A57-1,60)=0),AND(A57=入力!$B$11,A57&gt;1)),入力!$B$14="有効",IF(E57=0,ROUND(C57/MAX(1,S56-A57+1),0),ROUND(-PMT(E57/12,MAX(1,S56-A57+1),C57),0))&gt;ROUND(G56*1.25,0),NOT(FALSE)),"・上限適用",""))</f>
        <v/>
      </c>
      <c r="Q57" s="35" t="str">
        <f>IF(AND(T56="",A57&lt;=S56),入力!$B$13,"")</f>
        <v>有効</v>
      </c>
      <c r="R57" s="32" t="str">
        <f>IF(AND(AND(T56="",A57&lt;=S56),OR(AND(入力!$B$13="有効",A57&gt;1,MOD(A57-1,60)=0),AND(A57=入力!$B$11,A57&gt;1)),入力!$B$14="有効"),ROUND(G56*1.25,0),"")</f>
        <v/>
      </c>
      <c r="S57" s="36">
        <f>IF(A57&lt;&gt;入力!$B$15,S56,IF(K57&lt;&gt;0,S56,IF(G57&lt;=F57,S56,IF(M57&lt;=0,S56,IF(AND(N57&gt;0,E57&gt;0,G57&lt;=N57*E57/12),S56,IF(A57+IF(N57=0,0,IF(E57=0,ROUNDUP(N57/G57,0),ROUNDUP(NPER(E57/12,-G57,N57),0)))&lt;S56,A57+IF(N57=0,0,IF(E57=0,ROUNDUP(N57/G57,0),ROUNDUP(NPER(E57/12,-G57,N57),0))),S56))))))</f>
        <v>420</v>
      </c>
      <c r="T57" s="35" t="str">
        <f t="shared" si="15"/>
        <v/>
      </c>
      <c r="U57" s="3">
        <f t="shared" si="0"/>
        <v>0</v>
      </c>
      <c r="V57" s="3">
        <f t="shared" si="1"/>
        <v>0</v>
      </c>
      <c r="W57" s="3">
        <f t="shared" si="2"/>
        <v>0</v>
      </c>
      <c r="X57" s="3">
        <f t="shared" si="3"/>
        <v>0</v>
      </c>
      <c r="Y57" s="3">
        <f>0</f>
        <v>0</v>
      </c>
      <c r="Z57" s="3">
        <f t="shared" si="4"/>
        <v>0</v>
      </c>
      <c r="AA57">
        <f>ROUND(IF(FALSE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,0)</f>
        <v>93982</v>
      </c>
    </row>
    <row r="58" spans="1:27">
      <c r="A58" s="30">
        <f>53</f>
        <v>53</v>
      </c>
      <c r="B58" s="31">
        <f>EDATE(入力!$B$6,A58-1)</f>
        <v>47818</v>
      </c>
      <c r="C58" s="32">
        <f t="shared" si="5"/>
        <v>31117145</v>
      </c>
      <c r="D58" s="32">
        <f t="shared" si="6"/>
        <v>0</v>
      </c>
      <c r="E58" s="33">
        <f>IF(AND(T57="",A58&lt;=S57),IF(A58&lt;入力!$B$11,入力!$B$10,入力!$B$12),0)</f>
        <v>7.0000000000000001E-3</v>
      </c>
      <c r="F58" s="32">
        <f t="shared" si="7"/>
        <v>18152</v>
      </c>
      <c r="G58" s="32">
        <f>ROUND(IF(NOT(AND(T57="",A58&lt;=S57)),0,IF(FALSE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),0)</f>
        <v>93982</v>
      </c>
      <c r="H58" s="32">
        <f t="shared" si="8"/>
        <v>93982</v>
      </c>
      <c r="I58" s="32">
        <f t="shared" si="9"/>
        <v>18152</v>
      </c>
      <c r="J58" s="32">
        <f t="shared" si="10"/>
        <v>0</v>
      </c>
      <c r="K58" s="32">
        <f t="shared" si="11"/>
        <v>0</v>
      </c>
      <c r="L58" s="32">
        <f t="shared" si="12"/>
        <v>75830</v>
      </c>
      <c r="M58" s="32">
        <f>IF(AND(AND(T57="",A58&lt;=S57),A58=入力!$B$15),ROUND(MIN(入力!$B$16,MAX(0,C58-L58)),0),0)</f>
        <v>0</v>
      </c>
      <c r="N58" s="32">
        <f t="shared" si="13"/>
        <v>31041315</v>
      </c>
      <c r="O58" s="32">
        <f t="shared" si="14"/>
        <v>1022361</v>
      </c>
      <c r="P58" s="34" t="str">
        <f>IF(NOT(AND(T57="",A58&lt;=S57)),"",IF(FALSE,"繰上返済後再計算","")&amp;IF(AND(入力!$B$13="有効",A58&gt;1,MOD(A58-1,60)=0),IF(FALSE,"・","")&amp;"5年見直し","")&amp;IF(AND(A58=入力!$B$11,A58&gt;1),IF(OR(FALSE,AND(入力!$B$13="有効",A58&gt;1,MOD(A58-1,60)=0)),"・","")&amp;"金利変更","")&amp;IF(AND(OR(AND(入力!$B$13="有効",A58&gt;1,MOD(A58-1,60)=0),AND(A58=入力!$B$11,A58&gt;1)),入力!$B$14="有効",IF(E58=0,ROUND(C58/MAX(1,S57-A58+1),0),ROUND(-PMT(E58/12,MAX(1,S57-A58+1),C58),0))&gt;ROUND(G57*1.25,0),NOT(FALSE)),"・上限適用",""))</f>
        <v/>
      </c>
      <c r="Q58" s="35" t="str">
        <f>IF(AND(T57="",A58&lt;=S57),入力!$B$13,"")</f>
        <v>有効</v>
      </c>
      <c r="R58" s="32" t="str">
        <f>IF(AND(AND(T57="",A58&lt;=S57),OR(AND(入力!$B$13="有効",A58&gt;1,MOD(A58-1,60)=0),AND(A58=入力!$B$11,A58&gt;1)),入力!$B$14="有効"),ROUND(G57*1.25,0),"")</f>
        <v/>
      </c>
      <c r="S58" s="36">
        <f>IF(A58&lt;&gt;入力!$B$15,S57,IF(K58&lt;&gt;0,S57,IF(G58&lt;=F58,S57,IF(M58&lt;=0,S57,IF(AND(N58&gt;0,E58&gt;0,G58&lt;=N58*E58/12),S57,IF(A58+IF(N58=0,0,IF(E58=0,ROUNDUP(N58/G58,0),ROUNDUP(NPER(E58/12,-G58,N58),0)))&lt;S57,A58+IF(N58=0,0,IF(E58=0,ROUNDUP(N58/G58,0),ROUNDUP(NPER(E58/12,-G58,N58),0))),S57))))))</f>
        <v>420</v>
      </c>
      <c r="T58" s="35" t="str">
        <f t="shared" si="15"/>
        <v/>
      </c>
      <c r="U58" s="3">
        <f t="shared" si="0"/>
        <v>0</v>
      </c>
      <c r="V58" s="3">
        <f t="shared" si="1"/>
        <v>0</v>
      </c>
      <c r="W58" s="3">
        <f t="shared" si="2"/>
        <v>0</v>
      </c>
      <c r="X58" s="3">
        <f t="shared" si="3"/>
        <v>0</v>
      </c>
      <c r="Y58" s="3">
        <f>0</f>
        <v>0</v>
      </c>
      <c r="Z58" s="3">
        <f t="shared" si="4"/>
        <v>0</v>
      </c>
      <c r="AA58">
        <f>ROUND(IF(FALSE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,0)</f>
        <v>93982</v>
      </c>
    </row>
    <row r="59" spans="1:27">
      <c r="A59" s="30">
        <f>54</f>
        <v>54</v>
      </c>
      <c r="B59" s="31">
        <f>EDATE(入力!$B$6,A59-1)</f>
        <v>47849</v>
      </c>
      <c r="C59" s="32">
        <f t="shared" si="5"/>
        <v>31041315</v>
      </c>
      <c r="D59" s="32">
        <f t="shared" si="6"/>
        <v>0</v>
      </c>
      <c r="E59" s="33">
        <f>IF(AND(T58="",A59&lt;=S58),IF(A59&lt;入力!$B$11,入力!$B$10,入力!$B$12),0)</f>
        <v>7.0000000000000001E-3</v>
      </c>
      <c r="F59" s="32">
        <f t="shared" si="7"/>
        <v>18107</v>
      </c>
      <c r="G59" s="32">
        <f>ROUND(IF(NOT(AND(T58="",A59&lt;=S58)),0,IF(FALSE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),0)</f>
        <v>93982</v>
      </c>
      <c r="H59" s="32">
        <f t="shared" si="8"/>
        <v>93982</v>
      </c>
      <c r="I59" s="32">
        <f t="shared" si="9"/>
        <v>18107</v>
      </c>
      <c r="J59" s="32">
        <f t="shared" si="10"/>
        <v>0</v>
      </c>
      <c r="K59" s="32">
        <f t="shared" si="11"/>
        <v>0</v>
      </c>
      <c r="L59" s="32">
        <f t="shared" si="12"/>
        <v>75875</v>
      </c>
      <c r="M59" s="32">
        <f>IF(AND(AND(T58="",A59&lt;=S58),A59=入力!$B$15),ROUND(MIN(入力!$B$16,MAX(0,C59-L59)),0),0)</f>
        <v>0</v>
      </c>
      <c r="N59" s="32">
        <f t="shared" si="13"/>
        <v>30965440</v>
      </c>
      <c r="O59" s="32">
        <f t="shared" si="14"/>
        <v>1040468</v>
      </c>
      <c r="P59" s="34" t="str">
        <f>IF(NOT(AND(T58="",A59&lt;=S58)),"",IF(FALSE,"繰上返済後再計算","")&amp;IF(AND(入力!$B$13="有効",A59&gt;1,MOD(A59-1,60)=0),IF(FALSE,"・","")&amp;"5年見直し","")&amp;IF(AND(A59=入力!$B$11,A59&gt;1),IF(OR(FALSE,AND(入力!$B$13="有効",A59&gt;1,MOD(A59-1,60)=0)),"・","")&amp;"金利変更","")&amp;IF(AND(OR(AND(入力!$B$13="有効",A59&gt;1,MOD(A59-1,60)=0),AND(A59=入力!$B$11,A59&gt;1)),入力!$B$14="有効",IF(E59=0,ROUND(C59/MAX(1,S58-A59+1),0),ROUND(-PMT(E59/12,MAX(1,S58-A59+1),C59),0))&gt;ROUND(G58*1.25,0),NOT(FALSE)),"・上限適用",""))</f>
        <v/>
      </c>
      <c r="Q59" s="35" t="str">
        <f>IF(AND(T58="",A59&lt;=S58),入力!$B$13,"")</f>
        <v>有効</v>
      </c>
      <c r="R59" s="32" t="str">
        <f>IF(AND(AND(T58="",A59&lt;=S58),OR(AND(入力!$B$13="有効",A59&gt;1,MOD(A59-1,60)=0),AND(A59=入力!$B$11,A59&gt;1)),入力!$B$14="有効"),ROUND(G58*1.25,0),"")</f>
        <v/>
      </c>
      <c r="S59" s="36">
        <f>IF(A59&lt;&gt;入力!$B$15,S58,IF(K59&lt;&gt;0,S58,IF(G59&lt;=F59,S58,IF(M59&lt;=0,S58,IF(AND(N59&gt;0,E59&gt;0,G59&lt;=N59*E59/12),S58,IF(A59+IF(N59=0,0,IF(E59=0,ROUNDUP(N59/G59,0),ROUNDUP(NPER(E59/12,-G59,N59),0)))&lt;S58,A59+IF(N59=0,0,IF(E59=0,ROUNDUP(N59/G59,0),ROUNDUP(NPER(E59/12,-G59,N59),0))),S58))))))</f>
        <v>420</v>
      </c>
      <c r="T59" s="35" t="str">
        <f t="shared" si="15"/>
        <v/>
      </c>
      <c r="U59" s="3">
        <f t="shared" si="0"/>
        <v>0</v>
      </c>
      <c r="V59" s="3">
        <f t="shared" si="1"/>
        <v>0</v>
      </c>
      <c r="W59" s="3">
        <f t="shared" si="2"/>
        <v>0</v>
      </c>
      <c r="X59" s="3">
        <f t="shared" si="3"/>
        <v>0</v>
      </c>
      <c r="Y59" s="3">
        <f>0</f>
        <v>0</v>
      </c>
      <c r="Z59" s="3">
        <f t="shared" si="4"/>
        <v>0</v>
      </c>
      <c r="AA59">
        <f>ROUND(IF(FALSE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,0)</f>
        <v>93982</v>
      </c>
    </row>
    <row r="60" spans="1:27">
      <c r="A60" s="30">
        <f>55</f>
        <v>55</v>
      </c>
      <c r="B60" s="31">
        <f>EDATE(入力!$B$6,A60-1)</f>
        <v>47880</v>
      </c>
      <c r="C60" s="32">
        <f t="shared" si="5"/>
        <v>30965440</v>
      </c>
      <c r="D60" s="32">
        <f t="shared" si="6"/>
        <v>0</v>
      </c>
      <c r="E60" s="33">
        <f>IF(AND(T59="",A60&lt;=S59),IF(A60&lt;入力!$B$11,入力!$B$10,入力!$B$12),0)</f>
        <v>7.0000000000000001E-3</v>
      </c>
      <c r="F60" s="32">
        <f t="shared" si="7"/>
        <v>18063</v>
      </c>
      <c r="G60" s="32">
        <f>ROUND(IF(NOT(AND(T59="",A60&lt;=S59)),0,IF(FALSE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),0)</f>
        <v>93982</v>
      </c>
      <c r="H60" s="32">
        <f t="shared" si="8"/>
        <v>93982</v>
      </c>
      <c r="I60" s="32">
        <f t="shared" si="9"/>
        <v>18063</v>
      </c>
      <c r="J60" s="32">
        <f t="shared" si="10"/>
        <v>0</v>
      </c>
      <c r="K60" s="32">
        <f t="shared" si="11"/>
        <v>0</v>
      </c>
      <c r="L60" s="32">
        <f t="shared" si="12"/>
        <v>75919</v>
      </c>
      <c r="M60" s="32">
        <f>IF(AND(AND(T59="",A60&lt;=S59),A60=入力!$B$15),ROUND(MIN(入力!$B$16,MAX(0,C60-L60)),0),0)</f>
        <v>0</v>
      </c>
      <c r="N60" s="32">
        <f t="shared" si="13"/>
        <v>30889521</v>
      </c>
      <c r="O60" s="32">
        <f t="shared" si="14"/>
        <v>1058531</v>
      </c>
      <c r="P60" s="34" t="str">
        <f>IF(NOT(AND(T59="",A60&lt;=S59)),"",IF(FALSE,"繰上返済後再計算","")&amp;IF(AND(入力!$B$13="有効",A60&gt;1,MOD(A60-1,60)=0),IF(FALSE,"・","")&amp;"5年見直し","")&amp;IF(AND(A60=入力!$B$11,A60&gt;1),IF(OR(FALSE,AND(入力!$B$13="有効",A60&gt;1,MOD(A60-1,60)=0)),"・","")&amp;"金利変更","")&amp;IF(AND(OR(AND(入力!$B$13="有効",A60&gt;1,MOD(A60-1,60)=0),AND(A60=入力!$B$11,A60&gt;1)),入力!$B$14="有効",IF(E60=0,ROUND(C60/MAX(1,S59-A60+1),0),ROUND(-PMT(E60/12,MAX(1,S59-A60+1),C60),0))&gt;ROUND(G59*1.25,0),NOT(FALSE)),"・上限適用",""))</f>
        <v/>
      </c>
      <c r="Q60" s="35" t="str">
        <f>IF(AND(T59="",A60&lt;=S59),入力!$B$13,"")</f>
        <v>有効</v>
      </c>
      <c r="R60" s="32" t="str">
        <f>IF(AND(AND(T59="",A60&lt;=S59),OR(AND(入力!$B$13="有効",A60&gt;1,MOD(A60-1,60)=0),AND(A60=入力!$B$11,A60&gt;1)),入力!$B$14="有効"),ROUND(G59*1.25,0),"")</f>
        <v/>
      </c>
      <c r="S60" s="36">
        <f>IF(A60&lt;&gt;入力!$B$15,S59,IF(K60&lt;&gt;0,S59,IF(G60&lt;=F60,S59,IF(M60&lt;=0,S59,IF(AND(N60&gt;0,E60&gt;0,G60&lt;=N60*E60/12),S59,IF(A60+IF(N60=0,0,IF(E60=0,ROUNDUP(N60/G60,0),ROUNDUP(NPER(E60/12,-G60,N60),0)))&lt;S59,A60+IF(N60=0,0,IF(E60=0,ROUNDUP(N60/G60,0),ROUNDUP(NPER(E60/12,-G60,N60),0))),S59))))))</f>
        <v>420</v>
      </c>
      <c r="T60" s="35" t="str">
        <f t="shared" si="15"/>
        <v/>
      </c>
      <c r="U60" s="3">
        <f t="shared" si="0"/>
        <v>0</v>
      </c>
      <c r="V60" s="3">
        <f t="shared" si="1"/>
        <v>0</v>
      </c>
      <c r="W60" s="3">
        <f t="shared" si="2"/>
        <v>0</v>
      </c>
      <c r="X60" s="3">
        <f t="shared" si="3"/>
        <v>0</v>
      </c>
      <c r="Y60" s="3">
        <f>0</f>
        <v>0</v>
      </c>
      <c r="Z60" s="3">
        <f t="shared" si="4"/>
        <v>0</v>
      </c>
      <c r="AA60">
        <f>ROUND(IF(FALSE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,0)</f>
        <v>93982</v>
      </c>
    </row>
    <row r="61" spans="1:27">
      <c r="A61" s="30">
        <f>56</f>
        <v>56</v>
      </c>
      <c r="B61" s="31">
        <f>EDATE(入力!$B$6,A61-1)</f>
        <v>47908</v>
      </c>
      <c r="C61" s="32">
        <f t="shared" si="5"/>
        <v>30889521</v>
      </c>
      <c r="D61" s="32">
        <f t="shared" si="6"/>
        <v>0</v>
      </c>
      <c r="E61" s="33">
        <f>IF(AND(T60="",A61&lt;=S60),IF(A61&lt;入力!$B$11,入力!$B$10,入力!$B$12),0)</f>
        <v>7.0000000000000001E-3</v>
      </c>
      <c r="F61" s="32">
        <f t="shared" si="7"/>
        <v>18019</v>
      </c>
      <c r="G61" s="32">
        <f>ROUND(IF(NOT(AND(T60="",A61&lt;=S60)),0,IF(FALSE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),0)</f>
        <v>93982</v>
      </c>
      <c r="H61" s="32">
        <f t="shared" si="8"/>
        <v>93982</v>
      </c>
      <c r="I61" s="32">
        <f t="shared" si="9"/>
        <v>18019</v>
      </c>
      <c r="J61" s="32">
        <f t="shared" si="10"/>
        <v>0</v>
      </c>
      <c r="K61" s="32">
        <f t="shared" si="11"/>
        <v>0</v>
      </c>
      <c r="L61" s="32">
        <f t="shared" si="12"/>
        <v>75963</v>
      </c>
      <c r="M61" s="32">
        <f>IF(AND(AND(T60="",A61&lt;=S60),A61=入力!$B$15),ROUND(MIN(入力!$B$16,MAX(0,C61-L61)),0),0)</f>
        <v>0</v>
      </c>
      <c r="N61" s="32">
        <f t="shared" si="13"/>
        <v>30813558</v>
      </c>
      <c r="O61" s="32">
        <f t="shared" si="14"/>
        <v>1076550</v>
      </c>
      <c r="P61" s="34" t="str">
        <f>IF(NOT(AND(T60="",A61&lt;=S60)),"",IF(FALSE,"繰上返済後再計算","")&amp;IF(AND(入力!$B$13="有効",A61&gt;1,MOD(A61-1,60)=0),IF(FALSE,"・","")&amp;"5年見直し","")&amp;IF(AND(A61=入力!$B$11,A61&gt;1),IF(OR(FALSE,AND(入力!$B$13="有効",A61&gt;1,MOD(A61-1,60)=0)),"・","")&amp;"金利変更","")&amp;IF(AND(OR(AND(入力!$B$13="有効",A61&gt;1,MOD(A61-1,60)=0),AND(A61=入力!$B$11,A61&gt;1)),入力!$B$14="有効",IF(E61=0,ROUND(C61/MAX(1,S60-A61+1),0),ROUND(-PMT(E61/12,MAX(1,S60-A61+1),C61),0))&gt;ROUND(G60*1.25,0),NOT(FALSE)),"・上限適用",""))</f>
        <v/>
      </c>
      <c r="Q61" s="35" t="str">
        <f>IF(AND(T60="",A61&lt;=S60),入力!$B$13,"")</f>
        <v>有効</v>
      </c>
      <c r="R61" s="32" t="str">
        <f>IF(AND(AND(T60="",A61&lt;=S60),OR(AND(入力!$B$13="有効",A61&gt;1,MOD(A61-1,60)=0),AND(A61=入力!$B$11,A61&gt;1)),入力!$B$14="有効"),ROUND(G60*1.25,0),"")</f>
        <v/>
      </c>
      <c r="S61" s="36">
        <f>IF(A61&lt;&gt;入力!$B$15,S60,IF(K61&lt;&gt;0,S60,IF(G61&lt;=F61,S60,IF(M61&lt;=0,S60,IF(AND(N61&gt;0,E61&gt;0,G61&lt;=N61*E61/12),S60,IF(A61+IF(N61=0,0,IF(E61=0,ROUNDUP(N61/G61,0),ROUNDUP(NPER(E61/12,-G61,N61),0)))&lt;S60,A61+IF(N61=0,0,IF(E61=0,ROUNDUP(N61/G61,0),ROUNDUP(NPER(E61/12,-G61,N61),0))),S60))))))</f>
        <v>420</v>
      </c>
      <c r="T61" s="35" t="str">
        <f t="shared" si="15"/>
        <v/>
      </c>
      <c r="U61" s="3">
        <f t="shared" si="0"/>
        <v>0</v>
      </c>
      <c r="V61" s="3">
        <f t="shared" si="1"/>
        <v>0</v>
      </c>
      <c r="W61" s="3">
        <f t="shared" si="2"/>
        <v>0</v>
      </c>
      <c r="X61" s="3">
        <f t="shared" si="3"/>
        <v>0</v>
      </c>
      <c r="Y61" s="3">
        <f>0</f>
        <v>0</v>
      </c>
      <c r="Z61" s="3">
        <f t="shared" si="4"/>
        <v>0</v>
      </c>
      <c r="AA61">
        <f>ROUND(IF(FALSE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,0)</f>
        <v>93982</v>
      </c>
    </row>
    <row r="62" spans="1:27">
      <c r="A62" s="30">
        <f>57</f>
        <v>57</v>
      </c>
      <c r="B62" s="31">
        <f>EDATE(入力!$B$6,A62-1)</f>
        <v>47939</v>
      </c>
      <c r="C62" s="32">
        <f t="shared" si="5"/>
        <v>30813558</v>
      </c>
      <c r="D62" s="32">
        <f t="shared" si="6"/>
        <v>0</v>
      </c>
      <c r="E62" s="33">
        <f>IF(AND(T61="",A62&lt;=S61),IF(A62&lt;入力!$B$11,入力!$B$10,入力!$B$12),0)</f>
        <v>7.0000000000000001E-3</v>
      </c>
      <c r="F62" s="32">
        <f t="shared" si="7"/>
        <v>17975</v>
      </c>
      <c r="G62" s="32">
        <f>ROUND(IF(NOT(AND(T61="",A62&lt;=S61)),0,IF(FALSE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),0)</f>
        <v>93982</v>
      </c>
      <c r="H62" s="32">
        <f t="shared" si="8"/>
        <v>93982</v>
      </c>
      <c r="I62" s="32">
        <f t="shared" si="9"/>
        <v>17975</v>
      </c>
      <c r="J62" s="32">
        <f t="shared" si="10"/>
        <v>0</v>
      </c>
      <c r="K62" s="32">
        <f t="shared" si="11"/>
        <v>0</v>
      </c>
      <c r="L62" s="32">
        <f t="shared" si="12"/>
        <v>76007</v>
      </c>
      <c r="M62" s="32">
        <f>IF(AND(AND(T61="",A62&lt;=S61),A62=入力!$B$15),ROUND(MIN(入力!$B$16,MAX(0,C62-L62)),0),0)</f>
        <v>0</v>
      </c>
      <c r="N62" s="32">
        <f t="shared" si="13"/>
        <v>30737551</v>
      </c>
      <c r="O62" s="32">
        <f t="shared" si="14"/>
        <v>1094525</v>
      </c>
      <c r="P62" s="34" t="str">
        <f>IF(NOT(AND(T61="",A62&lt;=S61)),"",IF(FALSE,"繰上返済後再計算","")&amp;IF(AND(入力!$B$13="有効",A62&gt;1,MOD(A62-1,60)=0),IF(FALSE,"・","")&amp;"5年見直し","")&amp;IF(AND(A62=入力!$B$11,A62&gt;1),IF(OR(FALSE,AND(入力!$B$13="有効",A62&gt;1,MOD(A62-1,60)=0)),"・","")&amp;"金利変更","")&amp;IF(AND(OR(AND(入力!$B$13="有効",A62&gt;1,MOD(A62-1,60)=0),AND(A62=入力!$B$11,A62&gt;1)),入力!$B$14="有効",IF(E62=0,ROUND(C62/MAX(1,S61-A62+1),0),ROUND(-PMT(E62/12,MAX(1,S61-A62+1),C62),0))&gt;ROUND(G61*1.25,0),NOT(FALSE)),"・上限適用",""))</f>
        <v/>
      </c>
      <c r="Q62" s="35" t="str">
        <f>IF(AND(T61="",A62&lt;=S61),入力!$B$13,"")</f>
        <v>有効</v>
      </c>
      <c r="R62" s="32" t="str">
        <f>IF(AND(AND(T61="",A62&lt;=S61),OR(AND(入力!$B$13="有効",A62&gt;1,MOD(A62-1,60)=0),AND(A62=入力!$B$11,A62&gt;1)),入力!$B$14="有効"),ROUND(G61*1.25,0),"")</f>
        <v/>
      </c>
      <c r="S62" s="36">
        <f>IF(A62&lt;&gt;入力!$B$15,S61,IF(K62&lt;&gt;0,S61,IF(G62&lt;=F62,S61,IF(M62&lt;=0,S61,IF(AND(N62&gt;0,E62&gt;0,G62&lt;=N62*E62/12),S61,IF(A62+IF(N62=0,0,IF(E62=0,ROUNDUP(N62/G62,0),ROUNDUP(NPER(E62/12,-G62,N62),0)))&lt;S61,A62+IF(N62=0,0,IF(E62=0,ROUNDUP(N62/G62,0),ROUNDUP(NPER(E62/12,-G62,N62),0))),S61))))))</f>
        <v>420</v>
      </c>
      <c r="T62" s="35" t="str">
        <f t="shared" si="15"/>
        <v/>
      </c>
      <c r="U62" s="3">
        <f t="shared" si="0"/>
        <v>0</v>
      </c>
      <c r="V62" s="3">
        <f t="shared" si="1"/>
        <v>0</v>
      </c>
      <c r="W62" s="3">
        <f t="shared" si="2"/>
        <v>0</v>
      </c>
      <c r="X62" s="3">
        <f t="shared" si="3"/>
        <v>0</v>
      </c>
      <c r="Y62" s="3">
        <f>0</f>
        <v>0</v>
      </c>
      <c r="Z62" s="3">
        <f t="shared" si="4"/>
        <v>0</v>
      </c>
      <c r="AA62">
        <f>ROUND(IF(FALSE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,0)</f>
        <v>93982</v>
      </c>
    </row>
    <row r="63" spans="1:27">
      <c r="A63" s="30">
        <f>58</f>
        <v>58</v>
      </c>
      <c r="B63" s="31">
        <f>EDATE(入力!$B$6,A63-1)</f>
        <v>47969</v>
      </c>
      <c r="C63" s="32">
        <f t="shared" si="5"/>
        <v>30737551</v>
      </c>
      <c r="D63" s="32">
        <f t="shared" si="6"/>
        <v>0</v>
      </c>
      <c r="E63" s="33">
        <f>IF(AND(T62="",A63&lt;=S62),IF(A63&lt;入力!$B$11,入力!$B$10,入力!$B$12),0)</f>
        <v>7.0000000000000001E-3</v>
      </c>
      <c r="F63" s="32">
        <f t="shared" si="7"/>
        <v>17930</v>
      </c>
      <c r="G63" s="32">
        <f>ROUND(IF(NOT(AND(T62="",A63&lt;=S62)),0,IF(FALSE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),0)</f>
        <v>93982</v>
      </c>
      <c r="H63" s="32">
        <f t="shared" si="8"/>
        <v>93982</v>
      </c>
      <c r="I63" s="32">
        <f t="shared" si="9"/>
        <v>17930</v>
      </c>
      <c r="J63" s="32">
        <f t="shared" si="10"/>
        <v>0</v>
      </c>
      <c r="K63" s="32">
        <f t="shared" si="11"/>
        <v>0</v>
      </c>
      <c r="L63" s="32">
        <f t="shared" si="12"/>
        <v>76052</v>
      </c>
      <c r="M63" s="32">
        <f>IF(AND(AND(T62="",A63&lt;=S62),A63=入力!$B$15),ROUND(MIN(入力!$B$16,MAX(0,C63-L63)),0),0)</f>
        <v>0</v>
      </c>
      <c r="N63" s="32">
        <f t="shared" si="13"/>
        <v>30661499</v>
      </c>
      <c r="O63" s="32">
        <f t="shared" si="14"/>
        <v>1112455</v>
      </c>
      <c r="P63" s="34" t="str">
        <f>IF(NOT(AND(T62="",A63&lt;=S62)),"",IF(FALSE,"繰上返済後再計算","")&amp;IF(AND(入力!$B$13="有効",A63&gt;1,MOD(A63-1,60)=0),IF(FALSE,"・","")&amp;"5年見直し","")&amp;IF(AND(A63=入力!$B$11,A63&gt;1),IF(OR(FALSE,AND(入力!$B$13="有効",A63&gt;1,MOD(A63-1,60)=0)),"・","")&amp;"金利変更","")&amp;IF(AND(OR(AND(入力!$B$13="有効",A63&gt;1,MOD(A63-1,60)=0),AND(A63=入力!$B$11,A63&gt;1)),入力!$B$14="有効",IF(E63=0,ROUND(C63/MAX(1,S62-A63+1),0),ROUND(-PMT(E63/12,MAX(1,S62-A63+1),C63),0))&gt;ROUND(G62*1.25,0),NOT(FALSE)),"・上限適用",""))</f>
        <v/>
      </c>
      <c r="Q63" s="35" t="str">
        <f>IF(AND(T62="",A63&lt;=S62),入力!$B$13,"")</f>
        <v>有効</v>
      </c>
      <c r="R63" s="32" t="str">
        <f>IF(AND(AND(T62="",A63&lt;=S62),OR(AND(入力!$B$13="有効",A63&gt;1,MOD(A63-1,60)=0),AND(A63=入力!$B$11,A63&gt;1)),入力!$B$14="有効"),ROUND(G62*1.25,0),"")</f>
        <v/>
      </c>
      <c r="S63" s="36">
        <f>IF(A63&lt;&gt;入力!$B$15,S62,IF(K63&lt;&gt;0,S62,IF(G63&lt;=F63,S62,IF(M63&lt;=0,S62,IF(AND(N63&gt;0,E63&gt;0,G63&lt;=N63*E63/12),S62,IF(A63+IF(N63=0,0,IF(E63=0,ROUNDUP(N63/G63,0),ROUNDUP(NPER(E63/12,-G63,N63),0)))&lt;S62,A63+IF(N63=0,0,IF(E63=0,ROUNDUP(N63/G63,0),ROUNDUP(NPER(E63/12,-G63,N63),0))),S62))))))</f>
        <v>420</v>
      </c>
      <c r="T63" s="35" t="str">
        <f t="shared" si="15"/>
        <v/>
      </c>
      <c r="U63" s="3">
        <f t="shared" si="0"/>
        <v>0</v>
      </c>
      <c r="V63" s="3">
        <f t="shared" si="1"/>
        <v>0</v>
      </c>
      <c r="W63" s="3">
        <f t="shared" si="2"/>
        <v>0</v>
      </c>
      <c r="X63" s="3">
        <f t="shared" si="3"/>
        <v>0</v>
      </c>
      <c r="Y63" s="3">
        <f>0</f>
        <v>0</v>
      </c>
      <c r="Z63" s="3">
        <f t="shared" si="4"/>
        <v>0</v>
      </c>
      <c r="AA63">
        <f>ROUND(IF(FALSE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,0)</f>
        <v>93982</v>
      </c>
    </row>
    <row r="64" spans="1:27">
      <c r="A64" s="30">
        <f>59</f>
        <v>59</v>
      </c>
      <c r="B64" s="31">
        <f>EDATE(入力!$B$6,A64-1)</f>
        <v>48000</v>
      </c>
      <c r="C64" s="32">
        <f t="shared" si="5"/>
        <v>30661499</v>
      </c>
      <c r="D64" s="32">
        <f t="shared" si="6"/>
        <v>0</v>
      </c>
      <c r="E64" s="33">
        <f>IF(AND(T63="",A64&lt;=S63),IF(A64&lt;入力!$B$11,入力!$B$10,入力!$B$12),0)</f>
        <v>7.0000000000000001E-3</v>
      </c>
      <c r="F64" s="32">
        <f t="shared" si="7"/>
        <v>17886</v>
      </c>
      <c r="G64" s="32">
        <f>ROUND(IF(NOT(AND(T63="",A64&lt;=S63)),0,IF(FALSE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),0)</f>
        <v>93982</v>
      </c>
      <c r="H64" s="32">
        <f t="shared" si="8"/>
        <v>93982</v>
      </c>
      <c r="I64" s="32">
        <f t="shared" si="9"/>
        <v>17886</v>
      </c>
      <c r="J64" s="32">
        <f t="shared" si="10"/>
        <v>0</v>
      </c>
      <c r="K64" s="32">
        <f t="shared" si="11"/>
        <v>0</v>
      </c>
      <c r="L64" s="32">
        <f t="shared" si="12"/>
        <v>76096</v>
      </c>
      <c r="M64" s="32">
        <f>IF(AND(AND(T63="",A64&lt;=S63),A64=入力!$B$15),ROUND(MIN(入力!$B$16,MAX(0,C64-L64)),0),0)</f>
        <v>0</v>
      </c>
      <c r="N64" s="32">
        <f t="shared" si="13"/>
        <v>30585403</v>
      </c>
      <c r="O64" s="32">
        <f t="shared" si="14"/>
        <v>1130341</v>
      </c>
      <c r="P64" s="34" t="str">
        <f>IF(NOT(AND(T63="",A64&lt;=S63)),"",IF(FALSE,"繰上返済後再計算","")&amp;IF(AND(入力!$B$13="有効",A64&gt;1,MOD(A64-1,60)=0),IF(FALSE,"・","")&amp;"5年見直し","")&amp;IF(AND(A64=入力!$B$11,A64&gt;1),IF(OR(FALSE,AND(入力!$B$13="有効",A64&gt;1,MOD(A64-1,60)=0)),"・","")&amp;"金利変更","")&amp;IF(AND(OR(AND(入力!$B$13="有効",A64&gt;1,MOD(A64-1,60)=0),AND(A64=入力!$B$11,A64&gt;1)),入力!$B$14="有効",IF(E64=0,ROUND(C64/MAX(1,S63-A64+1),0),ROUND(-PMT(E64/12,MAX(1,S63-A64+1),C64),0))&gt;ROUND(G63*1.25,0),NOT(FALSE)),"・上限適用",""))</f>
        <v/>
      </c>
      <c r="Q64" s="35" t="str">
        <f>IF(AND(T63="",A64&lt;=S63),入力!$B$13,"")</f>
        <v>有効</v>
      </c>
      <c r="R64" s="32" t="str">
        <f>IF(AND(AND(T63="",A64&lt;=S63),OR(AND(入力!$B$13="有効",A64&gt;1,MOD(A64-1,60)=0),AND(A64=入力!$B$11,A64&gt;1)),入力!$B$14="有効"),ROUND(G63*1.25,0),"")</f>
        <v/>
      </c>
      <c r="S64" s="36">
        <f>IF(A64&lt;&gt;入力!$B$15,S63,IF(K64&lt;&gt;0,S63,IF(G64&lt;=F64,S63,IF(M64&lt;=0,S63,IF(AND(N64&gt;0,E64&gt;0,G64&lt;=N64*E64/12),S63,IF(A64+IF(N64=0,0,IF(E64=0,ROUNDUP(N64/G64,0),ROUNDUP(NPER(E64/12,-G64,N64),0)))&lt;S63,A64+IF(N64=0,0,IF(E64=0,ROUNDUP(N64/G64,0),ROUNDUP(NPER(E64/12,-G64,N64),0))),S63))))))</f>
        <v>420</v>
      </c>
      <c r="T64" s="35" t="str">
        <f t="shared" si="15"/>
        <v/>
      </c>
      <c r="U64" s="3">
        <f t="shared" si="0"/>
        <v>0</v>
      </c>
      <c r="V64" s="3">
        <f t="shared" si="1"/>
        <v>0</v>
      </c>
      <c r="W64" s="3">
        <f t="shared" si="2"/>
        <v>0</v>
      </c>
      <c r="X64" s="3">
        <f t="shared" si="3"/>
        <v>0</v>
      </c>
      <c r="Y64" s="3">
        <f>0</f>
        <v>0</v>
      </c>
      <c r="Z64" s="3">
        <f t="shared" si="4"/>
        <v>0</v>
      </c>
      <c r="AA64">
        <f>ROUND(IF(FALSE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,0)</f>
        <v>93982</v>
      </c>
    </row>
    <row r="65" spans="1:27">
      <c r="A65" s="30">
        <f>60</f>
        <v>60</v>
      </c>
      <c r="B65" s="31">
        <f>EDATE(入力!$B$6,A65-1)</f>
        <v>48030</v>
      </c>
      <c r="C65" s="32">
        <f t="shared" si="5"/>
        <v>30585403</v>
      </c>
      <c r="D65" s="32">
        <f t="shared" si="6"/>
        <v>0</v>
      </c>
      <c r="E65" s="33">
        <f>IF(AND(T64="",A65&lt;=S64),IF(A65&lt;入力!$B$11,入力!$B$10,入力!$B$12),0)</f>
        <v>7.0000000000000001E-3</v>
      </c>
      <c r="F65" s="32">
        <f t="shared" si="7"/>
        <v>17841</v>
      </c>
      <c r="G65" s="32">
        <f>ROUND(IF(NOT(AND(T64="",A65&lt;=S64)),0,IF(FALSE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),0)</f>
        <v>93982</v>
      </c>
      <c r="H65" s="32">
        <f t="shared" si="8"/>
        <v>93982</v>
      </c>
      <c r="I65" s="32">
        <f t="shared" si="9"/>
        <v>17841</v>
      </c>
      <c r="J65" s="32">
        <f t="shared" si="10"/>
        <v>0</v>
      </c>
      <c r="K65" s="32">
        <f t="shared" si="11"/>
        <v>0</v>
      </c>
      <c r="L65" s="32">
        <f t="shared" si="12"/>
        <v>76141</v>
      </c>
      <c r="M65" s="32">
        <f>IF(AND(AND(T64="",A65&lt;=S64),A65=入力!$B$15),ROUND(MIN(入力!$B$16,MAX(0,C65-L65)),0),0)</f>
        <v>0</v>
      </c>
      <c r="N65" s="32">
        <f t="shared" si="13"/>
        <v>30509262</v>
      </c>
      <c r="O65" s="32">
        <f t="shared" si="14"/>
        <v>1148182</v>
      </c>
      <c r="P65" s="34" t="str">
        <f>IF(NOT(AND(T64="",A65&lt;=S64)),"",IF(FALSE,"繰上返済後再計算","")&amp;IF(AND(入力!$B$13="有効",A65&gt;1,MOD(A65-1,60)=0),IF(FALSE,"・","")&amp;"5年見直し","")&amp;IF(AND(A65=入力!$B$11,A65&gt;1),IF(OR(FALSE,AND(入力!$B$13="有効",A65&gt;1,MOD(A65-1,60)=0)),"・","")&amp;"金利変更","")&amp;IF(AND(OR(AND(入力!$B$13="有効",A65&gt;1,MOD(A65-1,60)=0),AND(A65=入力!$B$11,A65&gt;1)),入力!$B$14="有効",IF(E65=0,ROUND(C65/MAX(1,S64-A65+1),0),ROUND(-PMT(E65/12,MAX(1,S64-A65+1),C65),0))&gt;ROUND(G64*1.25,0),NOT(FALSE)),"・上限適用",""))</f>
        <v/>
      </c>
      <c r="Q65" s="35" t="str">
        <f>IF(AND(T64="",A65&lt;=S64),入力!$B$13,"")</f>
        <v>有効</v>
      </c>
      <c r="R65" s="32" t="str">
        <f>IF(AND(AND(T64="",A65&lt;=S64),OR(AND(入力!$B$13="有効",A65&gt;1,MOD(A65-1,60)=0),AND(A65=入力!$B$11,A65&gt;1)),入力!$B$14="有効"),ROUND(G64*1.25,0),"")</f>
        <v/>
      </c>
      <c r="S65" s="36">
        <f>IF(A65&lt;&gt;入力!$B$15,S64,IF(K65&lt;&gt;0,S64,IF(G65&lt;=F65,S64,IF(M65&lt;=0,S64,IF(AND(N65&gt;0,E65&gt;0,G65&lt;=N65*E65/12),S64,IF(A65+IF(N65=0,0,IF(E65=0,ROUNDUP(N65/G65,0),ROUNDUP(NPER(E65/12,-G65,N65),0)))&lt;S64,A65+IF(N65=0,0,IF(E65=0,ROUNDUP(N65/G65,0),ROUNDUP(NPER(E65/12,-G65,N65),0))),S64))))))</f>
        <v>420</v>
      </c>
      <c r="T65" s="35" t="str">
        <f t="shared" si="15"/>
        <v/>
      </c>
      <c r="U65" s="3">
        <f t="shared" si="0"/>
        <v>0</v>
      </c>
      <c r="V65" s="3">
        <f t="shared" si="1"/>
        <v>0</v>
      </c>
      <c r="W65" s="3">
        <f t="shared" si="2"/>
        <v>0</v>
      </c>
      <c r="X65" s="3">
        <f t="shared" si="3"/>
        <v>0</v>
      </c>
      <c r="Y65" s="3">
        <f>0</f>
        <v>0</v>
      </c>
      <c r="Z65" s="3">
        <f t="shared" si="4"/>
        <v>0</v>
      </c>
      <c r="AA65">
        <f>ROUND(IF(FALSE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,0)</f>
        <v>93982</v>
      </c>
    </row>
    <row r="66" spans="1:27">
      <c r="A66" s="30">
        <f>61</f>
        <v>61</v>
      </c>
      <c r="B66" s="31">
        <f>EDATE(入力!$B$6,A66-1)</f>
        <v>48061</v>
      </c>
      <c r="C66" s="32">
        <f t="shared" si="5"/>
        <v>30509262</v>
      </c>
      <c r="D66" s="32">
        <f t="shared" si="6"/>
        <v>0</v>
      </c>
      <c r="E66" s="33">
        <f>IF(AND(T65="",A66&lt;=S65),IF(A66&lt;入力!$B$11,入力!$B$10,入力!$B$12),0)</f>
        <v>2.5000000000000001E-2</v>
      </c>
      <c r="F66" s="32">
        <f t="shared" si="7"/>
        <v>63561</v>
      </c>
      <c r="G66" s="32">
        <f>ROUND(IF(NOT(AND(T65="",A66&lt;=S65)),0,IF(FALSE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),0)</f>
        <v>117478</v>
      </c>
      <c r="H66" s="32">
        <f t="shared" si="8"/>
        <v>117478</v>
      </c>
      <c r="I66" s="32">
        <f t="shared" si="9"/>
        <v>63561</v>
      </c>
      <c r="J66" s="32">
        <f t="shared" si="10"/>
        <v>0</v>
      </c>
      <c r="K66" s="32">
        <f t="shared" si="11"/>
        <v>0</v>
      </c>
      <c r="L66" s="32">
        <f t="shared" si="12"/>
        <v>53917</v>
      </c>
      <c r="M66" s="32">
        <f>IF(AND(AND(T65="",A66&lt;=S65),A66=入力!$B$15),ROUND(MIN(入力!$B$16,MAX(0,C66-L66)),0),0)</f>
        <v>0</v>
      </c>
      <c r="N66" s="32">
        <f t="shared" si="13"/>
        <v>30455345</v>
      </c>
      <c r="O66" s="32">
        <f t="shared" si="14"/>
        <v>1211743</v>
      </c>
      <c r="P66" s="34" t="str">
        <f>IF(NOT(AND(T65="",A66&lt;=S65)),"",IF(FALSE,"繰上返済後再計算","")&amp;IF(AND(入力!$B$13="有効",A66&gt;1,MOD(A66-1,60)=0),IF(FALSE,"・","")&amp;"5年見直し","")&amp;IF(AND(A66=入力!$B$11,A66&gt;1),IF(OR(FALSE,AND(入力!$B$13="有効",A66&gt;1,MOD(A66-1,60)=0)),"・","")&amp;"金利変更","")&amp;IF(AND(OR(AND(入力!$B$13="有効",A66&gt;1,MOD(A66-1,60)=0),AND(A66=入力!$B$11,A66&gt;1)),入力!$B$14="有効",IF(E66=0,ROUND(C66/MAX(1,S65-A66+1),0),ROUND(-PMT(E66/12,MAX(1,S65-A66+1),C66),0))&gt;ROUND(G65*1.25,0),NOT(FALSE)),"・上限適用",""))</f>
        <v>5年見直し・金利変更・上限適用</v>
      </c>
      <c r="Q66" s="35" t="str">
        <f>IF(AND(T65="",A66&lt;=S65),入力!$B$13,"")</f>
        <v>有効</v>
      </c>
      <c r="R66" s="32">
        <f>IF(AND(AND(T65="",A66&lt;=S65),OR(AND(入力!$B$13="有効",A66&gt;1,MOD(A66-1,60)=0),AND(A66=入力!$B$11,A66&gt;1)),入力!$B$14="有効"),ROUND(G65*1.25,0),"")</f>
        <v>117478</v>
      </c>
      <c r="S66" s="36">
        <f>IF(A66&lt;&gt;入力!$B$15,S65,IF(K66&lt;&gt;0,S65,IF(G66&lt;=F66,S65,IF(M66&lt;=0,S65,IF(AND(N66&gt;0,E66&gt;0,G66&lt;=N66*E66/12),S65,IF(A66+IF(N66=0,0,IF(E66=0,ROUNDUP(N66/G66,0),ROUNDUP(NPER(E66/12,-G66,N66),0)))&lt;S65,A66+IF(N66=0,0,IF(E66=0,ROUNDUP(N66/G66,0),ROUNDUP(NPER(E66/12,-G66,N66),0))),S65))))))</f>
        <v>420</v>
      </c>
      <c r="T66" s="35" t="str">
        <f t="shared" si="15"/>
        <v/>
      </c>
      <c r="U66" s="3">
        <f t="shared" si="0"/>
        <v>0</v>
      </c>
      <c r="V66" s="3">
        <f t="shared" si="1"/>
        <v>0</v>
      </c>
      <c r="W66" s="3">
        <f t="shared" si="2"/>
        <v>0</v>
      </c>
      <c r="X66" s="3">
        <f t="shared" si="3"/>
        <v>0</v>
      </c>
      <c r="Y66" s="3">
        <f>0</f>
        <v>0</v>
      </c>
      <c r="Z66" s="3">
        <f t="shared" si="4"/>
        <v>0</v>
      </c>
      <c r="AA66">
        <f>ROUND(IF(FALSE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,0)</f>
        <v>117478</v>
      </c>
    </row>
    <row r="67" spans="1:27">
      <c r="A67" s="30">
        <f>62</f>
        <v>62</v>
      </c>
      <c r="B67" s="31">
        <f>EDATE(入力!$B$6,A67-1)</f>
        <v>48092</v>
      </c>
      <c r="C67" s="32">
        <f t="shared" si="5"/>
        <v>30455345</v>
      </c>
      <c r="D67" s="32">
        <f t="shared" si="6"/>
        <v>0</v>
      </c>
      <c r="E67" s="33">
        <f>IF(AND(T66="",A67&lt;=S66),IF(A67&lt;入力!$B$11,入力!$B$10,入力!$B$12),0)</f>
        <v>2.5000000000000001E-2</v>
      </c>
      <c r="F67" s="32">
        <f t="shared" si="7"/>
        <v>63449</v>
      </c>
      <c r="G67" s="32">
        <f>ROUND(IF(NOT(AND(T66="",A67&lt;=S66)),0,IF(FALSE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),0)</f>
        <v>117478</v>
      </c>
      <c r="H67" s="32">
        <f t="shared" si="8"/>
        <v>117478</v>
      </c>
      <c r="I67" s="32">
        <f t="shared" si="9"/>
        <v>63449</v>
      </c>
      <c r="J67" s="32">
        <f t="shared" si="10"/>
        <v>0</v>
      </c>
      <c r="K67" s="32">
        <f t="shared" si="11"/>
        <v>0</v>
      </c>
      <c r="L67" s="32">
        <f t="shared" si="12"/>
        <v>54029</v>
      </c>
      <c r="M67" s="32">
        <f>IF(AND(AND(T66="",A67&lt;=S66),A67=入力!$B$15),ROUND(MIN(入力!$B$16,MAX(0,C67-L67)),0),0)</f>
        <v>0</v>
      </c>
      <c r="N67" s="32">
        <f t="shared" si="13"/>
        <v>30401316</v>
      </c>
      <c r="O67" s="32">
        <f t="shared" si="14"/>
        <v>1275192</v>
      </c>
      <c r="P67" s="34" t="str">
        <f>IF(NOT(AND(T66="",A67&lt;=S66)),"",IF(FALSE,"繰上返済後再計算","")&amp;IF(AND(入力!$B$13="有効",A67&gt;1,MOD(A67-1,60)=0),IF(FALSE,"・","")&amp;"5年見直し","")&amp;IF(AND(A67=入力!$B$11,A67&gt;1),IF(OR(FALSE,AND(入力!$B$13="有効",A67&gt;1,MOD(A67-1,60)=0)),"・","")&amp;"金利変更","")&amp;IF(AND(OR(AND(入力!$B$13="有効",A67&gt;1,MOD(A67-1,60)=0),AND(A67=入力!$B$11,A67&gt;1)),入力!$B$14="有効",IF(E67=0,ROUND(C67/MAX(1,S66-A67+1),0),ROUND(-PMT(E67/12,MAX(1,S66-A67+1),C67),0))&gt;ROUND(G66*1.25,0),NOT(FALSE)),"・上限適用",""))</f>
        <v/>
      </c>
      <c r="Q67" s="35" t="str">
        <f>IF(AND(T66="",A67&lt;=S66),入力!$B$13,"")</f>
        <v>有効</v>
      </c>
      <c r="R67" s="32" t="str">
        <f>IF(AND(AND(T66="",A67&lt;=S66),OR(AND(入力!$B$13="有効",A67&gt;1,MOD(A67-1,60)=0),AND(A67=入力!$B$11,A67&gt;1)),入力!$B$14="有効"),ROUND(G66*1.25,0),"")</f>
        <v/>
      </c>
      <c r="S67" s="36">
        <f>IF(A67&lt;&gt;入力!$B$15,S66,IF(K67&lt;&gt;0,S66,IF(G67&lt;=F67,S66,IF(M67&lt;=0,S66,IF(AND(N67&gt;0,E67&gt;0,G67&lt;=N67*E67/12),S66,IF(A67+IF(N67=0,0,IF(E67=0,ROUNDUP(N67/G67,0),ROUNDUP(NPER(E67/12,-G67,N67),0)))&lt;S66,A67+IF(N67=0,0,IF(E67=0,ROUNDUP(N67/G67,0),ROUNDUP(NPER(E67/12,-G67,N67),0))),S66))))))</f>
        <v>420</v>
      </c>
      <c r="T67" s="35" t="str">
        <f t="shared" si="15"/>
        <v/>
      </c>
      <c r="U67" s="3">
        <f t="shared" si="0"/>
        <v>0</v>
      </c>
      <c r="V67" s="3">
        <f t="shared" si="1"/>
        <v>0</v>
      </c>
      <c r="W67" s="3">
        <f t="shared" si="2"/>
        <v>0</v>
      </c>
      <c r="X67" s="3">
        <f t="shared" si="3"/>
        <v>0</v>
      </c>
      <c r="Y67" s="3">
        <f>0</f>
        <v>0</v>
      </c>
      <c r="Z67" s="3">
        <f t="shared" si="4"/>
        <v>0</v>
      </c>
      <c r="AA67">
        <f>ROUND(IF(FALSE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,0)</f>
        <v>117478</v>
      </c>
    </row>
    <row r="68" spans="1:27">
      <c r="A68" s="30">
        <f>63</f>
        <v>63</v>
      </c>
      <c r="B68" s="31">
        <f>EDATE(入力!$B$6,A68-1)</f>
        <v>48122</v>
      </c>
      <c r="C68" s="32">
        <f t="shared" si="5"/>
        <v>30401316</v>
      </c>
      <c r="D68" s="32">
        <f t="shared" si="6"/>
        <v>0</v>
      </c>
      <c r="E68" s="33">
        <f>IF(AND(T67="",A68&lt;=S67),IF(A68&lt;入力!$B$11,入力!$B$10,入力!$B$12),0)</f>
        <v>2.5000000000000001E-2</v>
      </c>
      <c r="F68" s="32">
        <f t="shared" si="7"/>
        <v>63336</v>
      </c>
      <c r="G68" s="32">
        <f>ROUND(IF(NOT(AND(T67="",A68&lt;=S67)),0,IF(FALSE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),0)</f>
        <v>117478</v>
      </c>
      <c r="H68" s="32">
        <f t="shared" si="8"/>
        <v>117478</v>
      </c>
      <c r="I68" s="32">
        <f t="shared" si="9"/>
        <v>63336</v>
      </c>
      <c r="J68" s="32">
        <f t="shared" si="10"/>
        <v>0</v>
      </c>
      <c r="K68" s="32">
        <f t="shared" si="11"/>
        <v>0</v>
      </c>
      <c r="L68" s="32">
        <f t="shared" si="12"/>
        <v>54142</v>
      </c>
      <c r="M68" s="32">
        <f>IF(AND(AND(T67="",A68&lt;=S67),A68=入力!$B$15),ROUND(MIN(入力!$B$16,MAX(0,C68-L68)),0),0)</f>
        <v>0</v>
      </c>
      <c r="N68" s="32">
        <f t="shared" si="13"/>
        <v>30347174</v>
      </c>
      <c r="O68" s="32">
        <f t="shared" si="14"/>
        <v>1338528</v>
      </c>
      <c r="P68" s="34" t="str">
        <f>IF(NOT(AND(T67="",A68&lt;=S67)),"",IF(FALSE,"繰上返済後再計算","")&amp;IF(AND(入力!$B$13="有効",A68&gt;1,MOD(A68-1,60)=0),IF(FALSE,"・","")&amp;"5年見直し","")&amp;IF(AND(A68=入力!$B$11,A68&gt;1),IF(OR(FALSE,AND(入力!$B$13="有効",A68&gt;1,MOD(A68-1,60)=0)),"・","")&amp;"金利変更","")&amp;IF(AND(OR(AND(入力!$B$13="有効",A68&gt;1,MOD(A68-1,60)=0),AND(A68=入力!$B$11,A68&gt;1)),入力!$B$14="有効",IF(E68=0,ROUND(C68/MAX(1,S67-A68+1),0),ROUND(-PMT(E68/12,MAX(1,S67-A68+1),C68),0))&gt;ROUND(G67*1.25,0),NOT(FALSE)),"・上限適用",""))</f>
        <v/>
      </c>
      <c r="Q68" s="35" t="str">
        <f>IF(AND(T67="",A68&lt;=S67),入力!$B$13,"")</f>
        <v>有効</v>
      </c>
      <c r="R68" s="32" t="str">
        <f>IF(AND(AND(T67="",A68&lt;=S67),OR(AND(入力!$B$13="有効",A68&gt;1,MOD(A68-1,60)=0),AND(A68=入力!$B$11,A68&gt;1)),入力!$B$14="有効"),ROUND(G67*1.25,0),"")</f>
        <v/>
      </c>
      <c r="S68" s="36">
        <f>IF(A68&lt;&gt;入力!$B$15,S67,IF(K68&lt;&gt;0,S67,IF(G68&lt;=F68,S67,IF(M68&lt;=0,S67,IF(AND(N68&gt;0,E68&gt;0,G68&lt;=N68*E68/12),S67,IF(A68+IF(N68=0,0,IF(E68=0,ROUNDUP(N68/G68,0),ROUNDUP(NPER(E68/12,-G68,N68),0)))&lt;S67,A68+IF(N68=0,0,IF(E68=0,ROUNDUP(N68/G68,0),ROUNDUP(NPER(E68/12,-G68,N68),0))),S67))))))</f>
        <v>420</v>
      </c>
      <c r="T68" s="35" t="str">
        <f t="shared" si="15"/>
        <v/>
      </c>
      <c r="U68" s="3">
        <f t="shared" si="0"/>
        <v>0</v>
      </c>
      <c r="V68" s="3">
        <f t="shared" si="1"/>
        <v>0</v>
      </c>
      <c r="W68" s="3">
        <f t="shared" si="2"/>
        <v>0</v>
      </c>
      <c r="X68" s="3">
        <f t="shared" si="3"/>
        <v>0</v>
      </c>
      <c r="Y68" s="3">
        <f>0</f>
        <v>0</v>
      </c>
      <c r="Z68" s="3">
        <f t="shared" si="4"/>
        <v>0</v>
      </c>
      <c r="AA68">
        <f>ROUND(IF(FALSE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,0)</f>
        <v>117478</v>
      </c>
    </row>
    <row r="69" spans="1:27">
      <c r="A69" s="30">
        <f>64</f>
        <v>64</v>
      </c>
      <c r="B69" s="31">
        <f>EDATE(入力!$B$6,A69-1)</f>
        <v>48153</v>
      </c>
      <c r="C69" s="32">
        <f t="shared" si="5"/>
        <v>30347174</v>
      </c>
      <c r="D69" s="32">
        <f t="shared" si="6"/>
        <v>0</v>
      </c>
      <c r="E69" s="33">
        <f>IF(AND(T68="",A69&lt;=S68),IF(A69&lt;入力!$B$11,入力!$B$10,入力!$B$12),0)</f>
        <v>2.5000000000000001E-2</v>
      </c>
      <c r="F69" s="32">
        <f t="shared" si="7"/>
        <v>63223</v>
      </c>
      <c r="G69" s="32">
        <f>ROUND(IF(NOT(AND(T68="",A69&lt;=S68)),0,IF(FALSE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),0)</f>
        <v>117478</v>
      </c>
      <c r="H69" s="32">
        <f t="shared" si="8"/>
        <v>117478</v>
      </c>
      <c r="I69" s="32">
        <f t="shared" si="9"/>
        <v>63223</v>
      </c>
      <c r="J69" s="32">
        <f t="shared" si="10"/>
        <v>0</v>
      </c>
      <c r="K69" s="32">
        <f t="shared" si="11"/>
        <v>0</v>
      </c>
      <c r="L69" s="32">
        <f t="shared" si="12"/>
        <v>54255</v>
      </c>
      <c r="M69" s="32">
        <f>IF(AND(AND(T68="",A69&lt;=S68),A69=入力!$B$15),ROUND(MIN(入力!$B$16,MAX(0,C69-L69)),0),0)</f>
        <v>0</v>
      </c>
      <c r="N69" s="32">
        <f t="shared" si="13"/>
        <v>30292919</v>
      </c>
      <c r="O69" s="32">
        <f t="shared" si="14"/>
        <v>1401751</v>
      </c>
      <c r="P69" s="34" t="str">
        <f>IF(NOT(AND(T68="",A69&lt;=S68)),"",IF(FALSE,"繰上返済後再計算","")&amp;IF(AND(入力!$B$13="有効",A69&gt;1,MOD(A69-1,60)=0),IF(FALSE,"・","")&amp;"5年見直し","")&amp;IF(AND(A69=入力!$B$11,A69&gt;1),IF(OR(FALSE,AND(入力!$B$13="有効",A69&gt;1,MOD(A69-1,60)=0)),"・","")&amp;"金利変更","")&amp;IF(AND(OR(AND(入力!$B$13="有効",A69&gt;1,MOD(A69-1,60)=0),AND(A69=入力!$B$11,A69&gt;1)),入力!$B$14="有効",IF(E69=0,ROUND(C69/MAX(1,S68-A69+1),0),ROUND(-PMT(E69/12,MAX(1,S68-A69+1),C69),0))&gt;ROUND(G68*1.25,0),NOT(FALSE)),"・上限適用",""))</f>
        <v/>
      </c>
      <c r="Q69" s="35" t="str">
        <f>IF(AND(T68="",A69&lt;=S68),入力!$B$13,"")</f>
        <v>有効</v>
      </c>
      <c r="R69" s="32" t="str">
        <f>IF(AND(AND(T68="",A69&lt;=S68),OR(AND(入力!$B$13="有効",A69&gt;1,MOD(A69-1,60)=0),AND(A69=入力!$B$11,A69&gt;1)),入力!$B$14="有効"),ROUND(G68*1.25,0),"")</f>
        <v/>
      </c>
      <c r="S69" s="36">
        <f>IF(A69&lt;&gt;入力!$B$15,S68,IF(K69&lt;&gt;0,S68,IF(G69&lt;=F69,S68,IF(M69&lt;=0,S68,IF(AND(N69&gt;0,E69&gt;0,G69&lt;=N69*E69/12),S68,IF(A69+IF(N69=0,0,IF(E69=0,ROUNDUP(N69/G69,0),ROUNDUP(NPER(E69/12,-G69,N69),0)))&lt;S68,A69+IF(N69=0,0,IF(E69=0,ROUNDUP(N69/G69,0),ROUNDUP(NPER(E69/12,-G69,N69),0))),S68))))))</f>
        <v>420</v>
      </c>
      <c r="T69" s="35" t="str">
        <f t="shared" si="15"/>
        <v/>
      </c>
      <c r="U69" s="3">
        <f t="shared" si="0"/>
        <v>0</v>
      </c>
      <c r="V69" s="3">
        <f t="shared" si="1"/>
        <v>0</v>
      </c>
      <c r="W69" s="3">
        <f t="shared" si="2"/>
        <v>0</v>
      </c>
      <c r="X69" s="3">
        <f t="shared" si="3"/>
        <v>0</v>
      </c>
      <c r="Y69" s="3">
        <f>0</f>
        <v>0</v>
      </c>
      <c r="Z69" s="3">
        <f t="shared" si="4"/>
        <v>0</v>
      </c>
      <c r="AA69">
        <f>ROUND(IF(FALSE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,0)</f>
        <v>117478</v>
      </c>
    </row>
    <row r="70" spans="1:27">
      <c r="A70" s="30">
        <f>65</f>
        <v>65</v>
      </c>
      <c r="B70" s="31">
        <f>EDATE(入力!$B$6,A70-1)</f>
        <v>48183</v>
      </c>
      <c r="C70" s="32">
        <f t="shared" si="5"/>
        <v>30292919</v>
      </c>
      <c r="D70" s="32">
        <f t="shared" si="6"/>
        <v>0</v>
      </c>
      <c r="E70" s="33">
        <f>IF(AND(T69="",A70&lt;=S69),IF(A70&lt;入力!$B$11,入力!$B$10,入力!$B$12),0)</f>
        <v>2.5000000000000001E-2</v>
      </c>
      <c r="F70" s="32">
        <f t="shared" si="7"/>
        <v>63110</v>
      </c>
      <c r="G70" s="32">
        <f>ROUND(IF(NOT(AND(T69="",A70&lt;=S69)),0,IF(FALSE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),0)</f>
        <v>117478</v>
      </c>
      <c r="H70" s="32">
        <f t="shared" si="8"/>
        <v>117478</v>
      </c>
      <c r="I70" s="32">
        <f t="shared" si="9"/>
        <v>63110</v>
      </c>
      <c r="J70" s="32">
        <f t="shared" si="10"/>
        <v>0</v>
      </c>
      <c r="K70" s="32">
        <f t="shared" si="11"/>
        <v>0</v>
      </c>
      <c r="L70" s="32">
        <f t="shared" si="12"/>
        <v>54368</v>
      </c>
      <c r="M70" s="32">
        <f>IF(AND(AND(T69="",A70&lt;=S69),A70=入力!$B$15),ROUND(MIN(入力!$B$16,MAX(0,C70-L70)),0),0)</f>
        <v>0</v>
      </c>
      <c r="N70" s="32">
        <f t="shared" si="13"/>
        <v>30238551</v>
      </c>
      <c r="O70" s="32">
        <f t="shared" si="14"/>
        <v>1464861</v>
      </c>
      <c r="P70" s="34" t="str">
        <f>IF(NOT(AND(T69="",A70&lt;=S69)),"",IF(FALSE,"繰上返済後再計算","")&amp;IF(AND(入力!$B$13="有効",A70&gt;1,MOD(A70-1,60)=0),IF(FALSE,"・","")&amp;"5年見直し","")&amp;IF(AND(A70=入力!$B$11,A70&gt;1),IF(OR(FALSE,AND(入力!$B$13="有効",A70&gt;1,MOD(A70-1,60)=0)),"・","")&amp;"金利変更","")&amp;IF(AND(OR(AND(入力!$B$13="有効",A70&gt;1,MOD(A70-1,60)=0),AND(A70=入力!$B$11,A70&gt;1)),入力!$B$14="有効",IF(E70=0,ROUND(C70/MAX(1,S69-A70+1),0),ROUND(-PMT(E70/12,MAX(1,S69-A70+1),C70),0))&gt;ROUND(G69*1.25,0),NOT(FALSE)),"・上限適用",""))</f>
        <v/>
      </c>
      <c r="Q70" s="35" t="str">
        <f>IF(AND(T69="",A70&lt;=S69),入力!$B$13,"")</f>
        <v>有効</v>
      </c>
      <c r="R70" s="32" t="str">
        <f>IF(AND(AND(T69="",A70&lt;=S69),OR(AND(入力!$B$13="有効",A70&gt;1,MOD(A70-1,60)=0),AND(A70=入力!$B$11,A70&gt;1)),入力!$B$14="有効"),ROUND(G69*1.25,0),"")</f>
        <v/>
      </c>
      <c r="S70" s="36">
        <f>IF(A70&lt;&gt;入力!$B$15,S69,IF(K70&lt;&gt;0,S69,IF(G70&lt;=F70,S69,IF(M70&lt;=0,S69,IF(AND(N70&gt;0,E70&gt;0,G70&lt;=N70*E70/12),S69,IF(A70+IF(N70=0,0,IF(E70=0,ROUNDUP(N70/G70,0),ROUNDUP(NPER(E70/12,-G70,N70),0)))&lt;S69,A70+IF(N70=0,0,IF(E70=0,ROUNDUP(N70/G70,0),ROUNDUP(NPER(E70/12,-G70,N70),0))),S69))))))</f>
        <v>420</v>
      </c>
      <c r="T70" s="35" t="str">
        <f t="shared" si="15"/>
        <v/>
      </c>
      <c r="U70" s="3">
        <f t="shared" ref="U70:U133" si="16">ABS(I70-MIN(H70,D70+F70))</f>
        <v>0</v>
      </c>
      <c r="V70" s="3">
        <f t="shared" ref="V70:V133" si="17">ABS(L70-(H70-I70))</f>
        <v>0</v>
      </c>
      <c r="W70" s="3">
        <f t="shared" ref="W70:W133" si="18">ABS(K70-(D70+J70))</f>
        <v>0</v>
      </c>
      <c r="X70" s="3">
        <f t="shared" ref="X70:X133" si="19">ABS(F70-ROUND(F70,0))+ABS(G70-ROUND(G70,0))+ABS(H70-ROUND(H70,0))+ABS(I70-ROUND(I70,0))+ABS(J70-ROUND(J70,0))+ABS(K70-ROUND(K70,0))+ABS(L70-ROUND(L70,0))+ABS(M70-ROUND(M70,0))+ABS(N70-ROUND(N70,0))+ABS(O70-ROUND(O70,0))</f>
        <v>0</v>
      </c>
      <c r="Y70" s="3">
        <f>0</f>
        <v>0</v>
      </c>
      <c r="Z70" s="3">
        <f t="shared" ref="Z70:Z133" si="20">SUM(--ISERROR(A70),--ISERROR(B70),--ISERROR(C70),--ISERROR(D70),--ISERROR(E70),--ISERROR(F70),--ISERROR(G70),--ISERROR(H70),--ISERROR(I70),--ISERROR(J70),--ISERROR(K70),--ISERROR(L70),--ISERROR(M70),--ISERROR(N70),--ISERROR(O70),--ISERROR(P70),--ISERROR(Q70),--ISERROR(R70),--ISERROR(S70),--ISERROR(T70))</f>
        <v>0</v>
      </c>
      <c r="AA70">
        <f>ROUND(IF(FALSE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,0)</f>
        <v>117478</v>
      </c>
    </row>
    <row r="71" spans="1:27">
      <c r="A71" s="30">
        <f>66</f>
        <v>66</v>
      </c>
      <c r="B71" s="31">
        <f>EDATE(入力!$B$6,A71-1)</f>
        <v>48214</v>
      </c>
      <c r="C71" s="32">
        <f t="shared" ref="C71:C134" si="21">IF(AND(T70="",A71&lt;=S70),N70,0)</f>
        <v>30238551</v>
      </c>
      <c r="D71" s="32">
        <f t="shared" ref="D71:D134" si="22">IF(AND(T70="",A71&lt;=S70),K70,0)</f>
        <v>0</v>
      </c>
      <c r="E71" s="33">
        <f>IF(AND(T70="",A71&lt;=S70),IF(A71&lt;入力!$B$11,入力!$B$10,入力!$B$12),0)</f>
        <v>2.5000000000000001E-2</v>
      </c>
      <c r="F71" s="32">
        <f t="shared" ref="F71:F134" si="23">IF(AND(T70="",A71&lt;=S70),ROUND(C71*E71/12,0),0)</f>
        <v>62997</v>
      </c>
      <c r="G71" s="32">
        <f>ROUND(IF(NOT(AND(T70="",A71&lt;=S70)),0,IF(FALSE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),0)</f>
        <v>117478</v>
      </c>
      <c r="H71" s="32">
        <f t="shared" ref="H71:H134" si="24">IF(AND(T70="",A71&lt;=S70),ROUND(MIN(G71,C71+D71+F71),0),0)</f>
        <v>117478</v>
      </c>
      <c r="I71" s="32">
        <f t="shared" ref="I71:I134" si="25">IF(AND(T70="",A71&lt;=S70),ROUND(MIN(H71,D71+F71),0),0)</f>
        <v>62997</v>
      </c>
      <c r="J71" s="32">
        <f t="shared" ref="J71:J134" si="26">IF(AND(T70="",A71&lt;=S70),ROUND(F71-I71,0),0)</f>
        <v>0</v>
      </c>
      <c r="K71" s="32">
        <f t="shared" ref="K71:K134" si="27">IF(AND(T70="",A71&lt;=S70),ROUND(D71+J71,0),0)</f>
        <v>0</v>
      </c>
      <c r="L71" s="32">
        <f t="shared" ref="L71:L134" si="28">IF(AND(T70="",A71&lt;=S70),ROUND(H71-I71,0),0)</f>
        <v>54481</v>
      </c>
      <c r="M71" s="32">
        <f>IF(AND(AND(T70="",A71&lt;=S70),A71=入力!$B$15),ROUND(MIN(入力!$B$16,MAX(0,C71-L71)),0),0)</f>
        <v>0</v>
      </c>
      <c r="N71" s="32">
        <f t="shared" ref="N71:N134" si="29">IF(AND(T70="",A71&lt;=S70),ROUND(MAX(0,C71-L71-M71),0),0)</f>
        <v>30184070</v>
      </c>
      <c r="O71" s="32">
        <f t="shared" ref="O71:O134" si="30">IF(AND(T70="",A71&lt;=S70),ROUND(O70+F71,0),O70)</f>
        <v>1527858</v>
      </c>
      <c r="P71" s="34" t="str">
        <f>IF(NOT(AND(T70="",A71&lt;=S70)),"",IF(FALSE,"繰上返済後再計算","")&amp;IF(AND(入力!$B$13="有効",A71&gt;1,MOD(A71-1,60)=0),IF(FALSE,"・","")&amp;"5年見直し","")&amp;IF(AND(A71=入力!$B$11,A71&gt;1),IF(OR(FALSE,AND(入力!$B$13="有効",A71&gt;1,MOD(A71-1,60)=0)),"・","")&amp;"金利変更","")&amp;IF(AND(OR(AND(入力!$B$13="有効",A71&gt;1,MOD(A71-1,60)=0),AND(A71=入力!$B$11,A71&gt;1)),入力!$B$14="有効",IF(E71=0,ROUND(C71/MAX(1,S70-A71+1),0),ROUND(-PMT(E71/12,MAX(1,S70-A71+1),C71),0))&gt;ROUND(G70*1.25,0),NOT(FALSE)),"・上限適用",""))</f>
        <v/>
      </c>
      <c r="Q71" s="35" t="str">
        <f>IF(AND(T70="",A71&lt;=S70),入力!$B$13,"")</f>
        <v>有効</v>
      </c>
      <c r="R71" s="32" t="str">
        <f>IF(AND(AND(T70="",A71&lt;=S70),OR(AND(入力!$B$13="有効",A71&gt;1,MOD(A71-1,60)=0),AND(A71=入力!$B$11,A71&gt;1)),入力!$B$14="有効"),ROUND(G70*1.25,0),"")</f>
        <v/>
      </c>
      <c r="S71" s="36">
        <f>IF(A71&lt;&gt;入力!$B$15,S70,IF(K71&lt;&gt;0,S70,IF(G71&lt;=F71,S70,IF(M71&lt;=0,S70,IF(AND(N71&gt;0,E71&gt;0,G71&lt;=N71*E71/12),S70,IF(A71+IF(N71=0,0,IF(E71=0,ROUNDUP(N71/G71,0),ROUNDUP(NPER(E71/12,-G71,N71),0)))&lt;S70,A71+IF(N71=0,0,IF(E71=0,ROUNDUP(N71/G71,0),ROUNDUP(NPER(E71/12,-G71,N71),0))),S70))))))</f>
        <v>420</v>
      </c>
      <c r="T71" s="35" t="str">
        <f t="shared" ref="T71:T134" si="31">IF(NOT(AND(T70="",A71&lt;=S70)),"",IF(AND(N71=0,K71=0),"完済",IF(A71=S71,"最終回清算","")))</f>
        <v/>
      </c>
      <c r="U71" s="3">
        <f t="shared" si="16"/>
        <v>0</v>
      </c>
      <c r="V71" s="3">
        <f t="shared" si="17"/>
        <v>0</v>
      </c>
      <c r="W71" s="3">
        <f t="shared" si="18"/>
        <v>0</v>
      </c>
      <c r="X71" s="3">
        <f t="shared" si="19"/>
        <v>0</v>
      </c>
      <c r="Y71" s="3">
        <f>0</f>
        <v>0</v>
      </c>
      <c r="Z71" s="3">
        <f t="shared" si="20"/>
        <v>0</v>
      </c>
      <c r="AA71">
        <f>ROUND(IF(FALSE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,0)</f>
        <v>117478</v>
      </c>
    </row>
    <row r="72" spans="1:27">
      <c r="A72" s="30">
        <f>67</f>
        <v>67</v>
      </c>
      <c r="B72" s="31">
        <f>EDATE(入力!$B$6,A72-1)</f>
        <v>48245</v>
      </c>
      <c r="C72" s="32">
        <f t="shared" si="21"/>
        <v>30184070</v>
      </c>
      <c r="D72" s="32">
        <f t="shared" si="22"/>
        <v>0</v>
      </c>
      <c r="E72" s="33">
        <f>IF(AND(T71="",A72&lt;=S71),IF(A72&lt;入力!$B$11,入力!$B$10,入力!$B$12),0)</f>
        <v>2.5000000000000001E-2</v>
      </c>
      <c r="F72" s="32">
        <f t="shared" si="23"/>
        <v>62883</v>
      </c>
      <c r="G72" s="32">
        <f>ROUND(IF(NOT(AND(T71="",A72&lt;=S71)),0,IF(FALSE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),0)</f>
        <v>117478</v>
      </c>
      <c r="H72" s="32">
        <f t="shared" si="24"/>
        <v>117478</v>
      </c>
      <c r="I72" s="32">
        <f t="shared" si="25"/>
        <v>62883</v>
      </c>
      <c r="J72" s="32">
        <f t="shared" si="26"/>
        <v>0</v>
      </c>
      <c r="K72" s="32">
        <f t="shared" si="27"/>
        <v>0</v>
      </c>
      <c r="L72" s="32">
        <f t="shared" si="28"/>
        <v>54595</v>
      </c>
      <c r="M72" s="32">
        <f>IF(AND(AND(T71="",A72&lt;=S71),A72=入力!$B$15),ROUND(MIN(入力!$B$16,MAX(0,C72-L72)),0),0)</f>
        <v>0</v>
      </c>
      <c r="N72" s="32">
        <f t="shared" si="29"/>
        <v>30129475</v>
      </c>
      <c r="O72" s="32">
        <f t="shared" si="30"/>
        <v>1590741</v>
      </c>
      <c r="P72" s="34" t="str">
        <f>IF(NOT(AND(T71="",A72&lt;=S71)),"",IF(FALSE,"繰上返済後再計算","")&amp;IF(AND(入力!$B$13="有効",A72&gt;1,MOD(A72-1,60)=0),IF(FALSE,"・","")&amp;"5年見直し","")&amp;IF(AND(A72=入力!$B$11,A72&gt;1),IF(OR(FALSE,AND(入力!$B$13="有効",A72&gt;1,MOD(A72-1,60)=0)),"・","")&amp;"金利変更","")&amp;IF(AND(OR(AND(入力!$B$13="有効",A72&gt;1,MOD(A72-1,60)=0),AND(A72=入力!$B$11,A72&gt;1)),入力!$B$14="有効",IF(E72=0,ROUND(C72/MAX(1,S71-A72+1),0),ROUND(-PMT(E72/12,MAX(1,S71-A72+1),C72),0))&gt;ROUND(G71*1.25,0),NOT(FALSE)),"・上限適用",""))</f>
        <v/>
      </c>
      <c r="Q72" s="35" t="str">
        <f>IF(AND(T71="",A72&lt;=S71),入力!$B$13,"")</f>
        <v>有効</v>
      </c>
      <c r="R72" s="32" t="str">
        <f>IF(AND(AND(T71="",A72&lt;=S71),OR(AND(入力!$B$13="有効",A72&gt;1,MOD(A72-1,60)=0),AND(A72=入力!$B$11,A72&gt;1)),入力!$B$14="有効"),ROUND(G71*1.25,0),"")</f>
        <v/>
      </c>
      <c r="S72" s="36">
        <f>IF(A72&lt;&gt;入力!$B$15,S71,IF(K72&lt;&gt;0,S71,IF(G72&lt;=F72,S71,IF(M72&lt;=0,S71,IF(AND(N72&gt;0,E72&gt;0,G72&lt;=N72*E72/12),S71,IF(A72+IF(N72=0,0,IF(E72=0,ROUNDUP(N72/G72,0),ROUNDUP(NPER(E72/12,-G72,N72),0)))&lt;S71,A72+IF(N72=0,0,IF(E72=0,ROUNDUP(N72/G72,0),ROUNDUP(NPER(E72/12,-G72,N72),0))),S71))))))</f>
        <v>420</v>
      </c>
      <c r="T72" s="35" t="str">
        <f t="shared" si="31"/>
        <v/>
      </c>
      <c r="U72" s="3">
        <f t="shared" si="16"/>
        <v>0</v>
      </c>
      <c r="V72" s="3">
        <f t="shared" si="17"/>
        <v>0</v>
      </c>
      <c r="W72" s="3">
        <f t="shared" si="18"/>
        <v>0</v>
      </c>
      <c r="X72" s="3">
        <f t="shared" si="19"/>
        <v>0</v>
      </c>
      <c r="Y72" s="3">
        <f>0</f>
        <v>0</v>
      </c>
      <c r="Z72" s="3">
        <f t="shared" si="20"/>
        <v>0</v>
      </c>
      <c r="AA72">
        <f>ROUND(IF(FALSE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,0)</f>
        <v>117478</v>
      </c>
    </row>
    <row r="73" spans="1:27">
      <c r="A73" s="30">
        <f>68</f>
        <v>68</v>
      </c>
      <c r="B73" s="31">
        <f>EDATE(入力!$B$6,A73-1)</f>
        <v>48274</v>
      </c>
      <c r="C73" s="32">
        <f t="shared" si="21"/>
        <v>30129475</v>
      </c>
      <c r="D73" s="32">
        <f t="shared" si="22"/>
        <v>0</v>
      </c>
      <c r="E73" s="33">
        <f>IF(AND(T72="",A73&lt;=S72),IF(A73&lt;入力!$B$11,入力!$B$10,入力!$B$12),0)</f>
        <v>2.5000000000000001E-2</v>
      </c>
      <c r="F73" s="32">
        <f t="shared" si="23"/>
        <v>62770</v>
      </c>
      <c r="G73" s="32">
        <f>ROUND(IF(NOT(AND(T72="",A73&lt;=S72)),0,IF(FALSE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),0)</f>
        <v>117478</v>
      </c>
      <c r="H73" s="32">
        <f t="shared" si="24"/>
        <v>117478</v>
      </c>
      <c r="I73" s="32">
        <f t="shared" si="25"/>
        <v>62770</v>
      </c>
      <c r="J73" s="32">
        <f t="shared" si="26"/>
        <v>0</v>
      </c>
      <c r="K73" s="32">
        <f t="shared" si="27"/>
        <v>0</v>
      </c>
      <c r="L73" s="32">
        <f t="shared" si="28"/>
        <v>54708</v>
      </c>
      <c r="M73" s="32">
        <f>IF(AND(AND(T72="",A73&lt;=S72),A73=入力!$B$15),ROUND(MIN(入力!$B$16,MAX(0,C73-L73)),0),0)</f>
        <v>0</v>
      </c>
      <c r="N73" s="32">
        <f t="shared" si="29"/>
        <v>30074767</v>
      </c>
      <c r="O73" s="32">
        <f t="shared" si="30"/>
        <v>1653511</v>
      </c>
      <c r="P73" s="34" t="str">
        <f>IF(NOT(AND(T72="",A73&lt;=S72)),"",IF(FALSE,"繰上返済後再計算","")&amp;IF(AND(入力!$B$13="有効",A73&gt;1,MOD(A73-1,60)=0),IF(FALSE,"・","")&amp;"5年見直し","")&amp;IF(AND(A73=入力!$B$11,A73&gt;1),IF(OR(FALSE,AND(入力!$B$13="有効",A73&gt;1,MOD(A73-1,60)=0)),"・","")&amp;"金利変更","")&amp;IF(AND(OR(AND(入力!$B$13="有効",A73&gt;1,MOD(A73-1,60)=0),AND(A73=入力!$B$11,A73&gt;1)),入力!$B$14="有効",IF(E73=0,ROUND(C73/MAX(1,S72-A73+1),0),ROUND(-PMT(E73/12,MAX(1,S72-A73+1),C73),0))&gt;ROUND(G72*1.25,0),NOT(FALSE)),"・上限適用",""))</f>
        <v/>
      </c>
      <c r="Q73" s="35" t="str">
        <f>IF(AND(T72="",A73&lt;=S72),入力!$B$13,"")</f>
        <v>有効</v>
      </c>
      <c r="R73" s="32" t="str">
        <f>IF(AND(AND(T72="",A73&lt;=S72),OR(AND(入力!$B$13="有効",A73&gt;1,MOD(A73-1,60)=0),AND(A73=入力!$B$11,A73&gt;1)),入力!$B$14="有効"),ROUND(G72*1.25,0),"")</f>
        <v/>
      </c>
      <c r="S73" s="36">
        <f>IF(A73&lt;&gt;入力!$B$15,S72,IF(K73&lt;&gt;0,S72,IF(G73&lt;=F73,S72,IF(M73&lt;=0,S72,IF(AND(N73&gt;0,E73&gt;0,G73&lt;=N73*E73/12),S72,IF(A73+IF(N73=0,0,IF(E73=0,ROUNDUP(N73/G73,0),ROUNDUP(NPER(E73/12,-G73,N73),0)))&lt;S72,A73+IF(N73=0,0,IF(E73=0,ROUNDUP(N73/G73,0),ROUNDUP(NPER(E73/12,-G73,N73),0))),S72))))))</f>
        <v>420</v>
      </c>
      <c r="T73" s="35" t="str">
        <f t="shared" si="31"/>
        <v/>
      </c>
      <c r="U73" s="3">
        <f t="shared" si="16"/>
        <v>0</v>
      </c>
      <c r="V73" s="3">
        <f t="shared" si="17"/>
        <v>0</v>
      </c>
      <c r="W73" s="3">
        <f t="shared" si="18"/>
        <v>0</v>
      </c>
      <c r="X73" s="3">
        <f t="shared" si="19"/>
        <v>0</v>
      </c>
      <c r="Y73" s="3">
        <f>0</f>
        <v>0</v>
      </c>
      <c r="Z73" s="3">
        <f t="shared" si="20"/>
        <v>0</v>
      </c>
      <c r="AA73">
        <f>ROUND(IF(FALSE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,0)</f>
        <v>117478</v>
      </c>
    </row>
    <row r="74" spans="1:27">
      <c r="A74" s="30">
        <f>69</f>
        <v>69</v>
      </c>
      <c r="B74" s="31">
        <f>EDATE(入力!$B$6,A74-1)</f>
        <v>48305</v>
      </c>
      <c r="C74" s="32">
        <f t="shared" si="21"/>
        <v>30074767</v>
      </c>
      <c r="D74" s="32">
        <f t="shared" si="22"/>
        <v>0</v>
      </c>
      <c r="E74" s="33">
        <f>IF(AND(T73="",A74&lt;=S73),IF(A74&lt;入力!$B$11,入力!$B$10,入力!$B$12),0)</f>
        <v>2.5000000000000001E-2</v>
      </c>
      <c r="F74" s="32">
        <f t="shared" si="23"/>
        <v>62656</v>
      </c>
      <c r="G74" s="32">
        <f>ROUND(IF(NOT(AND(T73="",A74&lt;=S73)),0,IF(FALSE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),0)</f>
        <v>117478</v>
      </c>
      <c r="H74" s="32">
        <f t="shared" si="24"/>
        <v>117478</v>
      </c>
      <c r="I74" s="32">
        <f t="shared" si="25"/>
        <v>62656</v>
      </c>
      <c r="J74" s="32">
        <f t="shared" si="26"/>
        <v>0</v>
      </c>
      <c r="K74" s="32">
        <f t="shared" si="27"/>
        <v>0</v>
      </c>
      <c r="L74" s="32">
        <f t="shared" si="28"/>
        <v>54822</v>
      </c>
      <c r="M74" s="32">
        <f>IF(AND(AND(T73="",A74&lt;=S73),A74=入力!$B$15),ROUND(MIN(入力!$B$16,MAX(0,C74-L74)),0),0)</f>
        <v>0</v>
      </c>
      <c r="N74" s="32">
        <f t="shared" si="29"/>
        <v>30019945</v>
      </c>
      <c r="O74" s="32">
        <f t="shared" si="30"/>
        <v>1716167</v>
      </c>
      <c r="P74" s="34" t="str">
        <f>IF(NOT(AND(T73="",A74&lt;=S73)),"",IF(FALSE,"繰上返済後再計算","")&amp;IF(AND(入力!$B$13="有効",A74&gt;1,MOD(A74-1,60)=0),IF(FALSE,"・","")&amp;"5年見直し","")&amp;IF(AND(A74=入力!$B$11,A74&gt;1),IF(OR(FALSE,AND(入力!$B$13="有効",A74&gt;1,MOD(A74-1,60)=0)),"・","")&amp;"金利変更","")&amp;IF(AND(OR(AND(入力!$B$13="有効",A74&gt;1,MOD(A74-1,60)=0),AND(A74=入力!$B$11,A74&gt;1)),入力!$B$14="有効",IF(E74=0,ROUND(C74/MAX(1,S73-A74+1),0),ROUND(-PMT(E74/12,MAX(1,S73-A74+1),C74),0))&gt;ROUND(G73*1.25,0),NOT(FALSE)),"・上限適用",""))</f>
        <v/>
      </c>
      <c r="Q74" s="35" t="str">
        <f>IF(AND(T73="",A74&lt;=S73),入力!$B$13,"")</f>
        <v>有効</v>
      </c>
      <c r="R74" s="32" t="str">
        <f>IF(AND(AND(T73="",A74&lt;=S73),OR(AND(入力!$B$13="有効",A74&gt;1,MOD(A74-1,60)=0),AND(A74=入力!$B$11,A74&gt;1)),入力!$B$14="有効"),ROUND(G73*1.25,0),"")</f>
        <v/>
      </c>
      <c r="S74" s="36">
        <f>IF(A74&lt;&gt;入力!$B$15,S73,IF(K74&lt;&gt;0,S73,IF(G74&lt;=F74,S73,IF(M74&lt;=0,S73,IF(AND(N74&gt;0,E74&gt;0,G74&lt;=N74*E74/12),S73,IF(A74+IF(N74=0,0,IF(E74=0,ROUNDUP(N74/G74,0),ROUNDUP(NPER(E74/12,-G74,N74),0)))&lt;S73,A74+IF(N74=0,0,IF(E74=0,ROUNDUP(N74/G74,0),ROUNDUP(NPER(E74/12,-G74,N74),0))),S73))))))</f>
        <v>420</v>
      </c>
      <c r="T74" s="35" t="str">
        <f t="shared" si="31"/>
        <v/>
      </c>
      <c r="U74" s="3">
        <f t="shared" si="16"/>
        <v>0</v>
      </c>
      <c r="V74" s="3">
        <f t="shared" si="17"/>
        <v>0</v>
      </c>
      <c r="W74" s="3">
        <f t="shared" si="18"/>
        <v>0</v>
      </c>
      <c r="X74" s="3">
        <f t="shared" si="19"/>
        <v>0</v>
      </c>
      <c r="Y74" s="3">
        <f>0</f>
        <v>0</v>
      </c>
      <c r="Z74" s="3">
        <f t="shared" si="20"/>
        <v>0</v>
      </c>
      <c r="AA74">
        <f>ROUND(IF(FALSE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,0)</f>
        <v>117478</v>
      </c>
    </row>
    <row r="75" spans="1:27">
      <c r="A75" s="30">
        <f>70</f>
        <v>70</v>
      </c>
      <c r="B75" s="31">
        <f>EDATE(入力!$B$6,A75-1)</f>
        <v>48335</v>
      </c>
      <c r="C75" s="32">
        <f t="shared" si="21"/>
        <v>30019945</v>
      </c>
      <c r="D75" s="32">
        <f t="shared" si="22"/>
        <v>0</v>
      </c>
      <c r="E75" s="33">
        <f>IF(AND(T74="",A75&lt;=S74),IF(A75&lt;入力!$B$11,入力!$B$10,入力!$B$12),0)</f>
        <v>2.5000000000000001E-2</v>
      </c>
      <c r="F75" s="32">
        <f t="shared" si="23"/>
        <v>62542</v>
      </c>
      <c r="G75" s="32">
        <f>ROUND(IF(NOT(AND(T74="",A75&lt;=S74)),0,IF(FALSE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),0)</f>
        <v>117478</v>
      </c>
      <c r="H75" s="32">
        <f t="shared" si="24"/>
        <v>117478</v>
      </c>
      <c r="I75" s="32">
        <f t="shared" si="25"/>
        <v>62542</v>
      </c>
      <c r="J75" s="32">
        <f t="shared" si="26"/>
        <v>0</v>
      </c>
      <c r="K75" s="32">
        <f t="shared" si="27"/>
        <v>0</v>
      </c>
      <c r="L75" s="32">
        <f t="shared" si="28"/>
        <v>54936</v>
      </c>
      <c r="M75" s="32">
        <f>IF(AND(AND(T74="",A75&lt;=S74),A75=入力!$B$15),ROUND(MIN(入力!$B$16,MAX(0,C75-L75)),0),0)</f>
        <v>0</v>
      </c>
      <c r="N75" s="32">
        <f t="shared" si="29"/>
        <v>29965009</v>
      </c>
      <c r="O75" s="32">
        <f t="shared" si="30"/>
        <v>1778709</v>
      </c>
      <c r="P75" s="34" t="str">
        <f>IF(NOT(AND(T74="",A75&lt;=S74)),"",IF(FALSE,"繰上返済後再計算","")&amp;IF(AND(入力!$B$13="有効",A75&gt;1,MOD(A75-1,60)=0),IF(FALSE,"・","")&amp;"5年見直し","")&amp;IF(AND(A75=入力!$B$11,A75&gt;1),IF(OR(FALSE,AND(入力!$B$13="有効",A75&gt;1,MOD(A75-1,60)=0)),"・","")&amp;"金利変更","")&amp;IF(AND(OR(AND(入力!$B$13="有効",A75&gt;1,MOD(A75-1,60)=0),AND(A75=入力!$B$11,A75&gt;1)),入力!$B$14="有効",IF(E75=0,ROUND(C75/MAX(1,S74-A75+1),0),ROUND(-PMT(E75/12,MAX(1,S74-A75+1),C75),0))&gt;ROUND(G74*1.25,0),NOT(FALSE)),"・上限適用",""))</f>
        <v/>
      </c>
      <c r="Q75" s="35" t="str">
        <f>IF(AND(T74="",A75&lt;=S74),入力!$B$13,"")</f>
        <v>有効</v>
      </c>
      <c r="R75" s="32" t="str">
        <f>IF(AND(AND(T74="",A75&lt;=S74),OR(AND(入力!$B$13="有効",A75&gt;1,MOD(A75-1,60)=0),AND(A75=入力!$B$11,A75&gt;1)),入力!$B$14="有効"),ROUND(G74*1.25,0),"")</f>
        <v/>
      </c>
      <c r="S75" s="36">
        <f>IF(A75&lt;&gt;入力!$B$15,S74,IF(K75&lt;&gt;0,S74,IF(G75&lt;=F75,S74,IF(M75&lt;=0,S74,IF(AND(N75&gt;0,E75&gt;0,G75&lt;=N75*E75/12),S74,IF(A75+IF(N75=0,0,IF(E75=0,ROUNDUP(N75/G75,0),ROUNDUP(NPER(E75/12,-G75,N75),0)))&lt;S74,A75+IF(N75=0,0,IF(E75=0,ROUNDUP(N75/G75,0),ROUNDUP(NPER(E75/12,-G75,N75),0))),S74))))))</f>
        <v>420</v>
      </c>
      <c r="T75" s="35" t="str">
        <f t="shared" si="31"/>
        <v/>
      </c>
      <c r="U75" s="3">
        <f t="shared" si="16"/>
        <v>0</v>
      </c>
      <c r="V75" s="3">
        <f t="shared" si="17"/>
        <v>0</v>
      </c>
      <c r="W75" s="3">
        <f t="shared" si="18"/>
        <v>0</v>
      </c>
      <c r="X75" s="3">
        <f t="shared" si="19"/>
        <v>0</v>
      </c>
      <c r="Y75" s="3">
        <f>0</f>
        <v>0</v>
      </c>
      <c r="Z75" s="3">
        <f t="shared" si="20"/>
        <v>0</v>
      </c>
      <c r="AA75">
        <f>ROUND(IF(FALSE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,0)</f>
        <v>117478</v>
      </c>
    </row>
    <row r="76" spans="1:27">
      <c r="A76" s="30">
        <f>71</f>
        <v>71</v>
      </c>
      <c r="B76" s="31">
        <f>EDATE(入力!$B$6,A76-1)</f>
        <v>48366</v>
      </c>
      <c r="C76" s="32">
        <f t="shared" si="21"/>
        <v>29965009</v>
      </c>
      <c r="D76" s="32">
        <f t="shared" si="22"/>
        <v>0</v>
      </c>
      <c r="E76" s="33">
        <f>IF(AND(T75="",A76&lt;=S75),IF(A76&lt;入力!$B$11,入力!$B$10,入力!$B$12),0)</f>
        <v>2.5000000000000001E-2</v>
      </c>
      <c r="F76" s="32">
        <f t="shared" si="23"/>
        <v>62427</v>
      </c>
      <c r="G76" s="32">
        <f>ROUND(IF(NOT(AND(T75="",A76&lt;=S75)),0,IF(FALSE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),0)</f>
        <v>117478</v>
      </c>
      <c r="H76" s="32">
        <f t="shared" si="24"/>
        <v>117478</v>
      </c>
      <c r="I76" s="32">
        <f t="shared" si="25"/>
        <v>62427</v>
      </c>
      <c r="J76" s="32">
        <f t="shared" si="26"/>
        <v>0</v>
      </c>
      <c r="K76" s="32">
        <f t="shared" si="27"/>
        <v>0</v>
      </c>
      <c r="L76" s="32">
        <f t="shared" si="28"/>
        <v>55051</v>
      </c>
      <c r="M76" s="32">
        <f>IF(AND(AND(T75="",A76&lt;=S75),A76=入力!$B$15),ROUND(MIN(入力!$B$16,MAX(0,C76-L76)),0),0)</f>
        <v>0</v>
      </c>
      <c r="N76" s="32">
        <f t="shared" si="29"/>
        <v>29909958</v>
      </c>
      <c r="O76" s="32">
        <f t="shared" si="30"/>
        <v>1841136</v>
      </c>
      <c r="P76" s="34" t="str">
        <f>IF(NOT(AND(T75="",A76&lt;=S75)),"",IF(FALSE,"繰上返済後再計算","")&amp;IF(AND(入力!$B$13="有効",A76&gt;1,MOD(A76-1,60)=0),IF(FALSE,"・","")&amp;"5年見直し","")&amp;IF(AND(A76=入力!$B$11,A76&gt;1),IF(OR(FALSE,AND(入力!$B$13="有効",A76&gt;1,MOD(A76-1,60)=0)),"・","")&amp;"金利変更","")&amp;IF(AND(OR(AND(入力!$B$13="有効",A76&gt;1,MOD(A76-1,60)=0),AND(A76=入力!$B$11,A76&gt;1)),入力!$B$14="有効",IF(E76=0,ROUND(C76/MAX(1,S75-A76+1),0),ROUND(-PMT(E76/12,MAX(1,S75-A76+1),C76),0))&gt;ROUND(G75*1.25,0),NOT(FALSE)),"・上限適用",""))</f>
        <v/>
      </c>
      <c r="Q76" s="35" t="str">
        <f>IF(AND(T75="",A76&lt;=S75),入力!$B$13,"")</f>
        <v>有効</v>
      </c>
      <c r="R76" s="32" t="str">
        <f>IF(AND(AND(T75="",A76&lt;=S75),OR(AND(入力!$B$13="有効",A76&gt;1,MOD(A76-1,60)=0),AND(A76=入力!$B$11,A76&gt;1)),入力!$B$14="有効"),ROUND(G75*1.25,0),"")</f>
        <v/>
      </c>
      <c r="S76" s="36">
        <f>IF(A76&lt;&gt;入力!$B$15,S75,IF(K76&lt;&gt;0,S75,IF(G76&lt;=F76,S75,IF(M76&lt;=0,S75,IF(AND(N76&gt;0,E76&gt;0,G76&lt;=N76*E76/12),S75,IF(A76+IF(N76=0,0,IF(E76=0,ROUNDUP(N76/G76,0),ROUNDUP(NPER(E76/12,-G76,N76),0)))&lt;S75,A76+IF(N76=0,0,IF(E76=0,ROUNDUP(N76/G76,0),ROUNDUP(NPER(E76/12,-G76,N76),0))),S75))))))</f>
        <v>420</v>
      </c>
      <c r="T76" s="35" t="str">
        <f t="shared" si="31"/>
        <v/>
      </c>
      <c r="U76" s="3">
        <f t="shared" si="16"/>
        <v>0</v>
      </c>
      <c r="V76" s="3">
        <f t="shared" si="17"/>
        <v>0</v>
      </c>
      <c r="W76" s="3">
        <f t="shared" si="18"/>
        <v>0</v>
      </c>
      <c r="X76" s="3">
        <f t="shared" si="19"/>
        <v>0</v>
      </c>
      <c r="Y76" s="3">
        <f>0</f>
        <v>0</v>
      </c>
      <c r="Z76" s="3">
        <f t="shared" si="20"/>
        <v>0</v>
      </c>
      <c r="AA76">
        <f>ROUND(IF(FALSE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,0)</f>
        <v>117478</v>
      </c>
    </row>
    <row r="77" spans="1:27">
      <c r="A77" s="30">
        <f>72</f>
        <v>72</v>
      </c>
      <c r="B77" s="31">
        <f>EDATE(入力!$B$6,A77-1)</f>
        <v>48396</v>
      </c>
      <c r="C77" s="32">
        <f t="shared" si="21"/>
        <v>29909958</v>
      </c>
      <c r="D77" s="32">
        <f t="shared" si="22"/>
        <v>0</v>
      </c>
      <c r="E77" s="33">
        <f>IF(AND(T76="",A77&lt;=S76),IF(A77&lt;入力!$B$11,入力!$B$10,入力!$B$12),0)</f>
        <v>2.5000000000000001E-2</v>
      </c>
      <c r="F77" s="32">
        <f t="shared" si="23"/>
        <v>62312</v>
      </c>
      <c r="G77" s="32">
        <f>ROUND(IF(NOT(AND(T76="",A77&lt;=S76)),0,IF(FALSE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),0)</f>
        <v>117478</v>
      </c>
      <c r="H77" s="32">
        <f t="shared" si="24"/>
        <v>117478</v>
      </c>
      <c r="I77" s="32">
        <f t="shared" si="25"/>
        <v>62312</v>
      </c>
      <c r="J77" s="32">
        <f t="shared" si="26"/>
        <v>0</v>
      </c>
      <c r="K77" s="32">
        <f t="shared" si="27"/>
        <v>0</v>
      </c>
      <c r="L77" s="32">
        <f t="shared" si="28"/>
        <v>55166</v>
      </c>
      <c r="M77" s="32">
        <f>IF(AND(AND(T76="",A77&lt;=S76),A77=入力!$B$15),ROUND(MIN(入力!$B$16,MAX(0,C77-L77)),0),0)</f>
        <v>0</v>
      </c>
      <c r="N77" s="32">
        <f t="shared" si="29"/>
        <v>29854792</v>
      </c>
      <c r="O77" s="32">
        <f t="shared" si="30"/>
        <v>1903448</v>
      </c>
      <c r="P77" s="34" t="str">
        <f>IF(NOT(AND(T76="",A77&lt;=S76)),"",IF(FALSE,"繰上返済後再計算","")&amp;IF(AND(入力!$B$13="有効",A77&gt;1,MOD(A77-1,60)=0),IF(FALSE,"・","")&amp;"5年見直し","")&amp;IF(AND(A77=入力!$B$11,A77&gt;1),IF(OR(FALSE,AND(入力!$B$13="有効",A77&gt;1,MOD(A77-1,60)=0)),"・","")&amp;"金利変更","")&amp;IF(AND(OR(AND(入力!$B$13="有効",A77&gt;1,MOD(A77-1,60)=0),AND(A77=入力!$B$11,A77&gt;1)),入力!$B$14="有効",IF(E77=0,ROUND(C77/MAX(1,S76-A77+1),0),ROUND(-PMT(E77/12,MAX(1,S76-A77+1),C77),0))&gt;ROUND(G76*1.25,0),NOT(FALSE)),"・上限適用",""))</f>
        <v/>
      </c>
      <c r="Q77" s="35" t="str">
        <f>IF(AND(T76="",A77&lt;=S76),入力!$B$13,"")</f>
        <v>有効</v>
      </c>
      <c r="R77" s="32" t="str">
        <f>IF(AND(AND(T76="",A77&lt;=S76),OR(AND(入力!$B$13="有効",A77&gt;1,MOD(A77-1,60)=0),AND(A77=入力!$B$11,A77&gt;1)),入力!$B$14="有効"),ROUND(G76*1.25,0),"")</f>
        <v/>
      </c>
      <c r="S77" s="36">
        <f>IF(A77&lt;&gt;入力!$B$15,S76,IF(K77&lt;&gt;0,S76,IF(G77&lt;=F77,S76,IF(M77&lt;=0,S76,IF(AND(N77&gt;0,E77&gt;0,G77&lt;=N77*E77/12),S76,IF(A77+IF(N77=0,0,IF(E77=0,ROUNDUP(N77/G77,0),ROUNDUP(NPER(E77/12,-G77,N77),0)))&lt;S76,A77+IF(N77=0,0,IF(E77=0,ROUNDUP(N77/G77,0),ROUNDUP(NPER(E77/12,-G77,N77),0))),S76))))))</f>
        <v>420</v>
      </c>
      <c r="T77" s="35" t="str">
        <f t="shared" si="31"/>
        <v/>
      </c>
      <c r="U77" s="3">
        <f t="shared" si="16"/>
        <v>0</v>
      </c>
      <c r="V77" s="3">
        <f t="shared" si="17"/>
        <v>0</v>
      </c>
      <c r="W77" s="3">
        <f t="shared" si="18"/>
        <v>0</v>
      </c>
      <c r="X77" s="3">
        <f t="shared" si="19"/>
        <v>0</v>
      </c>
      <c r="Y77" s="3">
        <f>0</f>
        <v>0</v>
      </c>
      <c r="Z77" s="3">
        <f t="shared" si="20"/>
        <v>0</v>
      </c>
      <c r="AA77">
        <f>ROUND(IF(FALSE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,0)</f>
        <v>117478</v>
      </c>
    </row>
    <row r="78" spans="1:27">
      <c r="A78" s="30">
        <f>73</f>
        <v>73</v>
      </c>
      <c r="B78" s="31">
        <f>EDATE(入力!$B$6,A78-1)</f>
        <v>48427</v>
      </c>
      <c r="C78" s="32">
        <f t="shared" si="21"/>
        <v>29854792</v>
      </c>
      <c r="D78" s="32">
        <f t="shared" si="22"/>
        <v>0</v>
      </c>
      <c r="E78" s="33">
        <f>IF(AND(T77="",A78&lt;=S77),IF(A78&lt;入力!$B$11,入力!$B$10,入力!$B$12),0)</f>
        <v>2.5000000000000001E-2</v>
      </c>
      <c r="F78" s="32">
        <f t="shared" si="23"/>
        <v>62197</v>
      </c>
      <c r="G78" s="32">
        <f>ROUND(IF(NOT(AND(T77="",A78&lt;=S77)),0,IF(FALSE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),0)</f>
        <v>117478</v>
      </c>
      <c r="H78" s="32">
        <f t="shared" si="24"/>
        <v>117478</v>
      </c>
      <c r="I78" s="32">
        <f t="shared" si="25"/>
        <v>62197</v>
      </c>
      <c r="J78" s="32">
        <f t="shared" si="26"/>
        <v>0</v>
      </c>
      <c r="K78" s="32">
        <f t="shared" si="27"/>
        <v>0</v>
      </c>
      <c r="L78" s="32">
        <f t="shared" si="28"/>
        <v>55281</v>
      </c>
      <c r="M78" s="32">
        <f>IF(AND(AND(T77="",A78&lt;=S77),A78=入力!$B$15),ROUND(MIN(入力!$B$16,MAX(0,C78-L78)),0),0)</f>
        <v>0</v>
      </c>
      <c r="N78" s="32">
        <f t="shared" si="29"/>
        <v>29799511</v>
      </c>
      <c r="O78" s="32">
        <f t="shared" si="30"/>
        <v>1965645</v>
      </c>
      <c r="P78" s="34" t="str">
        <f>IF(NOT(AND(T77="",A78&lt;=S77)),"",IF(FALSE,"繰上返済後再計算","")&amp;IF(AND(入力!$B$13="有効",A78&gt;1,MOD(A78-1,60)=0),IF(FALSE,"・","")&amp;"5年見直し","")&amp;IF(AND(A78=入力!$B$11,A78&gt;1),IF(OR(FALSE,AND(入力!$B$13="有効",A78&gt;1,MOD(A78-1,60)=0)),"・","")&amp;"金利変更","")&amp;IF(AND(OR(AND(入力!$B$13="有効",A78&gt;1,MOD(A78-1,60)=0),AND(A78=入力!$B$11,A78&gt;1)),入力!$B$14="有効",IF(E78=0,ROUND(C78/MAX(1,S77-A78+1),0),ROUND(-PMT(E78/12,MAX(1,S77-A78+1),C78),0))&gt;ROUND(G77*1.25,0),NOT(FALSE)),"・上限適用",""))</f>
        <v/>
      </c>
      <c r="Q78" s="35" t="str">
        <f>IF(AND(T77="",A78&lt;=S77),入力!$B$13,"")</f>
        <v>有効</v>
      </c>
      <c r="R78" s="32" t="str">
        <f>IF(AND(AND(T77="",A78&lt;=S77),OR(AND(入力!$B$13="有効",A78&gt;1,MOD(A78-1,60)=0),AND(A78=入力!$B$11,A78&gt;1)),入力!$B$14="有効"),ROUND(G77*1.25,0),"")</f>
        <v/>
      </c>
      <c r="S78" s="36">
        <f>IF(A78&lt;&gt;入力!$B$15,S77,IF(K78&lt;&gt;0,S77,IF(G78&lt;=F78,S77,IF(M78&lt;=0,S77,IF(AND(N78&gt;0,E78&gt;0,G78&lt;=N78*E78/12),S77,IF(A78+IF(N78=0,0,IF(E78=0,ROUNDUP(N78/G78,0),ROUNDUP(NPER(E78/12,-G78,N78),0)))&lt;S77,A78+IF(N78=0,0,IF(E78=0,ROUNDUP(N78/G78,0),ROUNDUP(NPER(E78/12,-G78,N78),0))),S77))))))</f>
        <v>420</v>
      </c>
      <c r="T78" s="35" t="str">
        <f t="shared" si="31"/>
        <v/>
      </c>
      <c r="U78" s="3">
        <f t="shared" si="16"/>
        <v>0</v>
      </c>
      <c r="V78" s="3">
        <f t="shared" si="17"/>
        <v>0</v>
      </c>
      <c r="W78" s="3">
        <f t="shared" si="18"/>
        <v>0</v>
      </c>
      <c r="X78" s="3">
        <f t="shared" si="19"/>
        <v>0</v>
      </c>
      <c r="Y78" s="3">
        <f>0</f>
        <v>0</v>
      </c>
      <c r="Z78" s="3">
        <f t="shared" si="20"/>
        <v>0</v>
      </c>
      <c r="AA78">
        <f>ROUND(IF(FALSE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,0)</f>
        <v>117478</v>
      </c>
    </row>
    <row r="79" spans="1:27">
      <c r="A79" s="30">
        <f>74</f>
        <v>74</v>
      </c>
      <c r="B79" s="31">
        <f>EDATE(入力!$B$6,A79-1)</f>
        <v>48458</v>
      </c>
      <c r="C79" s="32">
        <f t="shared" si="21"/>
        <v>29799511</v>
      </c>
      <c r="D79" s="32">
        <f t="shared" si="22"/>
        <v>0</v>
      </c>
      <c r="E79" s="33">
        <f>IF(AND(T78="",A79&lt;=S78),IF(A79&lt;入力!$B$11,入力!$B$10,入力!$B$12),0)</f>
        <v>2.5000000000000001E-2</v>
      </c>
      <c r="F79" s="32">
        <f t="shared" si="23"/>
        <v>62082</v>
      </c>
      <c r="G79" s="32">
        <f>ROUND(IF(NOT(AND(T78="",A79&lt;=S78)),0,IF(FALSE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),0)</f>
        <v>117478</v>
      </c>
      <c r="H79" s="32">
        <f t="shared" si="24"/>
        <v>117478</v>
      </c>
      <c r="I79" s="32">
        <f t="shared" si="25"/>
        <v>62082</v>
      </c>
      <c r="J79" s="32">
        <f t="shared" si="26"/>
        <v>0</v>
      </c>
      <c r="K79" s="32">
        <f t="shared" si="27"/>
        <v>0</v>
      </c>
      <c r="L79" s="32">
        <f t="shared" si="28"/>
        <v>55396</v>
      </c>
      <c r="M79" s="32">
        <f>IF(AND(AND(T78="",A79&lt;=S78),A79=入力!$B$15),ROUND(MIN(入力!$B$16,MAX(0,C79-L79)),0),0)</f>
        <v>0</v>
      </c>
      <c r="N79" s="32">
        <f t="shared" si="29"/>
        <v>29744115</v>
      </c>
      <c r="O79" s="32">
        <f t="shared" si="30"/>
        <v>2027727</v>
      </c>
      <c r="P79" s="34" t="str">
        <f>IF(NOT(AND(T78="",A79&lt;=S78)),"",IF(FALSE,"繰上返済後再計算","")&amp;IF(AND(入力!$B$13="有効",A79&gt;1,MOD(A79-1,60)=0),IF(FALSE,"・","")&amp;"5年見直し","")&amp;IF(AND(A79=入力!$B$11,A79&gt;1),IF(OR(FALSE,AND(入力!$B$13="有効",A79&gt;1,MOD(A79-1,60)=0)),"・","")&amp;"金利変更","")&amp;IF(AND(OR(AND(入力!$B$13="有効",A79&gt;1,MOD(A79-1,60)=0),AND(A79=入力!$B$11,A79&gt;1)),入力!$B$14="有効",IF(E79=0,ROUND(C79/MAX(1,S78-A79+1),0),ROUND(-PMT(E79/12,MAX(1,S78-A79+1),C79),0))&gt;ROUND(G78*1.25,0),NOT(FALSE)),"・上限適用",""))</f>
        <v/>
      </c>
      <c r="Q79" s="35" t="str">
        <f>IF(AND(T78="",A79&lt;=S78),入力!$B$13,"")</f>
        <v>有効</v>
      </c>
      <c r="R79" s="32" t="str">
        <f>IF(AND(AND(T78="",A79&lt;=S78),OR(AND(入力!$B$13="有効",A79&gt;1,MOD(A79-1,60)=0),AND(A79=入力!$B$11,A79&gt;1)),入力!$B$14="有効"),ROUND(G78*1.25,0),"")</f>
        <v/>
      </c>
      <c r="S79" s="36">
        <f>IF(A79&lt;&gt;入力!$B$15,S78,IF(K79&lt;&gt;0,S78,IF(G79&lt;=F79,S78,IF(M79&lt;=0,S78,IF(AND(N79&gt;0,E79&gt;0,G79&lt;=N79*E79/12),S78,IF(A79+IF(N79=0,0,IF(E79=0,ROUNDUP(N79/G79,0),ROUNDUP(NPER(E79/12,-G79,N79),0)))&lt;S78,A79+IF(N79=0,0,IF(E79=0,ROUNDUP(N79/G79,0),ROUNDUP(NPER(E79/12,-G79,N79),0))),S78))))))</f>
        <v>420</v>
      </c>
      <c r="T79" s="35" t="str">
        <f t="shared" si="31"/>
        <v/>
      </c>
      <c r="U79" s="3">
        <f t="shared" si="16"/>
        <v>0</v>
      </c>
      <c r="V79" s="3">
        <f t="shared" si="17"/>
        <v>0</v>
      </c>
      <c r="W79" s="3">
        <f t="shared" si="18"/>
        <v>0</v>
      </c>
      <c r="X79" s="3">
        <f t="shared" si="19"/>
        <v>0</v>
      </c>
      <c r="Y79" s="3">
        <f>0</f>
        <v>0</v>
      </c>
      <c r="Z79" s="3">
        <f t="shared" si="20"/>
        <v>0</v>
      </c>
      <c r="AA79">
        <f>ROUND(IF(FALSE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,0)</f>
        <v>117478</v>
      </c>
    </row>
    <row r="80" spans="1:27">
      <c r="A80" s="30">
        <f>75</f>
        <v>75</v>
      </c>
      <c r="B80" s="31">
        <f>EDATE(入力!$B$6,A80-1)</f>
        <v>48488</v>
      </c>
      <c r="C80" s="32">
        <f t="shared" si="21"/>
        <v>29744115</v>
      </c>
      <c r="D80" s="32">
        <f t="shared" si="22"/>
        <v>0</v>
      </c>
      <c r="E80" s="33">
        <f>IF(AND(T79="",A80&lt;=S79),IF(A80&lt;入力!$B$11,入力!$B$10,入力!$B$12),0)</f>
        <v>2.5000000000000001E-2</v>
      </c>
      <c r="F80" s="32">
        <f t="shared" si="23"/>
        <v>61967</v>
      </c>
      <c r="G80" s="32">
        <f>ROUND(IF(NOT(AND(T79="",A80&lt;=S79)),0,IF(FALSE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),0)</f>
        <v>117478</v>
      </c>
      <c r="H80" s="32">
        <f t="shared" si="24"/>
        <v>117478</v>
      </c>
      <c r="I80" s="32">
        <f t="shared" si="25"/>
        <v>61967</v>
      </c>
      <c r="J80" s="32">
        <f t="shared" si="26"/>
        <v>0</v>
      </c>
      <c r="K80" s="32">
        <f t="shared" si="27"/>
        <v>0</v>
      </c>
      <c r="L80" s="32">
        <f t="shared" si="28"/>
        <v>55511</v>
      </c>
      <c r="M80" s="32">
        <f>IF(AND(AND(T79="",A80&lt;=S79),A80=入力!$B$15),ROUND(MIN(入力!$B$16,MAX(0,C80-L80)),0),0)</f>
        <v>0</v>
      </c>
      <c r="N80" s="32">
        <f t="shared" si="29"/>
        <v>29688604</v>
      </c>
      <c r="O80" s="32">
        <f t="shared" si="30"/>
        <v>2089694</v>
      </c>
      <c r="P80" s="34" t="str">
        <f>IF(NOT(AND(T79="",A80&lt;=S79)),"",IF(FALSE,"繰上返済後再計算","")&amp;IF(AND(入力!$B$13="有効",A80&gt;1,MOD(A80-1,60)=0),IF(FALSE,"・","")&amp;"5年見直し","")&amp;IF(AND(A80=入力!$B$11,A80&gt;1),IF(OR(FALSE,AND(入力!$B$13="有効",A80&gt;1,MOD(A80-1,60)=0)),"・","")&amp;"金利変更","")&amp;IF(AND(OR(AND(入力!$B$13="有効",A80&gt;1,MOD(A80-1,60)=0),AND(A80=入力!$B$11,A80&gt;1)),入力!$B$14="有効",IF(E80=0,ROUND(C80/MAX(1,S79-A80+1),0),ROUND(-PMT(E80/12,MAX(1,S79-A80+1),C80),0))&gt;ROUND(G79*1.25,0),NOT(FALSE)),"・上限適用",""))</f>
        <v/>
      </c>
      <c r="Q80" s="35" t="str">
        <f>IF(AND(T79="",A80&lt;=S79),入力!$B$13,"")</f>
        <v>有効</v>
      </c>
      <c r="R80" s="32" t="str">
        <f>IF(AND(AND(T79="",A80&lt;=S79),OR(AND(入力!$B$13="有効",A80&gt;1,MOD(A80-1,60)=0),AND(A80=入力!$B$11,A80&gt;1)),入力!$B$14="有効"),ROUND(G79*1.25,0),"")</f>
        <v/>
      </c>
      <c r="S80" s="36">
        <f>IF(A80&lt;&gt;入力!$B$15,S79,IF(K80&lt;&gt;0,S79,IF(G80&lt;=F80,S79,IF(M80&lt;=0,S79,IF(AND(N80&gt;0,E80&gt;0,G80&lt;=N80*E80/12),S79,IF(A80+IF(N80=0,0,IF(E80=0,ROUNDUP(N80/G80,0),ROUNDUP(NPER(E80/12,-G80,N80),0)))&lt;S79,A80+IF(N80=0,0,IF(E80=0,ROUNDUP(N80/G80,0),ROUNDUP(NPER(E80/12,-G80,N80),0))),S79))))))</f>
        <v>420</v>
      </c>
      <c r="T80" s="35" t="str">
        <f t="shared" si="31"/>
        <v/>
      </c>
      <c r="U80" s="3">
        <f t="shared" si="16"/>
        <v>0</v>
      </c>
      <c r="V80" s="3">
        <f t="shared" si="17"/>
        <v>0</v>
      </c>
      <c r="W80" s="3">
        <f t="shared" si="18"/>
        <v>0</v>
      </c>
      <c r="X80" s="3">
        <f t="shared" si="19"/>
        <v>0</v>
      </c>
      <c r="Y80" s="3">
        <f>0</f>
        <v>0</v>
      </c>
      <c r="Z80" s="3">
        <f t="shared" si="20"/>
        <v>0</v>
      </c>
      <c r="AA80">
        <f>ROUND(IF(FALSE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,0)</f>
        <v>117478</v>
      </c>
    </row>
    <row r="81" spans="1:27">
      <c r="A81" s="30">
        <f>76</f>
        <v>76</v>
      </c>
      <c r="B81" s="31">
        <f>EDATE(入力!$B$6,A81-1)</f>
        <v>48519</v>
      </c>
      <c r="C81" s="32">
        <f t="shared" si="21"/>
        <v>29688604</v>
      </c>
      <c r="D81" s="32">
        <f t="shared" si="22"/>
        <v>0</v>
      </c>
      <c r="E81" s="33">
        <f>IF(AND(T80="",A81&lt;=S80),IF(A81&lt;入力!$B$11,入力!$B$10,入力!$B$12),0)</f>
        <v>2.5000000000000001E-2</v>
      </c>
      <c r="F81" s="32">
        <f t="shared" si="23"/>
        <v>61851</v>
      </c>
      <c r="G81" s="32">
        <f>ROUND(IF(NOT(AND(T80="",A81&lt;=S80)),0,IF(FALSE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),0)</f>
        <v>117478</v>
      </c>
      <c r="H81" s="32">
        <f t="shared" si="24"/>
        <v>117478</v>
      </c>
      <c r="I81" s="32">
        <f t="shared" si="25"/>
        <v>61851</v>
      </c>
      <c r="J81" s="32">
        <f t="shared" si="26"/>
        <v>0</v>
      </c>
      <c r="K81" s="32">
        <f t="shared" si="27"/>
        <v>0</v>
      </c>
      <c r="L81" s="32">
        <f t="shared" si="28"/>
        <v>55627</v>
      </c>
      <c r="M81" s="32">
        <f>IF(AND(AND(T80="",A81&lt;=S80),A81=入力!$B$15),ROUND(MIN(入力!$B$16,MAX(0,C81-L81)),0),0)</f>
        <v>0</v>
      </c>
      <c r="N81" s="32">
        <f t="shared" si="29"/>
        <v>29632977</v>
      </c>
      <c r="O81" s="32">
        <f t="shared" si="30"/>
        <v>2151545</v>
      </c>
      <c r="P81" s="34" t="str">
        <f>IF(NOT(AND(T80="",A81&lt;=S80)),"",IF(FALSE,"繰上返済後再計算","")&amp;IF(AND(入力!$B$13="有効",A81&gt;1,MOD(A81-1,60)=0),IF(FALSE,"・","")&amp;"5年見直し","")&amp;IF(AND(A81=入力!$B$11,A81&gt;1),IF(OR(FALSE,AND(入力!$B$13="有効",A81&gt;1,MOD(A81-1,60)=0)),"・","")&amp;"金利変更","")&amp;IF(AND(OR(AND(入力!$B$13="有効",A81&gt;1,MOD(A81-1,60)=0),AND(A81=入力!$B$11,A81&gt;1)),入力!$B$14="有効",IF(E81=0,ROUND(C81/MAX(1,S80-A81+1),0),ROUND(-PMT(E81/12,MAX(1,S80-A81+1),C81),0))&gt;ROUND(G80*1.25,0),NOT(FALSE)),"・上限適用",""))</f>
        <v/>
      </c>
      <c r="Q81" s="35" t="str">
        <f>IF(AND(T80="",A81&lt;=S80),入力!$B$13,"")</f>
        <v>有効</v>
      </c>
      <c r="R81" s="32" t="str">
        <f>IF(AND(AND(T80="",A81&lt;=S80),OR(AND(入力!$B$13="有効",A81&gt;1,MOD(A81-1,60)=0),AND(A81=入力!$B$11,A81&gt;1)),入力!$B$14="有効"),ROUND(G80*1.25,0),"")</f>
        <v/>
      </c>
      <c r="S81" s="36">
        <f>IF(A81&lt;&gt;入力!$B$15,S80,IF(K81&lt;&gt;0,S80,IF(G81&lt;=F81,S80,IF(M81&lt;=0,S80,IF(AND(N81&gt;0,E81&gt;0,G81&lt;=N81*E81/12),S80,IF(A81+IF(N81=0,0,IF(E81=0,ROUNDUP(N81/G81,0),ROUNDUP(NPER(E81/12,-G81,N81),0)))&lt;S80,A81+IF(N81=0,0,IF(E81=0,ROUNDUP(N81/G81,0),ROUNDUP(NPER(E81/12,-G81,N81),0))),S80))))))</f>
        <v>420</v>
      </c>
      <c r="T81" s="35" t="str">
        <f t="shared" si="31"/>
        <v/>
      </c>
      <c r="U81" s="3">
        <f t="shared" si="16"/>
        <v>0</v>
      </c>
      <c r="V81" s="3">
        <f t="shared" si="17"/>
        <v>0</v>
      </c>
      <c r="W81" s="3">
        <f t="shared" si="18"/>
        <v>0</v>
      </c>
      <c r="X81" s="3">
        <f t="shared" si="19"/>
        <v>0</v>
      </c>
      <c r="Y81" s="3">
        <f>0</f>
        <v>0</v>
      </c>
      <c r="Z81" s="3">
        <f t="shared" si="20"/>
        <v>0</v>
      </c>
      <c r="AA81">
        <f>ROUND(IF(FALSE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,0)</f>
        <v>117478</v>
      </c>
    </row>
    <row r="82" spans="1:27">
      <c r="A82" s="30">
        <f>77</f>
        <v>77</v>
      </c>
      <c r="B82" s="31">
        <f>EDATE(入力!$B$6,A82-1)</f>
        <v>48549</v>
      </c>
      <c r="C82" s="32">
        <f t="shared" si="21"/>
        <v>29632977</v>
      </c>
      <c r="D82" s="32">
        <f t="shared" si="22"/>
        <v>0</v>
      </c>
      <c r="E82" s="33">
        <f>IF(AND(T81="",A82&lt;=S81),IF(A82&lt;入力!$B$11,入力!$B$10,入力!$B$12),0)</f>
        <v>2.5000000000000001E-2</v>
      </c>
      <c r="F82" s="32">
        <f t="shared" si="23"/>
        <v>61735</v>
      </c>
      <c r="G82" s="32">
        <f>ROUND(IF(NOT(AND(T81="",A82&lt;=S81)),0,IF(FALSE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),0)</f>
        <v>117478</v>
      </c>
      <c r="H82" s="32">
        <f t="shared" si="24"/>
        <v>117478</v>
      </c>
      <c r="I82" s="32">
        <f t="shared" si="25"/>
        <v>61735</v>
      </c>
      <c r="J82" s="32">
        <f t="shared" si="26"/>
        <v>0</v>
      </c>
      <c r="K82" s="32">
        <f t="shared" si="27"/>
        <v>0</v>
      </c>
      <c r="L82" s="32">
        <f t="shared" si="28"/>
        <v>55743</v>
      </c>
      <c r="M82" s="32">
        <f>IF(AND(AND(T81="",A82&lt;=S81),A82=入力!$B$15),ROUND(MIN(入力!$B$16,MAX(0,C82-L82)),0),0)</f>
        <v>0</v>
      </c>
      <c r="N82" s="32">
        <f t="shared" si="29"/>
        <v>29577234</v>
      </c>
      <c r="O82" s="32">
        <f t="shared" si="30"/>
        <v>2213280</v>
      </c>
      <c r="P82" s="34" t="str">
        <f>IF(NOT(AND(T81="",A82&lt;=S81)),"",IF(FALSE,"繰上返済後再計算","")&amp;IF(AND(入力!$B$13="有効",A82&gt;1,MOD(A82-1,60)=0),IF(FALSE,"・","")&amp;"5年見直し","")&amp;IF(AND(A82=入力!$B$11,A82&gt;1),IF(OR(FALSE,AND(入力!$B$13="有効",A82&gt;1,MOD(A82-1,60)=0)),"・","")&amp;"金利変更","")&amp;IF(AND(OR(AND(入力!$B$13="有効",A82&gt;1,MOD(A82-1,60)=0),AND(A82=入力!$B$11,A82&gt;1)),入力!$B$14="有効",IF(E82=0,ROUND(C82/MAX(1,S81-A82+1),0),ROUND(-PMT(E82/12,MAX(1,S81-A82+1),C82),0))&gt;ROUND(G81*1.25,0),NOT(FALSE)),"・上限適用",""))</f>
        <v/>
      </c>
      <c r="Q82" s="35" t="str">
        <f>IF(AND(T81="",A82&lt;=S81),入力!$B$13,"")</f>
        <v>有効</v>
      </c>
      <c r="R82" s="32" t="str">
        <f>IF(AND(AND(T81="",A82&lt;=S81),OR(AND(入力!$B$13="有効",A82&gt;1,MOD(A82-1,60)=0),AND(A82=入力!$B$11,A82&gt;1)),入力!$B$14="有効"),ROUND(G81*1.25,0),"")</f>
        <v/>
      </c>
      <c r="S82" s="36">
        <f>IF(A82&lt;&gt;入力!$B$15,S81,IF(K82&lt;&gt;0,S81,IF(G82&lt;=F82,S81,IF(M82&lt;=0,S81,IF(AND(N82&gt;0,E82&gt;0,G82&lt;=N82*E82/12),S81,IF(A82+IF(N82=0,0,IF(E82=0,ROUNDUP(N82/G82,0),ROUNDUP(NPER(E82/12,-G82,N82),0)))&lt;S81,A82+IF(N82=0,0,IF(E82=0,ROUNDUP(N82/G82,0),ROUNDUP(NPER(E82/12,-G82,N82),0))),S81))))))</f>
        <v>420</v>
      </c>
      <c r="T82" s="35" t="str">
        <f t="shared" si="31"/>
        <v/>
      </c>
      <c r="U82" s="3">
        <f t="shared" si="16"/>
        <v>0</v>
      </c>
      <c r="V82" s="3">
        <f t="shared" si="17"/>
        <v>0</v>
      </c>
      <c r="W82" s="3">
        <f t="shared" si="18"/>
        <v>0</v>
      </c>
      <c r="X82" s="3">
        <f t="shared" si="19"/>
        <v>0</v>
      </c>
      <c r="Y82" s="3">
        <f>0</f>
        <v>0</v>
      </c>
      <c r="Z82" s="3">
        <f t="shared" si="20"/>
        <v>0</v>
      </c>
      <c r="AA82">
        <f>ROUND(IF(FALSE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,0)</f>
        <v>117478</v>
      </c>
    </row>
    <row r="83" spans="1:27">
      <c r="A83" s="30">
        <f>78</f>
        <v>78</v>
      </c>
      <c r="B83" s="31">
        <f>EDATE(入力!$B$6,A83-1)</f>
        <v>48580</v>
      </c>
      <c r="C83" s="32">
        <f t="shared" si="21"/>
        <v>29577234</v>
      </c>
      <c r="D83" s="32">
        <f t="shared" si="22"/>
        <v>0</v>
      </c>
      <c r="E83" s="33">
        <f>IF(AND(T82="",A83&lt;=S82),IF(A83&lt;入力!$B$11,入力!$B$10,入力!$B$12),0)</f>
        <v>2.5000000000000001E-2</v>
      </c>
      <c r="F83" s="32">
        <f t="shared" si="23"/>
        <v>61619</v>
      </c>
      <c r="G83" s="32">
        <f>ROUND(IF(NOT(AND(T82="",A83&lt;=S82)),0,IF(FALSE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),0)</f>
        <v>117478</v>
      </c>
      <c r="H83" s="32">
        <f t="shared" si="24"/>
        <v>117478</v>
      </c>
      <c r="I83" s="32">
        <f t="shared" si="25"/>
        <v>61619</v>
      </c>
      <c r="J83" s="32">
        <f t="shared" si="26"/>
        <v>0</v>
      </c>
      <c r="K83" s="32">
        <f t="shared" si="27"/>
        <v>0</v>
      </c>
      <c r="L83" s="32">
        <f t="shared" si="28"/>
        <v>55859</v>
      </c>
      <c r="M83" s="32">
        <f>IF(AND(AND(T82="",A83&lt;=S82),A83=入力!$B$15),ROUND(MIN(入力!$B$16,MAX(0,C83-L83)),0),0)</f>
        <v>0</v>
      </c>
      <c r="N83" s="32">
        <f t="shared" si="29"/>
        <v>29521375</v>
      </c>
      <c r="O83" s="32">
        <f t="shared" si="30"/>
        <v>2274899</v>
      </c>
      <c r="P83" s="34" t="str">
        <f>IF(NOT(AND(T82="",A83&lt;=S82)),"",IF(FALSE,"繰上返済後再計算","")&amp;IF(AND(入力!$B$13="有効",A83&gt;1,MOD(A83-1,60)=0),IF(FALSE,"・","")&amp;"5年見直し","")&amp;IF(AND(A83=入力!$B$11,A83&gt;1),IF(OR(FALSE,AND(入力!$B$13="有効",A83&gt;1,MOD(A83-1,60)=0)),"・","")&amp;"金利変更","")&amp;IF(AND(OR(AND(入力!$B$13="有効",A83&gt;1,MOD(A83-1,60)=0),AND(A83=入力!$B$11,A83&gt;1)),入力!$B$14="有効",IF(E83=0,ROUND(C83/MAX(1,S82-A83+1),0),ROUND(-PMT(E83/12,MAX(1,S82-A83+1),C83),0))&gt;ROUND(G82*1.25,0),NOT(FALSE)),"・上限適用",""))</f>
        <v/>
      </c>
      <c r="Q83" s="35" t="str">
        <f>IF(AND(T82="",A83&lt;=S82),入力!$B$13,"")</f>
        <v>有効</v>
      </c>
      <c r="R83" s="32" t="str">
        <f>IF(AND(AND(T82="",A83&lt;=S82),OR(AND(入力!$B$13="有効",A83&gt;1,MOD(A83-1,60)=0),AND(A83=入力!$B$11,A83&gt;1)),入力!$B$14="有効"),ROUND(G82*1.25,0),"")</f>
        <v/>
      </c>
      <c r="S83" s="36">
        <f>IF(A83&lt;&gt;入力!$B$15,S82,IF(K83&lt;&gt;0,S82,IF(G83&lt;=F83,S82,IF(M83&lt;=0,S82,IF(AND(N83&gt;0,E83&gt;0,G83&lt;=N83*E83/12),S82,IF(A83+IF(N83=0,0,IF(E83=0,ROUNDUP(N83/G83,0),ROUNDUP(NPER(E83/12,-G83,N83),0)))&lt;S82,A83+IF(N83=0,0,IF(E83=0,ROUNDUP(N83/G83,0),ROUNDUP(NPER(E83/12,-G83,N83),0))),S82))))))</f>
        <v>420</v>
      </c>
      <c r="T83" s="35" t="str">
        <f t="shared" si="31"/>
        <v/>
      </c>
      <c r="U83" s="3">
        <f t="shared" si="16"/>
        <v>0</v>
      </c>
      <c r="V83" s="3">
        <f t="shared" si="17"/>
        <v>0</v>
      </c>
      <c r="W83" s="3">
        <f t="shared" si="18"/>
        <v>0</v>
      </c>
      <c r="X83" s="3">
        <f t="shared" si="19"/>
        <v>0</v>
      </c>
      <c r="Y83" s="3">
        <f>0</f>
        <v>0</v>
      </c>
      <c r="Z83" s="3">
        <f t="shared" si="20"/>
        <v>0</v>
      </c>
      <c r="AA83">
        <f>ROUND(IF(FALSE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,0)</f>
        <v>117478</v>
      </c>
    </row>
    <row r="84" spans="1:27">
      <c r="A84" s="30">
        <f>79</f>
        <v>79</v>
      </c>
      <c r="B84" s="31">
        <f>EDATE(入力!$B$6,A84-1)</f>
        <v>48611</v>
      </c>
      <c r="C84" s="32">
        <f t="shared" si="21"/>
        <v>29521375</v>
      </c>
      <c r="D84" s="32">
        <f t="shared" si="22"/>
        <v>0</v>
      </c>
      <c r="E84" s="33">
        <f>IF(AND(T83="",A84&lt;=S83),IF(A84&lt;入力!$B$11,入力!$B$10,入力!$B$12),0)</f>
        <v>2.5000000000000001E-2</v>
      </c>
      <c r="F84" s="32">
        <f t="shared" si="23"/>
        <v>61503</v>
      </c>
      <c r="G84" s="32">
        <f>ROUND(IF(NOT(AND(T83="",A84&lt;=S83)),0,IF(FALSE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),0)</f>
        <v>117478</v>
      </c>
      <c r="H84" s="32">
        <f t="shared" si="24"/>
        <v>117478</v>
      </c>
      <c r="I84" s="32">
        <f t="shared" si="25"/>
        <v>61503</v>
      </c>
      <c r="J84" s="32">
        <f t="shared" si="26"/>
        <v>0</v>
      </c>
      <c r="K84" s="32">
        <f t="shared" si="27"/>
        <v>0</v>
      </c>
      <c r="L84" s="32">
        <f t="shared" si="28"/>
        <v>55975</v>
      </c>
      <c r="M84" s="32">
        <f>IF(AND(AND(T83="",A84&lt;=S83),A84=入力!$B$15),ROUND(MIN(入力!$B$16,MAX(0,C84-L84)),0),0)</f>
        <v>0</v>
      </c>
      <c r="N84" s="32">
        <f t="shared" si="29"/>
        <v>29465400</v>
      </c>
      <c r="O84" s="32">
        <f t="shared" si="30"/>
        <v>2336402</v>
      </c>
      <c r="P84" s="34" t="str">
        <f>IF(NOT(AND(T83="",A84&lt;=S83)),"",IF(FALSE,"繰上返済後再計算","")&amp;IF(AND(入力!$B$13="有効",A84&gt;1,MOD(A84-1,60)=0),IF(FALSE,"・","")&amp;"5年見直し","")&amp;IF(AND(A84=入力!$B$11,A84&gt;1),IF(OR(FALSE,AND(入力!$B$13="有効",A84&gt;1,MOD(A84-1,60)=0)),"・","")&amp;"金利変更","")&amp;IF(AND(OR(AND(入力!$B$13="有効",A84&gt;1,MOD(A84-1,60)=0),AND(A84=入力!$B$11,A84&gt;1)),入力!$B$14="有効",IF(E84=0,ROUND(C84/MAX(1,S83-A84+1),0),ROUND(-PMT(E84/12,MAX(1,S83-A84+1),C84),0))&gt;ROUND(G83*1.25,0),NOT(FALSE)),"・上限適用",""))</f>
        <v/>
      </c>
      <c r="Q84" s="35" t="str">
        <f>IF(AND(T83="",A84&lt;=S83),入力!$B$13,"")</f>
        <v>有効</v>
      </c>
      <c r="R84" s="32" t="str">
        <f>IF(AND(AND(T83="",A84&lt;=S83),OR(AND(入力!$B$13="有効",A84&gt;1,MOD(A84-1,60)=0),AND(A84=入力!$B$11,A84&gt;1)),入力!$B$14="有効"),ROUND(G83*1.25,0),"")</f>
        <v/>
      </c>
      <c r="S84" s="36">
        <f>IF(A84&lt;&gt;入力!$B$15,S83,IF(K84&lt;&gt;0,S83,IF(G84&lt;=F84,S83,IF(M84&lt;=0,S83,IF(AND(N84&gt;0,E84&gt;0,G84&lt;=N84*E84/12),S83,IF(A84+IF(N84=0,0,IF(E84=0,ROUNDUP(N84/G84,0),ROUNDUP(NPER(E84/12,-G84,N84),0)))&lt;S83,A84+IF(N84=0,0,IF(E84=0,ROUNDUP(N84/G84,0),ROUNDUP(NPER(E84/12,-G84,N84),0))),S83))))))</f>
        <v>420</v>
      </c>
      <c r="T84" s="35" t="str">
        <f t="shared" si="31"/>
        <v/>
      </c>
      <c r="U84" s="3">
        <f t="shared" si="16"/>
        <v>0</v>
      </c>
      <c r="V84" s="3">
        <f t="shared" si="17"/>
        <v>0</v>
      </c>
      <c r="W84" s="3">
        <f t="shared" si="18"/>
        <v>0</v>
      </c>
      <c r="X84" s="3">
        <f t="shared" si="19"/>
        <v>0</v>
      </c>
      <c r="Y84" s="3">
        <f>0</f>
        <v>0</v>
      </c>
      <c r="Z84" s="3">
        <f t="shared" si="20"/>
        <v>0</v>
      </c>
      <c r="AA84">
        <f>ROUND(IF(FALSE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,0)</f>
        <v>117478</v>
      </c>
    </row>
    <row r="85" spans="1:27">
      <c r="A85" s="30">
        <f>80</f>
        <v>80</v>
      </c>
      <c r="B85" s="31">
        <f>EDATE(入力!$B$6,A85-1)</f>
        <v>48639</v>
      </c>
      <c r="C85" s="32">
        <f t="shared" si="21"/>
        <v>29465400</v>
      </c>
      <c r="D85" s="32">
        <f t="shared" si="22"/>
        <v>0</v>
      </c>
      <c r="E85" s="33">
        <f>IF(AND(T84="",A85&lt;=S84),IF(A85&lt;入力!$B$11,入力!$B$10,入力!$B$12),0)</f>
        <v>2.5000000000000001E-2</v>
      </c>
      <c r="F85" s="32">
        <f t="shared" si="23"/>
        <v>61386</v>
      </c>
      <c r="G85" s="32">
        <f>ROUND(IF(NOT(AND(T84="",A85&lt;=S84)),0,IF(FALSE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),0)</f>
        <v>117478</v>
      </c>
      <c r="H85" s="32">
        <f t="shared" si="24"/>
        <v>117478</v>
      </c>
      <c r="I85" s="32">
        <f t="shared" si="25"/>
        <v>61386</v>
      </c>
      <c r="J85" s="32">
        <f t="shared" si="26"/>
        <v>0</v>
      </c>
      <c r="K85" s="32">
        <f t="shared" si="27"/>
        <v>0</v>
      </c>
      <c r="L85" s="32">
        <f t="shared" si="28"/>
        <v>56092</v>
      </c>
      <c r="M85" s="32">
        <f>IF(AND(AND(T84="",A85&lt;=S84),A85=入力!$B$15),ROUND(MIN(入力!$B$16,MAX(0,C85-L85)),0),0)</f>
        <v>0</v>
      </c>
      <c r="N85" s="32">
        <f t="shared" si="29"/>
        <v>29409308</v>
      </c>
      <c r="O85" s="32">
        <f t="shared" si="30"/>
        <v>2397788</v>
      </c>
      <c r="P85" s="34" t="str">
        <f>IF(NOT(AND(T84="",A85&lt;=S84)),"",IF(FALSE,"繰上返済後再計算","")&amp;IF(AND(入力!$B$13="有効",A85&gt;1,MOD(A85-1,60)=0),IF(FALSE,"・","")&amp;"5年見直し","")&amp;IF(AND(A85=入力!$B$11,A85&gt;1),IF(OR(FALSE,AND(入力!$B$13="有効",A85&gt;1,MOD(A85-1,60)=0)),"・","")&amp;"金利変更","")&amp;IF(AND(OR(AND(入力!$B$13="有効",A85&gt;1,MOD(A85-1,60)=0),AND(A85=入力!$B$11,A85&gt;1)),入力!$B$14="有効",IF(E85=0,ROUND(C85/MAX(1,S84-A85+1),0),ROUND(-PMT(E85/12,MAX(1,S84-A85+1),C85),0))&gt;ROUND(G84*1.25,0),NOT(FALSE)),"・上限適用",""))</f>
        <v/>
      </c>
      <c r="Q85" s="35" t="str">
        <f>IF(AND(T84="",A85&lt;=S84),入力!$B$13,"")</f>
        <v>有効</v>
      </c>
      <c r="R85" s="32" t="str">
        <f>IF(AND(AND(T84="",A85&lt;=S84),OR(AND(入力!$B$13="有効",A85&gt;1,MOD(A85-1,60)=0),AND(A85=入力!$B$11,A85&gt;1)),入力!$B$14="有効"),ROUND(G84*1.25,0),"")</f>
        <v/>
      </c>
      <c r="S85" s="36">
        <f>IF(A85&lt;&gt;入力!$B$15,S84,IF(K85&lt;&gt;0,S84,IF(G85&lt;=F85,S84,IF(M85&lt;=0,S84,IF(AND(N85&gt;0,E85&gt;0,G85&lt;=N85*E85/12),S84,IF(A85+IF(N85=0,0,IF(E85=0,ROUNDUP(N85/G85,0),ROUNDUP(NPER(E85/12,-G85,N85),0)))&lt;S84,A85+IF(N85=0,0,IF(E85=0,ROUNDUP(N85/G85,0),ROUNDUP(NPER(E85/12,-G85,N85),0))),S84))))))</f>
        <v>420</v>
      </c>
      <c r="T85" s="35" t="str">
        <f t="shared" si="31"/>
        <v/>
      </c>
      <c r="U85" s="3">
        <f t="shared" si="16"/>
        <v>0</v>
      </c>
      <c r="V85" s="3">
        <f t="shared" si="17"/>
        <v>0</v>
      </c>
      <c r="W85" s="3">
        <f t="shared" si="18"/>
        <v>0</v>
      </c>
      <c r="X85" s="3">
        <f t="shared" si="19"/>
        <v>0</v>
      </c>
      <c r="Y85" s="3">
        <f>0</f>
        <v>0</v>
      </c>
      <c r="Z85" s="3">
        <f t="shared" si="20"/>
        <v>0</v>
      </c>
      <c r="AA85">
        <f>ROUND(IF(FALSE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,0)</f>
        <v>117478</v>
      </c>
    </row>
    <row r="86" spans="1:27">
      <c r="A86" s="30">
        <f>81</f>
        <v>81</v>
      </c>
      <c r="B86" s="31">
        <f>EDATE(入力!$B$6,A86-1)</f>
        <v>48670</v>
      </c>
      <c r="C86" s="32">
        <f t="shared" si="21"/>
        <v>29409308</v>
      </c>
      <c r="D86" s="32">
        <f t="shared" si="22"/>
        <v>0</v>
      </c>
      <c r="E86" s="33">
        <f>IF(AND(T85="",A86&lt;=S85),IF(A86&lt;入力!$B$11,入力!$B$10,入力!$B$12),0)</f>
        <v>2.5000000000000001E-2</v>
      </c>
      <c r="F86" s="32">
        <f t="shared" si="23"/>
        <v>61269</v>
      </c>
      <c r="G86" s="32">
        <f>ROUND(IF(NOT(AND(T85="",A86&lt;=S85)),0,IF(FALSE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),0)</f>
        <v>117478</v>
      </c>
      <c r="H86" s="32">
        <f t="shared" si="24"/>
        <v>117478</v>
      </c>
      <c r="I86" s="32">
        <f t="shared" si="25"/>
        <v>61269</v>
      </c>
      <c r="J86" s="32">
        <f t="shared" si="26"/>
        <v>0</v>
      </c>
      <c r="K86" s="32">
        <f t="shared" si="27"/>
        <v>0</v>
      </c>
      <c r="L86" s="32">
        <f t="shared" si="28"/>
        <v>56209</v>
      </c>
      <c r="M86" s="32">
        <f>IF(AND(AND(T85="",A86&lt;=S85),A86=入力!$B$15),ROUND(MIN(入力!$B$16,MAX(0,C86-L86)),0),0)</f>
        <v>0</v>
      </c>
      <c r="N86" s="32">
        <f t="shared" si="29"/>
        <v>29353099</v>
      </c>
      <c r="O86" s="32">
        <f t="shared" si="30"/>
        <v>2459057</v>
      </c>
      <c r="P86" s="34" t="str">
        <f>IF(NOT(AND(T85="",A86&lt;=S85)),"",IF(FALSE,"繰上返済後再計算","")&amp;IF(AND(入力!$B$13="有効",A86&gt;1,MOD(A86-1,60)=0),IF(FALSE,"・","")&amp;"5年見直し","")&amp;IF(AND(A86=入力!$B$11,A86&gt;1),IF(OR(FALSE,AND(入力!$B$13="有効",A86&gt;1,MOD(A86-1,60)=0)),"・","")&amp;"金利変更","")&amp;IF(AND(OR(AND(入力!$B$13="有効",A86&gt;1,MOD(A86-1,60)=0),AND(A86=入力!$B$11,A86&gt;1)),入力!$B$14="有効",IF(E86=0,ROUND(C86/MAX(1,S85-A86+1),0),ROUND(-PMT(E86/12,MAX(1,S85-A86+1),C86),0))&gt;ROUND(G85*1.25,0),NOT(FALSE)),"・上限適用",""))</f>
        <v/>
      </c>
      <c r="Q86" s="35" t="str">
        <f>IF(AND(T85="",A86&lt;=S85),入力!$B$13,"")</f>
        <v>有効</v>
      </c>
      <c r="R86" s="32" t="str">
        <f>IF(AND(AND(T85="",A86&lt;=S85),OR(AND(入力!$B$13="有効",A86&gt;1,MOD(A86-1,60)=0),AND(A86=入力!$B$11,A86&gt;1)),入力!$B$14="有効"),ROUND(G85*1.25,0),"")</f>
        <v/>
      </c>
      <c r="S86" s="36">
        <f>IF(A86&lt;&gt;入力!$B$15,S85,IF(K86&lt;&gt;0,S85,IF(G86&lt;=F86,S85,IF(M86&lt;=0,S85,IF(AND(N86&gt;0,E86&gt;0,G86&lt;=N86*E86/12),S85,IF(A86+IF(N86=0,0,IF(E86=0,ROUNDUP(N86/G86,0),ROUNDUP(NPER(E86/12,-G86,N86),0)))&lt;S85,A86+IF(N86=0,0,IF(E86=0,ROUNDUP(N86/G86,0),ROUNDUP(NPER(E86/12,-G86,N86),0))),S85))))))</f>
        <v>420</v>
      </c>
      <c r="T86" s="35" t="str">
        <f t="shared" si="31"/>
        <v/>
      </c>
      <c r="U86" s="3">
        <f t="shared" si="16"/>
        <v>0</v>
      </c>
      <c r="V86" s="3">
        <f t="shared" si="17"/>
        <v>0</v>
      </c>
      <c r="W86" s="3">
        <f t="shared" si="18"/>
        <v>0</v>
      </c>
      <c r="X86" s="3">
        <f t="shared" si="19"/>
        <v>0</v>
      </c>
      <c r="Y86" s="3">
        <f>0</f>
        <v>0</v>
      </c>
      <c r="Z86" s="3">
        <f t="shared" si="20"/>
        <v>0</v>
      </c>
      <c r="AA86">
        <f>ROUND(IF(FALSE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,0)</f>
        <v>117478</v>
      </c>
    </row>
    <row r="87" spans="1:27">
      <c r="A87" s="30">
        <f>82</f>
        <v>82</v>
      </c>
      <c r="B87" s="31">
        <f>EDATE(入力!$B$6,A87-1)</f>
        <v>48700</v>
      </c>
      <c r="C87" s="32">
        <f t="shared" si="21"/>
        <v>29353099</v>
      </c>
      <c r="D87" s="32">
        <f t="shared" si="22"/>
        <v>0</v>
      </c>
      <c r="E87" s="33">
        <f>IF(AND(T86="",A87&lt;=S86),IF(A87&lt;入力!$B$11,入力!$B$10,入力!$B$12),0)</f>
        <v>2.5000000000000001E-2</v>
      </c>
      <c r="F87" s="32">
        <f t="shared" si="23"/>
        <v>61152</v>
      </c>
      <c r="G87" s="32">
        <f>ROUND(IF(NOT(AND(T86="",A87&lt;=S86)),0,IF(FALSE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),0)</f>
        <v>117478</v>
      </c>
      <c r="H87" s="32">
        <f t="shared" si="24"/>
        <v>117478</v>
      </c>
      <c r="I87" s="32">
        <f t="shared" si="25"/>
        <v>61152</v>
      </c>
      <c r="J87" s="32">
        <f t="shared" si="26"/>
        <v>0</v>
      </c>
      <c r="K87" s="32">
        <f t="shared" si="27"/>
        <v>0</v>
      </c>
      <c r="L87" s="32">
        <f t="shared" si="28"/>
        <v>56326</v>
      </c>
      <c r="M87" s="32">
        <f>IF(AND(AND(T86="",A87&lt;=S86),A87=入力!$B$15),ROUND(MIN(入力!$B$16,MAX(0,C87-L87)),0),0)</f>
        <v>0</v>
      </c>
      <c r="N87" s="32">
        <f t="shared" si="29"/>
        <v>29296773</v>
      </c>
      <c r="O87" s="32">
        <f t="shared" si="30"/>
        <v>2520209</v>
      </c>
      <c r="P87" s="34" t="str">
        <f>IF(NOT(AND(T86="",A87&lt;=S86)),"",IF(FALSE,"繰上返済後再計算","")&amp;IF(AND(入力!$B$13="有効",A87&gt;1,MOD(A87-1,60)=0),IF(FALSE,"・","")&amp;"5年見直し","")&amp;IF(AND(A87=入力!$B$11,A87&gt;1),IF(OR(FALSE,AND(入力!$B$13="有効",A87&gt;1,MOD(A87-1,60)=0)),"・","")&amp;"金利変更","")&amp;IF(AND(OR(AND(入力!$B$13="有効",A87&gt;1,MOD(A87-1,60)=0),AND(A87=入力!$B$11,A87&gt;1)),入力!$B$14="有効",IF(E87=0,ROUND(C87/MAX(1,S86-A87+1),0),ROUND(-PMT(E87/12,MAX(1,S86-A87+1),C87),0))&gt;ROUND(G86*1.25,0),NOT(FALSE)),"・上限適用",""))</f>
        <v/>
      </c>
      <c r="Q87" s="35" t="str">
        <f>IF(AND(T86="",A87&lt;=S86),入力!$B$13,"")</f>
        <v>有効</v>
      </c>
      <c r="R87" s="32" t="str">
        <f>IF(AND(AND(T86="",A87&lt;=S86),OR(AND(入力!$B$13="有効",A87&gt;1,MOD(A87-1,60)=0),AND(A87=入力!$B$11,A87&gt;1)),入力!$B$14="有効"),ROUND(G86*1.25,0),"")</f>
        <v/>
      </c>
      <c r="S87" s="36">
        <f>IF(A87&lt;&gt;入力!$B$15,S86,IF(K87&lt;&gt;0,S86,IF(G87&lt;=F87,S86,IF(M87&lt;=0,S86,IF(AND(N87&gt;0,E87&gt;0,G87&lt;=N87*E87/12),S86,IF(A87+IF(N87=0,0,IF(E87=0,ROUNDUP(N87/G87,0),ROUNDUP(NPER(E87/12,-G87,N87),0)))&lt;S86,A87+IF(N87=0,0,IF(E87=0,ROUNDUP(N87/G87,0),ROUNDUP(NPER(E87/12,-G87,N87),0))),S86))))))</f>
        <v>420</v>
      </c>
      <c r="T87" s="35" t="str">
        <f t="shared" si="31"/>
        <v/>
      </c>
      <c r="U87" s="3">
        <f t="shared" si="16"/>
        <v>0</v>
      </c>
      <c r="V87" s="3">
        <f t="shared" si="17"/>
        <v>0</v>
      </c>
      <c r="W87" s="3">
        <f t="shared" si="18"/>
        <v>0</v>
      </c>
      <c r="X87" s="3">
        <f t="shared" si="19"/>
        <v>0</v>
      </c>
      <c r="Y87" s="3">
        <f>0</f>
        <v>0</v>
      </c>
      <c r="Z87" s="3">
        <f t="shared" si="20"/>
        <v>0</v>
      </c>
      <c r="AA87">
        <f>ROUND(IF(FALSE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,0)</f>
        <v>117478</v>
      </c>
    </row>
    <row r="88" spans="1:27">
      <c r="A88" s="30">
        <f>83</f>
        <v>83</v>
      </c>
      <c r="B88" s="31">
        <f>EDATE(入力!$B$6,A88-1)</f>
        <v>48731</v>
      </c>
      <c r="C88" s="32">
        <f t="shared" si="21"/>
        <v>29296773</v>
      </c>
      <c r="D88" s="32">
        <f t="shared" si="22"/>
        <v>0</v>
      </c>
      <c r="E88" s="33">
        <f>IF(AND(T87="",A88&lt;=S87),IF(A88&lt;入力!$B$11,入力!$B$10,入力!$B$12),0)</f>
        <v>2.5000000000000001E-2</v>
      </c>
      <c r="F88" s="32">
        <f t="shared" si="23"/>
        <v>61035</v>
      </c>
      <c r="G88" s="32">
        <f>ROUND(IF(NOT(AND(T87="",A88&lt;=S87)),0,IF(FALSE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),0)</f>
        <v>117478</v>
      </c>
      <c r="H88" s="32">
        <f t="shared" si="24"/>
        <v>117478</v>
      </c>
      <c r="I88" s="32">
        <f t="shared" si="25"/>
        <v>61035</v>
      </c>
      <c r="J88" s="32">
        <f t="shared" si="26"/>
        <v>0</v>
      </c>
      <c r="K88" s="32">
        <f t="shared" si="27"/>
        <v>0</v>
      </c>
      <c r="L88" s="32">
        <f t="shared" si="28"/>
        <v>56443</v>
      </c>
      <c r="M88" s="32">
        <f>IF(AND(AND(T87="",A88&lt;=S87),A88=入力!$B$15),ROUND(MIN(入力!$B$16,MAX(0,C88-L88)),0),0)</f>
        <v>0</v>
      </c>
      <c r="N88" s="32">
        <f t="shared" si="29"/>
        <v>29240330</v>
      </c>
      <c r="O88" s="32">
        <f t="shared" si="30"/>
        <v>2581244</v>
      </c>
      <c r="P88" s="34" t="str">
        <f>IF(NOT(AND(T87="",A88&lt;=S87)),"",IF(FALSE,"繰上返済後再計算","")&amp;IF(AND(入力!$B$13="有効",A88&gt;1,MOD(A88-1,60)=0),IF(FALSE,"・","")&amp;"5年見直し","")&amp;IF(AND(A88=入力!$B$11,A88&gt;1),IF(OR(FALSE,AND(入力!$B$13="有効",A88&gt;1,MOD(A88-1,60)=0)),"・","")&amp;"金利変更","")&amp;IF(AND(OR(AND(入力!$B$13="有効",A88&gt;1,MOD(A88-1,60)=0),AND(A88=入力!$B$11,A88&gt;1)),入力!$B$14="有効",IF(E88=0,ROUND(C88/MAX(1,S87-A88+1),0),ROUND(-PMT(E88/12,MAX(1,S87-A88+1),C88),0))&gt;ROUND(G87*1.25,0),NOT(FALSE)),"・上限適用",""))</f>
        <v/>
      </c>
      <c r="Q88" s="35" t="str">
        <f>IF(AND(T87="",A88&lt;=S87),入力!$B$13,"")</f>
        <v>有効</v>
      </c>
      <c r="R88" s="32" t="str">
        <f>IF(AND(AND(T87="",A88&lt;=S87),OR(AND(入力!$B$13="有効",A88&gt;1,MOD(A88-1,60)=0),AND(A88=入力!$B$11,A88&gt;1)),入力!$B$14="有効"),ROUND(G87*1.25,0),"")</f>
        <v/>
      </c>
      <c r="S88" s="36">
        <f>IF(A88&lt;&gt;入力!$B$15,S87,IF(K88&lt;&gt;0,S87,IF(G88&lt;=F88,S87,IF(M88&lt;=0,S87,IF(AND(N88&gt;0,E88&gt;0,G88&lt;=N88*E88/12),S87,IF(A88+IF(N88=0,0,IF(E88=0,ROUNDUP(N88/G88,0),ROUNDUP(NPER(E88/12,-G88,N88),0)))&lt;S87,A88+IF(N88=0,0,IF(E88=0,ROUNDUP(N88/G88,0),ROUNDUP(NPER(E88/12,-G88,N88),0))),S87))))))</f>
        <v>420</v>
      </c>
      <c r="T88" s="35" t="str">
        <f t="shared" si="31"/>
        <v/>
      </c>
      <c r="U88" s="3">
        <f t="shared" si="16"/>
        <v>0</v>
      </c>
      <c r="V88" s="3">
        <f t="shared" si="17"/>
        <v>0</v>
      </c>
      <c r="W88" s="3">
        <f t="shared" si="18"/>
        <v>0</v>
      </c>
      <c r="X88" s="3">
        <f t="shared" si="19"/>
        <v>0</v>
      </c>
      <c r="Y88" s="3">
        <f>0</f>
        <v>0</v>
      </c>
      <c r="Z88" s="3">
        <f t="shared" si="20"/>
        <v>0</v>
      </c>
      <c r="AA88">
        <f>ROUND(IF(FALSE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,0)</f>
        <v>117478</v>
      </c>
    </row>
    <row r="89" spans="1:27">
      <c r="A89" s="30">
        <f>84</f>
        <v>84</v>
      </c>
      <c r="B89" s="31">
        <f>EDATE(入力!$B$6,A89-1)</f>
        <v>48761</v>
      </c>
      <c r="C89" s="32">
        <f t="shared" si="21"/>
        <v>29240330</v>
      </c>
      <c r="D89" s="32">
        <f t="shared" si="22"/>
        <v>0</v>
      </c>
      <c r="E89" s="33">
        <f>IF(AND(T88="",A89&lt;=S88),IF(A89&lt;入力!$B$11,入力!$B$10,入力!$B$12),0)</f>
        <v>2.5000000000000001E-2</v>
      </c>
      <c r="F89" s="32">
        <f t="shared" si="23"/>
        <v>60917</v>
      </c>
      <c r="G89" s="32">
        <f>ROUND(IF(NOT(AND(T88="",A89&lt;=S88)),0,IF(FALSE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),0)</f>
        <v>117478</v>
      </c>
      <c r="H89" s="32">
        <f t="shared" si="24"/>
        <v>117478</v>
      </c>
      <c r="I89" s="32">
        <f t="shared" si="25"/>
        <v>60917</v>
      </c>
      <c r="J89" s="32">
        <f t="shared" si="26"/>
        <v>0</v>
      </c>
      <c r="K89" s="32">
        <f t="shared" si="27"/>
        <v>0</v>
      </c>
      <c r="L89" s="32">
        <f t="shared" si="28"/>
        <v>56561</v>
      </c>
      <c r="M89" s="32">
        <f>IF(AND(AND(T88="",A89&lt;=S88),A89=入力!$B$15),ROUND(MIN(入力!$B$16,MAX(0,C89-L89)),0),0)</f>
        <v>0</v>
      </c>
      <c r="N89" s="32">
        <f t="shared" si="29"/>
        <v>29183769</v>
      </c>
      <c r="O89" s="32">
        <f t="shared" si="30"/>
        <v>2642161</v>
      </c>
      <c r="P89" s="34" t="str">
        <f>IF(NOT(AND(T88="",A89&lt;=S88)),"",IF(FALSE,"繰上返済後再計算","")&amp;IF(AND(入力!$B$13="有効",A89&gt;1,MOD(A89-1,60)=0),IF(FALSE,"・","")&amp;"5年見直し","")&amp;IF(AND(A89=入力!$B$11,A89&gt;1),IF(OR(FALSE,AND(入力!$B$13="有効",A89&gt;1,MOD(A89-1,60)=0)),"・","")&amp;"金利変更","")&amp;IF(AND(OR(AND(入力!$B$13="有効",A89&gt;1,MOD(A89-1,60)=0),AND(A89=入力!$B$11,A89&gt;1)),入力!$B$14="有効",IF(E89=0,ROUND(C89/MAX(1,S88-A89+1),0),ROUND(-PMT(E89/12,MAX(1,S88-A89+1),C89),0))&gt;ROUND(G88*1.25,0),NOT(FALSE)),"・上限適用",""))</f>
        <v/>
      </c>
      <c r="Q89" s="35" t="str">
        <f>IF(AND(T88="",A89&lt;=S88),入力!$B$13,"")</f>
        <v>有効</v>
      </c>
      <c r="R89" s="32" t="str">
        <f>IF(AND(AND(T88="",A89&lt;=S88),OR(AND(入力!$B$13="有効",A89&gt;1,MOD(A89-1,60)=0),AND(A89=入力!$B$11,A89&gt;1)),入力!$B$14="有効"),ROUND(G88*1.25,0),"")</f>
        <v/>
      </c>
      <c r="S89" s="36">
        <f>IF(A89&lt;&gt;入力!$B$15,S88,IF(K89&lt;&gt;0,S88,IF(G89&lt;=F89,S88,IF(M89&lt;=0,S88,IF(AND(N89&gt;0,E89&gt;0,G89&lt;=N89*E89/12),S88,IF(A89+IF(N89=0,0,IF(E89=0,ROUNDUP(N89/G89,0),ROUNDUP(NPER(E89/12,-G89,N89),0)))&lt;S88,A89+IF(N89=0,0,IF(E89=0,ROUNDUP(N89/G89,0),ROUNDUP(NPER(E89/12,-G89,N89),0))),S88))))))</f>
        <v>420</v>
      </c>
      <c r="T89" s="35" t="str">
        <f t="shared" si="31"/>
        <v/>
      </c>
      <c r="U89" s="3">
        <f t="shared" si="16"/>
        <v>0</v>
      </c>
      <c r="V89" s="3">
        <f t="shared" si="17"/>
        <v>0</v>
      </c>
      <c r="W89" s="3">
        <f t="shared" si="18"/>
        <v>0</v>
      </c>
      <c r="X89" s="3">
        <f t="shared" si="19"/>
        <v>0</v>
      </c>
      <c r="Y89" s="3">
        <f>0</f>
        <v>0</v>
      </c>
      <c r="Z89" s="3">
        <f t="shared" si="20"/>
        <v>0</v>
      </c>
      <c r="AA89">
        <f>ROUND(IF(FALSE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,0)</f>
        <v>117478</v>
      </c>
    </row>
    <row r="90" spans="1:27">
      <c r="A90" s="30">
        <f>85</f>
        <v>85</v>
      </c>
      <c r="B90" s="31">
        <f>EDATE(入力!$B$6,A90-1)</f>
        <v>48792</v>
      </c>
      <c r="C90" s="32">
        <f t="shared" si="21"/>
        <v>29183769</v>
      </c>
      <c r="D90" s="32">
        <f t="shared" si="22"/>
        <v>0</v>
      </c>
      <c r="E90" s="33">
        <f>IF(AND(T89="",A90&lt;=S89),IF(A90&lt;入力!$B$11,入力!$B$10,入力!$B$12),0)</f>
        <v>2.5000000000000001E-2</v>
      </c>
      <c r="F90" s="32">
        <f t="shared" si="23"/>
        <v>60800</v>
      </c>
      <c r="G90" s="32">
        <f>ROUND(IF(NOT(AND(T89="",A90&lt;=S89)),0,IF(FALSE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),0)</f>
        <v>117478</v>
      </c>
      <c r="H90" s="32">
        <f t="shared" si="24"/>
        <v>117478</v>
      </c>
      <c r="I90" s="32">
        <f t="shared" si="25"/>
        <v>60800</v>
      </c>
      <c r="J90" s="32">
        <f t="shared" si="26"/>
        <v>0</v>
      </c>
      <c r="K90" s="32">
        <f t="shared" si="27"/>
        <v>0</v>
      </c>
      <c r="L90" s="32">
        <f t="shared" si="28"/>
        <v>56678</v>
      </c>
      <c r="M90" s="32">
        <f>IF(AND(AND(T89="",A90&lt;=S89),A90=入力!$B$15),ROUND(MIN(入力!$B$16,MAX(0,C90-L90)),0),0)</f>
        <v>0</v>
      </c>
      <c r="N90" s="32">
        <f t="shared" si="29"/>
        <v>29127091</v>
      </c>
      <c r="O90" s="32">
        <f t="shared" si="30"/>
        <v>2702961</v>
      </c>
      <c r="P90" s="34" t="str">
        <f>IF(NOT(AND(T89="",A90&lt;=S89)),"",IF(FALSE,"繰上返済後再計算","")&amp;IF(AND(入力!$B$13="有効",A90&gt;1,MOD(A90-1,60)=0),IF(FALSE,"・","")&amp;"5年見直し","")&amp;IF(AND(A90=入力!$B$11,A90&gt;1),IF(OR(FALSE,AND(入力!$B$13="有効",A90&gt;1,MOD(A90-1,60)=0)),"・","")&amp;"金利変更","")&amp;IF(AND(OR(AND(入力!$B$13="有効",A90&gt;1,MOD(A90-1,60)=0),AND(A90=入力!$B$11,A90&gt;1)),入力!$B$14="有効",IF(E90=0,ROUND(C90/MAX(1,S89-A90+1),0),ROUND(-PMT(E90/12,MAX(1,S89-A90+1),C90),0))&gt;ROUND(G89*1.25,0),NOT(FALSE)),"・上限適用",""))</f>
        <v/>
      </c>
      <c r="Q90" s="35" t="str">
        <f>IF(AND(T89="",A90&lt;=S89),入力!$B$13,"")</f>
        <v>有効</v>
      </c>
      <c r="R90" s="32" t="str">
        <f>IF(AND(AND(T89="",A90&lt;=S89),OR(AND(入力!$B$13="有効",A90&gt;1,MOD(A90-1,60)=0),AND(A90=入力!$B$11,A90&gt;1)),入力!$B$14="有効"),ROUND(G89*1.25,0),"")</f>
        <v/>
      </c>
      <c r="S90" s="36">
        <f>IF(A90&lt;&gt;入力!$B$15,S89,IF(K90&lt;&gt;0,S89,IF(G90&lt;=F90,S89,IF(M90&lt;=0,S89,IF(AND(N90&gt;0,E90&gt;0,G90&lt;=N90*E90/12),S89,IF(A90+IF(N90=0,0,IF(E90=0,ROUNDUP(N90/G90,0),ROUNDUP(NPER(E90/12,-G90,N90),0)))&lt;S89,A90+IF(N90=0,0,IF(E90=0,ROUNDUP(N90/G90,0),ROUNDUP(NPER(E90/12,-G90,N90),0))),S89))))))</f>
        <v>420</v>
      </c>
      <c r="T90" s="35" t="str">
        <f t="shared" si="31"/>
        <v/>
      </c>
      <c r="U90" s="3">
        <f t="shared" si="16"/>
        <v>0</v>
      </c>
      <c r="V90" s="3">
        <f t="shared" si="17"/>
        <v>0</v>
      </c>
      <c r="W90" s="3">
        <f t="shared" si="18"/>
        <v>0</v>
      </c>
      <c r="X90" s="3">
        <f t="shared" si="19"/>
        <v>0</v>
      </c>
      <c r="Y90" s="3">
        <f>0</f>
        <v>0</v>
      </c>
      <c r="Z90" s="3">
        <f t="shared" si="20"/>
        <v>0</v>
      </c>
      <c r="AA90">
        <f>ROUND(IF(FALSE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,0)</f>
        <v>117478</v>
      </c>
    </row>
    <row r="91" spans="1:27">
      <c r="A91" s="30">
        <f>86</f>
        <v>86</v>
      </c>
      <c r="B91" s="31">
        <f>EDATE(入力!$B$6,A91-1)</f>
        <v>48823</v>
      </c>
      <c r="C91" s="32">
        <f t="shared" si="21"/>
        <v>29127091</v>
      </c>
      <c r="D91" s="32">
        <f t="shared" si="22"/>
        <v>0</v>
      </c>
      <c r="E91" s="33">
        <f>IF(AND(T90="",A91&lt;=S90),IF(A91&lt;入力!$B$11,入力!$B$10,入力!$B$12),0)</f>
        <v>2.5000000000000001E-2</v>
      </c>
      <c r="F91" s="32">
        <f t="shared" si="23"/>
        <v>60681</v>
      </c>
      <c r="G91" s="32">
        <f>ROUND(IF(NOT(AND(T90="",A91&lt;=S90)),0,IF(FALSE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),0)</f>
        <v>117478</v>
      </c>
      <c r="H91" s="32">
        <f t="shared" si="24"/>
        <v>117478</v>
      </c>
      <c r="I91" s="32">
        <f t="shared" si="25"/>
        <v>60681</v>
      </c>
      <c r="J91" s="32">
        <f t="shared" si="26"/>
        <v>0</v>
      </c>
      <c r="K91" s="32">
        <f t="shared" si="27"/>
        <v>0</v>
      </c>
      <c r="L91" s="32">
        <f t="shared" si="28"/>
        <v>56797</v>
      </c>
      <c r="M91" s="32">
        <f>IF(AND(AND(T90="",A91&lt;=S90),A91=入力!$B$15),ROUND(MIN(入力!$B$16,MAX(0,C91-L91)),0),0)</f>
        <v>0</v>
      </c>
      <c r="N91" s="32">
        <f t="shared" si="29"/>
        <v>29070294</v>
      </c>
      <c r="O91" s="32">
        <f t="shared" si="30"/>
        <v>2763642</v>
      </c>
      <c r="P91" s="34" t="str">
        <f>IF(NOT(AND(T90="",A91&lt;=S90)),"",IF(FALSE,"繰上返済後再計算","")&amp;IF(AND(入力!$B$13="有効",A91&gt;1,MOD(A91-1,60)=0),IF(FALSE,"・","")&amp;"5年見直し","")&amp;IF(AND(A91=入力!$B$11,A91&gt;1),IF(OR(FALSE,AND(入力!$B$13="有効",A91&gt;1,MOD(A91-1,60)=0)),"・","")&amp;"金利変更","")&amp;IF(AND(OR(AND(入力!$B$13="有効",A91&gt;1,MOD(A91-1,60)=0),AND(A91=入力!$B$11,A91&gt;1)),入力!$B$14="有効",IF(E91=0,ROUND(C91/MAX(1,S90-A91+1),0),ROUND(-PMT(E91/12,MAX(1,S90-A91+1),C91),0))&gt;ROUND(G90*1.25,0),NOT(FALSE)),"・上限適用",""))</f>
        <v/>
      </c>
      <c r="Q91" s="35" t="str">
        <f>IF(AND(T90="",A91&lt;=S90),入力!$B$13,"")</f>
        <v>有効</v>
      </c>
      <c r="R91" s="32" t="str">
        <f>IF(AND(AND(T90="",A91&lt;=S90),OR(AND(入力!$B$13="有効",A91&gt;1,MOD(A91-1,60)=0),AND(A91=入力!$B$11,A91&gt;1)),入力!$B$14="有効"),ROUND(G90*1.25,0),"")</f>
        <v/>
      </c>
      <c r="S91" s="36">
        <f>IF(A91&lt;&gt;入力!$B$15,S90,IF(K91&lt;&gt;0,S90,IF(G91&lt;=F91,S90,IF(M91&lt;=0,S90,IF(AND(N91&gt;0,E91&gt;0,G91&lt;=N91*E91/12),S90,IF(A91+IF(N91=0,0,IF(E91=0,ROUNDUP(N91/G91,0),ROUNDUP(NPER(E91/12,-G91,N91),0)))&lt;S90,A91+IF(N91=0,0,IF(E91=0,ROUNDUP(N91/G91,0),ROUNDUP(NPER(E91/12,-G91,N91),0))),S90))))))</f>
        <v>420</v>
      </c>
      <c r="T91" s="35" t="str">
        <f t="shared" si="31"/>
        <v/>
      </c>
      <c r="U91" s="3">
        <f t="shared" si="16"/>
        <v>0</v>
      </c>
      <c r="V91" s="3">
        <f t="shared" si="17"/>
        <v>0</v>
      </c>
      <c r="W91" s="3">
        <f t="shared" si="18"/>
        <v>0</v>
      </c>
      <c r="X91" s="3">
        <f t="shared" si="19"/>
        <v>0</v>
      </c>
      <c r="Y91" s="3">
        <f>0</f>
        <v>0</v>
      </c>
      <c r="Z91" s="3">
        <f t="shared" si="20"/>
        <v>0</v>
      </c>
      <c r="AA91">
        <f>ROUND(IF(FALSE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,0)</f>
        <v>117478</v>
      </c>
    </row>
    <row r="92" spans="1:27">
      <c r="A92" s="30">
        <f>87</f>
        <v>87</v>
      </c>
      <c r="B92" s="31">
        <f>EDATE(入力!$B$6,A92-1)</f>
        <v>48853</v>
      </c>
      <c r="C92" s="32">
        <f t="shared" si="21"/>
        <v>29070294</v>
      </c>
      <c r="D92" s="32">
        <f t="shared" si="22"/>
        <v>0</v>
      </c>
      <c r="E92" s="33">
        <f>IF(AND(T91="",A92&lt;=S91),IF(A92&lt;入力!$B$11,入力!$B$10,入力!$B$12),0)</f>
        <v>2.5000000000000001E-2</v>
      </c>
      <c r="F92" s="32">
        <f t="shared" si="23"/>
        <v>60563</v>
      </c>
      <c r="G92" s="32">
        <f>ROUND(IF(NOT(AND(T91="",A92&lt;=S91)),0,IF(FALSE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),0)</f>
        <v>117478</v>
      </c>
      <c r="H92" s="32">
        <f t="shared" si="24"/>
        <v>117478</v>
      </c>
      <c r="I92" s="32">
        <f t="shared" si="25"/>
        <v>60563</v>
      </c>
      <c r="J92" s="32">
        <f t="shared" si="26"/>
        <v>0</v>
      </c>
      <c r="K92" s="32">
        <f t="shared" si="27"/>
        <v>0</v>
      </c>
      <c r="L92" s="32">
        <f t="shared" si="28"/>
        <v>56915</v>
      </c>
      <c r="M92" s="32">
        <f>IF(AND(AND(T91="",A92&lt;=S91),A92=入力!$B$15),ROUND(MIN(入力!$B$16,MAX(0,C92-L92)),0),0)</f>
        <v>0</v>
      </c>
      <c r="N92" s="32">
        <f t="shared" si="29"/>
        <v>29013379</v>
      </c>
      <c r="O92" s="32">
        <f t="shared" si="30"/>
        <v>2824205</v>
      </c>
      <c r="P92" s="34" t="str">
        <f>IF(NOT(AND(T91="",A92&lt;=S91)),"",IF(FALSE,"繰上返済後再計算","")&amp;IF(AND(入力!$B$13="有効",A92&gt;1,MOD(A92-1,60)=0),IF(FALSE,"・","")&amp;"5年見直し","")&amp;IF(AND(A92=入力!$B$11,A92&gt;1),IF(OR(FALSE,AND(入力!$B$13="有効",A92&gt;1,MOD(A92-1,60)=0)),"・","")&amp;"金利変更","")&amp;IF(AND(OR(AND(入力!$B$13="有効",A92&gt;1,MOD(A92-1,60)=0),AND(A92=入力!$B$11,A92&gt;1)),入力!$B$14="有効",IF(E92=0,ROUND(C92/MAX(1,S91-A92+1),0),ROUND(-PMT(E92/12,MAX(1,S91-A92+1),C92),0))&gt;ROUND(G91*1.25,0),NOT(FALSE)),"・上限適用",""))</f>
        <v/>
      </c>
      <c r="Q92" s="35" t="str">
        <f>IF(AND(T91="",A92&lt;=S91),入力!$B$13,"")</f>
        <v>有効</v>
      </c>
      <c r="R92" s="32" t="str">
        <f>IF(AND(AND(T91="",A92&lt;=S91),OR(AND(入力!$B$13="有効",A92&gt;1,MOD(A92-1,60)=0),AND(A92=入力!$B$11,A92&gt;1)),入力!$B$14="有効"),ROUND(G91*1.25,0),"")</f>
        <v/>
      </c>
      <c r="S92" s="36">
        <f>IF(A92&lt;&gt;入力!$B$15,S91,IF(K92&lt;&gt;0,S91,IF(G92&lt;=F92,S91,IF(M92&lt;=0,S91,IF(AND(N92&gt;0,E92&gt;0,G92&lt;=N92*E92/12),S91,IF(A92+IF(N92=0,0,IF(E92=0,ROUNDUP(N92/G92,0),ROUNDUP(NPER(E92/12,-G92,N92),0)))&lt;S91,A92+IF(N92=0,0,IF(E92=0,ROUNDUP(N92/G92,0),ROUNDUP(NPER(E92/12,-G92,N92),0))),S91))))))</f>
        <v>420</v>
      </c>
      <c r="T92" s="35" t="str">
        <f t="shared" si="31"/>
        <v/>
      </c>
      <c r="U92" s="3">
        <f t="shared" si="16"/>
        <v>0</v>
      </c>
      <c r="V92" s="3">
        <f t="shared" si="17"/>
        <v>0</v>
      </c>
      <c r="W92" s="3">
        <f t="shared" si="18"/>
        <v>0</v>
      </c>
      <c r="X92" s="3">
        <f t="shared" si="19"/>
        <v>0</v>
      </c>
      <c r="Y92" s="3">
        <f>0</f>
        <v>0</v>
      </c>
      <c r="Z92" s="3">
        <f t="shared" si="20"/>
        <v>0</v>
      </c>
      <c r="AA92">
        <f>ROUND(IF(FALSE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,0)</f>
        <v>117478</v>
      </c>
    </row>
    <row r="93" spans="1:27">
      <c r="A93" s="30">
        <f>88</f>
        <v>88</v>
      </c>
      <c r="B93" s="31">
        <f>EDATE(入力!$B$6,A93-1)</f>
        <v>48884</v>
      </c>
      <c r="C93" s="32">
        <f t="shared" si="21"/>
        <v>29013379</v>
      </c>
      <c r="D93" s="32">
        <f t="shared" si="22"/>
        <v>0</v>
      </c>
      <c r="E93" s="33">
        <f>IF(AND(T92="",A93&lt;=S92),IF(A93&lt;入力!$B$11,入力!$B$10,入力!$B$12),0)</f>
        <v>2.5000000000000001E-2</v>
      </c>
      <c r="F93" s="32">
        <f t="shared" si="23"/>
        <v>60445</v>
      </c>
      <c r="G93" s="32">
        <f>ROUND(IF(NOT(AND(T92="",A93&lt;=S92)),0,IF(FALSE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),0)</f>
        <v>117478</v>
      </c>
      <c r="H93" s="32">
        <f t="shared" si="24"/>
        <v>117478</v>
      </c>
      <c r="I93" s="32">
        <f t="shared" si="25"/>
        <v>60445</v>
      </c>
      <c r="J93" s="32">
        <f t="shared" si="26"/>
        <v>0</v>
      </c>
      <c r="K93" s="32">
        <f t="shared" si="27"/>
        <v>0</v>
      </c>
      <c r="L93" s="32">
        <f t="shared" si="28"/>
        <v>57033</v>
      </c>
      <c r="M93" s="32">
        <f>IF(AND(AND(T92="",A93&lt;=S92),A93=入力!$B$15),ROUND(MIN(入力!$B$16,MAX(0,C93-L93)),0),0)</f>
        <v>0</v>
      </c>
      <c r="N93" s="32">
        <f t="shared" si="29"/>
        <v>28956346</v>
      </c>
      <c r="O93" s="32">
        <f t="shared" si="30"/>
        <v>2884650</v>
      </c>
      <c r="P93" s="34" t="str">
        <f>IF(NOT(AND(T92="",A93&lt;=S92)),"",IF(FALSE,"繰上返済後再計算","")&amp;IF(AND(入力!$B$13="有効",A93&gt;1,MOD(A93-1,60)=0),IF(FALSE,"・","")&amp;"5年見直し","")&amp;IF(AND(A93=入力!$B$11,A93&gt;1),IF(OR(FALSE,AND(入力!$B$13="有効",A93&gt;1,MOD(A93-1,60)=0)),"・","")&amp;"金利変更","")&amp;IF(AND(OR(AND(入力!$B$13="有効",A93&gt;1,MOD(A93-1,60)=0),AND(A93=入力!$B$11,A93&gt;1)),入力!$B$14="有効",IF(E93=0,ROUND(C93/MAX(1,S92-A93+1),0),ROUND(-PMT(E93/12,MAX(1,S92-A93+1),C93),0))&gt;ROUND(G92*1.25,0),NOT(FALSE)),"・上限適用",""))</f>
        <v/>
      </c>
      <c r="Q93" s="35" t="str">
        <f>IF(AND(T92="",A93&lt;=S92),入力!$B$13,"")</f>
        <v>有効</v>
      </c>
      <c r="R93" s="32" t="str">
        <f>IF(AND(AND(T92="",A93&lt;=S92),OR(AND(入力!$B$13="有効",A93&gt;1,MOD(A93-1,60)=0),AND(A93=入力!$B$11,A93&gt;1)),入力!$B$14="有効"),ROUND(G92*1.25,0),"")</f>
        <v/>
      </c>
      <c r="S93" s="36">
        <f>IF(A93&lt;&gt;入力!$B$15,S92,IF(K93&lt;&gt;0,S92,IF(G93&lt;=F93,S92,IF(M93&lt;=0,S92,IF(AND(N93&gt;0,E93&gt;0,G93&lt;=N93*E93/12),S92,IF(A93+IF(N93=0,0,IF(E93=0,ROUNDUP(N93/G93,0),ROUNDUP(NPER(E93/12,-G93,N93),0)))&lt;S92,A93+IF(N93=0,0,IF(E93=0,ROUNDUP(N93/G93,0),ROUNDUP(NPER(E93/12,-G93,N93),0))),S92))))))</f>
        <v>420</v>
      </c>
      <c r="T93" s="35" t="str">
        <f t="shared" si="31"/>
        <v/>
      </c>
      <c r="U93" s="3">
        <f t="shared" si="16"/>
        <v>0</v>
      </c>
      <c r="V93" s="3">
        <f t="shared" si="17"/>
        <v>0</v>
      </c>
      <c r="W93" s="3">
        <f t="shared" si="18"/>
        <v>0</v>
      </c>
      <c r="X93" s="3">
        <f t="shared" si="19"/>
        <v>0</v>
      </c>
      <c r="Y93" s="3">
        <f>0</f>
        <v>0</v>
      </c>
      <c r="Z93" s="3">
        <f t="shared" si="20"/>
        <v>0</v>
      </c>
      <c r="AA93">
        <f>ROUND(IF(FALSE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,0)</f>
        <v>117478</v>
      </c>
    </row>
    <row r="94" spans="1:27">
      <c r="A94" s="30">
        <f>89</f>
        <v>89</v>
      </c>
      <c r="B94" s="31">
        <f>EDATE(入力!$B$6,A94-1)</f>
        <v>48914</v>
      </c>
      <c r="C94" s="32">
        <f t="shared" si="21"/>
        <v>28956346</v>
      </c>
      <c r="D94" s="32">
        <f t="shared" si="22"/>
        <v>0</v>
      </c>
      <c r="E94" s="33">
        <f>IF(AND(T93="",A94&lt;=S93),IF(A94&lt;入力!$B$11,入力!$B$10,入力!$B$12),0)</f>
        <v>2.5000000000000001E-2</v>
      </c>
      <c r="F94" s="32">
        <f t="shared" si="23"/>
        <v>60326</v>
      </c>
      <c r="G94" s="32">
        <f>ROUND(IF(NOT(AND(T93="",A94&lt;=S93)),0,IF(FALSE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),0)</f>
        <v>117478</v>
      </c>
      <c r="H94" s="32">
        <f t="shared" si="24"/>
        <v>117478</v>
      </c>
      <c r="I94" s="32">
        <f t="shared" si="25"/>
        <v>60326</v>
      </c>
      <c r="J94" s="32">
        <f t="shared" si="26"/>
        <v>0</v>
      </c>
      <c r="K94" s="32">
        <f t="shared" si="27"/>
        <v>0</v>
      </c>
      <c r="L94" s="32">
        <f t="shared" si="28"/>
        <v>57152</v>
      </c>
      <c r="M94" s="32">
        <f>IF(AND(AND(T93="",A94&lt;=S93),A94=入力!$B$15),ROUND(MIN(入力!$B$16,MAX(0,C94-L94)),0),0)</f>
        <v>0</v>
      </c>
      <c r="N94" s="32">
        <f t="shared" si="29"/>
        <v>28899194</v>
      </c>
      <c r="O94" s="32">
        <f t="shared" si="30"/>
        <v>2944976</v>
      </c>
      <c r="P94" s="34" t="str">
        <f>IF(NOT(AND(T93="",A94&lt;=S93)),"",IF(FALSE,"繰上返済後再計算","")&amp;IF(AND(入力!$B$13="有効",A94&gt;1,MOD(A94-1,60)=0),IF(FALSE,"・","")&amp;"5年見直し","")&amp;IF(AND(A94=入力!$B$11,A94&gt;1),IF(OR(FALSE,AND(入力!$B$13="有効",A94&gt;1,MOD(A94-1,60)=0)),"・","")&amp;"金利変更","")&amp;IF(AND(OR(AND(入力!$B$13="有効",A94&gt;1,MOD(A94-1,60)=0),AND(A94=入力!$B$11,A94&gt;1)),入力!$B$14="有効",IF(E94=0,ROUND(C94/MAX(1,S93-A94+1),0),ROUND(-PMT(E94/12,MAX(1,S93-A94+1),C94),0))&gt;ROUND(G93*1.25,0),NOT(FALSE)),"・上限適用",""))</f>
        <v/>
      </c>
      <c r="Q94" s="35" t="str">
        <f>IF(AND(T93="",A94&lt;=S93),入力!$B$13,"")</f>
        <v>有効</v>
      </c>
      <c r="R94" s="32" t="str">
        <f>IF(AND(AND(T93="",A94&lt;=S93),OR(AND(入力!$B$13="有効",A94&gt;1,MOD(A94-1,60)=0),AND(A94=入力!$B$11,A94&gt;1)),入力!$B$14="有効"),ROUND(G93*1.25,0),"")</f>
        <v/>
      </c>
      <c r="S94" s="36">
        <f>IF(A94&lt;&gt;入力!$B$15,S93,IF(K94&lt;&gt;0,S93,IF(G94&lt;=F94,S93,IF(M94&lt;=0,S93,IF(AND(N94&gt;0,E94&gt;0,G94&lt;=N94*E94/12),S93,IF(A94+IF(N94=0,0,IF(E94=0,ROUNDUP(N94/G94,0),ROUNDUP(NPER(E94/12,-G94,N94),0)))&lt;S93,A94+IF(N94=0,0,IF(E94=0,ROUNDUP(N94/G94,0),ROUNDUP(NPER(E94/12,-G94,N94),0))),S93))))))</f>
        <v>420</v>
      </c>
      <c r="T94" s="35" t="str">
        <f t="shared" si="31"/>
        <v/>
      </c>
      <c r="U94" s="3">
        <f t="shared" si="16"/>
        <v>0</v>
      </c>
      <c r="V94" s="3">
        <f t="shared" si="17"/>
        <v>0</v>
      </c>
      <c r="W94" s="3">
        <f t="shared" si="18"/>
        <v>0</v>
      </c>
      <c r="X94" s="3">
        <f t="shared" si="19"/>
        <v>0</v>
      </c>
      <c r="Y94" s="3">
        <f>0</f>
        <v>0</v>
      </c>
      <c r="Z94" s="3">
        <f t="shared" si="20"/>
        <v>0</v>
      </c>
      <c r="AA94">
        <f>ROUND(IF(FALSE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,0)</f>
        <v>117478</v>
      </c>
    </row>
    <row r="95" spans="1:27">
      <c r="A95" s="30">
        <f>90</f>
        <v>90</v>
      </c>
      <c r="B95" s="31">
        <f>EDATE(入力!$B$6,A95-1)</f>
        <v>48945</v>
      </c>
      <c r="C95" s="32">
        <f t="shared" si="21"/>
        <v>28899194</v>
      </c>
      <c r="D95" s="32">
        <f t="shared" si="22"/>
        <v>0</v>
      </c>
      <c r="E95" s="33">
        <f>IF(AND(T94="",A95&lt;=S94),IF(A95&lt;入力!$B$11,入力!$B$10,入力!$B$12),0)</f>
        <v>2.5000000000000001E-2</v>
      </c>
      <c r="F95" s="32">
        <f t="shared" si="23"/>
        <v>60207</v>
      </c>
      <c r="G95" s="32">
        <f>ROUND(IF(NOT(AND(T94="",A95&lt;=S94)),0,IF(FALSE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),0)</f>
        <v>117478</v>
      </c>
      <c r="H95" s="32">
        <f t="shared" si="24"/>
        <v>117478</v>
      </c>
      <c r="I95" s="32">
        <f t="shared" si="25"/>
        <v>60207</v>
      </c>
      <c r="J95" s="32">
        <f t="shared" si="26"/>
        <v>0</v>
      </c>
      <c r="K95" s="32">
        <f t="shared" si="27"/>
        <v>0</v>
      </c>
      <c r="L95" s="32">
        <f t="shared" si="28"/>
        <v>57271</v>
      </c>
      <c r="M95" s="32">
        <f>IF(AND(AND(T94="",A95&lt;=S94),A95=入力!$B$15),ROUND(MIN(入力!$B$16,MAX(0,C95-L95)),0),0)</f>
        <v>0</v>
      </c>
      <c r="N95" s="32">
        <f t="shared" si="29"/>
        <v>28841923</v>
      </c>
      <c r="O95" s="32">
        <f t="shared" si="30"/>
        <v>3005183</v>
      </c>
      <c r="P95" s="34" t="str">
        <f>IF(NOT(AND(T94="",A95&lt;=S94)),"",IF(FALSE,"繰上返済後再計算","")&amp;IF(AND(入力!$B$13="有効",A95&gt;1,MOD(A95-1,60)=0),IF(FALSE,"・","")&amp;"5年見直し","")&amp;IF(AND(A95=入力!$B$11,A95&gt;1),IF(OR(FALSE,AND(入力!$B$13="有効",A95&gt;1,MOD(A95-1,60)=0)),"・","")&amp;"金利変更","")&amp;IF(AND(OR(AND(入力!$B$13="有効",A95&gt;1,MOD(A95-1,60)=0),AND(A95=入力!$B$11,A95&gt;1)),入力!$B$14="有効",IF(E95=0,ROUND(C95/MAX(1,S94-A95+1),0),ROUND(-PMT(E95/12,MAX(1,S94-A95+1),C95),0))&gt;ROUND(G94*1.25,0),NOT(FALSE)),"・上限適用",""))</f>
        <v/>
      </c>
      <c r="Q95" s="35" t="str">
        <f>IF(AND(T94="",A95&lt;=S94),入力!$B$13,"")</f>
        <v>有効</v>
      </c>
      <c r="R95" s="32" t="str">
        <f>IF(AND(AND(T94="",A95&lt;=S94),OR(AND(入力!$B$13="有効",A95&gt;1,MOD(A95-1,60)=0),AND(A95=入力!$B$11,A95&gt;1)),入力!$B$14="有効"),ROUND(G94*1.25,0),"")</f>
        <v/>
      </c>
      <c r="S95" s="36">
        <f>IF(A95&lt;&gt;入力!$B$15,S94,IF(K95&lt;&gt;0,S94,IF(G95&lt;=F95,S94,IF(M95&lt;=0,S94,IF(AND(N95&gt;0,E95&gt;0,G95&lt;=N95*E95/12),S94,IF(A95+IF(N95=0,0,IF(E95=0,ROUNDUP(N95/G95,0),ROUNDUP(NPER(E95/12,-G95,N95),0)))&lt;S94,A95+IF(N95=0,0,IF(E95=0,ROUNDUP(N95/G95,0),ROUNDUP(NPER(E95/12,-G95,N95),0))),S94))))))</f>
        <v>420</v>
      </c>
      <c r="T95" s="35" t="str">
        <f t="shared" si="31"/>
        <v/>
      </c>
      <c r="U95" s="3">
        <f t="shared" si="16"/>
        <v>0</v>
      </c>
      <c r="V95" s="3">
        <f t="shared" si="17"/>
        <v>0</v>
      </c>
      <c r="W95" s="3">
        <f t="shared" si="18"/>
        <v>0</v>
      </c>
      <c r="X95" s="3">
        <f t="shared" si="19"/>
        <v>0</v>
      </c>
      <c r="Y95" s="3">
        <f>0</f>
        <v>0</v>
      </c>
      <c r="Z95" s="3">
        <f t="shared" si="20"/>
        <v>0</v>
      </c>
      <c r="AA95">
        <f>ROUND(IF(FALSE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,0)</f>
        <v>117478</v>
      </c>
    </row>
    <row r="96" spans="1:27">
      <c r="A96" s="30">
        <f>91</f>
        <v>91</v>
      </c>
      <c r="B96" s="31">
        <f>EDATE(入力!$B$6,A96-1)</f>
        <v>48976</v>
      </c>
      <c r="C96" s="32">
        <f t="shared" si="21"/>
        <v>28841923</v>
      </c>
      <c r="D96" s="32">
        <f t="shared" si="22"/>
        <v>0</v>
      </c>
      <c r="E96" s="33">
        <f>IF(AND(T95="",A96&lt;=S95),IF(A96&lt;入力!$B$11,入力!$B$10,入力!$B$12),0)</f>
        <v>2.5000000000000001E-2</v>
      </c>
      <c r="F96" s="32">
        <f t="shared" si="23"/>
        <v>60087</v>
      </c>
      <c r="G96" s="32">
        <f>ROUND(IF(NOT(AND(T95="",A96&lt;=S95)),0,IF(FALSE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),0)</f>
        <v>117478</v>
      </c>
      <c r="H96" s="32">
        <f t="shared" si="24"/>
        <v>117478</v>
      </c>
      <c r="I96" s="32">
        <f t="shared" si="25"/>
        <v>60087</v>
      </c>
      <c r="J96" s="32">
        <f t="shared" si="26"/>
        <v>0</v>
      </c>
      <c r="K96" s="32">
        <f t="shared" si="27"/>
        <v>0</v>
      </c>
      <c r="L96" s="32">
        <f t="shared" si="28"/>
        <v>57391</v>
      </c>
      <c r="M96" s="32">
        <f>IF(AND(AND(T95="",A96&lt;=S95),A96=入力!$B$15),ROUND(MIN(入力!$B$16,MAX(0,C96-L96)),0),0)</f>
        <v>0</v>
      </c>
      <c r="N96" s="32">
        <f t="shared" si="29"/>
        <v>28784532</v>
      </c>
      <c r="O96" s="32">
        <f t="shared" si="30"/>
        <v>3065270</v>
      </c>
      <c r="P96" s="34" t="str">
        <f>IF(NOT(AND(T95="",A96&lt;=S95)),"",IF(FALSE,"繰上返済後再計算","")&amp;IF(AND(入力!$B$13="有効",A96&gt;1,MOD(A96-1,60)=0),IF(FALSE,"・","")&amp;"5年見直し","")&amp;IF(AND(A96=入力!$B$11,A96&gt;1),IF(OR(FALSE,AND(入力!$B$13="有効",A96&gt;1,MOD(A96-1,60)=0)),"・","")&amp;"金利変更","")&amp;IF(AND(OR(AND(入力!$B$13="有効",A96&gt;1,MOD(A96-1,60)=0),AND(A96=入力!$B$11,A96&gt;1)),入力!$B$14="有効",IF(E96=0,ROUND(C96/MAX(1,S95-A96+1),0),ROUND(-PMT(E96/12,MAX(1,S95-A96+1),C96),0))&gt;ROUND(G95*1.25,0),NOT(FALSE)),"・上限適用",""))</f>
        <v/>
      </c>
      <c r="Q96" s="35" t="str">
        <f>IF(AND(T95="",A96&lt;=S95),入力!$B$13,"")</f>
        <v>有効</v>
      </c>
      <c r="R96" s="32" t="str">
        <f>IF(AND(AND(T95="",A96&lt;=S95),OR(AND(入力!$B$13="有効",A96&gt;1,MOD(A96-1,60)=0),AND(A96=入力!$B$11,A96&gt;1)),入力!$B$14="有効"),ROUND(G95*1.25,0),"")</f>
        <v/>
      </c>
      <c r="S96" s="36">
        <f>IF(A96&lt;&gt;入力!$B$15,S95,IF(K96&lt;&gt;0,S95,IF(G96&lt;=F96,S95,IF(M96&lt;=0,S95,IF(AND(N96&gt;0,E96&gt;0,G96&lt;=N96*E96/12),S95,IF(A96+IF(N96=0,0,IF(E96=0,ROUNDUP(N96/G96,0),ROUNDUP(NPER(E96/12,-G96,N96),0)))&lt;S95,A96+IF(N96=0,0,IF(E96=0,ROUNDUP(N96/G96,0),ROUNDUP(NPER(E96/12,-G96,N96),0))),S95))))))</f>
        <v>420</v>
      </c>
      <c r="T96" s="35" t="str">
        <f t="shared" si="31"/>
        <v/>
      </c>
      <c r="U96" s="3">
        <f t="shared" si="16"/>
        <v>0</v>
      </c>
      <c r="V96" s="3">
        <f t="shared" si="17"/>
        <v>0</v>
      </c>
      <c r="W96" s="3">
        <f t="shared" si="18"/>
        <v>0</v>
      </c>
      <c r="X96" s="3">
        <f t="shared" si="19"/>
        <v>0</v>
      </c>
      <c r="Y96" s="3">
        <f>0</f>
        <v>0</v>
      </c>
      <c r="Z96" s="3">
        <f t="shared" si="20"/>
        <v>0</v>
      </c>
      <c r="AA96">
        <f>ROUND(IF(FALSE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,0)</f>
        <v>117478</v>
      </c>
    </row>
    <row r="97" spans="1:27">
      <c r="A97" s="30">
        <f>92</f>
        <v>92</v>
      </c>
      <c r="B97" s="31">
        <f>EDATE(入力!$B$6,A97-1)</f>
        <v>49004</v>
      </c>
      <c r="C97" s="32">
        <f t="shared" si="21"/>
        <v>28784532</v>
      </c>
      <c r="D97" s="32">
        <f t="shared" si="22"/>
        <v>0</v>
      </c>
      <c r="E97" s="33">
        <f>IF(AND(T96="",A97&lt;=S96),IF(A97&lt;入力!$B$11,入力!$B$10,入力!$B$12),0)</f>
        <v>2.5000000000000001E-2</v>
      </c>
      <c r="F97" s="32">
        <f t="shared" si="23"/>
        <v>59968</v>
      </c>
      <c r="G97" s="32">
        <f>ROUND(IF(NOT(AND(T96="",A97&lt;=S96)),0,IF(FALSE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),0)</f>
        <v>117478</v>
      </c>
      <c r="H97" s="32">
        <f t="shared" si="24"/>
        <v>117478</v>
      </c>
      <c r="I97" s="32">
        <f t="shared" si="25"/>
        <v>59968</v>
      </c>
      <c r="J97" s="32">
        <f t="shared" si="26"/>
        <v>0</v>
      </c>
      <c r="K97" s="32">
        <f t="shared" si="27"/>
        <v>0</v>
      </c>
      <c r="L97" s="32">
        <f t="shared" si="28"/>
        <v>57510</v>
      </c>
      <c r="M97" s="32">
        <f>IF(AND(AND(T96="",A97&lt;=S96),A97=入力!$B$15),ROUND(MIN(入力!$B$16,MAX(0,C97-L97)),0),0)</f>
        <v>0</v>
      </c>
      <c r="N97" s="32">
        <f t="shared" si="29"/>
        <v>28727022</v>
      </c>
      <c r="O97" s="32">
        <f t="shared" si="30"/>
        <v>3125238</v>
      </c>
      <c r="P97" s="34" t="str">
        <f>IF(NOT(AND(T96="",A97&lt;=S96)),"",IF(FALSE,"繰上返済後再計算","")&amp;IF(AND(入力!$B$13="有効",A97&gt;1,MOD(A97-1,60)=0),IF(FALSE,"・","")&amp;"5年見直し","")&amp;IF(AND(A97=入力!$B$11,A97&gt;1),IF(OR(FALSE,AND(入力!$B$13="有効",A97&gt;1,MOD(A97-1,60)=0)),"・","")&amp;"金利変更","")&amp;IF(AND(OR(AND(入力!$B$13="有効",A97&gt;1,MOD(A97-1,60)=0),AND(A97=入力!$B$11,A97&gt;1)),入力!$B$14="有効",IF(E97=0,ROUND(C97/MAX(1,S96-A97+1),0),ROUND(-PMT(E97/12,MAX(1,S96-A97+1),C97),0))&gt;ROUND(G96*1.25,0),NOT(FALSE)),"・上限適用",""))</f>
        <v/>
      </c>
      <c r="Q97" s="35" t="str">
        <f>IF(AND(T96="",A97&lt;=S96),入力!$B$13,"")</f>
        <v>有効</v>
      </c>
      <c r="R97" s="32" t="str">
        <f>IF(AND(AND(T96="",A97&lt;=S96),OR(AND(入力!$B$13="有効",A97&gt;1,MOD(A97-1,60)=0),AND(A97=入力!$B$11,A97&gt;1)),入力!$B$14="有効"),ROUND(G96*1.25,0),"")</f>
        <v/>
      </c>
      <c r="S97" s="36">
        <f>IF(A97&lt;&gt;入力!$B$15,S96,IF(K97&lt;&gt;0,S96,IF(G97&lt;=F97,S96,IF(M97&lt;=0,S96,IF(AND(N97&gt;0,E97&gt;0,G97&lt;=N97*E97/12),S96,IF(A97+IF(N97=0,0,IF(E97=0,ROUNDUP(N97/G97,0),ROUNDUP(NPER(E97/12,-G97,N97),0)))&lt;S96,A97+IF(N97=0,0,IF(E97=0,ROUNDUP(N97/G97,0),ROUNDUP(NPER(E97/12,-G97,N97),0))),S96))))))</f>
        <v>420</v>
      </c>
      <c r="T97" s="35" t="str">
        <f t="shared" si="31"/>
        <v/>
      </c>
      <c r="U97" s="3">
        <f t="shared" si="16"/>
        <v>0</v>
      </c>
      <c r="V97" s="3">
        <f t="shared" si="17"/>
        <v>0</v>
      </c>
      <c r="W97" s="3">
        <f t="shared" si="18"/>
        <v>0</v>
      </c>
      <c r="X97" s="3">
        <f t="shared" si="19"/>
        <v>0</v>
      </c>
      <c r="Y97" s="3">
        <f>0</f>
        <v>0</v>
      </c>
      <c r="Z97" s="3">
        <f t="shared" si="20"/>
        <v>0</v>
      </c>
      <c r="AA97">
        <f>ROUND(IF(FALSE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,0)</f>
        <v>117478</v>
      </c>
    </row>
    <row r="98" spans="1:27">
      <c r="A98" s="30">
        <f>93</f>
        <v>93</v>
      </c>
      <c r="B98" s="31">
        <f>EDATE(入力!$B$6,A98-1)</f>
        <v>49035</v>
      </c>
      <c r="C98" s="32">
        <f t="shared" si="21"/>
        <v>28727022</v>
      </c>
      <c r="D98" s="32">
        <f t="shared" si="22"/>
        <v>0</v>
      </c>
      <c r="E98" s="33">
        <f>IF(AND(T97="",A98&lt;=S97),IF(A98&lt;入力!$B$11,入力!$B$10,入力!$B$12),0)</f>
        <v>2.5000000000000001E-2</v>
      </c>
      <c r="F98" s="32">
        <f t="shared" si="23"/>
        <v>59848</v>
      </c>
      <c r="G98" s="32">
        <f>ROUND(IF(NOT(AND(T97="",A98&lt;=S97)),0,IF(FALSE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),0)</f>
        <v>117478</v>
      </c>
      <c r="H98" s="32">
        <f t="shared" si="24"/>
        <v>117478</v>
      </c>
      <c r="I98" s="32">
        <f t="shared" si="25"/>
        <v>59848</v>
      </c>
      <c r="J98" s="32">
        <f t="shared" si="26"/>
        <v>0</v>
      </c>
      <c r="K98" s="32">
        <f t="shared" si="27"/>
        <v>0</v>
      </c>
      <c r="L98" s="32">
        <f t="shared" si="28"/>
        <v>57630</v>
      </c>
      <c r="M98" s="32">
        <f>IF(AND(AND(T97="",A98&lt;=S97),A98=入力!$B$15),ROUND(MIN(入力!$B$16,MAX(0,C98-L98)),0),0)</f>
        <v>0</v>
      </c>
      <c r="N98" s="32">
        <f t="shared" si="29"/>
        <v>28669392</v>
      </c>
      <c r="O98" s="32">
        <f t="shared" si="30"/>
        <v>3185086</v>
      </c>
      <c r="P98" s="34" t="str">
        <f>IF(NOT(AND(T97="",A98&lt;=S97)),"",IF(FALSE,"繰上返済後再計算","")&amp;IF(AND(入力!$B$13="有効",A98&gt;1,MOD(A98-1,60)=0),IF(FALSE,"・","")&amp;"5年見直し","")&amp;IF(AND(A98=入力!$B$11,A98&gt;1),IF(OR(FALSE,AND(入力!$B$13="有効",A98&gt;1,MOD(A98-1,60)=0)),"・","")&amp;"金利変更","")&amp;IF(AND(OR(AND(入力!$B$13="有効",A98&gt;1,MOD(A98-1,60)=0),AND(A98=入力!$B$11,A98&gt;1)),入力!$B$14="有効",IF(E98=0,ROUND(C98/MAX(1,S97-A98+1),0),ROUND(-PMT(E98/12,MAX(1,S97-A98+1),C98),0))&gt;ROUND(G97*1.25,0),NOT(FALSE)),"・上限適用",""))</f>
        <v/>
      </c>
      <c r="Q98" s="35" t="str">
        <f>IF(AND(T97="",A98&lt;=S97),入力!$B$13,"")</f>
        <v>有効</v>
      </c>
      <c r="R98" s="32" t="str">
        <f>IF(AND(AND(T97="",A98&lt;=S97),OR(AND(入力!$B$13="有効",A98&gt;1,MOD(A98-1,60)=0),AND(A98=入力!$B$11,A98&gt;1)),入力!$B$14="有効"),ROUND(G97*1.25,0),"")</f>
        <v/>
      </c>
      <c r="S98" s="36">
        <f>IF(A98&lt;&gt;入力!$B$15,S97,IF(K98&lt;&gt;0,S97,IF(G98&lt;=F98,S97,IF(M98&lt;=0,S97,IF(AND(N98&gt;0,E98&gt;0,G98&lt;=N98*E98/12),S97,IF(A98+IF(N98=0,0,IF(E98=0,ROUNDUP(N98/G98,0),ROUNDUP(NPER(E98/12,-G98,N98),0)))&lt;S97,A98+IF(N98=0,0,IF(E98=0,ROUNDUP(N98/G98,0),ROUNDUP(NPER(E98/12,-G98,N98),0))),S97))))))</f>
        <v>420</v>
      </c>
      <c r="T98" s="35" t="str">
        <f t="shared" si="31"/>
        <v/>
      </c>
      <c r="U98" s="3">
        <f t="shared" si="16"/>
        <v>0</v>
      </c>
      <c r="V98" s="3">
        <f t="shared" si="17"/>
        <v>0</v>
      </c>
      <c r="W98" s="3">
        <f t="shared" si="18"/>
        <v>0</v>
      </c>
      <c r="X98" s="3">
        <f t="shared" si="19"/>
        <v>0</v>
      </c>
      <c r="Y98" s="3">
        <f>0</f>
        <v>0</v>
      </c>
      <c r="Z98" s="3">
        <f t="shared" si="20"/>
        <v>0</v>
      </c>
      <c r="AA98">
        <f>ROUND(IF(FALSE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,0)</f>
        <v>117478</v>
      </c>
    </row>
    <row r="99" spans="1:27">
      <c r="A99" s="30">
        <f>94</f>
        <v>94</v>
      </c>
      <c r="B99" s="31">
        <f>EDATE(入力!$B$6,A99-1)</f>
        <v>49065</v>
      </c>
      <c r="C99" s="32">
        <f t="shared" si="21"/>
        <v>28669392</v>
      </c>
      <c r="D99" s="32">
        <f t="shared" si="22"/>
        <v>0</v>
      </c>
      <c r="E99" s="33">
        <f>IF(AND(T98="",A99&lt;=S98),IF(A99&lt;入力!$B$11,入力!$B$10,入力!$B$12),0)</f>
        <v>2.5000000000000001E-2</v>
      </c>
      <c r="F99" s="32">
        <f t="shared" si="23"/>
        <v>59728</v>
      </c>
      <c r="G99" s="32">
        <f>ROUND(IF(NOT(AND(T98="",A99&lt;=S98)),0,IF(FALSE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),0)</f>
        <v>117478</v>
      </c>
      <c r="H99" s="32">
        <f t="shared" si="24"/>
        <v>117478</v>
      </c>
      <c r="I99" s="32">
        <f t="shared" si="25"/>
        <v>59728</v>
      </c>
      <c r="J99" s="32">
        <f t="shared" si="26"/>
        <v>0</v>
      </c>
      <c r="K99" s="32">
        <f t="shared" si="27"/>
        <v>0</v>
      </c>
      <c r="L99" s="32">
        <f t="shared" si="28"/>
        <v>57750</v>
      </c>
      <c r="M99" s="32">
        <f>IF(AND(AND(T98="",A99&lt;=S98),A99=入力!$B$15),ROUND(MIN(入力!$B$16,MAX(0,C99-L99)),0),0)</f>
        <v>0</v>
      </c>
      <c r="N99" s="32">
        <f t="shared" si="29"/>
        <v>28611642</v>
      </c>
      <c r="O99" s="32">
        <f t="shared" si="30"/>
        <v>3244814</v>
      </c>
      <c r="P99" s="34" t="str">
        <f>IF(NOT(AND(T98="",A99&lt;=S98)),"",IF(FALSE,"繰上返済後再計算","")&amp;IF(AND(入力!$B$13="有効",A99&gt;1,MOD(A99-1,60)=0),IF(FALSE,"・","")&amp;"5年見直し","")&amp;IF(AND(A99=入力!$B$11,A99&gt;1),IF(OR(FALSE,AND(入力!$B$13="有効",A99&gt;1,MOD(A99-1,60)=0)),"・","")&amp;"金利変更","")&amp;IF(AND(OR(AND(入力!$B$13="有効",A99&gt;1,MOD(A99-1,60)=0),AND(A99=入力!$B$11,A99&gt;1)),入力!$B$14="有効",IF(E99=0,ROUND(C99/MAX(1,S98-A99+1),0),ROUND(-PMT(E99/12,MAX(1,S98-A99+1),C99),0))&gt;ROUND(G98*1.25,0),NOT(FALSE)),"・上限適用",""))</f>
        <v/>
      </c>
      <c r="Q99" s="35" t="str">
        <f>IF(AND(T98="",A99&lt;=S98),入力!$B$13,"")</f>
        <v>有効</v>
      </c>
      <c r="R99" s="32" t="str">
        <f>IF(AND(AND(T98="",A99&lt;=S98),OR(AND(入力!$B$13="有効",A99&gt;1,MOD(A99-1,60)=0),AND(A99=入力!$B$11,A99&gt;1)),入力!$B$14="有効"),ROUND(G98*1.25,0),"")</f>
        <v/>
      </c>
      <c r="S99" s="36">
        <f>IF(A99&lt;&gt;入力!$B$15,S98,IF(K99&lt;&gt;0,S98,IF(G99&lt;=F99,S98,IF(M99&lt;=0,S98,IF(AND(N99&gt;0,E99&gt;0,G99&lt;=N99*E99/12),S98,IF(A99+IF(N99=0,0,IF(E99=0,ROUNDUP(N99/G99,0),ROUNDUP(NPER(E99/12,-G99,N99),0)))&lt;S98,A99+IF(N99=0,0,IF(E99=0,ROUNDUP(N99/G99,0),ROUNDUP(NPER(E99/12,-G99,N99),0))),S98))))))</f>
        <v>420</v>
      </c>
      <c r="T99" s="35" t="str">
        <f t="shared" si="31"/>
        <v/>
      </c>
      <c r="U99" s="3">
        <f t="shared" si="16"/>
        <v>0</v>
      </c>
      <c r="V99" s="3">
        <f t="shared" si="17"/>
        <v>0</v>
      </c>
      <c r="W99" s="3">
        <f t="shared" si="18"/>
        <v>0</v>
      </c>
      <c r="X99" s="3">
        <f t="shared" si="19"/>
        <v>0</v>
      </c>
      <c r="Y99" s="3">
        <f>0</f>
        <v>0</v>
      </c>
      <c r="Z99" s="3">
        <f t="shared" si="20"/>
        <v>0</v>
      </c>
      <c r="AA99">
        <f>ROUND(IF(FALSE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,0)</f>
        <v>117478</v>
      </c>
    </row>
    <row r="100" spans="1:27">
      <c r="A100" s="30">
        <f>95</f>
        <v>95</v>
      </c>
      <c r="B100" s="31">
        <f>EDATE(入力!$B$6,A100-1)</f>
        <v>49096</v>
      </c>
      <c r="C100" s="32">
        <f t="shared" si="21"/>
        <v>28611642</v>
      </c>
      <c r="D100" s="32">
        <f t="shared" si="22"/>
        <v>0</v>
      </c>
      <c r="E100" s="33">
        <f>IF(AND(T99="",A100&lt;=S99),IF(A100&lt;入力!$B$11,入力!$B$10,入力!$B$12),0)</f>
        <v>2.5000000000000001E-2</v>
      </c>
      <c r="F100" s="32">
        <f t="shared" si="23"/>
        <v>59608</v>
      </c>
      <c r="G100" s="32">
        <f>ROUND(IF(NOT(AND(T99="",A100&lt;=S99)),0,IF(FALSE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),0)</f>
        <v>117478</v>
      </c>
      <c r="H100" s="32">
        <f t="shared" si="24"/>
        <v>117478</v>
      </c>
      <c r="I100" s="32">
        <f t="shared" si="25"/>
        <v>59608</v>
      </c>
      <c r="J100" s="32">
        <f t="shared" si="26"/>
        <v>0</v>
      </c>
      <c r="K100" s="32">
        <f t="shared" si="27"/>
        <v>0</v>
      </c>
      <c r="L100" s="32">
        <f t="shared" si="28"/>
        <v>57870</v>
      </c>
      <c r="M100" s="32">
        <f>IF(AND(AND(T99="",A100&lt;=S99),A100=入力!$B$15),ROUND(MIN(入力!$B$16,MAX(0,C100-L100)),0),0)</f>
        <v>0</v>
      </c>
      <c r="N100" s="32">
        <f t="shared" si="29"/>
        <v>28553772</v>
      </c>
      <c r="O100" s="32">
        <f t="shared" si="30"/>
        <v>3304422</v>
      </c>
      <c r="P100" s="34" t="str">
        <f>IF(NOT(AND(T99="",A100&lt;=S99)),"",IF(FALSE,"繰上返済後再計算","")&amp;IF(AND(入力!$B$13="有効",A100&gt;1,MOD(A100-1,60)=0),IF(FALSE,"・","")&amp;"5年見直し","")&amp;IF(AND(A100=入力!$B$11,A100&gt;1),IF(OR(FALSE,AND(入力!$B$13="有効",A100&gt;1,MOD(A100-1,60)=0)),"・","")&amp;"金利変更","")&amp;IF(AND(OR(AND(入力!$B$13="有効",A100&gt;1,MOD(A100-1,60)=0),AND(A100=入力!$B$11,A100&gt;1)),入力!$B$14="有効",IF(E100=0,ROUND(C100/MAX(1,S99-A100+1),0),ROUND(-PMT(E100/12,MAX(1,S99-A100+1),C100),0))&gt;ROUND(G99*1.25,0),NOT(FALSE)),"・上限適用",""))</f>
        <v/>
      </c>
      <c r="Q100" s="35" t="str">
        <f>IF(AND(T99="",A100&lt;=S99),入力!$B$13,"")</f>
        <v>有効</v>
      </c>
      <c r="R100" s="32" t="str">
        <f>IF(AND(AND(T99="",A100&lt;=S99),OR(AND(入力!$B$13="有効",A100&gt;1,MOD(A100-1,60)=0),AND(A100=入力!$B$11,A100&gt;1)),入力!$B$14="有効"),ROUND(G99*1.25,0),"")</f>
        <v/>
      </c>
      <c r="S100" s="36">
        <f>IF(A100&lt;&gt;入力!$B$15,S99,IF(K100&lt;&gt;0,S99,IF(G100&lt;=F100,S99,IF(M100&lt;=0,S99,IF(AND(N100&gt;0,E100&gt;0,G100&lt;=N100*E100/12),S99,IF(A100+IF(N100=0,0,IF(E100=0,ROUNDUP(N100/G100,0),ROUNDUP(NPER(E100/12,-G100,N100),0)))&lt;S99,A100+IF(N100=0,0,IF(E100=0,ROUNDUP(N100/G100,0),ROUNDUP(NPER(E100/12,-G100,N100),0))),S99))))))</f>
        <v>420</v>
      </c>
      <c r="T100" s="35" t="str">
        <f t="shared" si="31"/>
        <v/>
      </c>
      <c r="U100" s="3">
        <f t="shared" si="16"/>
        <v>0</v>
      </c>
      <c r="V100" s="3">
        <f t="shared" si="17"/>
        <v>0</v>
      </c>
      <c r="W100" s="3">
        <f t="shared" si="18"/>
        <v>0</v>
      </c>
      <c r="X100" s="3">
        <f t="shared" si="19"/>
        <v>0</v>
      </c>
      <c r="Y100" s="3">
        <f>0</f>
        <v>0</v>
      </c>
      <c r="Z100" s="3">
        <f t="shared" si="20"/>
        <v>0</v>
      </c>
      <c r="AA100">
        <f>ROUND(IF(FALSE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,0)</f>
        <v>117478</v>
      </c>
    </row>
    <row r="101" spans="1:27">
      <c r="A101" s="30">
        <f>96</f>
        <v>96</v>
      </c>
      <c r="B101" s="31">
        <f>EDATE(入力!$B$6,A101-1)</f>
        <v>49126</v>
      </c>
      <c r="C101" s="32">
        <f t="shared" si="21"/>
        <v>28553772</v>
      </c>
      <c r="D101" s="32">
        <f t="shared" si="22"/>
        <v>0</v>
      </c>
      <c r="E101" s="33">
        <f>IF(AND(T100="",A101&lt;=S100),IF(A101&lt;入力!$B$11,入力!$B$10,入力!$B$12),0)</f>
        <v>2.5000000000000001E-2</v>
      </c>
      <c r="F101" s="32">
        <f t="shared" si="23"/>
        <v>59487</v>
      </c>
      <c r="G101" s="32">
        <f>ROUND(IF(NOT(AND(T100="",A101&lt;=S100)),0,IF(FALSE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),0)</f>
        <v>117478</v>
      </c>
      <c r="H101" s="32">
        <f t="shared" si="24"/>
        <v>117478</v>
      </c>
      <c r="I101" s="32">
        <f t="shared" si="25"/>
        <v>59487</v>
      </c>
      <c r="J101" s="32">
        <f t="shared" si="26"/>
        <v>0</v>
      </c>
      <c r="K101" s="32">
        <f t="shared" si="27"/>
        <v>0</v>
      </c>
      <c r="L101" s="32">
        <f t="shared" si="28"/>
        <v>57991</v>
      </c>
      <c r="M101" s="32">
        <f>IF(AND(AND(T100="",A101&lt;=S100),A101=入力!$B$15),ROUND(MIN(入力!$B$16,MAX(0,C101-L101)),0),0)</f>
        <v>0</v>
      </c>
      <c r="N101" s="32">
        <f t="shared" si="29"/>
        <v>28495781</v>
      </c>
      <c r="O101" s="32">
        <f t="shared" si="30"/>
        <v>3363909</v>
      </c>
      <c r="P101" s="34" t="str">
        <f>IF(NOT(AND(T100="",A101&lt;=S100)),"",IF(FALSE,"繰上返済後再計算","")&amp;IF(AND(入力!$B$13="有効",A101&gt;1,MOD(A101-1,60)=0),IF(FALSE,"・","")&amp;"5年見直し","")&amp;IF(AND(A101=入力!$B$11,A101&gt;1),IF(OR(FALSE,AND(入力!$B$13="有効",A101&gt;1,MOD(A101-1,60)=0)),"・","")&amp;"金利変更","")&amp;IF(AND(OR(AND(入力!$B$13="有効",A101&gt;1,MOD(A101-1,60)=0),AND(A101=入力!$B$11,A101&gt;1)),入力!$B$14="有効",IF(E101=0,ROUND(C101/MAX(1,S100-A101+1),0),ROUND(-PMT(E101/12,MAX(1,S100-A101+1),C101),0))&gt;ROUND(G100*1.25,0),NOT(FALSE)),"・上限適用",""))</f>
        <v/>
      </c>
      <c r="Q101" s="35" t="str">
        <f>IF(AND(T100="",A101&lt;=S100),入力!$B$13,"")</f>
        <v>有効</v>
      </c>
      <c r="R101" s="32" t="str">
        <f>IF(AND(AND(T100="",A101&lt;=S100),OR(AND(入力!$B$13="有効",A101&gt;1,MOD(A101-1,60)=0),AND(A101=入力!$B$11,A101&gt;1)),入力!$B$14="有効"),ROUND(G100*1.25,0),"")</f>
        <v/>
      </c>
      <c r="S101" s="36">
        <f>IF(A101&lt;&gt;入力!$B$15,S100,IF(K101&lt;&gt;0,S100,IF(G101&lt;=F101,S100,IF(M101&lt;=0,S100,IF(AND(N101&gt;0,E101&gt;0,G101&lt;=N101*E101/12),S100,IF(A101+IF(N101=0,0,IF(E101=0,ROUNDUP(N101/G101,0),ROUNDUP(NPER(E101/12,-G101,N101),0)))&lt;S100,A101+IF(N101=0,0,IF(E101=0,ROUNDUP(N101/G101,0),ROUNDUP(NPER(E101/12,-G101,N101),0))),S100))))))</f>
        <v>420</v>
      </c>
      <c r="T101" s="35" t="str">
        <f t="shared" si="31"/>
        <v/>
      </c>
      <c r="U101" s="3">
        <f t="shared" si="16"/>
        <v>0</v>
      </c>
      <c r="V101" s="3">
        <f t="shared" si="17"/>
        <v>0</v>
      </c>
      <c r="W101" s="3">
        <f t="shared" si="18"/>
        <v>0</v>
      </c>
      <c r="X101" s="3">
        <f t="shared" si="19"/>
        <v>0</v>
      </c>
      <c r="Y101" s="3">
        <f>0</f>
        <v>0</v>
      </c>
      <c r="Z101" s="3">
        <f t="shared" si="20"/>
        <v>0</v>
      </c>
      <c r="AA101">
        <f>ROUND(IF(FALSE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,0)</f>
        <v>117478</v>
      </c>
    </row>
    <row r="102" spans="1:27">
      <c r="A102" s="30">
        <f>97</f>
        <v>97</v>
      </c>
      <c r="B102" s="31">
        <f>EDATE(入力!$B$6,A102-1)</f>
        <v>49157</v>
      </c>
      <c r="C102" s="32">
        <f t="shared" si="21"/>
        <v>28495781</v>
      </c>
      <c r="D102" s="32">
        <f t="shared" si="22"/>
        <v>0</v>
      </c>
      <c r="E102" s="33">
        <f>IF(AND(T101="",A102&lt;=S101),IF(A102&lt;入力!$B$11,入力!$B$10,入力!$B$12),0)</f>
        <v>2.5000000000000001E-2</v>
      </c>
      <c r="F102" s="32">
        <f t="shared" si="23"/>
        <v>59366</v>
      </c>
      <c r="G102" s="32">
        <f>ROUND(IF(NOT(AND(T101="",A102&lt;=S101)),0,IF(FALSE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),0)</f>
        <v>117478</v>
      </c>
      <c r="H102" s="32">
        <f t="shared" si="24"/>
        <v>117478</v>
      </c>
      <c r="I102" s="32">
        <f t="shared" si="25"/>
        <v>59366</v>
      </c>
      <c r="J102" s="32">
        <f t="shared" si="26"/>
        <v>0</v>
      </c>
      <c r="K102" s="32">
        <f t="shared" si="27"/>
        <v>0</v>
      </c>
      <c r="L102" s="32">
        <f t="shared" si="28"/>
        <v>58112</v>
      </c>
      <c r="M102" s="32">
        <f>IF(AND(AND(T101="",A102&lt;=S101),A102=入力!$B$15),ROUND(MIN(入力!$B$16,MAX(0,C102-L102)),0),0)</f>
        <v>0</v>
      </c>
      <c r="N102" s="32">
        <f t="shared" si="29"/>
        <v>28437669</v>
      </c>
      <c r="O102" s="32">
        <f t="shared" si="30"/>
        <v>3423275</v>
      </c>
      <c r="P102" s="34" t="str">
        <f>IF(NOT(AND(T101="",A102&lt;=S101)),"",IF(FALSE,"繰上返済後再計算","")&amp;IF(AND(入力!$B$13="有効",A102&gt;1,MOD(A102-1,60)=0),IF(FALSE,"・","")&amp;"5年見直し","")&amp;IF(AND(A102=入力!$B$11,A102&gt;1),IF(OR(FALSE,AND(入力!$B$13="有効",A102&gt;1,MOD(A102-1,60)=0)),"・","")&amp;"金利変更","")&amp;IF(AND(OR(AND(入力!$B$13="有効",A102&gt;1,MOD(A102-1,60)=0),AND(A102=入力!$B$11,A102&gt;1)),入力!$B$14="有効",IF(E102=0,ROUND(C102/MAX(1,S101-A102+1),0),ROUND(-PMT(E102/12,MAX(1,S101-A102+1),C102),0))&gt;ROUND(G101*1.25,0),NOT(FALSE)),"・上限適用",""))</f>
        <v/>
      </c>
      <c r="Q102" s="35" t="str">
        <f>IF(AND(T101="",A102&lt;=S101),入力!$B$13,"")</f>
        <v>有効</v>
      </c>
      <c r="R102" s="32" t="str">
        <f>IF(AND(AND(T101="",A102&lt;=S101),OR(AND(入力!$B$13="有効",A102&gt;1,MOD(A102-1,60)=0),AND(A102=入力!$B$11,A102&gt;1)),入力!$B$14="有効"),ROUND(G101*1.25,0),"")</f>
        <v/>
      </c>
      <c r="S102" s="36">
        <f>IF(A102&lt;&gt;入力!$B$15,S101,IF(K102&lt;&gt;0,S101,IF(G102&lt;=F102,S101,IF(M102&lt;=0,S101,IF(AND(N102&gt;0,E102&gt;0,G102&lt;=N102*E102/12),S101,IF(A102+IF(N102=0,0,IF(E102=0,ROUNDUP(N102/G102,0),ROUNDUP(NPER(E102/12,-G102,N102),0)))&lt;S101,A102+IF(N102=0,0,IF(E102=0,ROUNDUP(N102/G102,0),ROUNDUP(NPER(E102/12,-G102,N102),0))),S101))))))</f>
        <v>420</v>
      </c>
      <c r="T102" s="35" t="str">
        <f t="shared" si="31"/>
        <v/>
      </c>
      <c r="U102" s="3">
        <f t="shared" si="16"/>
        <v>0</v>
      </c>
      <c r="V102" s="3">
        <f t="shared" si="17"/>
        <v>0</v>
      </c>
      <c r="W102" s="3">
        <f t="shared" si="18"/>
        <v>0</v>
      </c>
      <c r="X102" s="3">
        <f t="shared" si="19"/>
        <v>0</v>
      </c>
      <c r="Y102" s="3">
        <f>0</f>
        <v>0</v>
      </c>
      <c r="Z102" s="3">
        <f t="shared" si="20"/>
        <v>0</v>
      </c>
      <c r="AA102">
        <f>ROUND(IF(FALSE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,0)</f>
        <v>117478</v>
      </c>
    </row>
    <row r="103" spans="1:27">
      <c r="A103" s="30">
        <f>98</f>
        <v>98</v>
      </c>
      <c r="B103" s="31">
        <f>EDATE(入力!$B$6,A103-1)</f>
        <v>49188</v>
      </c>
      <c r="C103" s="32">
        <f t="shared" si="21"/>
        <v>28437669</v>
      </c>
      <c r="D103" s="32">
        <f t="shared" si="22"/>
        <v>0</v>
      </c>
      <c r="E103" s="33">
        <f>IF(AND(T102="",A103&lt;=S102),IF(A103&lt;入力!$B$11,入力!$B$10,入力!$B$12),0)</f>
        <v>2.5000000000000001E-2</v>
      </c>
      <c r="F103" s="32">
        <f t="shared" si="23"/>
        <v>59245</v>
      </c>
      <c r="G103" s="32">
        <f>ROUND(IF(NOT(AND(T102="",A103&lt;=S102)),0,IF(FALSE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),0)</f>
        <v>117478</v>
      </c>
      <c r="H103" s="32">
        <f t="shared" si="24"/>
        <v>117478</v>
      </c>
      <c r="I103" s="32">
        <f t="shared" si="25"/>
        <v>59245</v>
      </c>
      <c r="J103" s="32">
        <f t="shared" si="26"/>
        <v>0</v>
      </c>
      <c r="K103" s="32">
        <f t="shared" si="27"/>
        <v>0</v>
      </c>
      <c r="L103" s="32">
        <f t="shared" si="28"/>
        <v>58233</v>
      </c>
      <c r="M103" s="32">
        <f>IF(AND(AND(T102="",A103&lt;=S102),A103=入力!$B$15),ROUND(MIN(入力!$B$16,MAX(0,C103-L103)),0),0)</f>
        <v>0</v>
      </c>
      <c r="N103" s="32">
        <f t="shared" si="29"/>
        <v>28379436</v>
      </c>
      <c r="O103" s="32">
        <f t="shared" si="30"/>
        <v>3482520</v>
      </c>
      <c r="P103" s="34" t="str">
        <f>IF(NOT(AND(T102="",A103&lt;=S102)),"",IF(FALSE,"繰上返済後再計算","")&amp;IF(AND(入力!$B$13="有効",A103&gt;1,MOD(A103-1,60)=0),IF(FALSE,"・","")&amp;"5年見直し","")&amp;IF(AND(A103=入力!$B$11,A103&gt;1),IF(OR(FALSE,AND(入力!$B$13="有効",A103&gt;1,MOD(A103-1,60)=0)),"・","")&amp;"金利変更","")&amp;IF(AND(OR(AND(入力!$B$13="有効",A103&gt;1,MOD(A103-1,60)=0),AND(A103=入力!$B$11,A103&gt;1)),入力!$B$14="有効",IF(E103=0,ROUND(C103/MAX(1,S102-A103+1),0),ROUND(-PMT(E103/12,MAX(1,S102-A103+1),C103),0))&gt;ROUND(G102*1.25,0),NOT(FALSE)),"・上限適用",""))</f>
        <v/>
      </c>
      <c r="Q103" s="35" t="str">
        <f>IF(AND(T102="",A103&lt;=S102),入力!$B$13,"")</f>
        <v>有効</v>
      </c>
      <c r="R103" s="32" t="str">
        <f>IF(AND(AND(T102="",A103&lt;=S102),OR(AND(入力!$B$13="有効",A103&gt;1,MOD(A103-1,60)=0),AND(A103=入力!$B$11,A103&gt;1)),入力!$B$14="有効"),ROUND(G102*1.25,0),"")</f>
        <v/>
      </c>
      <c r="S103" s="36">
        <f>IF(A103&lt;&gt;入力!$B$15,S102,IF(K103&lt;&gt;0,S102,IF(G103&lt;=F103,S102,IF(M103&lt;=0,S102,IF(AND(N103&gt;0,E103&gt;0,G103&lt;=N103*E103/12),S102,IF(A103+IF(N103=0,0,IF(E103=0,ROUNDUP(N103/G103,0),ROUNDUP(NPER(E103/12,-G103,N103),0)))&lt;S102,A103+IF(N103=0,0,IF(E103=0,ROUNDUP(N103/G103,0),ROUNDUP(NPER(E103/12,-G103,N103),0))),S102))))))</f>
        <v>420</v>
      </c>
      <c r="T103" s="35" t="str">
        <f t="shared" si="31"/>
        <v/>
      </c>
      <c r="U103" s="3">
        <f t="shared" si="16"/>
        <v>0</v>
      </c>
      <c r="V103" s="3">
        <f t="shared" si="17"/>
        <v>0</v>
      </c>
      <c r="W103" s="3">
        <f t="shared" si="18"/>
        <v>0</v>
      </c>
      <c r="X103" s="3">
        <f t="shared" si="19"/>
        <v>0</v>
      </c>
      <c r="Y103" s="3">
        <f>0</f>
        <v>0</v>
      </c>
      <c r="Z103" s="3">
        <f t="shared" si="20"/>
        <v>0</v>
      </c>
      <c r="AA103">
        <f>ROUND(IF(FALSE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,0)</f>
        <v>117478</v>
      </c>
    </row>
    <row r="104" spans="1:27">
      <c r="A104" s="30">
        <f>99</f>
        <v>99</v>
      </c>
      <c r="B104" s="31">
        <f>EDATE(入力!$B$6,A104-1)</f>
        <v>49218</v>
      </c>
      <c r="C104" s="32">
        <f t="shared" si="21"/>
        <v>28379436</v>
      </c>
      <c r="D104" s="32">
        <f t="shared" si="22"/>
        <v>0</v>
      </c>
      <c r="E104" s="33">
        <f>IF(AND(T103="",A104&lt;=S103),IF(A104&lt;入力!$B$11,入力!$B$10,入力!$B$12),0)</f>
        <v>2.5000000000000001E-2</v>
      </c>
      <c r="F104" s="32">
        <f t="shared" si="23"/>
        <v>59124</v>
      </c>
      <c r="G104" s="32">
        <f>ROUND(IF(NOT(AND(T103="",A104&lt;=S103)),0,IF(FALSE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),0)</f>
        <v>117478</v>
      </c>
      <c r="H104" s="32">
        <f t="shared" si="24"/>
        <v>117478</v>
      </c>
      <c r="I104" s="32">
        <f t="shared" si="25"/>
        <v>59124</v>
      </c>
      <c r="J104" s="32">
        <f t="shared" si="26"/>
        <v>0</v>
      </c>
      <c r="K104" s="32">
        <f t="shared" si="27"/>
        <v>0</v>
      </c>
      <c r="L104" s="32">
        <f t="shared" si="28"/>
        <v>58354</v>
      </c>
      <c r="M104" s="32">
        <f>IF(AND(AND(T103="",A104&lt;=S103),A104=入力!$B$15),ROUND(MIN(入力!$B$16,MAX(0,C104-L104)),0),0)</f>
        <v>0</v>
      </c>
      <c r="N104" s="32">
        <f t="shared" si="29"/>
        <v>28321082</v>
      </c>
      <c r="O104" s="32">
        <f t="shared" si="30"/>
        <v>3541644</v>
      </c>
      <c r="P104" s="34" t="str">
        <f>IF(NOT(AND(T103="",A104&lt;=S103)),"",IF(FALSE,"繰上返済後再計算","")&amp;IF(AND(入力!$B$13="有効",A104&gt;1,MOD(A104-1,60)=0),IF(FALSE,"・","")&amp;"5年見直し","")&amp;IF(AND(A104=入力!$B$11,A104&gt;1),IF(OR(FALSE,AND(入力!$B$13="有効",A104&gt;1,MOD(A104-1,60)=0)),"・","")&amp;"金利変更","")&amp;IF(AND(OR(AND(入力!$B$13="有効",A104&gt;1,MOD(A104-1,60)=0),AND(A104=入力!$B$11,A104&gt;1)),入力!$B$14="有効",IF(E104=0,ROUND(C104/MAX(1,S103-A104+1),0),ROUND(-PMT(E104/12,MAX(1,S103-A104+1),C104),0))&gt;ROUND(G103*1.25,0),NOT(FALSE)),"・上限適用",""))</f>
        <v/>
      </c>
      <c r="Q104" s="35" t="str">
        <f>IF(AND(T103="",A104&lt;=S103),入力!$B$13,"")</f>
        <v>有効</v>
      </c>
      <c r="R104" s="32" t="str">
        <f>IF(AND(AND(T103="",A104&lt;=S103),OR(AND(入力!$B$13="有効",A104&gt;1,MOD(A104-1,60)=0),AND(A104=入力!$B$11,A104&gt;1)),入力!$B$14="有効"),ROUND(G103*1.25,0),"")</f>
        <v/>
      </c>
      <c r="S104" s="36">
        <f>IF(A104&lt;&gt;入力!$B$15,S103,IF(K104&lt;&gt;0,S103,IF(G104&lt;=F104,S103,IF(M104&lt;=0,S103,IF(AND(N104&gt;0,E104&gt;0,G104&lt;=N104*E104/12),S103,IF(A104+IF(N104=0,0,IF(E104=0,ROUNDUP(N104/G104,0),ROUNDUP(NPER(E104/12,-G104,N104),0)))&lt;S103,A104+IF(N104=0,0,IF(E104=0,ROUNDUP(N104/G104,0),ROUNDUP(NPER(E104/12,-G104,N104),0))),S103))))))</f>
        <v>420</v>
      </c>
      <c r="T104" s="35" t="str">
        <f t="shared" si="31"/>
        <v/>
      </c>
      <c r="U104" s="3">
        <f t="shared" si="16"/>
        <v>0</v>
      </c>
      <c r="V104" s="3">
        <f t="shared" si="17"/>
        <v>0</v>
      </c>
      <c r="W104" s="3">
        <f t="shared" si="18"/>
        <v>0</v>
      </c>
      <c r="X104" s="3">
        <f t="shared" si="19"/>
        <v>0</v>
      </c>
      <c r="Y104" s="3">
        <f>0</f>
        <v>0</v>
      </c>
      <c r="Z104" s="3">
        <f t="shared" si="20"/>
        <v>0</v>
      </c>
      <c r="AA104">
        <f>ROUND(IF(FALSE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,0)</f>
        <v>117478</v>
      </c>
    </row>
    <row r="105" spans="1:27">
      <c r="A105" s="30">
        <f>100</f>
        <v>100</v>
      </c>
      <c r="B105" s="31">
        <f>EDATE(入力!$B$6,A105-1)</f>
        <v>49249</v>
      </c>
      <c r="C105" s="32">
        <f t="shared" si="21"/>
        <v>28321082</v>
      </c>
      <c r="D105" s="32">
        <f t="shared" si="22"/>
        <v>0</v>
      </c>
      <c r="E105" s="33">
        <f>IF(AND(T104="",A105&lt;=S104),IF(A105&lt;入力!$B$11,入力!$B$10,入力!$B$12),0)</f>
        <v>2.5000000000000001E-2</v>
      </c>
      <c r="F105" s="32">
        <f t="shared" si="23"/>
        <v>59002</v>
      </c>
      <c r="G105" s="32">
        <f>ROUND(IF(NOT(AND(T104="",A105&lt;=S104)),0,IF(FALSE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),0)</f>
        <v>117478</v>
      </c>
      <c r="H105" s="32">
        <f t="shared" si="24"/>
        <v>117478</v>
      </c>
      <c r="I105" s="32">
        <f t="shared" si="25"/>
        <v>59002</v>
      </c>
      <c r="J105" s="32">
        <f t="shared" si="26"/>
        <v>0</v>
      </c>
      <c r="K105" s="32">
        <f t="shared" si="27"/>
        <v>0</v>
      </c>
      <c r="L105" s="32">
        <f t="shared" si="28"/>
        <v>58476</v>
      </c>
      <c r="M105" s="32">
        <f>IF(AND(AND(T104="",A105&lt;=S104),A105=入力!$B$15),ROUND(MIN(入力!$B$16,MAX(0,C105-L105)),0),0)</f>
        <v>0</v>
      </c>
      <c r="N105" s="32">
        <f t="shared" si="29"/>
        <v>28262606</v>
      </c>
      <c r="O105" s="32">
        <f t="shared" si="30"/>
        <v>3600646</v>
      </c>
      <c r="P105" s="34" t="str">
        <f>IF(NOT(AND(T104="",A105&lt;=S104)),"",IF(FALSE,"繰上返済後再計算","")&amp;IF(AND(入力!$B$13="有効",A105&gt;1,MOD(A105-1,60)=0),IF(FALSE,"・","")&amp;"5年見直し","")&amp;IF(AND(A105=入力!$B$11,A105&gt;1),IF(OR(FALSE,AND(入力!$B$13="有効",A105&gt;1,MOD(A105-1,60)=0)),"・","")&amp;"金利変更","")&amp;IF(AND(OR(AND(入力!$B$13="有効",A105&gt;1,MOD(A105-1,60)=0),AND(A105=入力!$B$11,A105&gt;1)),入力!$B$14="有効",IF(E105=0,ROUND(C105/MAX(1,S104-A105+1),0),ROUND(-PMT(E105/12,MAX(1,S104-A105+1),C105),0))&gt;ROUND(G104*1.25,0),NOT(FALSE)),"・上限適用",""))</f>
        <v/>
      </c>
      <c r="Q105" s="35" t="str">
        <f>IF(AND(T104="",A105&lt;=S104),入力!$B$13,"")</f>
        <v>有効</v>
      </c>
      <c r="R105" s="32" t="str">
        <f>IF(AND(AND(T104="",A105&lt;=S104),OR(AND(入力!$B$13="有効",A105&gt;1,MOD(A105-1,60)=0),AND(A105=入力!$B$11,A105&gt;1)),入力!$B$14="有効"),ROUND(G104*1.25,0),"")</f>
        <v/>
      </c>
      <c r="S105" s="36">
        <f>IF(A105&lt;&gt;入力!$B$15,S104,IF(K105&lt;&gt;0,S104,IF(G105&lt;=F105,S104,IF(M105&lt;=0,S104,IF(AND(N105&gt;0,E105&gt;0,G105&lt;=N105*E105/12),S104,IF(A105+IF(N105=0,0,IF(E105=0,ROUNDUP(N105/G105,0),ROUNDUP(NPER(E105/12,-G105,N105),0)))&lt;S104,A105+IF(N105=0,0,IF(E105=0,ROUNDUP(N105/G105,0),ROUNDUP(NPER(E105/12,-G105,N105),0))),S104))))))</f>
        <v>420</v>
      </c>
      <c r="T105" s="35" t="str">
        <f t="shared" si="31"/>
        <v/>
      </c>
      <c r="U105" s="3">
        <f t="shared" si="16"/>
        <v>0</v>
      </c>
      <c r="V105" s="3">
        <f t="shared" si="17"/>
        <v>0</v>
      </c>
      <c r="W105" s="3">
        <f t="shared" si="18"/>
        <v>0</v>
      </c>
      <c r="X105" s="3">
        <f t="shared" si="19"/>
        <v>0</v>
      </c>
      <c r="Y105" s="3">
        <f>0</f>
        <v>0</v>
      </c>
      <c r="Z105" s="3">
        <f t="shared" si="20"/>
        <v>0</v>
      </c>
      <c r="AA105">
        <f>ROUND(IF(FALSE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,0)</f>
        <v>117478</v>
      </c>
    </row>
    <row r="106" spans="1:27">
      <c r="A106" s="30">
        <f>101</f>
        <v>101</v>
      </c>
      <c r="B106" s="31">
        <f>EDATE(入力!$B$6,A106-1)</f>
        <v>49279</v>
      </c>
      <c r="C106" s="32">
        <f t="shared" si="21"/>
        <v>28262606</v>
      </c>
      <c r="D106" s="32">
        <f t="shared" si="22"/>
        <v>0</v>
      </c>
      <c r="E106" s="33">
        <f>IF(AND(T105="",A106&lt;=S105),IF(A106&lt;入力!$B$11,入力!$B$10,入力!$B$12),0)</f>
        <v>2.5000000000000001E-2</v>
      </c>
      <c r="F106" s="32">
        <f t="shared" si="23"/>
        <v>58880</v>
      </c>
      <c r="G106" s="32">
        <f>ROUND(IF(NOT(AND(T105="",A106&lt;=S105)),0,IF(FALSE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),0)</f>
        <v>117478</v>
      </c>
      <c r="H106" s="32">
        <f t="shared" si="24"/>
        <v>117478</v>
      </c>
      <c r="I106" s="32">
        <f t="shared" si="25"/>
        <v>58880</v>
      </c>
      <c r="J106" s="32">
        <f t="shared" si="26"/>
        <v>0</v>
      </c>
      <c r="K106" s="32">
        <f t="shared" si="27"/>
        <v>0</v>
      </c>
      <c r="L106" s="32">
        <f t="shared" si="28"/>
        <v>58598</v>
      </c>
      <c r="M106" s="32">
        <f>IF(AND(AND(T105="",A106&lt;=S105),A106=入力!$B$15),ROUND(MIN(入力!$B$16,MAX(0,C106-L106)),0),0)</f>
        <v>0</v>
      </c>
      <c r="N106" s="32">
        <f t="shared" si="29"/>
        <v>28204008</v>
      </c>
      <c r="O106" s="32">
        <f t="shared" si="30"/>
        <v>3659526</v>
      </c>
      <c r="P106" s="34" t="str">
        <f>IF(NOT(AND(T105="",A106&lt;=S105)),"",IF(FALSE,"繰上返済後再計算","")&amp;IF(AND(入力!$B$13="有効",A106&gt;1,MOD(A106-1,60)=0),IF(FALSE,"・","")&amp;"5年見直し","")&amp;IF(AND(A106=入力!$B$11,A106&gt;1),IF(OR(FALSE,AND(入力!$B$13="有効",A106&gt;1,MOD(A106-1,60)=0)),"・","")&amp;"金利変更","")&amp;IF(AND(OR(AND(入力!$B$13="有効",A106&gt;1,MOD(A106-1,60)=0),AND(A106=入力!$B$11,A106&gt;1)),入力!$B$14="有効",IF(E106=0,ROUND(C106/MAX(1,S105-A106+1),0),ROUND(-PMT(E106/12,MAX(1,S105-A106+1),C106),0))&gt;ROUND(G105*1.25,0),NOT(FALSE)),"・上限適用",""))</f>
        <v/>
      </c>
      <c r="Q106" s="35" t="str">
        <f>IF(AND(T105="",A106&lt;=S105),入力!$B$13,"")</f>
        <v>有効</v>
      </c>
      <c r="R106" s="32" t="str">
        <f>IF(AND(AND(T105="",A106&lt;=S105),OR(AND(入力!$B$13="有効",A106&gt;1,MOD(A106-1,60)=0),AND(A106=入力!$B$11,A106&gt;1)),入力!$B$14="有効"),ROUND(G105*1.25,0),"")</f>
        <v/>
      </c>
      <c r="S106" s="36">
        <f>IF(A106&lt;&gt;入力!$B$15,S105,IF(K106&lt;&gt;0,S105,IF(G106&lt;=F106,S105,IF(M106&lt;=0,S105,IF(AND(N106&gt;0,E106&gt;0,G106&lt;=N106*E106/12),S105,IF(A106+IF(N106=0,0,IF(E106=0,ROUNDUP(N106/G106,0),ROUNDUP(NPER(E106/12,-G106,N106),0)))&lt;S105,A106+IF(N106=0,0,IF(E106=0,ROUNDUP(N106/G106,0),ROUNDUP(NPER(E106/12,-G106,N106),0))),S105))))))</f>
        <v>420</v>
      </c>
      <c r="T106" s="35" t="str">
        <f t="shared" si="31"/>
        <v/>
      </c>
      <c r="U106" s="3">
        <f t="shared" si="16"/>
        <v>0</v>
      </c>
      <c r="V106" s="3">
        <f t="shared" si="17"/>
        <v>0</v>
      </c>
      <c r="W106" s="3">
        <f t="shared" si="18"/>
        <v>0</v>
      </c>
      <c r="X106" s="3">
        <f t="shared" si="19"/>
        <v>0</v>
      </c>
      <c r="Y106" s="3">
        <f>0</f>
        <v>0</v>
      </c>
      <c r="Z106" s="3">
        <f t="shared" si="20"/>
        <v>0</v>
      </c>
      <c r="AA106">
        <f>ROUND(IF(FALSE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,0)</f>
        <v>117478</v>
      </c>
    </row>
    <row r="107" spans="1:27">
      <c r="A107" s="30">
        <f>102</f>
        <v>102</v>
      </c>
      <c r="B107" s="31">
        <f>EDATE(入力!$B$6,A107-1)</f>
        <v>49310</v>
      </c>
      <c r="C107" s="32">
        <f t="shared" si="21"/>
        <v>28204008</v>
      </c>
      <c r="D107" s="32">
        <f t="shared" si="22"/>
        <v>0</v>
      </c>
      <c r="E107" s="33">
        <f>IF(AND(T106="",A107&lt;=S106),IF(A107&lt;入力!$B$11,入力!$B$10,入力!$B$12),0)</f>
        <v>2.5000000000000001E-2</v>
      </c>
      <c r="F107" s="32">
        <f t="shared" si="23"/>
        <v>58758</v>
      </c>
      <c r="G107" s="32">
        <f>ROUND(IF(NOT(AND(T106="",A107&lt;=S106)),0,IF(FALSE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),0)</f>
        <v>117478</v>
      </c>
      <c r="H107" s="32">
        <f t="shared" si="24"/>
        <v>117478</v>
      </c>
      <c r="I107" s="32">
        <f t="shared" si="25"/>
        <v>58758</v>
      </c>
      <c r="J107" s="32">
        <f t="shared" si="26"/>
        <v>0</v>
      </c>
      <c r="K107" s="32">
        <f t="shared" si="27"/>
        <v>0</v>
      </c>
      <c r="L107" s="32">
        <f t="shared" si="28"/>
        <v>58720</v>
      </c>
      <c r="M107" s="32">
        <f>IF(AND(AND(T106="",A107&lt;=S106),A107=入力!$B$15),ROUND(MIN(入力!$B$16,MAX(0,C107-L107)),0),0)</f>
        <v>0</v>
      </c>
      <c r="N107" s="32">
        <f t="shared" si="29"/>
        <v>28145288</v>
      </c>
      <c r="O107" s="32">
        <f t="shared" si="30"/>
        <v>3718284</v>
      </c>
      <c r="P107" s="34" t="str">
        <f>IF(NOT(AND(T106="",A107&lt;=S106)),"",IF(FALSE,"繰上返済後再計算","")&amp;IF(AND(入力!$B$13="有効",A107&gt;1,MOD(A107-1,60)=0),IF(FALSE,"・","")&amp;"5年見直し","")&amp;IF(AND(A107=入力!$B$11,A107&gt;1),IF(OR(FALSE,AND(入力!$B$13="有効",A107&gt;1,MOD(A107-1,60)=0)),"・","")&amp;"金利変更","")&amp;IF(AND(OR(AND(入力!$B$13="有効",A107&gt;1,MOD(A107-1,60)=0),AND(A107=入力!$B$11,A107&gt;1)),入力!$B$14="有効",IF(E107=0,ROUND(C107/MAX(1,S106-A107+1),0),ROUND(-PMT(E107/12,MAX(1,S106-A107+1),C107),0))&gt;ROUND(G106*1.25,0),NOT(FALSE)),"・上限適用",""))</f>
        <v/>
      </c>
      <c r="Q107" s="35" t="str">
        <f>IF(AND(T106="",A107&lt;=S106),入力!$B$13,"")</f>
        <v>有効</v>
      </c>
      <c r="R107" s="32" t="str">
        <f>IF(AND(AND(T106="",A107&lt;=S106),OR(AND(入力!$B$13="有効",A107&gt;1,MOD(A107-1,60)=0),AND(A107=入力!$B$11,A107&gt;1)),入力!$B$14="有効"),ROUND(G106*1.25,0),"")</f>
        <v/>
      </c>
      <c r="S107" s="36">
        <f>IF(A107&lt;&gt;入力!$B$15,S106,IF(K107&lt;&gt;0,S106,IF(G107&lt;=F107,S106,IF(M107&lt;=0,S106,IF(AND(N107&gt;0,E107&gt;0,G107&lt;=N107*E107/12),S106,IF(A107+IF(N107=0,0,IF(E107=0,ROUNDUP(N107/G107,0),ROUNDUP(NPER(E107/12,-G107,N107),0)))&lt;S106,A107+IF(N107=0,0,IF(E107=0,ROUNDUP(N107/G107,0),ROUNDUP(NPER(E107/12,-G107,N107),0))),S106))))))</f>
        <v>420</v>
      </c>
      <c r="T107" s="35" t="str">
        <f t="shared" si="31"/>
        <v/>
      </c>
      <c r="U107" s="3">
        <f t="shared" si="16"/>
        <v>0</v>
      </c>
      <c r="V107" s="3">
        <f t="shared" si="17"/>
        <v>0</v>
      </c>
      <c r="W107" s="3">
        <f t="shared" si="18"/>
        <v>0</v>
      </c>
      <c r="X107" s="3">
        <f t="shared" si="19"/>
        <v>0</v>
      </c>
      <c r="Y107" s="3">
        <f>0</f>
        <v>0</v>
      </c>
      <c r="Z107" s="3">
        <f t="shared" si="20"/>
        <v>0</v>
      </c>
      <c r="AA107">
        <f>ROUND(IF(FALSE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,0)</f>
        <v>117478</v>
      </c>
    </row>
    <row r="108" spans="1:27">
      <c r="A108" s="30">
        <f>103</f>
        <v>103</v>
      </c>
      <c r="B108" s="31">
        <f>EDATE(入力!$B$6,A108-1)</f>
        <v>49341</v>
      </c>
      <c r="C108" s="32">
        <f t="shared" si="21"/>
        <v>28145288</v>
      </c>
      <c r="D108" s="32">
        <f t="shared" si="22"/>
        <v>0</v>
      </c>
      <c r="E108" s="33">
        <f>IF(AND(T107="",A108&lt;=S107),IF(A108&lt;入力!$B$11,入力!$B$10,入力!$B$12),0)</f>
        <v>2.5000000000000001E-2</v>
      </c>
      <c r="F108" s="32">
        <f t="shared" si="23"/>
        <v>58636</v>
      </c>
      <c r="G108" s="32">
        <f>ROUND(IF(NOT(AND(T107="",A108&lt;=S107)),0,IF(FALSE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),0)</f>
        <v>117478</v>
      </c>
      <c r="H108" s="32">
        <f t="shared" si="24"/>
        <v>117478</v>
      </c>
      <c r="I108" s="32">
        <f t="shared" si="25"/>
        <v>58636</v>
      </c>
      <c r="J108" s="32">
        <f t="shared" si="26"/>
        <v>0</v>
      </c>
      <c r="K108" s="32">
        <f t="shared" si="27"/>
        <v>0</v>
      </c>
      <c r="L108" s="32">
        <f t="shared" si="28"/>
        <v>58842</v>
      </c>
      <c r="M108" s="32">
        <f>IF(AND(AND(T107="",A108&lt;=S107),A108=入力!$B$15),ROUND(MIN(入力!$B$16,MAX(0,C108-L108)),0),0)</f>
        <v>0</v>
      </c>
      <c r="N108" s="32">
        <f t="shared" si="29"/>
        <v>28086446</v>
      </c>
      <c r="O108" s="32">
        <f t="shared" si="30"/>
        <v>3776920</v>
      </c>
      <c r="P108" s="34" t="str">
        <f>IF(NOT(AND(T107="",A108&lt;=S107)),"",IF(FALSE,"繰上返済後再計算","")&amp;IF(AND(入力!$B$13="有効",A108&gt;1,MOD(A108-1,60)=0),IF(FALSE,"・","")&amp;"5年見直し","")&amp;IF(AND(A108=入力!$B$11,A108&gt;1),IF(OR(FALSE,AND(入力!$B$13="有効",A108&gt;1,MOD(A108-1,60)=0)),"・","")&amp;"金利変更","")&amp;IF(AND(OR(AND(入力!$B$13="有効",A108&gt;1,MOD(A108-1,60)=0),AND(A108=入力!$B$11,A108&gt;1)),入力!$B$14="有効",IF(E108=0,ROUND(C108/MAX(1,S107-A108+1),0),ROUND(-PMT(E108/12,MAX(1,S107-A108+1),C108),0))&gt;ROUND(G107*1.25,0),NOT(FALSE)),"・上限適用",""))</f>
        <v/>
      </c>
      <c r="Q108" s="35" t="str">
        <f>IF(AND(T107="",A108&lt;=S107),入力!$B$13,"")</f>
        <v>有効</v>
      </c>
      <c r="R108" s="32" t="str">
        <f>IF(AND(AND(T107="",A108&lt;=S107),OR(AND(入力!$B$13="有効",A108&gt;1,MOD(A108-1,60)=0),AND(A108=入力!$B$11,A108&gt;1)),入力!$B$14="有効"),ROUND(G107*1.25,0),"")</f>
        <v/>
      </c>
      <c r="S108" s="36">
        <f>IF(A108&lt;&gt;入力!$B$15,S107,IF(K108&lt;&gt;0,S107,IF(G108&lt;=F108,S107,IF(M108&lt;=0,S107,IF(AND(N108&gt;0,E108&gt;0,G108&lt;=N108*E108/12),S107,IF(A108+IF(N108=0,0,IF(E108=0,ROUNDUP(N108/G108,0),ROUNDUP(NPER(E108/12,-G108,N108),0)))&lt;S107,A108+IF(N108=0,0,IF(E108=0,ROUNDUP(N108/G108,0),ROUNDUP(NPER(E108/12,-G108,N108),0))),S107))))))</f>
        <v>420</v>
      </c>
      <c r="T108" s="35" t="str">
        <f t="shared" si="31"/>
        <v/>
      </c>
      <c r="U108" s="3">
        <f t="shared" si="16"/>
        <v>0</v>
      </c>
      <c r="V108" s="3">
        <f t="shared" si="17"/>
        <v>0</v>
      </c>
      <c r="W108" s="3">
        <f t="shared" si="18"/>
        <v>0</v>
      </c>
      <c r="X108" s="3">
        <f t="shared" si="19"/>
        <v>0</v>
      </c>
      <c r="Y108" s="3">
        <f>0</f>
        <v>0</v>
      </c>
      <c r="Z108" s="3">
        <f t="shared" si="20"/>
        <v>0</v>
      </c>
      <c r="AA108">
        <f>ROUND(IF(FALSE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,0)</f>
        <v>117478</v>
      </c>
    </row>
    <row r="109" spans="1:27">
      <c r="A109" s="30">
        <f>104</f>
        <v>104</v>
      </c>
      <c r="B109" s="31">
        <f>EDATE(入力!$B$6,A109-1)</f>
        <v>49369</v>
      </c>
      <c r="C109" s="32">
        <f t="shared" si="21"/>
        <v>28086446</v>
      </c>
      <c r="D109" s="32">
        <f t="shared" si="22"/>
        <v>0</v>
      </c>
      <c r="E109" s="33">
        <f>IF(AND(T108="",A109&lt;=S108),IF(A109&lt;入力!$B$11,入力!$B$10,入力!$B$12),0)</f>
        <v>2.5000000000000001E-2</v>
      </c>
      <c r="F109" s="32">
        <f t="shared" si="23"/>
        <v>58513</v>
      </c>
      <c r="G109" s="32">
        <f>ROUND(IF(NOT(AND(T108="",A109&lt;=S108)),0,IF(FALSE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),0)</f>
        <v>117478</v>
      </c>
      <c r="H109" s="32">
        <f t="shared" si="24"/>
        <v>117478</v>
      </c>
      <c r="I109" s="32">
        <f t="shared" si="25"/>
        <v>58513</v>
      </c>
      <c r="J109" s="32">
        <f t="shared" si="26"/>
        <v>0</v>
      </c>
      <c r="K109" s="32">
        <f t="shared" si="27"/>
        <v>0</v>
      </c>
      <c r="L109" s="32">
        <f t="shared" si="28"/>
        <v>58965</v>
      </c>
      <c r="M109" s="32">
        <f>IF(AND(AND(T108="",A109&lt;=S108),A109=入力!$B$15),ROUND(MIN(入力!$B$16,MAX(0,C109-L109)),0),0)</f>
        <v>0</v>
      </c>
      <c r="N109" s="32">
        <f t="shared" si="29"/>
        <v>28027481</v>
      </c>
      <c r="O109" s="32">
        <f t="shared" si="30"/>
        <v>3835433</v>
      </c>
      <c r="P109" s="34" t="str">
        <f>IF(NOT(AND(T108="",A109&lt;=S108)),"",IF(FALSE,"繰上返済後再計算","")&amp;IF(AND(入力!$B$13="有効",A109&gt;1,MOD(A109-1,60)=0),IF(FALSE,"・","")&amp;"5年見直し","")&amp;IF(AND(A109=入力!$B$11,A109&gt;1),IF(OR(FALSE,AND(入力!$B$13="有効",A109&gt;1,MOD(A109-1,60)=0)),"・","")&amp;"金利変更","")&amp;IF(AND(OR(AND(入力!$B$13="有効",A109&gt;1,MOD(A109-1,60)=0),AND(A109=入力!$B$11,A109&gt;1)),入力!$B$14="有効",IF(E109=0,ROUND(C109/MAX(1,S108-A109+1),0),ROUND(-PMT(E109/12,MAX(1,S108-A109+1),C109),0))&gt;ROUND(G108*1.25,0),NOT(FALSE)),"・上限適用",""))</f>
        <v/>
      </c>
      <c r="Q109" s="35" t="str">
        <f>IF(AND(T108="",A109&lt;=S108),入力!$B$13,"")</f>
        <v>有効</v>
      </c>
      <c r="R109" s="32" t="str">
        <f>IF(AND(AND(T108="",A109&lt;=S108),OR(AND(入力!$B$13="有効",A109&gt;1,MOD(A109-1,60)=0),AND(A109=入力!$B$11,A109&gt;1)),入力!$B$14="有効"),ROUND(G108*1.25,0),"")</f>
        <v/>
      </c>
      <c r="S109" s="36">
        <f>IF(A109&lt;&gt;入力!$B$15,S108,IF(K109&lt;&gt;0,S108,IF(G109&lt;=F109,S108,IF(M109&lt;=0,S108,IF(AND(N109&gt;0,E109&gt;0,G109&lt;=N109*E109/12),S108,IF(A109+IF(N109=0,0,IF(E109=0,ROUNDUP(N109/G109,0),ROUNDUP(NPER(E109/12,-G109,N109),0)))&lt;S108,A109+IF(N109=0,0,IF(E109=0,ROUNDUP(N109/G109,0),ROUNDUP(NPER(E109/12,-G109,N109),0))),S108))))))</f>
        <v>420</v>
      </c>
      <c r="T109" s="35" t="str">
        <f t="shared" si="31"/>
        <v/>
      </c>
      <c r="U109" s="3">
        <f t="shared" si="16"/>
        <v>0</v>
      </c>
      <c r="V109" s="3">
        <f t="shared" si="17"/>
        <v>0</v>
      </c>
      <c r="W109" s="3">
        <f t="shared" si="18"/>
        <v>0</v>
      </c>
      <c r="X109" s="3">
        <f t="shared" si="19"/>
        <v>0</v>
      </c>
      <c r="Y109" s="3">
        <f>0</f>
        <v>0</v>
      </c>
      <c r="Z109" s="3">
        <f t="shared" si="20"/>
        <v>0</v>
      </c>
      <c r="AA109">
        <f>ROUND(IF(FALSE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,0)</f>
        <v>117478</v>
      </c>
    </row>
    <row r="110" spans="1:27">
      <c r="A110" s="30">
        <f>105</f>
        <v>105</v>
      </c>
      <c r="B110" s="31">
        <f>EDATE(入力!$B$6,A110-1)</f>
        <v>49400</v>
      </c>
      <c r="C110" s="32">
        <f t="shared" si="21"/>
        <v>28027481</v>
      </c>
      <c r="D110" s="32">
        <f t="shared" si="22"/>
        <v>0</v>
      </c>
      <c r="E110" s="33">
        <f>IF(AND(T109="",A110&lt;=S109),IF(A110&lt;入力!$B$11,入力!$B$10,入力!$B$12),0)</f>
        <v>2.5000000000000001E-2</v>
      </c>
      <c r="F110" s="32">
        <f t="shared" si="23"/>
        <v>58391</v>
      </c>
      <c r="G110" s="32">
        <f>ROUND(IF(NOT(AND(T109="",A110&lt;=S109)),0,IF(FALSE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),0)</f>
        <v>117478</v>
      </c>
      <c r="H110" s="32">
        <f t="shared" si="24"/>
        <v>117478</v>
      </c>
      <c r="I110" s="32">
        <f t="shared" si="25"/>
        <v>58391</v>
      </c>
      <c r="J110" s="32">
        <f t="shared" si="26"/>
        <v>0</v>
      </c>
      <c r="K110" s="32">
        <f t="shared" si="27"/>
        <v>0</v>
      </c>
      <c r="L110" s="32">
        <f t="shared" si="28"/>
        <v>59087</v>
      </c>
      <c r="M110" s="32">
        <f>IF(AND(AND(T109="",A110&lt;=S109),A110=入力!$B$15),ROUND(MIN(入力!$B$16,MAX(0,C110-L110)),0),0)</f>
        <v>0</v>
      </c>
      <c r="N110" s="32">
        <f t="shared" si="29"/>
        <v>27968394</v>
      </c>
      <c r="O110" s="32">
        <f t="shared" si="30"/>
        <v>3893824</v>
      </c>
      <c r="P110" s="34" t="str">
        <f>IF(NOT(AND(T109="",A110&lt;=S109)),"",IF(FALSE,"繰上返済後再計算","")&amp;IF(AND(入力!$B$13="有効",A110&gt;1,MOD(A110-1,60)=0),IF(FALSE,"・","")&amp;"5年見直し","")&amp;IF(AND(A110=入力!$B$11,A110&gt;1),IF(OR(FALSE,AND(入力!$B$13="有効",A110&gt;1,MOD(A110-1,60)=0)),"・","")&amp;"金利変更","")&amp;IF(AND(OR(AND(入力!$B$13="有効",A110&gt;1,MOD(A110-1,60)=0),AND(A110=入力!$B$11,A110&gt;1)),入力!$B$14="有効",IF(E110=0,ROUND(C110/MAX(1,S109-A110+1),0),ROUND(-PMT(E110/12,MAX(1,S109-A110+1),C110),0))&gt;ROUND(G109*1.25,0),NOT(FALSE)),"・上限適用",""))</f>
        <v/>
      </c>
      <c r="Q110" s="35" t="str">
        <f>IF(AND(T109="",A110&lt;=S109),入力!$B$13,"")</f>
        <v>有効</v>
      </c>
      <c r="R110" s="32" t="str">
        <f>IF(AND(AND(T109="",A110&lt;=S109),OR(AND(入力!$B$13="有効",A110&gt;1,MOD(A110-1,60)=0),AND(A110=入力!$B$11,A110&gt;1)),入力!$B$14="有効"),ROUND(G109*1.25,0),"")</f>
        <v/>
      </c>
      <c r="S110" s="36">
        <f>IF(A110&lt;&gt;入力!$B$15,S109,IF(K110&lt;&gt;0,S109,IF(G110&lt;=F110,S109,IF(M110&lt;=0,S109,IF(AND(N110&gt;0,E110&gt;0,G110&lt;=N110*E110/12),S109,IF(A110+IF(N110=0,0,IF(E110=0,ROUNDUP(N110/G110,0),ROUNDUP(NPER(E110/12,-G110,N110),0)))&lt;S109,A110+IF(N110=0,0,IF(E110=0,ROUNDUP(N110/G110,0),ROUNDUP(NPER(E110/12,-G110,N110),0))),S109))))))</f>
        <v>420</v>
      </c>
      <c r="T110" s="35" t="str">
        <f t="shared" si="31"/>
        <v/>
      </c>
      <c r="U110" s="3">
        <f t="shared" si="16"/>
        <v>0</v>
      </c>
      <c r="V110" s="3">
        <f t="shared" si="17"/>
        <v>0</v>
      </c>
      <c r="W110" s="3">
        <f t="shared" si="18"/>
        <v>0</v>
      </c>
      <c r="X110" s="3">
        <f t="shared" si="19"/>
        <v>0</v>
      </c>
      <c r="Y110" s="3">
        <f>0</f>
        <v>0</v>
      </c>
      <c r="Z110" s="3">
        <f t="shared" si="20"/>
        <v>0</v>
      </c>
      <c r="AA110">
        <f>ROUND(IF(FALSE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,0)</f>
        <v>117478</v>
      </c>
    </row>
    <row r="111" spans="1:27">
      <c r="A111" s="30">
        <f>106</f>
        <v>106</v>
      </c>
      <c r="B111" s="31">
        <f>EDATE(入力!$B$6,A111-1)</f>
        <v>49430</v>
      </c>
      <c r="C111" s="32">
        <f t="shared" si="21"/>
        <v>27968394</v>
      </c>
      <c r="D111" s="32">
        <f t="shared" si="22"/>
        <v>0</v>
      </c>
      <c r="E111" s="33">
        <f>IF(AND(T110="",A111&lt;=S110),IF(A111&lt;入力!$B$11,入力!$B$10,入力!$B$12),0)</f>
        <v>2.5000000000000001E-2</v>
      </c>
      <c r="F111" s="32">
        <f t="shared" si="23"/>
        <v>58267</v>
      </c>
      <c r="G111" s="32">
        <f>ROUND(IF(NOT(AND(T110="",A111&lt;=S110)),0,IF(FALSE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),0)</f>
        <v>117478</v>
      </c>
      <c r="H111" s="32">
        <f t="shared" si="24"/>
        <v>117478</v>
      </c>
      <c r="I111" s="32">
        <f t="shared" si="25"/>
        <v>58267</v>
      </c>
      <c r="J111" s="32">
        <f t="shared" si="26"/>
        <v>0</v>
      </c>
      <c r="K111" s="32">
        <f t="shared" si="27"/>
        <v>0</v>
      </c>
      <c r="L111" s="32">
        <f t="shared" si="28"/>
        <v>59211</v>
      </c>
      <c r="M111" s="32">
        <f>IF(AND(AND(T110="",A111&lt;=S110),A111=入力!$B$15),ROUND(MIN(入力!$B$16,MAX(0,C111-L111)),0),0)</f>
        <v>0</v>
      </c>
      <c r="N111" s="32">
        <f t="shared" si="29"/>
        <v>27909183</v>
      </c>
      <c r="O111" s="32">
        <f t="shared" si="30"/>
        <v>3952091</v>
      </c>
      <c r="P111" s="34" t="str">
        <f>IF(NOT(AND(T110="",A111&lt;=S110)),"",IF(FALSE,"繰上返済後再計算","")&amp;IF(AND(入力!$B$13="有効",A111&gt;1,MOD(A111-1,60)=0),IF(FALSE,"・","")&amp;"5年見直し","")&amp;IF(AND(A111=入力!$B$11,A111&gt;1),IF(OR(FALSE,AND(入力!$B$13="有効",A111&gt;1,MOD(A111-1,60)=0)),"・","")&amp;"金利変更","")&amp;IF(AND(OR(AND(入力!$B$13="有効",A111&gt;1,MOD(A111-1,60)=0),AND(A111=入力!$B$11,A111&gt;1)),入力!$B$14="有効",IF(E111=0,ROUND(C111/MAX(1,S110-A111+1),0),ROUND(-PMT(E111/12,MAX(1,S110-A111+1),C111),0))&gt;ROUND(G110*1.25,0),NOT(FALSE)),"・上限適用",""))</f>
        <v/>
      </c>
      <c r="Q111" s="35" t="str">
        <f>IF(AND(T110="",A111&lt;=S110),入力!$B$13,"")</f>
        <v>有効</v>
      </c>
      <c r="R111" s="32" t="str">
        <f>IF(AND(AND(T110="",A111&lt;=S110),OR(AND(入力!$B$13="有効",A111&gt;1,MOD(A111-1,60)=0),AND(A111=入力!$B$11,A111&gt;1)),入力!$B$14="有効"),ROUND(G110*1.25,0),"")</f>
        <v/>
      </c>
      <c r="S111" s="36">
        <f>IF(A111&lt;&gt;入力!$B$15,S110,IF(K111&lt;&gt;0,S110,IF(G111&lt;=F111,S110,IF(M111&lt;=0,S110,IF(AND(N111&gt;0,E111&gt;0,G111&lt;=N111*E111/12),S110,IF(A111+IF(N111=0,0,IF(E111=0,ROUNDUP(N111/G111,0),ROUNDUP(NPER(E111/12,-G111,N111),0)))&lt;S110,A111+IF(N111=0,0,IF(E111=0,ROUNDUP(N111/G111,0),ROUNDUP(NPER(E111/12,-G111,N111),0))),S110))))))</f>
        <v>420</v>
      </c>
      <c r="T111" s="35" t="str">
        <f t="shared" si="31"/>
        <v/>
      </c>
      <c r="U111" s="3">
        <f t="shared" si="16"/>
        <v>0</v>
      </c>
      <c r="V111" s="3">
        <f t="shared" si="17"/>
        <v>0</v>
      </c>
      <c r="W111" s="3">
        <f t="shared" si="18"/>
        <v>0</v>
      </c>
      <c r="X111" s="3">
        <f t="shared" si="19"/>
        <v>0</v>
      </c>
      <c r="Y111" s="3">
        <f>0</f>
        <v>0</v>
      </c>
      <c r="Z111" s="3">
        <f t="shared" si="20"/>
        <v>0</v>
      </c>
      <c r="AA111">
        <f>ROUND(IF(FALSE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,0)</f>
        <v>117478</v>
      </c>
    </row>
    <row r="112" spans="1:27">
      <c r="A112" s="30">
        <f>107</f>
        <v>107</v>
      </c>
      <c r="B112" s="31">
        <f>EDATE(入力!$B$6,A112-1)</f>
        <v>49461</v>
      </c>
      <c r="C112" s="32">
        <f t="shared" si="21"/>
        <v>27909183</v>
      </c>
      <c r="D112" s="32">
        <f t="shared" si="22"/>
        <v>0</v>
      </c>
      <c r="E112" s="33">
        <f>IF(AND(T111="",A112&lt;=S111),IF(A112&lt;入力!$B$11,入力!$B$10,入力!$B$12),0)</f>
        <v>2.5000000000000001E-2</v>
      </c>
      <c r="F112" s="32">
        <f t="shared" si="23"/>
        <v>58144</v>
      </c>
      <c r="G112" s="32">
        <f>ROUND(IF(NOT(AND(T111="",A112&lt;=S111)),0,IF(FALSE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),0)</f>
        <v>117478</v>
      </c>
      <c r="H112" s="32">
        <f t="shared" si="24"/>
        <v>117478</v>
      </c>
      <c r="I112" s="32">
        <f t="shared" si="25"/>
        <v>58144</v>
      </c>
      <c r="J112" s="32">
        <f t="shared" si="26"/>
        <v>0</v>
      </c>
      <c r="K112" s="32">
        <f t="shared" si="27"/>
        <v>0</v>
      </c>
      <c r="L112" s="32">
        <f t="shared" si="28"/>
        <v>59334</v>
      </c>
      <c r="M112" s="32">
        <f>IF(AND(AND(T111="",A112&lt;=S111),A112=入力!$B$15),ROUND(MIN(入力!$B$16,MAX(0,C112-L112)),0),0)</f>
        <v>0</v>
      </c>
      <c r="N112" s="32">
        <f t="shared" si="29"/>
        <v>27849849</v>
      </c>
      <c r="O112" s="32">
        <f t="shared" si="30"/>
        <v>4010235</v>
      </c>
      <c r="P112" s="34" t="str">
        <f>IF(NOT(AND(T111="",A112&lt;=S111)),"",IF(FALSE,"繰上返済後再計算","")&amp;IF(AND(入力!$B$13="有効",A112&gt;1,MOD(A112-1,60)=0),IF(FALSE,"・","")&amp;"5年見直し","")&amp;IF(AND(A112=入力!$B$11,A112&gt;1),IF(OR(FALSE,AND(入力!$B$13="有効",A112&gt;1,MOD(A112-1,60)=0)),"・","")&amp;"金利変更","")&amp;IF(AND(OR(AND(入力!$B$13="有効",A112&gt;1,MOD(A112-1,60)=0),AND(A112=入力!$B$11,A112&gt;1)),入力!$B$14="有効",IF(E112=0,ROUND(C112/MAX(1,S111-A112+1),0),ROUND(-PMT(E112/12,MAX(1,S111-A112+1),C112),0))&gt;ROUND(G111*1.25,0),NOT(FALSE)),"・上限適用",""))</f>
        <v/>
      </c>
      <c r="Q112" s="35" t="str">
        <f>IF(AND(T111="",A112&lt;=S111),入力!$B$13,"")</f>
        <v>有効</v>
      </c>
      <c r="R112" s="32" t="str">
        <f>IF(AND(AND(T111="",A112&lt;=S111),OR(AND(入力!$B$13="有効",A112&gt;1,MOD(A112-1,60)=0),AND(A112=入力!$B$11,A112&gt;1)),入力!$B$14="有効"),ROUND(G111*1.25,0),"")</f>
        <v/>
      </c>
      <c r="S112" s="36">
        <f>IF(A112&lt;&gt;入力!$B$15,S111,IF(K112&lt;&gt;0,S111,IF(G112&lt;=F112,S111,IF(M112&lt;=0,S111,IF(AND(N112&gt;0,E112&gt;0,G112&lt;=N112*E112/12),S111,IF(A112+IF(N112=0,0,IF(E112=0,ROUNDUP(N112/G112,0),ROUNDUP(NPER(E112/12,-G112,N112),0)))&lt;S111,A112+IF(N112=0,0,IF(E112=0,ROUNDUP(N112/G112,0),ROUNDUP(NPER(E112/12,-G112,N112),0))),S111))))))</f>
        <v>420</v>
      </c>
      <c r="T112" s="35" t="str">
        <f t="shared" si="31"/>
        <v/>
      </c>
      <c r="U112" s="3">
        <f t="shared" si="16"/>
        <v>0</v>
      </c>
      <c r="V112" s="3">
        <f t="shared" si="17"/>
        <v>0</v>
      </c>
      <c r="W112" s="3">
        <f t="shared" si="18"/>
        <v>0</v>
      </c>
      <c r="X112" s="3">
        <f t="shared" si="19"/>
        <v>0</v>
      </c>
      <c r="Y112" s="3">
        <f>0</f>
        <v>0</v>
      </c>
      <c r="Z112" s="3">
        <f t="shared" si="20"/>
        <v>0</v>
      </c>
      <c r="AA112">
        <f>ROUND(IF(FALSE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,0)</f>
        <v>117478</v>
      </c>
    </row>
    <row r="113" spans="1:27">
      <c r="A113" s="30">
        <f>108</f>
        <v>108</v>
      </c>
      <c r="B113" s="31">
        <f>EDATE(入力!$B$6,A113-1)</f>
        <v>49491</v>
      </c>
      <c r="C113" s="32">
        <f t="shared" si="21"/>
        <v>27849849</v>
      </c>
      <c r="D113" s="32">
        <f t="shared" si="22"/>
        <v>0</v>
      </c>
      <c r="E113" s="33">
        <f>IF(AND(T112="",A113&lt;=S112),IF(A113&lt;入力!$B$11,入力!$B$10,入力!$B$12),0)</f>
        <v>2.5000000000000001E-2</v>
      </c>
      <c r="F113" s="32">
        <f t="shared" si="23"/>
        <v>58021</v>
      </c>
      <c r="G113" s="32">
        <f>ROUND(IF(NOT(AND(T112="",A113&lt;=S112)),0,IF(FALSE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),0)</f>
        <v>117478</v>
      </c>
      <c r="H113" s="32">
        <f t="shared" si="24"/>
        <v>117478</v>
      </c>
      <c r="I113" s="32">
        <f t="shared" si="25"/>
        <v>58021</v>
      </c>
      <c r="J113" s="32">
        <f t="shared" si="26"/>
        <v>0</v>
      </c>
      <c r="K113" s="32">
        <f t="shared" si="27"/>
        <v>0</v>
      </c>
      <c r="L113" s="32">
        <f t="shared" si="28"/>
        <v>59457</v>
      </c>
      <c r="M113" s="32">
        <f>IF(AND(AND(T112="",A113&lt;=S112),A113=入力!$B$15),ROUND(MIN(入力!$B$16,MAX(0,C113-L113)),0),0)</f>
        <v>0</v>
      </c>
      <c r="N113" s="32">
        <f t="shared" si="29"/>
        <v>27790392</v>
      </c>
      <c r="O113" s="32">
        <f t="shared" si="30"/>
        <v>4068256</v>
      </c>
      <c r="P113" s="34" t="str">
        <f>IF(NOT(AND(T112="",A113&lt;=S112)),"",IF(FALSE,"繰上返済後再計算","")&amp;IF(AND(入力!$B$13="有効",A113&gt;1,MOD(A113-1,60)=0),IF(FALSE,"・","")&amp;"5年見直し","")&amp;IF(AND(A113=入力!$B$11,A113&gt;1),IF(OR(FALSE,AND(入力!$B$13="有効",A113&gt;1,MOD(A113-1,60)=0)),"・","")&amp;"金利変更","")&amp;IF(AND(OR(AND(入力!$B$13="有効",A113&gt;1,MOD(A113-1,60)=0),AND(A113=入力!$B$11,A113&gt;1)),入力!$B$14="有効",IF(E113=0,ROUND(C113/MAX(1,S112-A113+1),0),ROUND(-PMT(E113/12,MAX(1,S112-A113+1),C113),0))&gt;ROUND(G112*1.25,0),NOT(FALSE)),"・上限適用",""))</f>
        <v/>
      </c>
      <c r="Q113" s="35" t="str">
        <f>IF(AND(T112="",A113&lt;=S112),入力!$B$13,"")</f>
        <v>有効</v>
      </c>
      <c r="R113" s="32" t="str">
        <f>IF(AND(AND(T112="",A113&lt;=S112),OR(AND(入力!$B$13="有効",A113&gt;1,MOD(A113-1,60)=0),AND(A113=入力!$B$11,A113&gt;1)),入力!$B$14="有効"),ROUND(G112*1.25,0),"")</f>
        <v/>
      </c>
      <c r="S113" s="36">
        <f>IF(A113&lt;&gt;入力!$B$15,S112,IF(K113&lt;&gt;0,S112,IF(G113&lt;=F113,S112,IF(M113&lt;=0,S112,IF(AND(N113&gt;0,E113&gt;0,G113&lt;=N113*E113/12),S112,IF(A113+IF(N113=0,0,IF(E113=0,ROUNDUP(N113/G113,0),ROUNDUP(NPER(E113/12,-G113,N113),0)))&lt;S112,A113+IF(N113=0,0,IF(E113=0,ROUNDUP(N113/G113,0),ROUNDUP(NPER(E113/12,-G113,N113),0))),S112))))))</f>
        <v>420</v>
      </c>
      <c r="T113" s="35" t="str">
        <f t="shared" si="31"/>
        <v/>
      </c>
      <c r="U113" s="3">
        <f t="shared" si="16"/>
        <v>0</v>
      </c>
      <c r="V113" s="3">
        <f t="shared" si="17"/>
        <v>0</v>
      </c>
      <c r="W113" s="3">
        <f t="shared" si="18"/>
        <v>0</v>
      </c>
      <c r="X113" s="3">
        <f t="shared" si="19"/>
        <v>0</v>
      </c>
      <c r="Y113" s="3">
        <f>0</f>
        <v>0</v>
      </c>
      <c r="Z113" s="3">
        <f t="shared" si="20"/>
        <v>0</v>
      </c>
      <c r="AA113">
        <f>ROUND(IF(FALSE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,0)</f>
        <v>117478</v>
      </c>
    </row>
    <row r="114" spans="1:27">
      <c r="A114" s="30">
        <f>109</f>
        <v>109</v>
      </c>
      <c r="B114" s="31">
        <f>EDATE(入力!$B$6,A114-1)</f>
        <v>49522</v>
      </c>
      <c r="C114" s="32">
        <f t="shared" si="21"/>
        <v>27790392</v>
      </c>
      <c r="D114" s="32">
        <f t="shared" si="22"/>
        <v>0</v>
      </c>
      <c r="E114" s="33">
        <f>IF(AND(T113="",A114&lt;=S113),IF(A114&lt;入力!$B$11,入力!$B$10,入力!$B$12),0)</f>
        <v>2.5000000000000001E-2</v>
      </c>
      <c r="F114" s="32">
        <f t="shared" si="23"/>
        <v>57897</v>
      </c>
      <c r="G114" s="32">
        <f>ROUND(IF(NOT(AND(T113="",A114&lt;=S113)),0,IF(FALSE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),0)</f>
        <v>117478</v>
      </c>
      <c r="H114" s="32">
        <f t="shared" si="24"/>
        <v>117478</v>
      </c>
      <c r="I114" s="32">
        <f t="shared" si="25"/>
        <v>57897</v>
      </c>
      <c r="J114" s="32">
        <f t="shared" si="26"/>
        <v>0</v>
      </c>
      <c r="K114" s="32">
        <f t="shared" si="27"/>
        <v>0</v>
      </c>
      <c r="L114" s="32">
        <f t="shared" si="28"/>
        <v>59581</v>
      </c>
      <c r="M114" s="32">
        <f>IF(AND(AND(T113="",A114&lt;=S113),A114=入力!$B$15),ROUND(MIN(入力!$B$16,MAX(0,C114-L114)),0),0)</f>
        <v>0</v>
      </c>
      <c r="N114" s="32">
        <f t="shared" si="29"/>
        <v>27730811</v>
      </c>
      <c r="O114" s="32">
        <f t="shared" si="30"/>
        <v>4126153</v>
      </c>
      <c r="P114" s="34" t="str">
        <f>IF(NOT(AND(T113="",A114&lt;=S113)),"",IF(FALSE,"繰上返済後再計算","")&amp;IF(AND(入力!$B$13="有効",A114&gt;1,MOD(A114-1,60)=0),IF(FALSE,"・","")&amp;"5年見直し","")&amp;IF(AND(A114=入力!$B$11,A114&gt;1),IF(OR(FALSE,AND(入力!$B$13="有効",A114&gt;1,MOD(A114-1,60)=0)),"・","")&amp;"金利変更","")&amp;IF(AND(OR(AND(入力!$B$13="有効",A114&gt;1,MOD(A114-1,60)=0),AND(A114=入力!$B$11,A114&gt;1)),入力!$B$14="有効",IF(E114=0,ROUND(C114/MAX(1,S113-A114+1),0),ROUND(-PMT(E114/12,MAX(1,S113-A114+1),C114),0))&gt;ROUND(G113*1.25,0),NOT(FALSE)),"・上限適用",""))</f>
        <v/>
      </c>
      <c r="Q114" s="35" t="str">
        <f>IF(AND(T113="",A114&lt;=S113),入力!$B$13,"")</f>
        <v>有効</v>
      </c>
      <c r="R114" s="32" t="str">
        <f>IF(AND(AND(T113="",A114&lt;=S113),OR(AND(入力!$B$13="有効",A114&gt;1,MOD(A114-1,60)=0),AND(A114=入力!$B$11,A114&gt;1)),入力!$B$14="有効"),ROUND(G113*1.25,0),"")</f>
        <v/>
      </c>
      <c r="S114" s="36">
        <f>IF(A114&lt;&gt;入力!$B$15,S113,IF(K114&lt;&gt;0,S113,IF(G114&lt;=F114,S113,IF(M114&lt;=0,S113,IF(AND(N114&gt;0,E114&gt;0,G114&lt;=N114*E114/12),S113,IF(A114+IF(N114=0,0,IF(E114=0,ROUNDUP(N114/G114,0),ROUNDUP(NPER(E114/12,-G114,N114),0)))&lt;S113,A114+IF(N114=0,0,IF(E114=0,ROUNDUP(N114/G114,0),ROUNDUP(NPER(E114/12,-G114,N114),0))),S113))))))</f>
        <v>420</v>
      </c>
      <c r="T114" s="35" t="str">
        <f t="shared" si="31"/>
        <v/>
      </c>
      <c r="U114" s="3">
        <f t="shared" si="16"/>
        <v>0</v>
      </c>
      <c r="V114" s="3">
        <f t="shared" si="17"/>
        <v>0</v>
      </c>
      <c r="W114" s="3">
        <f t="shared" si="18"/>
        <v>0</v>
      </c>
      <c r="X114" s="3">
        <f t="shared" si="19"/>
        <v>0</v>
      </c>
      <c r="Y114" s="3">
        <f>0</f>
        <v>0</v>
      </c>
      <c r="Z114" s="3">
        <f t="shared" si="20"/>
        <v>0</v>
      </c>
      <c r="AA114">
        <f>ROUND(IF(FALSE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,0)</f>
        <v>117478</v>
      </c>
    </row>
    <row r="115" spans="1:27">
      <c r="A115" s="30">
        <f>110</f>
        <v>110</v>
      </c>
      <c r="B115" s="31">
        <f>EDATE(入力!$B$6,A115-1)</f>
        <v>49553</v>
      </c>
      <c r="C115" s="32">
        <f t="shared" si="21"/>
        <v>27730811</v>
      </c>
      <c r="D115" s="32">
        <f t="shared" si="22"/>
        <v>0</v>
      </c>
      <c r="E115" s="33">
        <f>IF(AND(T114="",A115&lt;=S114),IF(A115&lt;入力!$B$11,入力!$B$10,入力!$B$12),0)</f>
        <v>2.5000000000000001E-2</v>
      </c>
      <c r="F115" s="32">
        <f t="shared" si="23"/>
        <v>57773</v>
      </c>
      <c r="G115" s="32">
        <f>ROUND(IF(NOT(AND(T114="",A115&lt;=S114)),0,IF(FALSE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),0)</f>
        <v>117478</v>
      </c>
      <c r="H115" s="32">
        <f t="shared" si="24"/>
        <v>117478</v>
      </c>
      <c r="I115" s="32">
        <f t="shared" si="25"/>
        <v>57773</v>
      </c>
      <c r="J115" s="32">
        <f t="shared" si="26"/>
        <v>0</v>
      </c>
      <c r="K115" s="32">
        <f t="shared" si="27"/>
        <v>0</v>
      </c>
      <c r="L115" s="32">
        <f t="shared" si="28"/>
        <v>59705</v>
      </c>
      <c r="M115" s="32">
        <f>IF(AND(AND(T114="",A115&lt;=S114),A115=入力!$B$15),ROUND(MIN(入力!$B$16,MAX(0,C115-L115)),0),0)</f>
        <v>0</v>
      </c>
      <c r="N115" s="32">
        <f t="shared" si="29"/>
        <v>27671106</v>
      </c>
      <c r="O115" s="32">
        <f t="shared" si="30"/>
        <v>4183926</v>
      </c>
      <c r="P115" s="34" t="str">
        <f>IF(NOT(AND(T114="",A115&lt;=S114)),"",IF(FALSE,"繰上返済後再計算","")&amp;IF(AND(入力!$B$13="有効",A115&gt;1,MOD(A115-1,60)=0),IF(FALSE,"・","")&amp;"5年見直し","")&amp;IF(AND(A115=入力!$B$11,A115&gt;1),IF(OR(FALSE,AND(入力!$B$13="有効",A115&gt;1,MOD(A115-1,60)=0)),"・","")&amp;"金利変更","")&amp;IF(AND(OR(AND(入力!$B$13="有効",A115&gt;1,MOD(A115-1,60)=0),AND(A115=入力!$B$11,A115&gt;1)),入力!$B$14="有効",IF(E115=0,ROUND(C115/MAX(1,S114-A115+1),0),ROUND(-PMT(E115/12,MAX(1,S114-A115+1),C115),0))&gt;ROUND(G114*1.25,0),NOT(FALSE)),"・上限適用",""))</f>
        <v/>
      </c>
      <c r="Q115" s="35" t="str">
        <f>IF(AND(T114="",A115&lt;=S114),入力!$B$13,"")</f>
        <v>有効</v>
      </c>
      <c r="R115" s="32" t="str">
        <f>IF(AND(AND(T114="",A115&lt;=S114),OR(AND(入力!$B$13="有効",A115&gt;1,MOD(A115-1,60)=0),AND(A115=入力!$B$11,A115&gt;1)),入力!$B$14="有効"),ROUND(G114*1.25,0),"")</f>
        <v/>
      </c>
      <c r="S115" s="36">
        <f>IF(A115&lt;&gt;入力!$B$15,S114,IF(K115&lt;&gt;0,S114,IF(G115&lt;=F115,S114,IF(M115&lt;=0,S114,IF(AND(N115&gt;0,E115&gt;0,G115&lt;=N115*E115/12),S114,IF(A115+IF(N115=0,0,IF(E115=0,ROUNDUP(N115/G115,0),ROUNDUP(NPER(E115/12,-G115,N115),0)))&lt;S114,A115+IF(N115=0,0,IF(E115=0,ROUNDUP(N115/G115,0),ROUNDUP(NPER(E115/12,-G115,N115),0))),S114))))))</f>
        <v>420</v>
      </c>
      <c r="T115" s="35" t="str">
        <f t="shared" si="31"/>
        <v/>
      </c>
      <c r="U115" s="3">
        <f t="shared" si="16"/>
        <v>0</v>
      </c>
      <c r="V115" s="3">
        <f t="shared" si="17"/>
        <v>0</v>
      </c>
      <c r="W115" s="3">
        <f t="shared" si="18"/>
        <v>0</v>
      </c>
      <c r="X115" s="3">
        <f t="shared" si="19"/>
        <v>0</v>
      </c>
      <c r="Y115" s="3">
        <f>0</f>
        <v>0</v>
      </c>
      <c r="Z115" s="3">
        <f t="shared" si="20"/>
        <v>0</v>
      </c>
      <c r="AA115">
        <f>ROUND(IF(FALSE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,0)</f>
        <v>117478</v>
      </c>
    </row>
    <row r="116" spans="1:27">
      <c r="A116" s="30">
        <f>111</f>
        <v>111</v>
      </c>
      <c r="B116" s="31">
        <f>EDATE(入力!$B$6,A116-1)</f>
        <v>49583</v>
      </c>
      <c r="C116" s="32">
        <f t="shared" si="21"/>
        <v>27671106</v>
      </c>
      <c r="D116" s="32">
        <f t="shared" si="22"/>
        <v>0</v>
      </c>
      <c r="E116" s="33">
        <f>IF(AND(T115="",A116&lt;=S115),IF(A116&lt;入力!$B$11,入力!$B$10,入力!$B$12),0)</f>
        <v>2.5000000000000001E-2</v>
      </c>
      <c r="F116" s="32">
        <f t="shared" si="23"/>
        <v>57648</v>
      </c>
      <c r="G116" s="32">
        <f>ROUND(IF(NOT(AND(T115="",A116&lt;=S115)),0,IF(FALSE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),0)</f>
        <v>117478</v>
      </c>
      <c r="H116" s="32">
        <f t="shared" si="24"/>
        <v>117478</v>
      </c>
      <c r="I116" s="32">
        <f t="shared" si="25"/>
        <v>57648</v>
      </c>
      <c r="J116" s="32">
        <f t="shared" si="26"/>
        <v>0</v>
      </c>
      <c r="K116" s="32">
        <f t="shared" si="27"/>
        <v>0</v>
      </c>
      <c r="L116" s="32">
        <f t="shared" si="28"/>
        <v>59830</v>
      </c>
      <c r="M116" s="32">
        <f>IF(AND(AND(T115="",A116&lt;=S115),A116=入力!$B$15),ROUND(MIN(入力!$B$16,MAX(0,C116-L116)),0),0)</f>
        <v>0</v>
      </c>
      <c r="N116" s="32">
        <f t="shared" si="29"/>
        <v>27611276</v>
      </c>
      <c r="O116" s="32">
        <f t="shared" si="30"/>
        <v>4241574</v>
      </c>
      <c r="P116" s="34" t="str">
        <f>IF(NOT(AND(T115="",A116&lt;=S115)),"",IF(FALSE,"繰上返済後再計算","")&amp;IF(AND(入力!$B$13="有効",A116&gt;1,MOD(A116-1,60)=0),IF(FALSE,"・","")&amp;"5年見直し","")&amp;IF(AND(A116=入力!$B$11,A116&gt;1),IF(OR(FALSE,AND(入力!$B$13="有効",A116&gt;1,MOD(A116-1,60)=0)),"・","")&amp;"金利変更","")&amp;IF(AND(OR(AND(入力!$B$13="有効",A116&gt;1,MOD(A116-1,60)=0),AND(A116=入力!$B$11,A116&gt;1)),入力!$B$14="有効",IF(E116=0,ROUND(C116/MAX(1,S115-A116+1),0),ROUND(-PMT(E116/12,MAX(1,S115-A116+1),C116),0))&gt;ROUND(G115*1.25,0),NOT(FALSE)),"・上限適用",""))</f>
        <v/>
      </c>
      <c r="Q116" s="35" t="str">
        <f>IF(AND(T115="",A116&lt;=S115),入力!$B$13,"")</f>
        <v>有効</v>
      </c>
      <c r="R116" s="32" t="str">
        <f>IF(AND(AND(T115="",A116&lt;=S115),OR(AND(入力!$B$13="有効",A116&gt;1,MOD(A116-1,60)=0),AND(A116=入力!$B$11,A116&gt;1)),入力!$B$14="有効"),ROUND(G115*1.25,0),"")</f>
        <v/>
      </c>
      <c r="S116" s="36">
        <f>IF(A116&lt;&gt;入力!$B$15,S115,IF(K116&lt;&gt;0,S115,IF(G116&lt;=F116,S115,IF(M116&lt;=0,S115,IF(AND(N116&gt;0,E116&gt;0,G116&lt;=N116*E116/12),S115,IF(A116+IF(N116=0,0,IF(E116=0,ROUNDUP(N116/G116,0),ROUNDUP(NPER(E116/12,-G116,N116),0)))&lt;S115,A116+IF(N116=0,0,IF(E116=0,ROUNDUP(N116/G116,0),ROUNDUP(NPER(E116/12,-G116,N116),0))),S115))))))</f>
        <v>420</v>
      </c>
      <c r="T116" s="35" t="str">
        <f t="shared" si="31"/>
        <v/>
      </c>
      <c r="U116" s="3">
        <f t="shared" si="16"/>
        <v>0</v>
      </c>
      <c r="V116" s="3">
        <f t="shared" si="17"/>
        <v>0</v>
      </c>
      <c r="W116" s="3">
        <f t="shared" si="18"/>
        <v>0</v>
      </c>
      <c r="X116" s="3">
        <f t="shared" si="19"/>
        <v>0</v>
      </c>
      <c r="Y116" s="3">
        <f>0</f>
        <v>0</v>
      </c>
      <c r="Z116" s="3">
        <f t="shared" si="20"/>
        <v>0</v>
      </c>
      <c r="AA116">
        <f>ROUND(IF(FALSE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,0)</f>
        <v>117478</v>
      </c>
    </row>
    <row r="117" spans="1:27">
      <c r="A117" s="30">
        <f>112</f>
        <v>112</v>
      </c>
      <c r="B117" s="31">
        <f>EDATE(入力!$B$6,A117-1)</f>
        <v>49614</v>
      </c>
      <c r="C117" s="32">
        <f t="shared" si="21"/>
        <v>27611276</v>
      </c>
      <c r="D117" s="32">
        <f t="shared" si="22"/>
        <v>0</v>
      </c>
      <c r="E117" s="33">
        <f>IF(AND(T116="",A117&lt;=S116),IF(A117&lt;入力!$B$11,入力!$B$10,入力!$B$12),0)</f>
        <v>2.5000000000000001E-2</v>
      </c>
      <c r="F117" s="32">
        <f t="shared" si="23"/>
        <v>57523</v>
      </c>
      <c r="G117" s="32">
        <f>ROUND(IF(NOT(AND(T116="",A117&lt;=S116)),0,IF(FALSE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),0)</f>
        <v>117478</v>
      </c>
      <c r="H117" s="32">
        <f t="shared" si="24"/>
        <v>117478</v>
      </c>
      <c r="I117" s="32">
        <f t="shared" si="25"/>
        <v>57523</v>
      </c>
      <c r="J117" s="32">
        <f t="shared" si="26"/>
        <v>0</v>
      </c>
      <c r="K117" s="32">
        <f t="shared" si="27"/>
        <v>0</v>
      </c>
      <c r="L117" s="32">
        <f t="shared" si="28"/>
        <v>59955</v>
      </c>
      <c r="M117" s="32">
        <f>IF(AND(AND(T116="",A117&lt;=S116),A117=入力!$B$15),ROUND(MIN(入力!$B$16,MAX(0,C117-L117)),0),0)</f>
        <v>0</v>
      </c>
      <c r="N117" s="32">
        <f t="shared" si="29"/>
        <v>27551321</v>
      </c>
      <c r="O117" s="32">
        <f t="shared" si="30"/>
        <v>4299097</v>
      </c>
      <c r="P117" s="34" t="str">
        <f>IF(NOT(AND(T116="",A117&lt;=S116)),"",IF(FALSE,"繰上返済後再計算","")&amp;IF(AND(入力!$B$13="有効",A117&gt;1,MOD(A117-1,60)=0),IF(FALSE,"・","")&amp;"5年見直し","")&amp;IF(AND(A117=入力!$B$11,A117&gt;1),IF(OR(FALSE,AND(入力!$B$13="有効",A117&gt;1,MOD(A117-1,60)=0)),"・","")&amp;"金利変更","")&amp;IF(AND(OR(AND(入力!$B$13="有効",A117&gt;1,MOD(A117-1,60)=0),AND(A117=入力!$B$11,A117&gt;1)),入力!$B$14="有効",IF(E117=0,ROUND(C117/MAX(1,S116-A117+1),0),ROUND(-PMT(E117/12,MAX(1,S116-A117+1),C117),0))&gt;ROUND(G116*1.25,0),NOT(FALSE)),"・上限適用",""))</f>
        <v/>
      </c>
      <c r="Q117" s="35" t="str">
        <f>IF(AND(T116="",A117&lt;=S116),入力!$B$13,"")</f>
        <v>有効</v>
      </c>
      <c r="R117" s="32" t="str">
        <f>IF(AND(AND(T116="",A117&lt;=S116),OR(AND(入力!$B$13="有効",A117&gt;1,MOD(A117-1,60)=0),AND(A117=入力!$B$11,A117&gt;1)),入力!$B$14="有効"),ROUND(G116*1.25,0),"")</f>
        <v/>
      </c>
      <c r="S117" s="36">
        <f>IF(A117&lt;&gt;入力!$B$15,S116,IF(K117&lt;&gt;0,S116,IF(G117&lt;=F117,S116,IF(M117&lt;=0,S116,IF(AND(N117&gt;0,E117&gt;0,G117&lt;=N117*E117/12),S116,IF(A117+IF(N117=0,0,IF(E117=0,ROUNDUP(N117/G117,0),ROUNDUP(NPER(E117/12,-G117,N117),0)))&lt;S116,A117+IF(N117=0,0,IF(E117=0,ROUNDUP(N117/G117,0),ROUNDUP(NPER(E117/12,-G117,N117),0))),S116))))))</f>
        <v>420</v>
      </c>
      <c r="T117" s="35" t="str">
        <f t="shared" si="31"/>
        <v/>
      </c>
      <c r="U117" s="3">
        <f t="shared" si="16"/>
        <v>0</v>
      </c>
      <c r="V117" s="3">
        <f t="shared" si="17"/>
        <v>0</v>
      </c>
      <c r="W117" s="3">
        <f t="shared" si="18"/>
        <v>0</v>
      </c>
      <c r="X117" s="3">
        <f t="shared" si="19"/>
        <v>0</v>
      </c>
      <c r="Y117" s="3">
        <f>0</f>
        <v>0</v>
      </c>
      <c r="Z117" s="3">
        <f t="shared" si="20"/>
        <v>0</v>
      </c>
      <c r="AA117">
        <f>ROUND(IF(FALSE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,0)</f>
        <v>117478</v>
      </c>
    </row>
    <row r="118" spans="1:27">
      <c r="A118" s="30">
        <f>113</f>
        <v>113</v>
      </c>
      <c r="B118" s="31">
        <f>EDATE(入力!$B$6,A118-1)</f>
        <v>49644</v>
      </c>
      <c r="C118" s="32">
        <f t="shared" si="21"/>
        <v>27551321</v>
      </c>
      <c r="D118" s="32">
        <f t="shared" si="22"/>
        <v>0</v>
      </c>
      <c r="E118" s="33">
        <f>IF(AND(T117="",A118&lt;=S117),IF(A118&lt;入力!$B$11,入力!$B$10,入力!$B$12),0)</f>
        <v>2.5000000000000001E-2</v>
      </c>
      <c r="F118" s="32">
        <f t="shared" si="23"/>
        <v>57399</v>
      </c>
      <c r="G118" s="32">
        <f>ROUND(IF(NOT(AND(T117="",A118&lt;=S117)),0,IF(FALSE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),0)</f>
        <v>117478</v>
      </c>
      <c r="H118" s="32">
        <f t="shared" si="24"/>
        <v>117478</v>
      </c>
      <c r="I118" s="32">
        <f t="shared" si="25"/>
        <v>57399</v>
      </c>
      <c r="J118" s="32">
        <f t="shared" si="26"/>
        <v>0</v>
      </c>
      <c r="K118" s="32">
        <f t="shared" si="27"/>
        <v>0</v>
      </c>
      <c r="L118" s="32">
        <f t="shared" si="28"/>
        <v>60079</v>
      </c>
      <c r="M118" s="32">
        <f>IF(AND(AND(T117="",A118&lt;=S117),A118=入力!$B$15),ROUND(MIN(入力!$B$16,MAX(0,C118-L118)),0),0)</f>
        <v>0</v>
      </c>
      <c r="N118" s="32">
        <f t="shared" si="29"/>
        <v>27491242</v>
      </c>
      <c r="O118" s="32">
        <f t="shared" si="30"/>
        <v>4356496</v>
      </c>
      <c r="P118" s="34" t="str">
        <f>IF(NOT(AND(T117="",A118&lt;=S117)),"",IF(FALSE,"繰上返済後再計算","")&amp;IF(AND(入力!$B$13="有効",A118&gt;1,MOD(A118-1,60)=0),IF(FALSE,"・","")&amp;"5年見直し","")&amp;IF(AND(A118=入力!$B$11,A118&gt;1),IF(OR(FALSE,AND(入力!$B$13="有効",A118&gt;1,MOD(A118-1,60)=0)),"・","")&amp;"金利変更","")&amp;IF(AND(OR(AND(入力!$B$13="有効",A118&gt;1,MOD(A118-1,60)=0),AND(A118=入力!$B$11,A118&gt;1)),入力!$B$14="有効",IF(E118=0,ROUND(C118/MAX(1,S117-A118+1),0),ROUND(-PMT(E118/12,MAX(1,S117-A118+1),C118),0))&gt;ROUND(G117*1.25,0),NOT(FALSE)),"・上限適用",""))</f>
        <v/>
      </c>
      <c r="Q118" s="35" t="str">
        <f>IF(AND(T117="",A118&lt;=S117),入力!$B$13,"")</f>
        <v>有効</v>
      </c>
      <c r="R118" s="32" t="str">
        <f>IF(AND(AND(T117="",A118&lt;=S117),OR(AND(入力!$B$13="有効",A118&gt;1,MOD(A118-1,60)=0),AND(A118=入力!$B$11,A118&gt;1)),入力!$B$14="有効"),ROUND(G117*1.25,0),"")</f>
        <v/>
      </c>
      <c r="S118" s="36">
        <f>IF(A118&lt;&gt;入力!$B$15,S117,IF(K118&lt;&gt;0,S117,IF(G118&lt;=F118,S117,IF(M118&lt;=0,S117,IF(AND(N118&gt;0,E118&gt;0,G118&lt;=N118*E118/12),S117,IF(A118+IF(N118=0,0,IF(E118=0,ROUNDUP(N118/G118,0),ROUNDUP(NPER(E118/12,-G118,N118),0)))&lt;S117,A118+IF(N118=0,0,IF(E118=0,ROUNDUP(N118/G118,0),ROUNDUP(NPER(E118/12,-G118,N118),0))),S117))))))</f>
        <v>420</v>
      </c>
      <c r="T118" s="35" t="str">
        <f t="shared" si="31"/>
        <v/>
      </c>
      <c r="U118" s="3">
        <f t="shared" si="16"/>
        <v>0</v>
      </c>
      <c r="V118" s="3">
        <f t="shared" si="17"/>
        <v>0</v>
      </c>
      <c r="W118" s="3">
        <f t="shared" si="18"/>
        <v>0</v>
      </c>
      <c r="X118" s="3">
        <f t="shared" si="19"/>
        <v>0</v>
      </c>
      <c r="Y118" s="3">
        <f>0</f>
        <v>0</v>
      </c>
      <c r="Z118" s="3">
        <f t="shared" si="20"/>
        <v>0</v>
      </c>
      <c r="AA118">
        <f>ROUND(IF(FALSE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,0)</f>
        <v>117478</v>
      </c>
    </row>
    <row r="119" spans="1:27">
      <c r="A119" s="30">
        <f>114</f>
        <v>114</v>
      </c>
      <c r="B119" s="31">
        <f>EDATE(入力!$B$6,A119-1)</f>
        <v>49675</v>
      </c>
      <c r="C119" s="32">
        <f t="shared" si="21"/>
        <v>27491242</v>
      </c>
      <c r="D119" s="32">
        <f t="shared" si="22"/>
        <v>0</v>
      </c>
      <c r="E119" s="33">
        <f>IF(AND(T118="",A119&lt;=S118),IF(A119&lt;入力!$B$11,入力!$B$10,入力!$B$12),0)</f>
        <v>2.5000000000000001E-2</v>
      </c>
      <c r="F119" s="32">
        <f t="shared" si="23"/>
        <v>57273</v>
      </c>
      <c r="G119" s="32">
        <f>ROUND(IF(NOT(AND(T118="",A119&lt;=S118)),0,IF(FALSE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),0)</f>
        <v>117478</v>
      </c>
      <c r="H119" s="32">
        <f t="shared" si="24"/>
        <v>117478</v>
      </c>
      <c r="I119" s="32">
        <f t="shared" si="25"/>
        <v>57273</v>
      </c>
      <c r="J119" s="32">
        <f t="shared" si="26"/>
        <v>0</v>
      </c>
      <c r="K119" s="32">
        <f t="shared" si="27"/>
        <v>0</v>
      </c>
      <c r="L119" s="32">
        <f t="shared" si="28"/>
        <v>60205</v>
      </c>
      <c r="M119" s="32">
        <f>IF(AND(AND(T118="",A119&lt;=S118),A119=入力!$B$15),ROUND(MIN(入力!$B$16,MAX(0,C119-L119)),0),0)</f>
        <v>0</v>
      </c>
      <c r="N119" s="32">
        <f t="shared" si="29"/>
        <v>27431037</v>
      </c>
      <c r="O119" s="32">
        <f t="shared" si="30"/>
        <v>4413769</v>
      </c>
      <c r="P119" s="34" t="str">
        <f>IF(NOT(AND(T118="",A119&lt;=S118)),"",IF(FALSE,"繰上返済後再計算","")&amp;IF(AND(入力!$B$13="有効",A119&gt;1,MOD(A119-1,60)=0),IF(FALSE,"・","")&amp;"5年見直し","")&amp;IF(AND(A119=入力!$B$11,A119&gt;1),IF(OR(FALSE,AND(入力!$B$13="有効",A119&gt;1,MOD(A119-1,60)=0)),"・","")&amp;"金利変更","")&amp;IF(AND(OR(AND(入力!$B$13="有効",A119&gt;1,MOD(A119-1,60)=0),AND(A119=入力!$B$11,A119&gt;1)),入力!$B$14="有効",IF(E119=0,ROUND(C119/MAX(1,S118-A119+1),0),ROUND(-PMT(E119/12,MAX(1,S118-A119+1),C119),0))&gt;ROUND(G118*1.25,0),NOT(FALSE)),"・上限適用",""))</f>
        <v/>
      </c>
      <c r="Q119" s="35" t="str">
        <f>IF(AND(T118="",A119&lt;=S118),入力!$B$13,"")</f>
        <v>有効</v>
      </c>
      <c r="R119" s="32" t="str">
        <f>IF(AND(AND(T118="",A119&lt;=S118),OR(AND(入力!$B$13="有効",A119&gt;1,MOD(A119-1,60)=0),AND(A119=入力!$B$11,A119&gt;1)),入力!$B$14="有効"),ROUND(G118*1.25,0),"")</f>
        <v/>
      </c>
      <c r="S119" s="36">
        <f>IF(A119&lt;&gt;入力!$B$15,S118,IF(K119&lt;&gt;0,S118,IF(G119&lt;=F119,S118,IF(M119&lt;=0,S118,IF(AND(N119&gt;0,E119&gt;0,G119&lt;=N119*E119/12),S118,IF(A119+IF(N119=0,0,IF(E119=0,ROUNDUP(N119/G119,0),ROUNDUP(NPER(E119/12,-G119,N119),0)))&lt;S118,A119+IF(N119=0,0,IF(E119=0,ROUNDUP(N119/G119,0),ROUNDUP(NPER(E119/12,-G119,N119),0))),S118))))))</f>
        <v>420</v>
      </c>
      <c r="T119" s="35" t="str">
        <f t="shared" si="31"/>
        <v/>
      </c>
      <c r="U119" s="3">
        <f t="shared" si="16"/>
        <v>0</v>
      </c>
      <c r="V119" s="3">
        <f t="shared" si="17"/>
        <v>0</v>
      </c>
      <c r="W119" s="3">
        <f t="shared" si="18"/>
        <v>0</v>
      </c>
      <c r="X119" s="3">
        <f t="shared" si="19"/>
        <v>0</v>
      </c>
      <c r="Y119" s="3">
        <f>0</f>
        <v>0</v>
      </c>
      <c r="Z119" s="3">
        <f t="shared" si="20"/>
        <v>0</v>
      </c>
      <c r="AA119">
        <f>ROUND(IF(FALSE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,0)</f>
        <v>117478</v>
      </c>
    </row>
    <row r="120" spans="1:27">
      <c r="A120" s="30">
        <f>115</f>
        <v>115</v>
      </c>
      <c r="B120" s="31">
        <f>EDATE(入力!$B$6,A120-1)</f>
        <v>49706</v>
      </c>
      <c r="C120" s="32">
        <f t="shared" si="21"/>
        <v>27431037</v>
      </c>
      <c r="D120" s="32">
        <f t="shared" si="22"/>
        <v>0</v>
      </c>
      <c r="E120" s="33">
        <f>IF(AND(T119="",A120&lt;=S119),IF(A120&lt;入力!$B$11,入力!$B$10,入力!$B$12),0)</f>
        <v>2.5000000000000001E-2</v>
      </c>
      <c r="F120" s="32">
        <f t="shared" si="23"/>
        <v>57148</v>
      </c>
      <c r="G120" s="32">
        <f>ROUND(IF(NOT(AND(T119="",A120&lt;=S119)),0,IF(FALSE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),0)</f>
        <v>117478</v>
      </c>
      <c r="H120" s="32">
        <f t="shared" si="24"/>
        <v>117478</v>
      </c>
      <c r="I120" s="32">
        <f t="shared" si="25"/>
        <v>57148</v>
      </c>
      <c r="J120" s="32">
        <f t="shared" si="26"/>
        <v>0</v>
      </c>
      <c r="K120" s="32">
        <f t="shared" si="27"/>
        <v>0</v>
      </c>
      <c r="L120" s="32">
        <f t="shared" si="28"/>
        <v>60330</v>
      </c>
      <c r="M120" s="32">
        <f>IF(AND(AND(T119="",A120&lt;=S119),A120=入力!$B$15),ROUND(MIN(入力!$B$16,MAX(0,C120-L120)),0),0)</f>
        <v>0</v>
      </c>
      <c r="N120" s="32">
        <f t="shared" si="29"/>
        <v>27370707</v>
      </c>
      <c r="O120" s="32">
        <f t="shared" si="30"/>
        <v>4470917</v>
      </c>
      <c r="P120" s="34" t="str">
        <f>IF(NOT(AND(T119="",A120&lt;=S119)),"",IF(FALSE,"繰上返済後再計算","")&amp;IF(AND(入力!$B$13="有効",A120&gt;1,MOD(A120-1,60)=0),IF(FALSE,"・","")&amp;"5年見直し","")&amp;IF(AND(A120=入力!$B$11,A120&gt;1),IF(OR(FALSE,AND(入力!$B$13="有効",A120&gt;1,MOD(A120-1,60)=0)),"・","")&amp;"金利変更","")&amp;IF(AND(OR(AND(入力!$B$13="有効",A120&gt;1,MOD(A120-1,60)=0),AND(A120=入力!$B$11,A120&gt;1)),入力!$B$14="有効",IF(E120=0,ROUND(C120/MAX(1,S119-A120+1),0),ROUND(-PMT(E120/12,MAX(1,S119-A120+1),C120),0))&gt;ROUND(G119*1.25,0),NOT(FALSE)),"・上限適用",""))</f>
        <v/>
      </c>
      <c r="Q120" s="35" t="str">
        <f>IF(AND(T119="",A120&lt;=S119),入力!$B$13,"")</f>
        <v>有効</v>
      </c>
      <c r="R120" s="32" t="str">
        <f>IF(AND(AND(T119="",A120&lt;=S119),OR(AND(入力!$B$13="有効",A120&gt;1,MOD(A120-1,60)=0),AND(A120=入力!$B$11,A120&gt;1)),入力!$B$14="有効"),ROUND(G119*1.25,0),"")</f>
        <v/>
      </c>
      <c r="S120" s="36">
        <f>IF(A120&lt;&gt;入力!$B$15,S119,IF(K120&lt;&gt;0,S119,IF(G120&lt;=F120,S119,IF(M120&lt;=0,S119,IF(AND(N120&gt;0,E120&gt;0,G120&lt;=N120*E120/12),S119,IF(A120+IF(N120=0,0,IF(E120=0,ROUNDUP(N120/G120,0),ROUNDUP(NPER(E120/12,-G120,N120),0)))&lt;S119,A120+IF(N120=0,0,IF(E120=0,ROUNDUP(N120/G120,0),ROUNDUP(NPER(E120/12,-G120,N120),0))),S119))))))</f>
        <v>420</v>
      </c>
      <c r="T120" s="35" t="str">
        <f t="shared" si="31"/>
        <v/>
      </c>
      <c r="U120" s="3">
        <f t="shared" si="16"/>
        <v>0</v>
      </c>
      <c r="V120" s="3">
        <f t="shared" si="17"/>
        <v>0</v>
      </c>
      <c r="W120" s="3">
        <f t="shared" si="18"/>
        <v>0</v>
      </c>
      <c r="X120" s="3">
        <f t="shared" si="19"/>
        <v>0</v>
      </c>
      <c r="Y120" s="3">
        <f>0</f>
        <v>0</v>
      </c>
      <c r="Z120" s="3">
        <f t="shared" si="20"/>
        <v>0</v>
      </c>
      <c r="AA120">
        <f>ROUND(IF(FALSE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,0)</f>
        <v>117478</v>
      </c>
    </row>
    <row r="121" spans="1:27">
      <c r="A121" s="30">
        <f>116</f>
        <v>116</v>
      </c>
      <c r="B121" s="31">
        <f>EDATE(入力!$B$6,A121-1)</f>
        <v>49735</v>
      </c>
      <c r="C121" s="32">
        <f t="shared" si="21"/>
        <v>27370707</v>
      </c>
      <c r="D121" s="32">
        <f t="shared" si="22"/>
        <v>0</v>
      </c>
      <c r="E121" s="33">
        <f>IF(AND(T120="",A121&lt;=S120),IF(A121&lt;入力!$B$11,入力!$B$10,入力!$B$12),0)</f>
        <v>2.5000000000000001E-2</v>
      </c>
      <c r="F121" s="32">
        <f t="shared" si="23"/>
        <v>57022</v>
      </c>
      <c r="G121" s="32">
        <f>ROUND(IF(NOT(AND(T120="",A121&lt;=S120)),0,IF(FALSE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),0)</f>
        <v>117478</v>
      </c>
      <c r="H121" s="32">
        <f t="shared" si="24"/>
        <v>117478</v>
      </c>
      <c r="I121" s="32">
        <f t="shared" si="25"/>
        <v>57022</v>
      </c>
      <c r="J121" s="32">
        <f t="shared" si="26"/>
        <v>0</v>
      </c>
      <c r="K121" s="32">
        <f t="shared" si="27"/>
        <v>0</v>
      </c>
      <c r="L121" s="32">
        <f t="shared" si="28"/>
        <v>60456</v>
      </c>
      <c r="M121" s="32">
        <f>IF(AND(AND(T120="",A121&lt;=S120),A121=入力!$B$15),ROUND(MIN(入力!$B$16,MAX(0,C121-L121)),0),0)</f>
        <v>0</v>
      </c>
      <c r="N121" s="32">
        <f t="shared" si="29"/>
        <v>27310251</v>
      </c>
      <c r="O121" s="32">
        <f t="shared" si="30"/>
        <v>4527939</v>
      </c>
      <c r="P121" s="34" t="str">
        <f>IF(NOT(AND(T120="",A121&lt;=S120)),"",IF(FALSE,"繰上返済後再計算","")&amp;IF(AND(入力!$B$13="有効",A121&gt;1,MOD(A121-1,60)=0),IF(FALSE,"・","")&amp;"5年見直し","")&amp;IF(AND(A121=入力!$B$11,A121&gt;1),IF(OR(FALSE,AND(入力!$B$13="有効",A121&gt;1,MOD(A121-1,60)=0)),"・","")&amp;"金利変更","")&amp;IF(AND(OR(AND(入力!$B$13="有効",A121&gt;1,MOD(A121-1,60)=0),AND(A121=入力!$B$11,A121&gt;1)),入力!$B$14="有効",IF(E121=0,ROUND(C121/MAX(1,S120-A121+1),0),ROUND(-PMT(E121/12,MAX(1,S120-A121+1),C121),0))&gt;ROUND(G120*1.25,0),NOT(FALSE)),"・上限適用",""))</f>
        <v/>
      </c>
      <c r="Q121" s="35" t="str">
        <f>IF(AND(T120="",A121&lt;=S120),入力!$B$13,"")</f>
        <v>有効</v>
      </c>
      <c r="R121" s="32" t="str">
        <f>IF(AND(AND(T120="",A121&lt;=S120),OR(AND(入力!$B$13="有効",A121&gt;1,MOD(A121-1,60)=0),AND(A121=入力!$B$11,A121&gt;1)),入力!$B$14="有効"),ROUND(G120*1.25,0),"")</f>
        <v/>
      </c>
      <c r="S121" s="36">
        <f>IF(A121&lt;&gt;入力!$B$15,S120,IF(K121&lt;&gt;0,S120,IF(G121&lt;=F121,S120,IF(M121&lt;=0,S120,IF(AND(N121&gt;0,E121&gt;0,G121&lt;=N121*E121/12),S120,IF(A121+IF(N121=0,0,IF(E121=0,ROUNDUP(N121/G121,0),ROUNDUP(NPER(E121/12,-G121,N121),0)))&lt;S120,A121+IF(N121=0,0,IF(E121=0,ROUNDUP(N121/G121,0),ROUNDUP(NPER(E121/12,-G121,N121),0))),S120))))))</f>
        <v>420</v>
      </c>
      <c r="T121" s="35" t="str">
        <f t="shared" si="31"/>
        <v/>
      </c>
      <c r="U121" s="3">
        <f t="shared" si="16"/>
        <v>0</v>
      </c>
      <c r="V121" s="3">
        <f t="shared" si="17"/>
        <v>0</v>
      </c>
      <c r="W121" s="3">
        <f t="shared" si="18"/>
        <v>0</v>
      </c>
      <c r="X121" s="3">
        <f t="shared" si="19"/>
        <v>0</v>
      </c>
      <c r="Y121" s="3">
        <f>0</f>
        <v>0</v>
      </c>
      <c r="Z121" s="3">
        <f t="shared" si="20"/>
        <v>0</v>
      </c>
      <c r="AA121">
        <f>ROUND(IF(FALSE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,0)</f>
        <v>117478</v>
      </c>
    </row>
    <row r="122" spans="1:27">
      <c r="A122" s="30">
        <f>117</f>
        <v>117</v>
      </c>
      <c r="B122" s="31">
        <f>EDATE(入力!$B$6,A122-1)</f>
        <v>49766</v>
      </c>
      <c r="C122" s="32">
        <f t="shared" si="21"/>
        <v>27310251</v>
      </c>
      <c r="D122" s="32">
        <f t="shared" si="22"/>
        <v>0</v>
      </c>
      <c r="E122" s="33">
        <f>IF(AND(T121="",A122&lt;=S121),IF(A122&lt;入力!$B$11,入力!$B$10,入力!$B$12),0)</f>
        <v>2.5000000000000001E-2</v>
      </c>
      <c r="F122" s="32">
        <f t="shared" si="23"/>
        <v>56896</v>
      </c>
      <c r="G122" s="32">
        <f>ROUND(IF(NOT(AND(T121="",A122&lt;=S121)),0,IF(FALSE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),0)</f>
        <v>117478</v>
      </c>
      <c r="H122" s="32">
        <f t="shared" si="24"/>
        <v>117478</v>
      </c>
      <c r="I122" s="32">
        <f t="shared" si="25"/>
        <v>56896</v>
      </c>
      <c r="J122" s="32">
        <f t="shared" si="26"/>
        <v>0</v>
      </c>
      <c r="K122" s="32">
        <f t="shared" si="27"/>
        <v>0</v>
      </c>
      <c r="L122" s="32">
        <f t="shared" si="28"/>
        <v>60582</v>
      </c>
      <c r="M122" s="32">
        <f>IF(AND(AND(T121="",A122&lt;=S121),A122=入力!$B$15),ROUND(MIN(入力!$B$16,MAX(0,C122-L122)),0),0)</f>
        <v>0</v>
      </c>
      <c r="N122" s="32">
        <f t="shared" si="29"/>
        <v>27249669</v>
      </c>
      <c r="O122" s="32">
        <f t="shared" si="30"/>
        <v>4584835</v>
      </c>
      <c r="P122" s="34" t="str">
        <f>IF(NOT(AND(T121="",A122&lt;=S121)),"",IF(FALSE,"繰上返済後再計算","")&amp;IF(AND(入力!$B$13="有効",A122&gt;1,MOD(A122-1,60)=0),IF(FALSE,"・","")&amp;"5年見直し","")&amp;IF(AND(A122=入力!$B$11,A122&gt;1),IF(OR(FALSE,AND(入力!$B$13="有効",A122&gt;1,MOD(A122-1,60)=0)),"・","")&amp;"金利変更","")&amp;IF(AND(OR(AND(入力!$B$13="有効",A122&gt;1,MOD(A122-1,60)=0),AND(A122=入力!$B$11,A122&gt;1)),入力!$B$14="有効",IF(E122=0,ROUND(C122/MAX(1,S121-A122+1),0),ROUND(-PMT(E122/12,MAX(1,S121-A122+1),C122),0))&gt;ROUND(G121*1.25,0),NOT(FALSE)),"・上限適用",""))</f>
        <v/>
      </c>
      <c r="Q122" s="35" t="str">
        <f>IF(AND(T121="",A122&lt;=S121),入力!$B$13,"")</f>
        <v>有効</v>
      </c>
      <c r="R122" s="32" t="str">
        <f>IF(AND(AND(T121="",A122&lt;=S121),OR(AND(入力!$B$13="有効",A122&gt;1,MOD(A122-1,60)=0),AND(A122=入力!$B$11,A122&gt;1)),入力!$B$14="有効"),ROUND(G121*1.25,0),"")</f>
        <v/>
      </c>
      <c r="S122" s="36">
        <f>IF(A122&lt;&gt;入力!$B$15,S121,IF(K122&lt;&gt;0,S121,IF(G122&lt;=F122,S121,IF(M122&lt;=0,S121,IF(AND(N122&gt;0,E122&gt;0,G122&lt;=N122*E122/12),S121,IF(A122+IF(N122=0,0,IF(E122=0,ROUNDUP(N122/G122,0),ROUNDUP(NPER(E122/12,-G122,N122),0)))&lt;S121,A122+IF(N122=0,0,IF(E122=0,ROUNDUP(N122/G122,0),ROUNDUP(NPER(E122/12,-G122,N122),0))),S121))))))</f>
        <v>420</v>
      </c>
      <c r="T122" s="35" t="str">
        <f t="shared" si="31"/>
        <v/>
      </c>
      <c r="U122" s="3">
        <f t="shared" si="16"/>
        <v>0</v>
      </c>
      <c r="V122" s="3">
        <f t="shared" si="17"/>
        <v>0</v>
      </c>
      <c r="W122" s="3">
        <f t="shared" si="18"/>
        <v>0</v>
      </c>
      <c r="X122" s="3">
        <f t="shared" si="19"/>
        <v>0</v>
      </c>
      <c r="Y122" s="3">
        <f>0</f>
        <v>0</v>
      </c>
      <c r="Z122" s="3">
        <f t="shared" si="20"/>
        <v>0</v>
      </c>
      <c r="AA122">
        <f>ROUND(IF(FALSE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,0)</f>
        <v>117478</v>
      </c>
    </row>
    <row r="123" spans="1:27">
      <c r="A123" s="30">
        <f>118</f>
        <v>118</v>
      </c>
      <c r="B123" s="31">
        <f>EDATE(入力!$B$6,A123-1)</f>
        <v>49796</v>
      </c>
      <c r="C123" s="32">
        <f t="shared" si="21"/>
        <v>27249669</v>
      </c>
      <c r="D123" s="32">
        <f t="shared" si="22"/>
        <v>0</v>
      </c>
      <c r="E123" s="33">
        <f>IF(AND(T122="",A123&lt;=S122),IF(A123&lt;入力!$B$11,入力!$B$10,入力!$B$12),0)</f>
        <v>2.5000000000000001E-2</v>
      </c>
      <c r="F123" s="32">
        <f t="shared" si="23"/>
        <v>56770</v>
      </c>
      <c r="G123" s="32">
        <f>ROUND(IF(NOT(AND(T122="",A123&lt;=S122)),0,IF(FALSE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),0)</f>
        <v>117478</v>
      </c>
      <c r="H123" s="32">
        <f t="shared" si="24"/>
        <v>117478</v>
      </c>
      <c r="I123" s="32">
        <f t="shared" si="25"/>
        <v>56770</v>
      </c>
      <c r="J123" s="32">
        <f t="shared" si="26"/>
        <v>0</v>
      </c>
      <c r="K123" s="32">
        <f t="shared" si="27"/>
        <v>0</v>
      </c>
      <c r="L123" s="32">
        <f t="shared" si="28"/>
        <v>60708</v>
      </c>
      <c r="M123" s="32">
        <f>IF(AND(AND(T122="",A123&lt;=S122),A123=入力!$B$15),ROUND(MIN(入力!$B$16,MAX(0,C123-L123)),0),0)</f>
        <v>0</v>
      </c>
      <c r="N123" s="32">
        <f t="shared" si="29"/>
        <v>27188961</v>
      </c>
      <c r="O123" s="32">
        <f t="shared" si="30"/>
        <v>4641605</v>
      </c>
      <c r="P123" s="34" t="str">
        <f>IF(NOT(AND(T122="",A123&lt;=S122)),"",IF(FALSE,"繰上返済後再計算","")&amp;IF(AND(入力!$B$13="有効",A123&gt;1,MOD(A123-1,60)=0),IF(FALSE,"・","")&amp;"5年見直し","")&amp;IF(AND(A123=入力!$B$11,A123&gt;1),IF(OR(FALSE,AND(入力!$B$13="有効",A123&gt;1,MOD(A123-1,60)=0)),"・","")&amp;"金利変更","")&amp;IF(AND(OR(AND(入力!$B$13="有効",A123&gt;1,MOD(A123-1,60)=0),AND(A123=入力!$B$11,A123&gt;1)),入力!$B$14="有効",IF(E123=0,ROUND(C123/MAX(1,S122-A123+1),0),ROUND(-PMT(E123/12,MAX(1,S122-A123+1),C123),0))&gt;ROUND(G122*1.25,0),NOT(FALSE)),"・上限適用",""))</f>
        <v/>
      </c>
      <c r="Q123" s="35" t="str">
        <f>IF(AND(T122="",A123&lt;=S122),入力!$B$13,"")</f>
        <v>有効</v>
      </c>
      <c r="R123" s="32" t="str">
        <f>IF(AND(AND(T122="",A123&lt;=S122),OR(AND(入力!$B$13="有効",A123&gt;1,MOD(A123-1,60)=0),AND(A123=入力!$B$11,A123&gt;1)),入力!$B$14="有効"),ROUND(G122*1.25,0),"")</f>
        <v/>
      </c>
      <c r="S123" s="36">
        <f>IF(A123&lt;&gt;入力!$B$15,S122,IF(K123&lt;&gt;0,S122,IF(G123&lt;=F123,S122,IF(M123&lt;=0,S122,IF(AND(N123&gt;0,E123&gt;0,G123&lt;=N123*E123/12),S122,IF(A123+IF(N123=0,0,IF(E123=0,ROUNDUP(N123/G123,0),ROUNDUP(NPER(E123/12,-G123,N123),0)))&lt;S122,A123+IF(N123=0,0,IF(E123=0,ROUNDUP(N123/G123,0),ROUNDUP(NPER(E123/12,-G123,N123),0))),S122))))))</f>
        <v>420</v>
      </c>
      <c r="T123" s="35" t="str">
        <f t="shared" si="31"/>
        <v/>
      </c>
      <c r="U123" s="3">
        <f t="shared" si="16"/>
        <v>0</v>
      </c>
      <c r="V123" s="3">
        <f t="shared" si="17"/>
        <v>0</v>
      </c>
      <c r="W123" s="3">
        <f t="shared" si="18"/>
        <v>0</v>
      </c>
      <c r="X123" s="3">
        <f t="shared" si="19"/>
        <v>0</v>
      </c>
      <c r="Y123" s="3">
        <f>0</f>
        <v>0</v>
      </c>
      <c r="Z123" s="3">
        <f t="shared" si="20"/>
        <v>0</v>
      </c>
      <c r="AA123">
        <f>ROUND(IF(FALSE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,0)</f>
        <v>117478</v>
      </c>
    </row>
    <row r="124" spans="1:27">
      <c r="A124" s="30">
        <f>119</f>
        <v>119</v>
      </c>
      <c r="B124" s="31">
        <f>EDATE(入力!$B$6,A124-1)</f>
        <v>49827</v>
      </c>
      <c r="C124" s="32">
        <f t="shared" si="21"/>
        <v>27188961</v>
      </c>
      <c r="D124" s="32">
        <f t="shared" si="22"/>
        <v>0</v>
      </c>
      <c r="E124" s="33">
        <f>IF(AND(T123="",A124&lt;=S123),IF(A124&lt;入力!$B$11,入力!$B$10,入力!$B$12),0)</f>
        <v>2.5000000000000001E-2</v>
      </c>
      <c r="F124" s="32">
        <f t="shared" si="23"/>
        <v>56644</v>
      </c>
      <c r="G124" s="32">
        <f>ROUND(IF(NOT(AND(T123="",A124&lt;=S123)),0,IF(FALSE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),0)</f>
        <v>117478</v>
      </c>
      <c r="H124" s="32">
        <f t="shared" si="24"/>
        <v>117478</v>
      </c>
      <c r="I124" s="32">
        <f t="shared" si="25"/>
        <v>56644</v>
      </c>
      <c r="J124" s="32">
        <f t="shared" si="26"/>
        <v>0</v>
      </c>
      <c r="K124" s="32">
        <f t="shared" si="27"/>
        <v>0</v>
      </c>
      <c r="L124" s="32">
        <f t="shared" si="28"/>
        <v>60834</v>
      </c>
      <c r="M124" s="32">
        <f>IF(AND(AND(T123="",A124&lt;=S123),A124=入力!$B$15),ROUND(MIN(入力!$B$16,MAX(0,C124-L124)),0),0)</f>
        <v>0</v>
      </c>
      <c r="N124" s="32">
        <f t="shared" si="29"/>
        <v>27128127</v>
      </c>
      <c r="O124" s="32">
        <f t="shared" si="30"/>
        <v>4698249</v>
      </c>
      <c r="P124" s="34" t="str">
        <f>IF(NOT(AND(T123="",A124&lt;=S123)),"",IF(FALSE,"繰上返済後再計算","")&amp;IF(AND(入力!$B$13="有効",A124&gt;1,MOD(A124-1,60)=0),IF(FALSE,"・","")&amp;"5年見直し","")&amp;IF(AND(A124=入力!$B$11,A124&gt;1),IF(OR(FALSE,AND(入力!$B$13="有効",A124&gt;1,MOD(A124-1,60)=0)),"・","")&amp;"金利変更","")&amp;IF(AND(OR(AND(入力!$B$13="有効",A124&gt;1,MOD(A124-1,60)=0),AND(A124=入力!$B$11,A124&gt;1)),入力!$B$14="有効",IF(E124=0,ROUND(C124/MAX(1,S123-A124+1),0),ROUND(-PMT(E124/12,MAX(1,S123-A124+1),C124),0))&gt;ROUND(G123*1.25,0),NOT(FALSE)),"・上限適用",""))</f>
        <v/>
      </c>
      <c r="Q124" s="35" t="str">
        <f>IF(AND(T123="",A124&lt;=S123),入力!$B$13,"")</f>
        <v>有効</v>
      </c>
      <c r="R124" s="32" t="str">
        <f>IF(AND(AND(T123="",A124&lt;=S123),OR(AND(入力!$B$13="有効",A124&gt;1,MOD(A124-1,60)=0),AND(A124=入力!$B$11,A124&gt;1)),入力!$B$14="有効"),ROUND(G123*1.25,0),"")</f>
        <v/>
      </c>
      <c r="S124" s="36">
        <f>IF(A124&lt;&gt;入力!$B$15,S123,IF(K124&lt;&gt;0,S123,IF(G124&lt;=F124,S123,IF(M124&lt;=0,S123,IF(AND(N124&gt;0,E124&gt;0,G124&lt;=N124*E124/12),S123,IF(A124+IF(N124=0,0,IF(E124=0,ROUNDUP(N124/G124,0),ROUNDUP(NPER(E124/12,-G124,N124),0)))&lt;S123,A124+IF(N124=0,0,IF(E124=0,ROUNDUP(N124/G124,0),ROUNDUP(NPER(E124/12,-G124,N124),0))),S123))))))</f>
        <v>420</v>
      </c>
      <c r="T124" s="35" t="str">
        <f t="shared" si="31"/>
        <v/>
      </c>
      <c r="U124" s="3">
        <f t="shared" si="16"/>
        <v>0</v>
      </c>
      <c r="V124" s="3">
        <f t="shared" si="17"/>
        <v>0</v>
      </c>
      <c r="W124" s="3">
        <f t="shared" si="18"/>
        <v>0</v>
      </c>
      <c r="X124" s="3">
        <f t="shared" si="19"/>
        <v>0</v>
      </c>
      <c r="Y124" s="3">
        <f>0</f>
        <v>0</v>
      </c>
      <c r="Z124" s="3">
        <f t="shared" si="20"/>
        <v>0</v>
      </c>
      <c r="AA124">
        <f>ROUND(IF(FALSE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,0)</f>
        <v>117478</v>
      </c>
    </row>
    <row r="125" spans="1:27">
      <c r="A125" s="30">
        <f>120</f>
        <v>120</v>
      </c>
      <c r="B125" s="31">
        <f>EDATE(入力!$B$6,A125-1)</f>
        <v>49857</v>
      </c>
      <c r="C125" s="32">
        <f t="shared" si="21"/>
        <v>27128127</v>
      </c>
      <c r="D125" s="32">
        <f t="shared" si="22"/>
        <v>0</v>
      </c>
      <c r="E125" s="33">
        <f>IF(AND(T124="",A125&lt;=S124),IF(A125&lt;入力!$B$11,入力!$B$10,入力!$B$12),0)</f>
        <v>2.5000000000000001E-2</v>
      </c>
      <c r="F125" s="32">
        <f t="shared" si="23"/>
        <v>56517</v>
      </c>
      <c r="G125" s="32">
        <f>ROUND(IF(NOT(AND(T124="",A125&lt;=S124)),0,IF(FALSE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),0)</f>
        <v>117478</v>
      </c>
      <c r="H125" s="32">
        <f t="shared" si="24"/>
        <v>117478</v>
      </c>
      <c r="I125" s="32">
        <f t="shared" si="25"/>
        <v>56517</v>
      </c>
      <c r="J125" s="32">
        <f t="shared" si="26"/>
        <v>0</v>
      </c>
      <c r="K125" s="32">
        <f t="shared" si="27"/>
        <v>0</v>
      </c>
      <c r="L125" s="32">
        <f t="shared" si="28"/>
        <v>60961</v>
      </c>
      <c r="M125" s="32">
        <f>IF(AND(AND(T124="",A125&lt;=S124),A125=入力!$B$15),ROUND(MIN(入力!$B$16,MAX(0,C125-L125)),0),0)</f>
        <v>5000000</v>
      </c>
      <c r="N125" s="32">
        <f t="shared" si="29"/>
        <v>22067166</v>
      </c>
      <c r="O125" s="32">
        <f t="shared" si="30"/>
        <v>4754766</v>
      </c>
      <c r="P125" s="34" t="str">
        <f>IF(NOT(AND(T124="",A125&lt;=S124)),"",IF(FALSE,"繰上返済後再計算","")&amp;IF(AND(入力!$B$13="有効",A125&gt;1,MOD(A125-1,60)=0),IF(FALSE,"・","")&amp;"5年見直し","")&amp;IF(AND(A125=入力!$B$11,A125&gt;1),IF(OR(FALSE,AND(入力!$B$13="有効",A125&gt;1,MOD(A125-1,60)=0)),"・","")&amp;"金利変更","")&amp;IF(AND(OR(AND(入力!$B$13="有効",A125&gt;1,MOD(A125-1,60)=0),AND(A125=入力!$B$11,A125&gt;1)),入力!$B$14="有効",IF(E125=0,ROUND(C125/MAX(1,S124-A125+1),0),ROUND(-PMT(E125/12,MAX(1,S124-A125+1),C125),0))&gt;ROUND(G124*1.25,0),NOT(FALSE)),"・上限適用",""))</f>
        <v/>
      </c>
      <c r="Q125" s="35" t="str">
        <f>IF(AND(T124="",A125&lt;=S124),入力!$B$13,"")</f>
        <v>有効</v>
      </c>
      <c r="R125" s="32" t="str">
        <f>IF(AND(AND(T124="",A125&lt;=S124),OR(AND(入力!$B$13="有効",A125&gt;1,MOD(A125-1,60)=0),AND(A125=入力!$B$11,A125&gt;1)),入力!$B$14="有効"),ROUND(G124*1.25,0),"")</f>
        <v/>
      </c>
      <c r="S125" s="36">
        <f>IF(A125&lt;&gt;入力!$B$15,S124,IF(K125&lt;&gt;0,S124,IF(G125&lt;=F125,S124,IF(M125&lt;=0,S124,IF(AND(N125&gt;0,E125&gt;0,G125&lt;=N125*E125/12),S124,IF(A125+IF(N125=0,0,IF(E125=0,ROUNDUP(N125/G125,0),ROUNDUP(NPER(E125/12,-G125,N125),0)))&lt;S124,A125+IF(N125=0,0,IF(E125=0,ROUNDUP(N125/G125,0),ROUNDUP(NPER(E125/12,-G125,N125),0))),S124))))))</f>
        <v>359</v>
      </c>
      <c r="T125" s="35" t="str">
        <f t="shared" si="31"/>
        <v/>
      </c>
      <c r="U125" s="3">
        <f t="shared" si="16"/>
        <v>0</v>
      </c>
      <c r="V125" s="3">
        <f t="shared" si="17"/>
        <v>0</v>
      </c>
      <c r="W125" s="3">
        <f t="shared" si="18"/>
        <v>0</v>
      </c>
      <c r="X125" s="3">
        <f t="shared" si="19"/>
        <v>0</v>
      </c>
      <c r="Y125" s="3">
        <f>0</f>
        <v>0</v>
      </c>
      <c r="Z125" s="3">
        <f t="shared" si="20"/>
        <v>0</v>
      </c>
      <c r="AA125">
        <f>ROUND(IF(FALSE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,0)</f>
        <v>117478</v>
      </c>
    </row>
    <row r="126" spans="1:27">
      <c r="A126" s="30">
        <f>121</f>
        <v>121</v>
      </c>
      <c r="B126" s="31">
        <f>EDATE(入力!$B$6,A126-1)</f>
        <v>49888</v>
      </c>
      <c r="C126" s="32">
        <f t="shared" si="21"/>
        <v>22067166</v>
      </c>
      <c r="D126" s="32">
        <f t="shared" si="22"/>
        <v>0</v>
      </c>
      <c r="E126" s="33">
        <f>IF(AND(T125="",A126&lt;=S125),IF(A126&lt;入力!$B$11,入力!$B$10,入力!$B$12),0)</f>
        <v>2.5000000000000001E-2</v>
      </c>
      <c r="F126" s="32">
        <f t="shared" si="23"/>
        <v>45973</v>
      </c>
      <c r="G126" s="32">
        <f>ROUND(IF(NOT(AND(T125="",A126&lt;=S125)),0,IF(FALSE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),0)</f>
        <v>117312</v>
      </c>
      <c r="H126" s="32">
        <f t="shared" si="24"/>
        <v>117312</v>
      </c>
      <c r="I126" s="32">
        <f t="shared" si="25"/>
        <v>45973</v>
      </c>
      <c r="J126" s="32">
        <f t="shared" si="26"/>
        <v>0</v>
      </c>
      <c r="K126" s="32">
        <f t="shared" si="27"/>
        <v>0</v>
      </c>
      <c r="L126" s="32">
        <f t="shared" si="28"/>
        <v>71339</v>
      </c>
      <c r="M126" s="32">
        <f>IF(AND(AND(T125="",A126&lt;=S125),A126=入力!$B$15),ROUND(MIN(入力!$B$16,MAX(0,C126-L126)),0),0)</f>
        <v>0</v>
      </c>
      <c r="N126" s="32">
        <f t="shared" si="29"/>
        <v>21995827</v>
      </c>
      <c r="O126" s="32">
        <f t="shared" si="30"/>
        <v>4800739</v>
      </c>
      <c r="P126" s="34" t="str">
        <f>IF(NOT(AND(T125="",A126&lt;=S125)),"",IF(FALSE,"繰上返済後再計算","")&amp;IF(AND(入力!$B$13="有効",A126&gt;1,MOD(A126-1,60)=0),IF(FALSE,"・","")&amp;"5年見直し","")&amp;IF(AND(A126=入力!$B$11,A126&gt;1),IF(OR(FALSE,AND(入力!$B$13="有効",A126&gt;1,MOD(A126-1,60)=0)),"・","")&amp;"金利変更","")&amp;IF(AND(OR(AND(入力!$B$13="有効",A126&gt;1,MOD(A126-1,60)=0),AND(A126=入力!$B$11,A126&gt;1)),入力!$B$14="有効",IF(E126=0,ROUND(C126/MAX(1,S125-A126+1),0),ROUND(-PMT(E126/12,MAX(1,S125-A126+1),C126),0))&gt;ROUND(G125*1.25,0),NOT(FALSE)),"・上限適用",""))</f>
        <v>5年見直し</v>
      </c>
      <c r="Q126" s="35" t="str">
        <f>IF(AND(T125="",A126&lt;=S125),入力!$B$13,"")</f>
        <v>有効</v>
      </c>
      <c r="R126" s="32">
        <f>IF(AND(AND(T125="",A126&lt;=S125),OR(AND(入力!$B$13="有効",A126&gt;1,MOD(A126-1,60)=0),AND(A126=入力!$B$11,A126&gt;1)),入力!$B$14="有効"),ROUND(G125*1.25,0),"")</f>
        <v>146848</v>
      </c>
      <c r="S126" s="36">
        <f>IF(A126&lt;&gt;入力!$B$15,S125,IF(K126&lt;&gt;0,S125,IF(G126&lt;=F126,S125,IF(M126&lt;=0,S125,IF(AND(N126&gt;0,E126&gt;0,G126&lt;=N126*E126/12),S125,IF(A126+IF(N126=0,0,IF(E126=0,ROUNDUP(N126/G126,0),ROUNDUP(NPER(E126/12,-G126,N126),0)))&lt;S125,A126+IF(N126=0,0,IF(E126=0,ROUNDUP(N126/G126,0),ROUNDUP(NPER(E126/12,-G126,N126),0))),S125))))))</f>
        <v>359</v>
      </c>
      <c r="T126" s="35" t="str">
        <f t="shared" si="31"/>
        <v/>
      </c>
      <c r="U126" s="3">
        <f t="shared" si="16"/>
        <v>0</v>
      </c>
      <c r="V126" s="3">
        <f t="shared" si="17"/>
        <v>0</v>
      </c>
      <c r="W126" s="3">
        <f t="shared" si="18"/>
        <v>0</v>
      </c>
      <c r="X126" s="3">
        <f t="shared" si="19"/>
        <v>0</v>
      </c>
      <c r="Y126" s="3">
        <f>0</f>
        <v>0</v>
      </c>
      <c r="Z126" s="3">
        <f t="shared" si="20"/>
        <v>0</v>
      </c>
      <c r="AA126">
        <f>ROUND(IF(FALSE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,0)</f>
        <v>117312</v>
      </c>
    </row>
    <row r="127" spans="1:27">
      <c r="A127" s="30">
        <f>122</f>
        <v>122</v>
      </c>
      <c r="B127" s="31">
        <f>EDATE(入力!$B$6,A127-1)</f>
        <v>49919</v>
      </c>
      <c r="C127" s="32">
        <f t="shared" si="21"/>
        <v>21995827</v>
      </c>
      <c r="D127" s="32">
        <f t="shared" si="22"/>
        <v>0</v>
      </c>
      <c r="E127" s="33">
        <f>IF(AND(T126="",A127&lt;=S126),IF(A127&lt;入力!$B$11,入力!$B$10,入力!$B$12),0)</f>
        <v>2.5000000000000001E-2</v>
      </c>
      <c r="F127" s="32">
        <f t="shared" si="23"/>
        <v>45825</v>
      </c>
      <c r="G127" s="32">
        <f>ROUND(IF(NOT(AND(T126="",A127&lt;=S126)),0,IF(FALSE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),0)</f>
        <v>117312</v>
      </c>
      <c r="H127" s="32">
        <f t="shared" si="24"/>
        <v>117312</v>
      </c>
      <c r="I127" s="32">
        <f t="shared" si="25"/>
        <v>45825</v>
      </c>
      <c r="J127" s="32">
        <f t="shared" si="26"/>
        <v>0</v>
      </c>
      <c r="K127" s="32">
        <f t="shared" si="27"/>
        <v>0</v>
      </c>
      <c r="L127" s="32">
        <f t="shared" si="28"/>
        <v>71487</v>
      </c>
      <c r="M127" s="32">
        <f>IF(AND(AND(T126="",A127&lt;=S126),A127=入力!$B$15),ROUND(MIN(入力!$B$16,MAX(0,C127-L127)),0),0)</f>
        <v>0</v>
      </c>
      <c r="N127" s="32">
        <f t="shared" si="29"/>
        <v>21924340</v>
      </c>
      <c r="O127" s="32">
        <f t="shared" si="30"/>
        <v>4846564</v>
      </c>
      <c r="P127" s="34" t="str">
        <f>IF(NOT(AND(T126="",A127&lt;=S126)),"",IF(FALSE,"繰上返済後再計算","")&amp;IF(AND(入力!$B$13="有効",A127&gt;1,MOD(A127-1,60)=0),IF(FALSE,"・","")&amp;"5年見直し","")&amp;IF(AND(A127=入力!$B$11,A127&gt;1),IF(OR(FALSE,AND(入力!$B$13="有効",A127&gt;1,MOD(A127-1,60)=0)),"・","")&amp;"金利変更","")&amp;IF(AND(OR(AND(入力!$B$13="有効",A127&gt;1,MOD(A127-1,60)=0),AND(A127=入力!$B$11,A127&gt;1)),入力!$B$14="有効",IF(E127=0,ROUND(C127/MAX(1,S126-A127+1),0),ROUND(-PMT(E127/12,MAX(1,S126-A127+1),C127),0))&gt;ROUND(G126*1.25,0),NOT(FALSE)),"・上限適用",""))</f>
        <v/>
      </c>
      <c r="Q127" s="35" t="str">
        <f>IF(AND(T126="",A127&lt;=S126),入力!$B$13,"")</f>
        <v>有効</v>
      </c>
      <c r="R127" s="32" t="str">
        <f>IF(AND(AND(T126="",A127&lt;=S126),OR(AND(入力!$B$13="有効",A127&gt;1,MOD(A127-1,60)=0),AND(A127=入力!$B$11,A127&gt;1)),入力!$B$14="有効"),ROUND(G126*1.25,0),"")</f>
        <v/>
      </c>
      <c r="S127" s="36">
        <f>IF(A127&lt;&gt;入力!$B$15,S126,IF(K127&lt;&gt;0,S126,IF(G127&lt;=F127,S126,IF(M127&lt;=0,S126,IF(AND(N127&gt;0,E127&gt;0,G127&lt;=N127*E127/12),S126,IF(A127+IF(N127=0,0,IF(E127=0,ROUNDUP(N127/G127,0),ROUNDUP(NPER(E127/12,-G127,N127),0)))&lt;S126,A127+IF(N127=0,0,IF(E127=0,ROUNDUP(N127/G127,0),ROUNDUP(NPER(E127/12,-G127,N127),0))),S126))))))</f>
        <v>359</v>
      </c>
      <c r="T127" s="35" t="str">
        <f t="shared" si="31"/>
        <v/>
      </c>
      <c r="U127" s="3">
        <f t="shared" si="16"/>
        <v>0</v>
      </c>
      <c r="V127" s="3">
        <f t="shared" si="17"/>
        <v>0</v>
      </c>
      <c r="W127" s="3">
        <f t="shared" si="18"/>
        <v>0</v>
      </c>
      <c r="X127" s="3">
        <f t="shared" si="19"/>
        <v>0</v>
      </c>
      <c r="Y127" s="3">
        <f>0</f>
        <v>0</v>
      </c>
      <c r="Z127" s="3">
        <f t="shared" si="20"/>
        <v>0</v>
      </c>
      <c r="AA127">
        <f>ROUND(IF(FALSE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,0)</f>
        <v>117312</v>
      </c>
    </row>
    <row r="128" spans="1:27">
      <c r="A128" s="30">
        <f>123</f>
        <v>123</v>
      </c>
      <c r="B128" s="31">
        <f>EDATE(入力!$B$6,A128-1)</f>
        <v>49949</v>
      </c>
      <c r="C128" s="32">
        <f t="shared" si="21"/>
        <v>21924340</v>
      </c>
      <c r="D128" s="32">
        <f t="shared" si="22"/>
        <v>0</v>
      </c>
      <c r="E128" s="33">
        <f>IF(AND(T127="",A128&lt;=S127),IF(A128&lt;入力!$B$11,入力!$B$10,入力!$B$12),0)</f>
        <v>2.5000000000000001E-2</v>
      </c>
      <c r="F128" s="32">
        <f t="shared" si="23"/>
        <v>45676</v>
      </c>
      <c r="G128" s="32">
        <f>ROUND(IF(NOT(AND(T127="",A128&lt;=S127)),0,IF(FALSE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),0)</f>
        <v>117312</v>
      </c>
      <c r="H128" s="32">
        <f t="shared" si="24"/>
        <v>117312</v>
      </c>
      <c r="I128" s="32">
        <f t="shared" si="25"/>
        <v>45676</v>
      </c>
      <c r="J128" s="32">
        <f t="shared" si="26"/>
        <v>0</v>
      </c>
      <c r="K128" s="32">
        <f t="shared" si="27"/>
        <v>0</v>
      </c>
      <c r="L128" s="32">
        <f t="shared" si="28"/>
        <v>71636</v>
      </c>
      <c r="M128" s="32">
        <f>IF(AND(AND(T127="",A128&lt;=S127),A128=入力!$B$15),ROUND(MIN(入力!$B$16,MAX(0,C128-L128)),0),0)</f>
        <v>0</v>
      </c>
      <c r="N128" s="32">
        <f t="shared" si="29"/>
        <v>21852704</v>
      </c>
      <c r="O128" s="32">
        <f t="shared" si="30"/>
        <v>4892240</v>
      </c>
      <c r="P128" s="34" t="str">
        <f>IF(NOT(AND(T127="",A128&lt;=S127)),"",IF(FALSE,"繰上返済後再計算","")&amp;IF(AND(入力!$B$13="有効",A128&gt;1,MOD(A128-1,60)=0),IF(FALSE,"・","")&amp;"5年見直し","")&amp;IF(AND(A128=入力!$B$11,A128&gt;1),IF(OR(FALSE,AND(入力!$B$13="有効",A128&gt;1,MOD(A128-1,60)=0)),"・","")&amp;"金利変更","")&amp;IF(AND(OR(AND(入力!$B$13="有効",A128&gt;1,MOD(A128-1,60)=0),AND(A128=入力!$B$11,A128&gt;1)),入力!$B$14="有効",IF(E128=0,ROUND(C128/MAX(1,S127-A128+1),0),ROUND(-PMT(E128/12,MAX(1,S127-A128+1),C128),0))&gt;ROUND(G127*1.25,0),NOT(FALSE)),"・上限適用",""))</f>
        <v/>
      </c>
      <c r="Q128" s="35" t="str">
        <f>IF(AND(T127="",A128&lt;=S127),入力!$B$13,"")</f>
        <v>有効</v>
      </c>
      <c r="R128" s="32" t="str">
        <f>IF(AND(AND(T127="",A128&lt;=S127),OR(AND(入力!$B$13="有効",A128&gt;1,MOD(A128-1,60)=0),AND(A128=入力!$B$11,A128&gt;1)),入力!$B$14="有効"),ROUND(G127*1.25,0),"")</f>
        <v/>
      </c>
      <c r="S128" s="36">
        <f>IF(A128&lt;&gt;入力!$B$15,S127,IF(K128&lt;&gt;0,S127,IF(G128&lt;=F128,S127,IF(M128&lt;=0,S127,IF(AND(N128&gt;0,E128&gt;0,G128&lt;=N128*E128/12),S127,IF(A128+IF(N128=0,0,IF(E128=0,ROUNDUP(N128/G128,0),ROUNDUP(NPER(E128/12,-G128,N128),0)))&lt;S127,A128+IF(N128=0,0,IF(E128=0,ROUNDUP(N128/G128,0),ROUNDUP(NPER(E128/12,-G128,N128),0))),S127))))))</f>
        <v>359</v>
      </c>
      <c r="T128" s="35" t="str">
        <f t="shared" si="31"/>
        <v/>
      </c>
      <c r="U128" s="3">
        <f t="shared" si="16"/>
        <v>0</v>
      </c>
      <c r="V128" s="3">
        <f t="shared" si="17"/>
        <v>0</v>
      </c>
      <c r="W128" s="3">
        <f t="shared" si="18"/>
        <v>0</v>
      </c>
      <c r="X128" s="3">
        <f t="shared" si="19"/>
        <v>0</v>
      </c>
      <c r="Y128" s="3">
        <f>0</f>
        <v>0</v>
      </c>
      <c r="Z128" s="3">
        <f t="shared" si="20"/>
        <v>0</v>
      </c>
      <c r="AA128">
        <f>ROUND(IF(FALSE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,0)</f>
        <v>117312</v>
      </c>
    </row>
    <row r="129" spans="1:27">
      <c r="A129" s="30">
        <f>124</f>
        <v>124</v>
      </c>
      <c r="B129" s="31">
        <f>EDATE(入力!$B$6,A129-1)</f>
        <v>49980</v>
      </c>
      <c r="C129" s="32">
        <f t="shared" si="21"/>
        <v>21852704</v>
      </c>
      <c r="D129" s="32">
        <f t="shared" si="22"/>
        <v>0</v>
      </c>
      <c r="E129" s="33">
        <f>IF(AND(T128="",A129&lt;=S128),IF(A129&lt;入力!$B$11,入力!$B$10,入力!$B$12),0)</f>
        <v>2.5000000000000001E-2</v>
      </c>
      <c r="F129" s="32">
        <f t="shared" si="23"/>
        <v>45526</v>
      </c>
      <c r="G129" s="32">
        <f>ROUND(IF(NOT(AND(T128="",A129&lt;=S128)),0,IF(FALSE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),0)</f>
        <v>117312</v>
      </c>
      <c r="H129" s="32">
        <f t="shared" si="24"/>
        <v>117312</v>
      </c>
      <c r="I129" s="32">
        <f t="shared" si="25"/>
        <v>45526</v>
      </c>
      <c r="J129" s="32">
        <f t="shared" si="26"/>
        <v>0</v>
      </c>
      <c r="K129" s="32">
        <f t="shared" si="27"/>
        <v>0</v>
      </c>
      <c r="L129" s="32">
        <f t="shared" si="28"/>
        <v>71786</v>
      </c>
      <c r="M129" s="32">
        <f>IF(AND(AND(T128="",A129&lt;=S128),A129=入力!$B$15),ROUND(MIN(入力!$B$16,MAX(0,C129-L129)),0),0)</f>
        <v>0</v>
      </c>
      <c r="N129" s="32">
        <f t="shared" si="29"/>
        <v>21780918</v>
      </c>
      <c r="O129" s="32">
        <f t="shared" si="30"/>
        <v>4937766</v>
      </c>
      <c r="P129" s="34" t="str">
        <f>IF(NOT(AND(T128="",A129&lt;=S128)),"",IF(FALSE,"繰上返済後再計算","")&amp;IF(AND(入力!$B$13="有効",A129&gt;1,MOD(A129-1,60)=0),IF(FALSE,"・","")&amp;"5年見直し","")&amp;IF(AND(A129=入力!$B$11,A129&gt;1),IF(OR(FALSE,AND(入力!$B$13="有効",A129&gt;1,MOD(A129-1,60)=0)),"・","")&amp;"金利変更","")&amp;IF(AND(OR(AND(入力!$B$13="有効",A129&gt;1,MOD(A129-1,60)=0),AND(A129=入力!$B$11,A129&gt;1)),入力!$B$14="有効",IF(E129=0,ROUND(C129/MAX(1,S128-A129+1),0),ROUND(-PMT(E129/12,MAX(1,S128-A129+1),C129),0))&gt;ROUND(G128*1.25,0),NOT(FALSE)),"・上限適用",""))</f>
        <v/>
      </c>
      <c r="Q129" s="35" t="str">
        <f>IF(AND(T128="",A129&lt;=S128),入力!$B$13,"")</f>
        <v>有効</v>
      </c>
      <c r="R129" s="32" t="str">
        <f>IF(AND(AND(T128="",A129&lt;=S128),OR(AND(入力!$B$13="有効",A129&gt;1,MOD(A129-1,60)=0),AND(A129=入力!$B$11,A129&gt;1)),入力!$B$14="有効"),ROUND(G128*1.25,0),"")</f>
        <v/>
      </c>
      <c r="S129" s="36">
        <f>IF(A129&lt;&gt;入力!$B$15,S128,IF(K129&lt;&gt;0,S128,IF(G129&lt;=F129,S128,IF(M129&lt;=0,S128,IF(AND(N129&gt;0,E129&gt;0,G129&lt;=N129*E129/12),S128,IF(A129+IF(N129=0,0,IF(E129=0,ROUNDUP(N129/G129,0),ROUNDUP(NPER(E129/12,-G129,N129),0)))&lt;S128,A129+IF(N129=0,0,IF(E129=0,ROUNDUP(N129/G129,0),ROUNDUP(NPER(E129/12,-G129,N129),0))),S128))))))</f>
        <v>359</v>
      </c>
      <c r="T129" s="35" t="str">
        <f t="shared" si="31"/>
        <v/>
      </c>
      <c r="U129" s="3">
        <f t="shared" si="16"/>
        <v>0</v>
      </c>
      <c r="V129" s="3">
        <f t="shared" si="17"/>
        <v>0</v>
      </c>
      <c r="W129" s="3">
        <f t="shared" si="18"/>
        <v>0</v>
      </c>
      <c r="X129" s="3">
        <f t="shared" si="19"/>
        <v>0</v>
      </c>
      <c r="Y129" s="3">
        <f>0</f>
        <v>0</v>
      </c>
      <c r="Z129" s="3">
        <f t="shared" si="20"/>
        <v>0</v>
      </c>
      <c r="AA129">
        <f>ROUND(IF(FALSE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,0)</f>
        <v>117312</v>
      </c>
    </row>
    <row r="130" spans="1:27">
      <c r="A130" s="30">
        <f>125</f>
        <v>125</v>
      </c>
      <c r="B130" s="31">
        <f>EDATE(入力!$B$6,A130-1)</f>
        <v>50010</v>
      </c>
      <c r="C130" s="32">
        <f t="shared" si="21"/>
        <v>21780918</v>
      </c>
      <c r="D130" s="32">
        <f t="shared" si="22"/>
        <v>0</v>
      </c>
      <c r="E130" s="33">
        <f>IF(AND(T129="",A130&lt;=S129),IF(A130&lt;入力!$B$11,入力!$B$10,入力!$B$12),0)</f>
        <v>2.5000000000000001E-2</v>
      </c>
      <c r="F130" s="32">
        <f t="shared" si="23"/>
        <v>45377</v>
      </c>
      <c r="G130" s="32">
        <f>ROUND(IF(NOT(AND(T129="",A130&lt;=S129)),0,IF(FALSE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),0)</f>
        <v>117312</v>
      </c>
      <c r="H130" s="32">
        <f t="shared" si="24"/>
        <v>117312</v>
      </c>
      <c r="I130" s="32">
        <f t="shared" si="25"/>
        <v>45377</v>
      </c>
      <c r="J130" s="32">
        <f t="shared" si="26"/>
        <v>0</v>
      </c>
      <c r="K130" s="32">
        <f t="shared" si="27"/>
        <v>0</v>
      </c>
      <c r="L130" s="32">
        <f t="shared" si="28"/>
        <v>71935</v>
      </c>
      <c r="M130" s="32">
        <f>IF(AND(AND(T129="",A130&lt;=S129),A130=入力!$B$15),ROUND(MIN(入力!$B$16,MAX(0,C130-L130)),0),0)</f>
        <v>0</v>
      </c>
      <c r="N130" s="32">
        <f t="shared" si="29"/>
        <v>21708983</v>
      </c>
      <c r="O130" s="32">
        <f t="shared" si="30"/>
        <v>4983143</v>
      </c>
      <c r="P130" s="34" t="str">
        <f>IF(NOT(AND(T129="",A130&lt;=S129)),"",IF(FALSE,"繰上返済後再計算","")&amp;IF(AND(入力!$B$13="有効",A130&gt;1,MOD(A130-1,60)=0),IF(FALSE,"・","")&amp;"5年見直し","")&amp;IF(AND(A130=入力!$B$11,A130&gt;1),IF(OR(FALSE,AND(入力!$B$13="有効",A130&gt;1,MOD(A130-1,60)=0)),"・","")&amp;"金利変更","")&amp;IF(AND(OR(AND(入力!$B$13="有効",A130&gt;1,MOD(A130-1,60)=0),AND(A130=入力!$B$11,A130&gt;1)),入力!$B$14="有効",IF(E130=0,ROUND(C130/MAX(1,S129-A130+1),0),ROUND(-PMT(E130/12,MAX(1,S129-A130+1),C130),0))&gt;ROUND(G129*1.25,0),NOT(FALSE)),"・上限適用",""))</f>
        <v/>
      </c>
      <c r="Q130" s="35" t="str">
        <f>IF(AND(T129="",A130&lt;=S129),入力!$B$13,"")</f>
        <v>有効</v>
      </c>
      <c r="R130" s="32" t="str">
        <f>IF(AND(AND(T129="",A130&lt;=S129),OR(AND(入力!$B$13="有効",A130&gt;1,MOD(A130-1,60)=0),AND(A130=入力!$B$11,A130&gt;1)),入力!$B$14="有効"),ROUND(G129*1.25,0),"")</f>
        <v/>
      </c>
      <c r="S130" s="36">
        <f>IF(A130&lt;&gt;入力!$B$15,S129,IF(K130&lt;&gt;0,S129,IF(G130&lt;=F130,S129,IF(M130&lt;=0,S129,IF(AND(N130&gt;0,E130&gt;0,G130&lt;=N130*E130/12),S129,IF(A130+IF(N130=0,0,IF(E130=0,ROUNDUP(N130/G130,0),ROUNDUP(NPER(E130/12,-G130,N130),0)))&lt;S129,A130+IF(N130=0,0,IF(E130=0,ROUNDUP(N130/G130,0),ROUNDUP(NPER(E130/12,-G130,N130),0))),S129))))))</f>
        <v>359</v>
      </c>
      <c r="T130" s="35" t="str">
        <f t="shared" si="31"/>
        <v/>
      </c>
      <c r="U130" s="3">
        <f t="shared" si="16"/>
        <v>0</v>
      </c>
      <c r="V130" s="3">
        <f t="shared" si="17"/>
        <v>0</v>
      </c>
      <c r="W130" s="3">
        <f t="shared" si="18"/>
        <v>0</v>
      </c>
      <c r="X130" s="3">
        <f t="shared" si="19"/>
        <v>0</v>
      </c>
      <c r="Y130" s="3">
        <f>0</f>
        <v>0</v>
      </c>
      <c r="Z130" s="3">
        <f t="shared" si="20"/>
        <v>0</v>
      </c>
      <c r="AA130">
        <f>ROUND(IF(FALSE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,0)</f>
        <v>117312</v>
      </c>
    </row>
    <row r="131" spans="1:27">
      <c r="A131" s="30">
        <f>126</f>
        <v>126</v>
      </c>
      <c r="B131" s="31">
        <f>EDATE(入力!$B$6,A131-1)</f>
        <v>50041</v>
      </c>
      <c r="C131" s="32">
        <f t="shared" si="21"/>
        <v>21708983</v>
      </c>
      <c r="D131" s="32">
        <f t="shared" si="22"/>
        <v>0</v>
      </c>
      <c r="E131" s="33">
        <f>IF(AND(T130="",A131&lt;=S130),IF(A131&lt;入力!$B$11,入力!$B$10,入力!$B$12),0)</f>
        <v>2.5000000000000001E-2</v>
      </c>
      <c r="F131" s="32">
        <f t="shared" si="23"/>
        <v>45227</v>
      </c>
      <c r="G131" s="32">
        <f>ROUND(IF(NOT(AND(T130="",A131&lt;=S130)),0,IF(FALSE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),0)</f>
        <v>117312</v>
      </c>
      <c r="H131" s="32">
        <f t="shared" si="24"/>
        <v>117312</v>
      </c>
      <c r="I131" s="32">
        <f t="shared" si="25"/>
        <v>45227</v>
      </c>
      <c r="J131" s="32">
        <f t="shared" si="26"/>
        <v>0</v>
      </c>
      <c r="K131" s="32">
        <f t="shared" si="27"/>
        <v>0</v>
      </c>
      <c r="L131" s="32">
        <f t="shared" si="28"/>
        <v>72085</v>
      </c>
      <c r="M131" s="32">
        <f>IF(AND(AND(T130="",A131&lt;=S130),A131=入力!$B$15),ROUND(MIN(入力!$B$16,MAX(0,C131-L131)),0),0)</f>
        <v>0</v>
      </c>
      <c r="N131" s="32">
        <f t="shared" si="29"/>
        <v>21636898</v>
      </c>
      <c r="O131" s="32">
        <f t="shared" si="30"/>
        <v>5028370</v>
      </c>
      <c r="P131" s="34" t="str">
        <f>IF(NOT(AND(T130="",A131&lt;=S130)),"",IF(FALSE,"繰上返済後再計算","")&amp;IF(AND(入力!$B$13="有効",A131&gt;1,MOD(A131-1,60)=0),IF(FALSE,"・","")&amp;"5年見直し","")&amp;IF(AND(A131=入力!$B$11,A131&gt;1),IF(OR(FALSE,AND(入力!$B$13="有効",A131&gt;1,MOD(A131-1,60)=0)),"・","")&amp;"金利変更","")&amp;IF(AND(OR(AND(入力!$B$13="有効",A131&gt;1,MOD(A131-1,60)=0),AND(A131=入力!$B$11,A131&gt;1)),入力!$B$14="有効",IF(E131=0,ROUND(C131/MAX(1,S130-A131+1),0),ROUND(-PMT(E131/12,MAX(1,S130-A131+1),C131),0))&gt;ROUND(G130*1.25,0),NOT(FALSE)),"・上限適用",""))</f>
        <v/>
      </c>
      <c r="Q131" s="35" t="str">
        <f>IF(AND(T130="",A131&lt;=S130),入力!$B$13,"")</f>
        <v>有効</v>
      </c>
      <c r="R131" s="32" t="str">
        <f>IF(AND(AND(T130="",A131&lt;=S130),OR(AND(入力!$B$13="有効",A131&gt;1,MOD(A131-1,60)=0),AND(A131=入力!$B$11,A131&gt;1)),入力!$B$14="有効"),ROUND(G130*1.25,0),"")</f>
        <v/>
      </c>
      <c r="S131" s="36">
        <f>IF(A131&lt;&gt;入力!$B$15,S130,IF(K131&lt;&gt;0,S130,IF(G131&lt;=F131,S130,IF(M131&lt;=0,S130,IF(AND(N131&gt;0,E131&gt;0,G131&lt;=N131*E131/12),S130,IF(A131+IF(N131=0,0,IF(E131=0,ROUNDUP(N131/G131,0),ROUNDUP(NPER(E131/12,-G131,N131),0)))&lt;S130,A131+IF(N131=0,0,IF(E131=0,ROUNDUP(N131/G131,0),ROUNDUP(NPER(E131/12,-G131,N131),0))),S130))))))</f>
        <v>359</v>
      </c>
      <c r="T131" s="35" t="str">
        <f t="shared" si="31"/>
        <v/>
      </c>
      <c r="U131" s="3">
        <f t="shared" si="16"/>
        <v>0</v>
      </c>
      <c r="V131" s="3">
        <f t="shared" si="17"/>
        <v>0</v>
      </c>
      <c r="W131" s="3">
        <f t="shared" si="18"/>
        <v>0</v>
      </c>
      <c r="X131" s="3">
        <f t="shared" si="19"/>
        <v>0</v>
      </c>
      <c r="Y131" s="3">
        <f>0</f>
        <v>0</v>
      </c>
      <c r="Z131" s="3">
        <f t="shared" si="20"/>
        <v>0</v>
      </c>
      <c r="AA131">
        <f>ROUND(IF(FALSE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,0)</f>
        <v>117312</v>
      </c>
    </row>
    <row r="132" spans="1:27">
      <c r="A132" s="30">
        <f>127</f>
        <v>127</v>
      </c>
      <c r="B132" s="31">
        <f>EDATE(入力!$B$6,A132-1)</f>
        <v>50072</v>
      </c>
      <c r="C132" s="32">
        <f t="shared" si="21"/>
        <v>21636898</v>
      </c>
      <c r="D132" s="32">
        <f t="shared" si="22"/>
        <v>0</v>
      </c>
      <c r="E132" s="33">
        <f>IF(AND(T131="",A132&lt;=S131),IF(A132&lt;入力!$B$11,入力!$B$10,入力!$B$12),0)</f>
        <v>2.5000000000000001E-2</v>
      </c>
      <c r="F132" s="32">
        <f t="shared" si="23"/>
        <v>45077</v>
      </c>
      <c r="G132" s="32">
        <f>ROUND(IF(NOT(AND(T131="",A132&lt;=S131)),0,IF(FALSE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),0)</f>
        <v>117312</v>
      </c>
      <c r="H132" s="32">
        <f t="shared" si="24"/>
        <v>117312</v>
      </c>
      <c r="I132" s="32">
        <f t="shared" si="25"/>
        <v>45077</v>
      </c>
      <c r="J132" s="32">
        <f t="shared" si="26"/>
        <v>0</v>
      </c>
      <c r="K132" s="32">
        <f t="shared" si="27"/>
        <v>0</v>
      </c>
      <c r="L132" s="32">
        <f t="shared" si="28"/>
        <v>72235</v>
      </c>
      <c r="M132" s="32">
        <f>IF(AND(AND(T131="",A132&lt;=S131),A132=入力!$B$15),ROUND(MIN(入力!$B$16,MAX(0,C132-L132)),0),0)</f>
        <v>0</v>
      </c>
      <c r="N132" s="32">
        <f t="shared" si="29"/>
        <v>21564663</v>
      </c>
      <c r="O132" s="32">
        <f t="shared" si="30"/>
        <v>5073447</v>
      </c>
      <c r="P132" s="34" t="str">
        <f>IF(NOT(AND(T131="",A132&lt;=S131)),"",IF(FALSE,"繰上返済後再計算","")&amp;IF(AND(入力!$B$13="有効",A132&gt;1,MOD(A132-1,60)=0),IF(FALSE,"・","")&amp;"5年見直し","")&amp;IF(AND(A132=入力!$B$11,A132&gt;1),IF(OR(FALSE,AND(入力!$B$13="有効",A132&gt;1,MOD(A132-1,60)=0)),"・","")&amp;"金利変更","")&amp;IF(AND(OR(AND(入力!$B$13="有効",A132&gt;1,MOD(A132-1,60)=0),AND(A132=入力!$B$11,A132&gt;1)),入力!$B$14="有効",IF(E132=0,ROUND(C132/MAX(1,S131-A132+1),0),ROUND(-PMT(E132/12,MAX(1,S131-A132+1),C132),0))&gt;ROUND(G131*1.25,0),NOT(FALSE)),"・上限適用",""))</f>
        <v/>
      </c>
      <c r="Q132" s="35" t="str">
        <f>IF(AND(T131="",A132&lt;=S131),入力!$B$13,"")</f>
        <v>有効</v>
      </c>
      <c r="R132" s="32" t="str">
        <f>IF(AND(AND(T131="",A132&lt;=S131),OR(AND(入力!$B$13="有効",A132&gt;1,MOD(A132-1,60)=0),AND(A132=入力!$B$11,A132&gt;1)),入力!$B$14="有効"),ROUND(G131*1.25,0),"")</f>
        <v/>
      </c>
      <c r="S132" s="36">
        <f>IF(A132&lt;&gt;入力!$B$15,S131,IF(K132&lt;&gt;0,S131,IF(G132&lt;=F132,S131,IF(M132&lt;=0,S131,IF(AND(N132&gt;0,E132&gt;0,G132&lt;=N132*E132/12),S131,IF(A132+IF(N132=0,0,IF(E132=0,ROUNDUP(N132/G132,0),ROUNDUP(NPER(E132/12,-G132,N132),0)))&lt;S131,A132+IF(N132=0,0,IF(E132=0,ROUNDUP(N132/G132,0),ROUNDUP(NPER(E132/12,-G132,N132),0))),S131))))))</f>
        <v>359</v>
      </c>
      <c r="T132" s="35" t="str">
        <f t="shared" si="31"/>
        <v/>
      </c>
      <c r="U132" s="3">
        <f t="shared" si="16"/>
        <v>0</v>
      </c>
      <c r="V132" s="3">
        <f t="shared" si="17"/>
        <v>0</v>
      </c>
      <c r="W132" s="3">
        <f t="shared" si="18"/>
        <v>0</v>
      </c>
      <c r="X132" s="3">
        <f t="shared" si="19"/>
        <v>0</v>
      </c>
      <c r="Y132" s="3">
        <f>0</f>
        <v>0</v>
      </c>
      <c r="Z132" s="3">
        <f t="shared" si="20"/>
        <v>0</v>
      </c>
      <c r="AA132">
        <f>ROUND(IF(FALSE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,0)</f>
        <v>117312</v>
      </c>
    </row>
    <row r="133" spans="1:27">
      <c r="A133" s="30">
        <f>128</f>
        <v>128</v>
      </c>
      <c r="B133" s="31">
        <f>EDATE(入力!$B$6,A133-1)</f>
        <v>50100</v>
      </c>
      <c r="C133" s="32">
        <f t="shared" si="21"/>
        <v>21564663</v>
      </c>
      <c r="D133" s="32">
        <f t="shared" si="22"/>
        <v>0</v>
      </c>
      <c r="E133" s="33">
        <f>IF(AND(T132="",A133&lt;=S132),IF(A133&lt;入力!$B$11,入力!$B$10,入力!$B$12),0)</f>
        <v>2.5000000000000001E-2</v>
      </c>
      <c r="F133" s="32">
        <f t="shared" si="23"/>
        <v>44926</v>
      </c>
      <c r="G133" s="32">
        <f>ROUND(IF(NOT(AND(T132="",A133&lt;=S132)),0,IF(FALSE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),0)</f>
        <v>117312</v>
      </c>
      <c r="H133" s="32">
        <f t="shared" si="24"/>
        <v>117312</v>
      </c>
      <c r="I133" s="32">
        <f t="shared" si="25"/>
        <v>44926</v>
      </c>
      <c r="J133" s="32">
        <f t="shared" si="26"/>
        <v>0</v>
      </c>
      <c r="K133" s="32">
        <f t="shared" si="27"/>
        <v>0</v>
      </c>
      <c r="L133" s="32">
        <f t="shared" si="28"/>
        <v>72386</v>
      </c>
      <c r="M133" s="32">
        <f>IF(AND(AND(T132="",A133&lt;=S132),A133=入力!$B$15),ROUND(MIN(入力!$B$16,MAX(0,C133-L133)),0),0)</f>
        <v>0</v>
      </c>
      <c r="N133" s="32">
        <f t="shared" si="29"/>
        <v>21492277</v>
      </c>
      <c r="O133" s="32">
        <f t="shared" si="30"/>
        <v>5118373</v>
      </c>
      <c r="P133" s="34" t="str">
        <f>IF(NOT(AND(T132="",A133&lt;=S132)),"",IF(FALSE,"繰上返済後再計算","")&amp;IF(AND(入力!$B$13="有効",A133&gt;1,MOD(A133-1,60)=0),IF(FALSE,"・","")&amp;"5年見直し","")&amp;IF(AND(A133=入力!$B$11,A133&gt;1),IF(OR(FALSE,AND(入力!$B$13="有効",A133&gt;1,MOD(A133-1,60)=0)),"・","")&amp;"金利変更","")&amp;IF(AND(OR(AND(入力!$B$13="有効",A133&gt;1,MOD(A133-1,60)=0),AND(A133=入力!$B$11,A133&gt;1)),入力!$B$14="有効",IF(E133=0,ROUND(C133/MAX(1,S132-A133+1),0),ROUND(-PMT(E133/12,MAX(1,S132-A133+1),C133),0))&gt;ROUND(G132*1.25,0),NOT(FALSE)),"・上限適用",""))</f>
        <v/>
      </c>
      <c r="Q133" s="35" t="str">
        <f>IF(AND(T132="",A133&lt;=S132),入力!$B$13,"")</f>
        <v>有効</v>
      </c>
      <c r="R133" s="32" t="str">
        <f>IF(AND(AND(T132="",A133&lt;=S132),OR(AND(入力!$B$13="有効",A133&gt;1,MOD(A133-1,60)=0),AND(A133=入力!$B$11,A133&gt;1)),入力!$B$14="有効"),ROUND(G132*1.25,0),"")</f>
        <v/>
      </c>
      <c r="S133" s="36">
        <f>IF(A133&lt;&gt;入力!$B$15,S132,IF(K133&lt;&gt;0,S132,IF(G133&lt;=F133,S132,IF(M133&lt;=0,S132,IF(AND(N133&gt;0,E133&gt;0,G133&lt;=N133*E133/12),S132,IF(A133+IF(N133=0,0,IF(E133=0,ROUNDUP(N133/G133,0),ROUNDUP(NPER(E133/12,-G133,N133),0)))&lt;S132,A133+IF(N133=0,0,IF(E133=0,ROUNDUP(N133/G133,0),ROUNDUP(NPER(E133/12,-G133,N133),0))),S132))))))</f>
        <v>359</v>
      </c>
      <c r="T133" s="35" t="str">
        <f t="shared" si="31"/>
        <v/>
      </c>
      <c r="U133" s="3">
        <f t="shared" si="16"/>
        <v>0</v>
      </c>
      <c r="V133" s="3">
        <f t="shared" si="17"/>
        <v>0</v>
      </c>
      <c r="W133" s="3">
        <f t="shared" si="18"/>
        <v>0</v>
      </c>
      <c r="X133" s="3">
        <f t="shared" si="19"/>
        <v>0</v>
      </c>
      <c r="Y133" s="3">
        <f>0</f>
        <v>0</v>
      </c>
      <c r="Z133" s="3">
        <f t="shared" si="20"/>
        <v>0</v>
      </c>
      <c r="AA133">
        <f>ROUND(IF(FALSE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,0)</f>
        <v>117312</v>
      </c>
    </row>
    <row r="134" spans="1:27">
      <c r="A134" s="30">
        <f>129</f>
        <v>129</v>
      </c>
      <c r="B134" s="31">
        <f>EDATE(入力!$B$6,A134-1)</f>
        <v>50131</v>
      </c>
      <c r="C134" s="32">
        <f t="shared" si="21"/>
        <v>21492277</v>
      </c>
      <c r="D134" s="32">
        <f t="shared" si="22"/>
        <v>0</v>
      </c>
      <c r="E134" s="33">
        <f>IF(AND(T133="",A134&lt;=S133),IF(A134&lt;入力!$B$11,入力!$B$10,入力!$B$12),0)</f>
        <v>2.5000000000000001E-2</v>
      </c>
      <c r="F134" s="32">
        <f t="shared" si="23"/>
        <v>44776</v>
      </c>
      <c r="G134" s="32">
        <f>ROUND(IF(NOT(AND(T133="",A134&lt;=S133)),0,IF(FALSE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),0)</f>
        <v>117312</v>
      </c>
      <c r="H134" s="32">
        <f t="shared" si="24"/>
        <v>117312</v>
      </c>
      <c r="I134" s="32">
        <f t="shared" si="25"/>
        <v>44776</v>
      </c>
      <c r="J134" s="32">
        <f t="shared" si="26"/>
        <v>0</v>
      </c>
      <c r="K134" s="32">
        <f t="shared" si="27"/>
        <v>0</v>
      </c>
      <c r="L134" s="32">
        <f t="shared" si="28"/>
        <v>72536</v>
      </c>
      <c r="M134" s="32">
        <f>IF(AND(AND(T133="",A134&lt;=S133),A134=入力!$B$15),ROUND(MIN(入力!$B$16,MAX(0,C134-L134)),0),0)</f>
        <v>0</v>
      </c>
      <c r="N134" s="32">
        <f t="shared" si="29"/>
        <v>21419741</v>
      </c>
      <c r="O134" s="32">
        <f t="shared" si="30"/>
        <v>5163149</v>
      </c>
      <c r="P134" s="34" t="str">
        <f>IF(NOT(AND(T133="",A134&lt;=S133)),"",IF(FALSE,"繰上返済後再計算","")&amp;IF(AND(入力!$B$13="有効",A134&gt;1,MOD(A134-1,60)=0),IF(FALSE,"・","")&amp;"5年見直し","")&amp;IF(AND(A134=入力!$B$11,A134&gt;1),IF(OR(FALSE,AND(入力!$B$13="有効",A134&gt;1,MOD(A134-1,60)=0)),"・","")&amp;"金利変更","")&amp;IF(AND(OR(AND(入力!$B$13="有効",A134&gt;1,MOD(A134-1,60)=0),AND(A134=入力!$B$11,A134&gt;1)),入力!$B$14="有効",IF(E134=0,ROUND(C134/MAX(1,S133-A134+1),0),ROUND(-PMT(E134/12,MAX(1,S133-A134+1),C134),0))&gt;ROUND(G133*1.25,0),NOT(FALSE)),"・上限適用",""))</f>
        <v/>
      </c>
      <c r="Q134" s="35" t="str">
        <f>IF(AND(T133="",A134&lt;=S133),入力!$B$13,"")</f>
        <v>有効</v>
      </c>
      <c r="R134" s="32" t="str">
        <f>IF(AND(AND(T133="",A134&lt;=S133),OR(AND(入力!$B$13="有効",A134&gt;1,MOD(A134-1,60)=0),AND(A134=入力!$B$11,A134&gt;1)),入力!$B$14="有効"),ROUND(G133*1.25,0),"")</f>
        <v/>
      </c>
      <c r="S134" s="36">
        <f>IF(A134&lt;&gt;入力!$B$15,S133,IF(K134&lt;&gt;0,S133,IF(G134&lt;=F134,S133,IF(M134&lt;=0,S133,IF(AND(N134&gt;0,E134&gt;0,G134&lt;=N134*E134/12),S133,IF(A134+IF(N134=0,0,IF(E134=0,ROUNDUP(N134/G134,0),ROUNDUP(NPER(E134/12,-G134,N134),0)))&lt;S133,A134+IF(N134=0,0,IF(E134=0,ROUNDUP(N134/G134,0),ROUNDUP(NPER(E134/12,-G134,N134),0))),S133))))))</f>
        <v>359</v>
      </c>
      <c r="T134" s="35" t="str">
        <f t="shared" si="31"/>
        <v/>
      </c>
      <c r="U134" s="3">
        <f t="shared" ref="U134:U197" si="32">ABS(I134-MIN(H134,D134+F134))</f>
        <v>0</v>
      </c>
      <c r="V134" s="3">
        <f t="shared" ref="V134:V197" si="33">ABS(L134-(H134-I134))</f>
        <v>0</v>
      </c>
      <c r="W134" s="3">
        <f t="shared" ref="W134:W197" si="34">ABS(K134-(D134+J134))</f>
        <v>0</v>
      </c>
      <c r="X134" s="3">
        <f t="shared" ref="X134:X197" si="35">ABS(F134-ROUND(F134,0))+ABS(G134-ROUND(G134,0))+ABS(H134-ROUND(H134,0))+ABS(I134-ROUND(I134,0))+ABS(J134-ROUND(J134,0))+ABS(K134-ROUND(K134,0))+ABS(L134-ROUND(L134,0))+ABS(M134-ROUND(M134,0))+ABS(N134-ROUND(N134,0))+ABS(O134-ROUND(O134,0))</f>
        <v>0</v>
      </c>
      <c r="Y134" s="3">
        <f>0</f>
        <v>0</v>
      </c>
      <c r="Z134" s="3">
        <f t="shared" ref="Z134:Z197" si="36">SUM(--ISERROR(A134),--ISERROR(B134),--ISERROR(C134),--ISERROR(D134),--ISERROR(E134),--ISERROR(F134),--ISERROR(G134),--ISERROR(H134),--ISERROR(I134),--ISERROR(J134),--ISERROR(K134),--ISERROR(L134),--ISERROR(M134),--ISERROR(N134),--ISERROR(O134),--ISERROR(P134),--ISERROR(Q134),--ISERROR(R134),--ISERROR(S134),--ISERROR(T134))</f>
        <v>0</v>
      </c>
      <c r="AA134">
        <f>ROUND(IF(FALSE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,0)</f>
        <v>117312</v>
      </c>
    </row>
    <row r="135" spans="1:27">
      <c r="A135" s="30">
        <f>130</f>
        <v>130</v>
      </c>
      <c r="B135" s="31">
        <f>EDATE(入力!$B$6,A135-1)</f>
        <v>50161</v>
      </c>
      <c r="C135" s="32">
        <f t="shared" ref="C135:C198" si="37">IF(AND(T134="",A135&lt;=S134),N134,0)</f>
        <v>21419741</v>
      </c>
      <c r="D135" s="32">
        <f t="shared" ref="D135:D198" si="38">IF(AND(T134="",A135&lt;=S134),K134,0)</f>
        <v>0</v>
      </c>
      <c r="E135" s="33">
        <f>IF(AND(T134="",A135&lt;=S134),IF(A135&lt;入力!$B$11,入力!$B$10,入力!$B$12),0)</f>
        <v>2.5000000000000001E-2</v>
      </c>
      <c r="F135" s="32">
        <f t="shared" ref="F135:F198" si="39">IF(AND(T134="",A135&lt;=S134),ROUND(C135*E135/12,0),0)</f>
        <v>44624</v>
      </c>
      <c r="G135" s="32">
        <f>ROUND(IF(NOT(AND(T134="",A135&lt;=S134)),0,IF(FALSE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),0)</f>
        <v>117312</v>
      </c>
      <c r="H135" s="32">
        <f t="shared" ref="H135:H198" si="40">IF(AND(T134="",A135&lt;=S134),ROUND(MIN(G135,C135+D135+F135),0),0)</f>
        <v>117312</v>
      </c>
      <c r="I135" s="32">
        <f t="shared" ref="I135:I198" si="41">IF(AND(T134="",A135&lt;=S134),ROUND(MIN(H135,D135+F135),0),0)</f>
        <v>44624</v>
      </c>
      <c r="J135" s="32">
        <f t="shared" ref="J135:J198" si="42">IF(AND(T134="",A135&lt;=S134),ROUND(F135-I135,0),0)</f>
        <v>0</v>
      </c>
      <c r="K135" s="32">
        <f t="shared" ref="K135:K198" si="43">IF(AND(T134="",A135&lt;=S134),ROUND(D135+J135,0),0)</f>
        <v>0</v>
      </c>
      <c r="L135" s="32">
        <f t="shared" ref="L135:L198" si="44">IF(AND(T134="",A135&lt;=S134),ROUND(H135-I135,0),0)</f>
        <v>72688</v>
      </c>
      <c r="M135" s="32">
        <f>IF(AND(AND(T134="",A135&lt;=S134),A135=入力!$B$15),ROUND(MIN(入力!$B$16,MAX(0,C135-L135)),0),0)</f>
        <v>0</v>
      </c>
      <c r="N135" s="32">
        <f t="shared" ref="N135:N198" si="45">IF(AND(T134="",A135&lt;=S134),ROUND(MAX(0,C135-L135-M135),0),0)</f>
        <v>21347053</v>
      </c>
      <c r="O135" s="32">
        <f t="shared" ref="O135:O198" si="46">IF(AND(T134="",A135&lt;=S134),ROUND(O134+F135,0),O134)</f>
        <v>5207773</v>
      </c>
      <c r="P135" s="34" t="str">
        <f>IF(NOT(AND(T134="",A135&lt;=S134)),"",IF(FALSE,"繰上返済後再計算","")&amp;IF(AND(入力!$B$13="有効",A135&gt;1,MOD(A135-1,60)=0),IF(FALSE,"・","")&amp;"5年見直し","")&amp;IF(AND(A135=入力!$B$11,A135&gt;1),IF(OR(FALSE,AND(入力!$B$13="有効",A135&gt;1,MOD(A135-1,60)=0)),"・","")&amp;"金利変更","")&amp;IF(AND(OR(AND(入力!$B$13="有効",A135&gt;1,MOD(A135-1,60)=0),AND(A135=入力!$B$11,A135&gt;1)),入力!$B$14="有効",IF(E135=0,ROUND(C135/MAX(1,S134-A135+1),0),ROUND(-PMT(E135/12,MAX(1,S134-A135+1),C135),0))&gt;ROUND(G134*1.25,0),NOT(FALSE)),"・上限適用",""))</f>
        <v/>
      </c>
      <c r="Q135" s="35" t="str">
        <f>IF(AND(T134="",A135&lt;=S134),入力!$B$13,"")</f>
        <v>有効</v>
      </c>
      <c r="R135" s="32" t="str">
        <f>IF(AND(AND(T134="",A135&lt;=S134),OR(AND(入力!$B$13="有効",A135&gt;1,MOD(A135-1,60)=0),AND(A135=入力!$B$11,A135&gt;1)),入力!$B$14="有効"),ROUND(G134*1.25,0),"")</f>
        <v/>
      </c>
      <c r="S135" s="36">
        <f>IF(A135&lt;&gt;入力!$B$15,S134,IF(K135&lt;&gt;0,S134,IF(G135&lt;=F135,S134,IF(M135&lt;=0,S134,IF(AND(N135&gt;0,E135&gt;0,G135&lt;=N135*E135/12),S134,IF(A135+IF(N135=0,0,IF(E135=0,ROUNDUP(N135/G135,0),ROUNDUP(NPER(E135/12,-G135,N135),0)))&lt;S134,A135+IF(N135=0,0,IF(E135=0,ROUNDUP(N135/G135,0),ROUNDUP(NPER(E135/12,-G135,N135),0))),S134))))))</f>
        <v>359</v>
      </c>
      <c r="T135" s="35" t="str">
        <f t="shared" ref="T135:T198" si="47">IF(NOT(AND(T134="",A135&lt;=S134)),"",IF(AND(N135=0,K135=0),"完済",IF(A135=S135,"最終回清算","")))</f>
        <v/>
      </c>
      <c r="U135" s="3">
        <f t="shared" si="32"/>
        <v>0</v>
      </c>
      <c r="V135" s="3">
        <f t="shared" si="33"/>
        <v>0</v>
      </c>
      <c r="W135" s="3">
        <f t="shared" si="34"/>
        <v>0</v>
      </c>
      <c r="X135" s="3">
        <f t="shared" si="35"/>
        <v>0</v>
      </c>
      <c r="Y135" s="3">
        <f>0</f>
        <v>0</v>
      </c>
      <c r="Z135" s="3">
        <f t="shared" si="36"/>
        <v>0</v>
      </c>
      <c r="AA135">
        <f>ROUND(IF(FALSE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,0)</f>
        <v>117312</v>
      </c>
    </row>
    <row r="136" spans="1:27">
      <c r="A136" s="30">
        <f>131</f>
        <v>131</v>
      </c>
      <c r="B136" s="31">
        <f>EDATE(入力!$B$6,A136-1)</f>
        <v>50192</v>
      </c>
      <c r="C136" s="32">
        <f t="shared" si="37"/>
        <v>21347053</v>
      </c>
      <c r="D136" s="32">
        <f t="shared" si="38"/>
        <v>0</v>
      </c>
      <c r="E136" s="33">
        <f>IF(AND(T135="",A136&lt;=S135),IF(A136&lt;入力!$B$11,入力!$B$10,入力!$B$12),0)</f>
        <v>2.5000000000000001E-2</v>
      </c>
      <c r="F136" s="32">
        <f t="shared" si="39"/>
        <v>44473</v>
      </c>
      <c r="G136" s="32">
        <f>ROUND(IF(NOT(AND(T135="",A136&lt;=S135)),0,IF(FALSE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),0)</f>
        <v>117312</v>
      </c>
      <c r="H136" s="32">
        <f t="shared" si="40"/>
        <v>117312</v>
      </c>
      <c r="I136" s="32">
        <f t="shared" si="41"/>
        <v>44473</v>
      </c>
      <c r="J136" s="32">
        <f t="shared" si="42"/>
        <v>0</v>
      </c>
      <c r="K136" s="32">
        <f t="shared" si="43"/>
        <v>0</v>
      </c>
      <c r="L136" s="32">
        <f t="shared" si="44"/>
        <v>72839</v>
      </c>
      <c r="M136" s="32">
        <f>IF(AND(AND(T135="",A136&lt;=S135),A136=入力!$B$15),ROUND(MIN(入力!$B$16,MAX(0,C136-L136)),0),0)</f>
        <v>0</v>
      </c>
      <c r="N136" s="32">
        <f t="shared" si="45"/>
        <v>21274214</v>
      </c>
      <c r="O136" s="32">
        <f t="shared" si="46"/>
        <v>5252246</v>
      </c>
      <c r="P136" s="34" t="str">
        <f>IF(NOT(AND(T135="",A136&lt;=S135)),"",IF(FALSE,"繰上返済後再計算","")&amp;IF(AND(入力!$B$13="有効",A136&gt;1,MOD(A136-1,60)=0),IF(FALSE,"・","")&amp;"5年見直し","")&amp;IF(AND(A136=入力!$B$11,A136&gt;1),IF(OR(FALSE,AND(入力!$B$13="有効",A136&gt;1,MOD(A136-1,60)=0)),"・","")&amp;"金利変更","")&amp;IF(AND(OR(AND(入力!$B$13="有効",A136&gt;1,MOD(A136-1,60)=0),AND(A136=入力!$B$11,A136&gt;1)),入力!$B$14="有効",IF(E136=0,ROUND(C136/MAX(1,S135-A136+1),0),ROUND(-PMT(E136/12,MAX(1,S135-A136+1),C136),0))&gt;ROUND(G135*1.25,0),NOT(FALSE)),"・上限適用",""))</f>
        <v/>
      </c>
      <c r="Q136" s="35" t="str">
        <f>IF(AND(T135="",A136&lt;=S135),入力!$B$13,"")</f>
        <v>有効</v>
      </c>
      <c r="R136" s="32" t="str">
        <f>IF(AND(AND(T135="",A136&lt;=S135),OR(AND(入力!$B$13="有効",A136&gt;1,MOD(A136-1,60)=0),AND(A136=入力!$B$11,A136&gt;1)),入力!$B$14="有効"),ROUND(G135*1.25,0),"")</f>
        <v/>
      </c>
      <c r="S136" s="36">
        <f>IF(A136&lt;&gt;入力!$B$15,S135,IF(K136&lt;&gt;0,S135,IF(G136&lt;=F136,S135,IF(M136&lt;=0,S135,IF(AND(N136&gt;0,E136&gt;0,G136&lt;=N136*E136/12),S135,IF(A136+IF(N136=0,0,IF(E136=0,ROUNDUP(N136/G136,0),ROUNDUP(NPER(E136/12,-G136,N136),0)))&lt;S135,A136+IF(N136=0,0,IF(E136=0,ROUNDUP(N136/G136,0),ROUNDUP(NPER(E136/12,-G136,N136),0))),S135))))))</f>
        <v>359</v>
      </c>
      <c r="T136" s="35" t="str">
        <f t="shared" si="47"/>
        <v/>
      </c>
      <c r="U136" s="3">
        <f t="shared" si="32"/>
        <v>0</v>
      </c>
      <c r="V136" s="3">
        <f t="shared" si="33"/>
        <v>0</v>
      </c>
      <c r="W136" s="3">
        <f t="shared" si="34"/>
        <v>0</v>
      </c>
      <c r="X136" s="3">
        <f t="shared" si="35"/>
        <v>0</v>
      </c>
      <c r="Y136" s="3">
        <f>0</f>
        <v>0</v>
      </c>
      <c r="Z136" s="3">
        <f t="shared" si="36"/>
        <v>0</v>
      </c>
      <c r="AA136">
        <f>ROUND(IF(FALSE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,0)</f>
        <v>117312</v>
      </c>
    </row>
    <row r="137" spans="1:27">
      <c r="A137" s="30">
        <f>132</f>
        <v>132</v>
      </c>
      <c r="B137" s="31">
        <f>EDATE(入力!$B$6,A137-1)</f>
        <v>50222</v>
      </c>
      <c r="C137" s="32">
        <f t="shared" si="37"/>
        <v>21274214</v>
      </c>
      <c r="D137" s="32">
        <f t="shared" si="38"/>
        <v>0</v>
      </c>
      <c r="E137" s="33">
        <f>IF(AND(T136="",A137&lt;=S136),IF(A137&lt;入力!$B$11,入力!$B$10,入力!$B$12),0)</f>
        <v>2.5000000000000001E-2</v>
      </c>
      <c r="F137" s="32">
        <f t="shared" si="39"/>
        <v>44321</v>
      </c>
      <c r="G137" s="32">
        <f>ROUND(IF(NOT(AND(T136="",A137&lt;=S136)),0,IF(FALSE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),0)</f>
        <v>117312</v>
      </c>
      <c r="H137" s="32">
        <f t="shared" si="40"/>
        <v>117312</v>
      </c>
      <c r="I137" s="32">
        <f t="shared" si="41"/>
        <v>44321</v>
      </c>
      <c r="J137" s="32">
        <f t="shared" si="42"/>
        <v>0</v>
      </c>
      <c r="K137" s="32">
        <f t="shared" si="43"/>
        <v>0</v>
      </c>
      <c r="L137" s="32">
        <f t="shared" si="44"/>
        <v>72991</v>
      </c>
      <c r="M137" s="32">
        <f>IF(AND(AND(T136="",A137&lt;=S136),A137=入力!$B$15),ROUND(MIN(入力!$B$16,MAX(0,C137-L137)),0),0)</f>
        <v>0</v>
      </c>
      <c r="N137" s="32">
        <f t="shared" si="45"/>
        <v>21201223</v>
      </c>
      <c r="O137" s="32">
        <f t="shared" si="46"/>
        <v>5296567</v>
      </c>
      <c r="P137" s="34" t="str">
        <f>IF(NOT(AND(T136="",A137&lt;=S136)),"",IF(FALSE,"繰上返済後再計算","")&amp;IF(AND(入力!$B$13="有効",A137&gt;1,MOD(A137-1,60)=0),IF(FALSE,"・","")&amp;"5年見直し","")&amp;IF(AND(A137=入力!$B$11,A137&gt;1),IF(OR(FALSE,AND(入力!$B$13="有効",A137&gt;1,MOD(A137-1,60)=0)),"・","")&amp;"金利変更","")&amp;IF(AND(OR(AND(入力!$B$13="有効",A137&gt;1,MOD(A137-1,60)=0),AND(A137=入力!$B$11,A137&gt;1)),入力!$B$14="有効",IF(E137=0,ROUND(C137/MAX(1,S136-A137+1),0),ROUND(-PMT(E137/12,MAX(1,S136-A137+1),C137),0))&gt;ROUND(G136*1.25,0),NOT(FALSE)),"・上限適用",""))</f>
        <v/>
      </c>
      <c r="Q137" s="35" t="str">
        <f>IF(AND(T136="",A137&lt;=S136),入力!$B$13,"")</f>
        <v>有効</v>
      </c>
      <c r="R137" s="32" t="str">
        <f>IF(AND(AND(T136="",A137&lt;=S136),OR(AND(入力!$B$13="有効",A137&gt;1,MOD(A137-1,60)=0),AND(A137=入力!$B$11,A137&gt;1)),入力!$B$14="有効"),ROUND(G136*1.25,0),"")</f>
        <v/>
      </c>
      <c r="S137" s="36">
        <f>IF(A137&lt;&gt;入力!$B$15,S136,IF(K137&lt;&gt;0,S136,IF(G137&lt;=F137,S136,IF(M137&lt;=0,S136,IF(AND(N137&gt;0,E137&gt;0,G137&lt;=N137*E137/12),S136,IF(A137+IF(N137=0,0,IF(E137=0,ROUNDUP(N137/G137,0),ROUNDUP(NPER(E137/12,-G137,N137),0)))&lt;S136,A137+IF(N137=0,0,IF(E137=0,ROUNDUP(N137/G137,0),ROUNDUP(NPER(E137/12,-G137,N137),0))),S136))))))</f>
        <v>359</v>
      </c>
      <c r="T137" s="35" t="str">
        <f t="shared" si="47"/>
        <v/>
      </c>
      <c r="U137" s="3">
        <f t="shared" si="32"/>
        <v>0</v>
      </c>
      <c r="V137" s="3">
        <f t="shared" si="33"/>
        <v>0</v>
      </c>
      <c r="W137" s="3">
        <f t="shared" si="34"/>
        <v>0</v>
      </c>
      <c r="X137" s="3">
        <f t="shared" si="35"/>
        <v>0</v>
      </c>
      <c r="Y137" s="3">
        <f>0</f>
        <v>0</v>
      </c>
      <c r="Z137" s="3">
        <f t="shared" si="36"/>
        <v>0</v>
      </c>
      <c r="AA137">
        <f>ROUND(IF(FALSE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,0)</f>
        <v>117312</v>
      </c>
    </row>
    <row r="138" spans="1:27">
      <c r="A138" s="30">
        <f>133</f>
        <v>133</v>
      </c>
      <c r="B138" s="31">
        <f>EDATE(入力!$B$6,A138-1)</f>
        <v>50253</v>
      </c>
      <c r="C138" s="32">
        <f t="shared" si="37"/>
        <v>21201223</v>
      </c>
      <c r="D138" s="32">
        <f t="shared" si="38"/>
        <v>0</v>
      </c>
      <c r="E138" s="33">
        <f>IF(AND(T137="",A138&lt;=S137),IF(A138&lt;入力!$B$11,入力!$B$10,入力!$B$12),0)</f>
        <v>2.5000000000000001E-2</v>
      </c>
      <c r="F138" s="32">
        <f t="shared" si="39"/>
        <v>44169</v>
      </c>
      <c r="G138" s="32">
        <f>ROUND(IF(NOT(AND(T137="",A138&lt;=S137)),0,IF(FALSE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),0)</f>
        <v>117312</v>
      </c>
      <c r="H138" s="32">
        <f t="shared" si="40"/>
        <v>117312</v>
      </c>
      <c r="I138" s="32">
        <f t="shared" si="41"/>
        <v>44169</v>
      </c>
      <c r="J138" s="32">
        <f t="shared" si="42"/>
        <v>0</v>
      </c>
      <c r="K138" s="32">
        <f t="shared" si="43"/>
        <v>0</v>
      </c>
      <c r="L138" s="32">
        <f t="shared" si="44"/>
        <v>73143</v>
      </c>
      <c r="M138" s="32">
        <f>IF(AND(AND(T137="",A138&lt;=S137),A138=入力!$B$15),ROUND(MIN(入力!$B$16,MAX(0,C138-L138)),0),0)</f>
        <v>0</v>
      </c>
      <c r="N138" s="32">
        <f t="shared" si="45"/>
        <v>21128080</v>
      </c>
      <c r="O138" s="32">
        <f t="shared" si="46"/>
        <v>5340736</v>
      </c>
      <c r="P138" s="34" t="str">
        <f>IF(NOT(AND(T137="",A138&lt;=S137)),"",IF(FALSE,"繰上返済後再計算","")&amp;IF(AND(入力!$B$13="有効",A138&gt;1,MOD(A138-1,60)=0),IF(FALSE,"・","")&amp;"5年見直し","")&amp;IF(AND(A138=入力!$B$11,A138&gt;1),IF(OR(FALSE,AND(入力!$B$13="有効",A138&gt;1,MOD(A138-1,60)=0)),"・","")&amp;"金利変更","")&amp;IF(AND(OR(AND(入力!$B$13="有効",A138&gt;1,MOD(A138-1,60)=0),AND(A138=入力!$B$11,A138&gt;1)),入力!$B$14="有効",IF(E138=0,ROUND(C138/MAX(1,S137-A138+1),0),ROUND(-PMT(E138/12,MAX(1,S137-A138+1),C138),0))&gt;ROUND(G137*1.25,0),NOT(FALSE)),"・上限適用",""))</f>
        <v/>
      </c>
      <c r="Q138" s="35" t="str">
        <f>IF(AND(T137="",A138&lt;=S137),入力!$B$13,"")</f>
        <v>有効</v>
      </c>
      <c r="R138" s="32" t="str">
        <f>IF(AND(AND(T137="",A138&lt;=S137),OR(AND(入力!$B$13="有効",A138&gt;1,MOD(A138-1,60)=0),AND(A138=入力!$B$11,A138&gt;1)),入力!$B$14="有効"),ROUND(G137*1.25,0),"")</f>
        <v/>
      </c>
      <c r="S138" s="36">
        <f>IF(A138&lt;&gt;入力!$B$15,S137,IF(K138&lt;&gt;0,S137,IF(G138&lt;=F138,S137,IF(M138&lt;=0,S137,IF(AND(N138&gt;0,E138&gt;0,G138&lt;=N138*E138/12),S137,IF(A138+IF(N138=0,0,IF(E138=0,ROUNDUP(N138/G138,0),ROUNDUP(NPER(E138/12,-G138,N138),0)))&lt;S137,A138+IF(N138=0,0,IF(E138=0,ROUNDUP(N138/G138,0),ROUNDUP(NPER(E138/12,-G138,N138),0))),S137))))))</f>
        <v>359</v>
      </c>
      <c r="T138" s="35" t="str">
        <f t="shared" si="47"/>
        <v/>
      </c>
      <c r="U138" s="3">
        <f t="shared" si="32"/>
        <v>0</v>
      </c>
      <c r="V138" s="3">
        <f t="shared" si="33"/>
        <v>0</v>
      </c>
      <c r="W138" s="3">
        <f t="shared" si="34"/>
        <v>0</v>
      </c>
      <c r="X138" s="3">
        <f t="shared" si="35"/>
        <v>0</v>
      </c>
      <c r="Y138" s="3">
        <f>0</f>
        <v>0</v>
      </c>
      <c r="Z138" s="3">
        <f t="shared" si="36"/>
        <v>0</v>
      </c>
      <c r="AA138">
        <f>ROUND(IF(FALSE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,0)</f>
        <v>117312</v>
      </c>
    </row>
    <row r="139" spans="1:27">
      <c r="A139" s="30">
        <f>134</f>
        <v>134</v>
      </c>
      <c r="B139" s="31">
        <f>EDATE(入力!$B$6,A139-1)</f>
        <v>50284</v>
      </c>
      <c r="C139" s="32">
        <f t="shared" si="37"/>
        <v>21128080</v>
      </c>
      <c r="D139" s="32">
        <f t="shared" si="38"/>
        <v>0</v>
      </c>
      <c r="E139" s="33">
        <f>IF(AND(T138="",A139&lt;=S138),IF(A139&lt;入力!$B$11,入力!$B$10,入力!$B$12),0)</f>
        <v>2.5000000000000001E-2</v>
      </c>
      <c r="F139" s="32">
        <f t="shared" si="39"/>
        <v>44017</v>
      </c>
      <c r="G139" s="32">
        <f>ROUND(IF(NOT(AND(T138="",A139&lt;=S138)),0,IF(FALSE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),0)</f>
        <v>117312</v>
      </c>
      <c r="H139" s="32">
        <f t="shared" si="40"/>
        <v>117312</v>
      </c>
      <c r="I139" s="32">
        <f t="shared" si="41"/>
        <v>44017</v>
      </c>
      <c r="J139" s="32">
        <f t="shared" si="42"/>
        <v>0</v>
      </c>
      <c r="K139" s="32">
        <f t="shared" si="43"/>
        <v>0</v>
      </c>
      <c r="L139" s="32">
        <f t="shared" si="44"/>
        <v>73295</v>
      </c>
      <c r="M139" s="32">
        <f>IF(AND(AND(T138="",A139&lt;=S138),A139=入力!$B$15),ROUND(MIN(入力!$B$16,MAX(0,C139-L139)),0),0)</f>
        <v>0</v>
      </c>
      <c r="N139" s="32">
        <f t="shared" si="45"/>
        <v>21054785</v>
      </c>
      <c r="O139" s="32">
        <f t="shared" si="46"/>
        <v>5384753</v>
      </c>
      <c r="P139" s="34" t="str">
        <f>IF(NOT(AND(T138="",A139&lt;=S138)),"",IF(FALSE,"繰上返済後再計算","")&amp;IF(AND(入力!$B$13="有効",A139&gt;1,MOD(A139-1,60)=0),IF(FALSE,"・","")&amp;"5年見直し","")&amp;IF(AND(A139=入力!$B$11,A139&gt;1),IF(OR(FALSE,AND(入力!$B$13="有効",A139&gt;1,MOD(A139-1,60)=0)),"・","")&amp;"金利変更","")&amp;IF(AND(OR(AND(入力!$B$13="有効",A139&gt;1,MOD(A139-1,60)=0),AND(A139=入力!$B$11,A139&gt;1)),入力!$B$14="有効",IF(E139=0,ROUND(C139/MAX(1,S138-A139+1),0),ROUND(-PMT(E139/12,MAX(1,S138-A139+1),C139),0))&gt;ROUND(G138*1.25,0),NOT(FALSE)),"・上限適用",""))</f>
        <v/>
      </c>
      <c r="Q139" s="35" t="str">
        <f>IF(AND(T138="",A139&lt;=S138),入力!$B$13,"")</f>
        <v>有効</v>
      </c>
      <c r="R139" s="32" t="str">
        <f>IF(AND(AND(T138="",A139&lt;=S138),OR(AND(入力!$B$13="有効",A139&gt;1,MOD(A139-1,60)=0),AND(A139=入力!$B$11,A139&gt;1)),入力!$B$14="有効"),ROUND(G138*1.25,0),"")</f>
        <v/>
      </c>
      <c r="S139" s="36">
        <f>IF(A139&lt;&gt;入力!$B$15,S138,IF(K139&lt;&gt;0,S138,IF(G139&lt;=F139,S138,IF(M139&lt;=0,S138,IF(AND(N139&gt;0,E139&gt;0,G139&lt;=N139*E139/12),S138,IF(A139+IF(N139=0,0,IF(E139=0,ROUNDUP(N139/G139,0),ROUNDUP(NPER(E139/12,-G139,N139),0)))&lt;S138,A139+IF(N139=0,0,IF(E139=0,ROUNDUP(N139/G139,0),ROUNDUP(NPER(E139/12,-G139,N139),0))),S138))))))</f>
        <v>359</v>
      </c>
      <c r="T139" s="35" t="str">
        <f t="shared" si="47"/>
        <v/>
      </c>
      <c r="U139" s="3">
        <f t="shared" si="32"/>
        <v>0</v>
      </c>
      <c r="V139" s="3">
        <f t="shared" si="33"/>
        <v>0</v>
      </c>
      <c r="W139" s="3">
        <f t="shared" si="34"/>
        <v>0</v>
      </c>
      <c r="X139" s="3">
        <f t="shared" si="35"/>
        <v>0</v>
      </c>
      <c r="Y139" s="3">
        <f>0</f>
        <v>0</v>
      </c>
      <c r="Z139" s="3">
        <f t="shared" si="36"/>
        <v>0</v>
      </c>
      <c r="AA139">
        <f>ROUND(IF(FALSE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,0)</f>
        <v>117312</v>
      </c>
    </row>
    <row r="140" spans="1:27">
      <c r="A140" s="30">
        <f>135</f>
        <v>135</v>
      </c>
      <c r="B140" s="31">
        <f>EDATE(入力!$B$6,A140-1)</f>
        <v>50314</v>
      </c>
      <c r="C140" s="32">
        <f t="shared" si="37"/>
        <v>21054785</v>
      </c>
      <c r="D140" s="32">
        <f t="shared" si="38"/>
        <v>0</v>
      </c>
      <c r="E140" s="33">
        <f>IF(AND(T139="",A140&lt;=S139),IF(A140&lt;入力!$B$11,入力!$B$10,入力!$B$12),0)</f>
        <v>2.5000000000000001E-2</v>
      </c>
      <c r="F140" s="32">
        <f t="shared" si="39"/>
        <v>43864</v>
      </c>
      <c r="G140" s="32">
        <f>ROUND(IF(NOT(AND(T139="",A140&lt;=S139)),0,IF(FALSE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),0)</f>
        <v>117312</v>
      </c>
      <c r="H140" s="32">
        <f t="shared" si="40"/>
        <v>117312</v>
      </c>
      <c r="I140" s="32">
        <f t="shared" si="41"/>
        <v>43864</v>
      </c>
      <c r="J140" s="32">
        <f t="shared" si="42"/>
        <v>0</v>
      </c>
      <c r="K140" s="32">
        <f t="shared" si="43"/>
        <v>0</v>
      </c>
      <c r="L140" s="32">
        <f t="shared" si="44"/>
        <v>73448</v>
      </c>
      <c r="M140" s="32">
        <f>IF(AND(AND(T139="",A140&lt;=S139),A140=入力!$B$15),ROUND(MIN(入力!$B$16,MAX(0,C140-L140)),0),0)</f>
        <v>0</v>
      </c>
      <c r="N140" s="32">
        <f t="shared" si="45"/>
        <v>20981337</v>
      </c>
      <c r="O140" s="32">
        <f t="shared" si="46"/>
        <v>5428617</v>
      </c>
      <c r="P140" s="34" t="str">
        <f>IF(NOT(AND(T139="",A140&lt;=S139)),"",IF(FALSE,"繰上返済後再計算","")&amp;IF(AND(入力!$B$13="有効",A140&gt;1,MOD(A140-1,60)=0),IF(FALSE,"・","")&amp;"5年見直し","")&amp;IF(AND(A140=入力!$B$11,A140&gt;1),IF(OR(FALSE,AND(入力!$B$13="有効",A140&gt;1,MOD(A140-1,60)=0)),"・","")&amp;"金利変更","")&amp;IF(AND(OR(AND(入力!$B$13="有効",A140&gt;1,MOD(A140-1,60)=0),AND(A140=入力!$B$11,A140&gt;1)),入力!$B$14="有効",IF(E140=0,ROUND(C140/MAX(1,S139-A140+1),0),ROUND(-PMT(E140/12,MAX(1,S139-A140+1),C140),0))&gt;ROUND(G139*1.25,0),NOT(FALSE)),"・上限適用",""))</f>
        <v/>
      </c>
      <c r="Q140" s="35" t="str">
        <f>IF(AND(T139="",A140&lt;=S139),入力!$B$13,"")</f>
        <v>有効</v>
      </c>
      <c r="R140" s="32" t="str">
        <f>IF(AND(AND(T139="",A140&lt;=S139),OR(AND(入力!$B$13="有効",A140&gt;1,MOD(A140-1,60)=0),AND(A140=入力!$B$11,A140&gt;1)),入力!$B$14="有効"),ROUND(G139*1.25,0),"")</f>
        <v/>
      </c>
      <c r="S140" s="36">
        <f>IF(A140&lt;&gt;入力!$B$15,S139,IF(K140&lt;&gt;0,S139,IF(G140&lt;=F140,S139,IF(M140&lt;=0,S139,IF(AND(N140&gt;0,E140&gt;0,G140&lt;=N140*E140/12),S139,IF(A140+IF(N140=0,0,IF(E140=0,ROUNDUP(N140/G140,0),ROUNDUP(NPER(E140/12,-G140,N140),0)))&lt;S139,A140+IF(N140=0,0,IF(E140=0,ROUNDUP(N140/G140,0),ROUNDUP(NPER(E140/12,-G140,N140),0))),S139))))))</f>
        <v>359</v>
      </c>
      <c r="T140" s="35" t="str">
        <f t="shared" si="47"/>
        <v/>
      </c>
      <c r="U140" s="3">
        <f t="shared" si="32"/>
        <v>0</v>
      </c>
      <c r="V140" s="3">
        <f t="shared" si="33"/>
        <v>0</v>
      </c>
      <c r="W140" s="3">
        <f t="shared" si="34"/>
        <v>0</v>
      </c>
      <c r="X140" s="3">
        <f t="shared" si="35"/>
        <v>0</v>
      </c>
      <c r="Y140" s="3">
        <f>0</f>
        <v>0</v>
      </c>
      <c r="Z140" s="3">
        <f t="shared" si="36"/>
        <v>0</v>
      </c>
      <c r="AA140">
        <f>ROUND(IF(FALSE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,0)</f>
        <v>117312</v>
      </c>
    </row>
    <row r="141" spans="1:27">
      <c r="A141" s="30">
        <f>136</f>
        <v>136</v>
      </c>
      <c r="B141" s="31">
        <f>EDATE(入力!$B$6,A141-1)</f>
        <v>50345</v>
      </c>
      <c r="C141" s="32">
        <f t="shared" si="37"/>
        <v>20981337</v>
      </c>
      <c r="D141" s="32">
        <f t="shared" si="38"/>
        <v>0</v>
      </c>
      <c r="E141" s="33">
        <f>IF(AND(T140="",A141&lt;=S140),IF(A141&lt;入力!$B$11,入力!$B$10,入力!$B$12),0)</f>
        <v>2.5000000000000001E-2</v>
      </c>
      <c r="F141" s="32">
        <f t="shared" si="39"/>
        <v>43711</v>
      </c>
      <c r="G141" s="32">
        <f>ROUND(IF(NOT(AND(T140="",A141&lt;=S140)),0,IF(FALSE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),0)</f>
        <v>117312</v>
      </c>
      <c r="H141" s="32">
        <f t="shared" si="40"/>
        <v>117312</v>
      </c>
      <c r="I141" s="32">
        <f t="shared" si="41"/>
        <v>43711</v>
      </c>
      <c r="J141" s="32">
        <f t="shared" si="42"/>
        <v>0</v>
      </c>
      <c r="K141" s="32">
        <f t="shared" si="43"/>
        <v>0</v>
      </c>
      <c r="L141" s="32">
        <f t="shared" si="44"/>
        <v>73601</v>
      </c>
      <c r="M141" s="32">
        <f>IF(AND(AND(T140="",A141&lt;=S140),A141=入力!$B$15),ROUND(MIN(入力!$B$16,MAX(0,C141-L141)),0),0)</f>
        <v>0</v>
      </c>
      <c r="N141" s="32">
        <f t="shared" si="45"/>
        <v>20907736</v>
      </c>
      <c r="O141" s="32">
        <f t="shared" si="46"/>
        <v>5472328</v>
      </c>
      <c r="P141" s="34" t="str">
        <f>IF(NOT(AND(T140="",A141&lt;=S140)),"",IF(FALSE,"繰上返済後再計算","")&amp;IF(AND(入力!$B$13="有効",A141&gt;1,MOD(A141-1,60)=0),IF(FALSE,"・","")&amp;"5年見直し","")&amp;IF(AND(A141=入力!$B$11,A141&gt;1),IF(OR(FALSE,AND(入力!$B$13="有効",A141&gt;1,MOD(A141-1,60)=0)),"・","")&amp;"金利変更","")&amp;IF(AND(OR(AND(入力!$B$13="有効",A141&gt;1,MOD(A141-1,60)=0),AND(A141=入力!$B$11,A141&gt;1)),入力!$B$14="有効",IF(E141=0,ROUND(C141/MAX(1,S140-A141+1),0),ROUND(-PMT(E141/12,MAX(1,S140-A141+1),C141),0))&gt;ROUND(G140*1.25,0),NOT(FALSE)),"・上限適用",""))</f>
        <v/>
      </c>
      <c r="Q141" s="35" t="str">
        <f>IF(AND(T140="",A141&lt;=S140),入力!$B$13,"")</f>
        <v>有効</v>
      </c>
      <c r="R141" s="32" t="str">
        <f>IF(AND(AND(T140="",A141&lt;=S140),OR(AND(入力!$B$13="有効",A141&gt;1,MOD(A141-1,60)=0),AND(A141=入力!$B$11,A141&gt;1)),入力!$B$14="有効"),ROUND(G140*1.25,0),"")</f>
        <v/>
      </c>
      <c r="S141" s="36">
        <f>IF(A141&lt;&gt;入力!$B$15,S140,IF(K141&lt;&gt;0,S140,IF(G141&lt;=F141,S140,IF(M141&lt;=0,S140,IF(AND(N141&gt;0,E141&gt;0,G141&lt;=N141*E141/12),S140,IF(A141+IF(N141=0,0,IF(E141=0,ROUNDUP(N141/G141,0),ROUNDUP(NPER(E141/12,-G141,N141),0)))&lt;S140,A141+IF(N141=0,0,IF(E141=0,ROUNDUP(N141/G141,0),ROUNDUP(NPER(E141/12,-G141,N141),0))),S140))))))</f>
        <v>359</v>
      </c>
      <c r="T141" s="35" t="str">
        <f t="shared" si="47"/>
        <v/>
      </c>
      <c r="U141" s="3">
        <f t="shared" si="32"/>
        <v>0</v>
      </c>
      <c r="V141" s="3">
        <f t="shared" si="33"/>
        <v>0</v>
      </c>
      <c r="W141" s="3">
        <f t="shared" si="34"/>
        <v>0</v>
      </c>
      <c r="X141" s="3">
        <f t="shared" si="35"/>
        <v>0</v>
      </c>
      <c r="Y141" s="3">
        <f>0</f>
        <v>0</v>
      </c>
      <c r="Z141" s="3">
        <f t="shared" si="36"/>
        <v>0</v>
      </c>
      <c r="AA141">
        <f>ROUND(IF(FALSE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,0)</f>
        <v>117312</v>
      </c>
    </row>
    <row r="142" spans="1:27">
      <c r="A142" s="30">
        <f>137</f>
        <v>137</v>
      </c>
      <c r="B142" s="31">
        <f>EDATE(入力!$B$6,A142-1)</f>
        <v>50375</v>
      </c>
      <c r="C142" s="32">
        <f t="shared" si="37"/>
        <v>20907736</v>
      </c>
      <c r="D142" s="32">
        <f t="shared" si="38"/>
        <v>0</v>
      </c>
      <c r="E142" s="33">
        <f>IF(AND(T141="",A142&lt;=S141),IF(A142&lt;入力!$B$11,入力!$B$10,入力!$B$12),0)</f>
        <v>2.5000000000000001E-2</v>
      </c>
      <c r="F142" s="32">
        <f t="shared" si="39"/>
        <v>43558</v>
      </c>
      <c r="G142" s="32">
        <f>ROUND(IF(NOT(AND(T141="",A142&lt;=S141)),0,IF(FALSE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),0)</f>
        <v>117312</v>
      </c>
      <c r="H142" s="32">
        <f t="shared" si="40"/>
        <v>117312</v>
      </c>
      <c r="I142" s="32">
        <f t="shared" si="41"/>
        <v>43558</v>
      </c>
      <c r="J142" s="32">
        <f t="shared" si="42"/>
        <v>0</v>
      </c>
      <c r="K142" s="32">
        <f t="shared" si="43"/>
        <v>0</v>
      </c>
      <c r="L142" s="32">
        <f t="shared" si="44"/>
        <v>73754</v>
      </c>
      <c r="M142" s="32">
        <f>IF(AND(AND(T141="",A142&lt;=S141),A142=入力!$B$15),ROUND(MIN(入力!$B$16,MAX(0,C142-L142)),0),0)</f>
        <v>0</v>
      </c>
      <c r="N142" s="32">
        <f t="shared" si="45"/>
        <v>20833982</v>
      </c>
      <c r="O142" s="32">
        <f t="shared" si="46"/>
        <v>5515886</v>
      </c>
      <c r="P142" s="34" t="str">
        <f>IF(NOT(AND(T141="",A142&lt;=S141)),"",IF(FALSE,"繰上返済後再計算","")&amp;IF(AND(入力!$B$13="有効",A142&gt;1,MOD(A142-1,60)=0),IF(FALSE,"・","")&amp;"5年見直し","")&amp;IF(AND(A142=入力!$B$11,A142&gt;1),IF(OR(FALSE,AND(入力!$B$13="有効",A142&gt;1,MOD(A142-1,60)=0)),"・","")&amp;"金利変更","")&amp;IF(AND(OR(AND(入力!$B$13="有効",A142&gt;1,MOD(A142-1,60)=0),AND(A142=入力!$B$11,A142&gt;1)),入力!$B$14="有効",IF(E142=0,ROUND(C142/MAX(1,S141-A142+1),0),ROUND(-PMT(E142/12,MAX(1,S141-A142+1),C142),0))&gt;ROUND(G141*1.25,0),NOT(FALSE)),"・上限適用",""))</f>
        <v/>
      </c>
      <c r="Q142" s="35" t="str">
        <f>IF(AND(T141="",A142&lt;=S141),入力!$B$13,"")</f>
        <v>有効</v>
      </c>
      <c r="R142" s="32" t="str">
        <f>IF(AND(AND(T141="",A142&lt;=S141),OR(AND(入力!$B$13="有効",A142&gt;1,MOD(A142-1,60)=0),AND(A142=入力!$B$11,A142&gt;1)),入力!$B$14="有効"),ROUND(G141*1.25,0),"")</f>
        <v/>
      </c>
      <c r="S142" s="36">
        <f>IF(A142&lt;&gt;入力!$B$15,S141,IF(K142&lt;&gt;0,S141,IF(G142&lt;=F142,S141,IF(M142&lt;=0,S141,IF(AND(N142&gt;0,E142&gt;0,G142&lt;=N142*E142/12),S141,IF(A142+IF(N142=0,0,IF(E142=0,ROUNDUP(N142/G142,0),ROUNDUP(NPER(E142/12,-G142,N142),0)))&lt;S141,A142+IF(N142=0,0,IF(E142=0,ROUNDUP(N142/G142,0),ROUNDUP(NPER(E142/12,-G142,N142),0))),S141))))))</f>
        <v>359</v>
      </c>
      <c r="T142" s="35" t="str">
        <f t="shared" si="47"/>
        <v/>
      </c>
      <c r="U142" s="3">
        <f t="shared" si="32"/>
        <v>0</v>
      </c>
      <c r="V142" s="3">
        <f t="shared" si="33"/>
        <v>0</v>
      </c>
      <c r="W142" s="3">
        <f t="shared" si="34"/>
        <v>0</v>
      </c>
      <c r="X142" s="3">
        <f t="shared" si="35"/>
        <v>0</v>
      </c>
      <c r="Y142" s="3">
        <f>0</f>
        <v>0</v>
      </c>
      <c r="Z142" s="3">
        <f t="shared" si="36"/>
        <v>0</v>
      </c>
      <c r="AA142">
        <f>ROUND(IF(FALSE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,0)</f>
        <v>117312</v>
      </c>
    </row>
    <row r="143" spans="1:27">
      <c r="A143" s="30">
        <f>138</f>
        <v>138</v>
      </c>
      <c r="B143" s="31">
        <f>EDATE(入力!$B$6,A143-1)</f>
        <v>50406</v>
      </c>
      <c r="C143" s="32">
        <f t="shared" si="37"/>
        <v>20833982</v>
      </c>
      <c r="D143" s="32">
        <f t="shared" si="38"/>
        <v>0</v>
      </c>
      <c r="E143" s="33">
        <f>IF(AND(T142="",A143&lt;=S142),IF(A143&lt;入力!$B$11,入力!$B$10,入力!$B$12),0)</f>
        <v>2.5000000000000001E-2</v>
      </c>
      <c r="F143" s="32">
        <f t="shared" si="39"/>
        <v>43404</v>
      </c>
      <c r="G143" s="32">
        <f>ROUND(IF(NOT(AND(T142="",A143&lt;=S142)),0,IF(FALSE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),0)</f>
        <v>117312</v>
      </c>
      <c r="H143" s="32">
        <f t="shared" si="40"/>
        <v>117312</v>
      </c>
      <c r="I143" s="32">
        <f t="shared" si="41"/>
        <v>43404</v>
      </c>
      <c r="J143" s="32">
        <f t="shared" si="42"/>
        <v>0</v>
      </c>
      <c r="K143" s="32">
        <f t="shared" si="43"/>
        <v>0</v>
      </c>
      <c r="L143" s="32">
        <f t="shared" si="44"/>
        <v>73908</v>
      </c>
      <c r="M143" s="32">
        <f>IF(AND(AND(T142="",A143&lt;=S142),A143=入力!$B$15),ROUND(MIN(入力!$B$16,MAX(0,C143-L143)),0),0)</f>
        <v>0</v>
      </c>
      <c r="N143" s="32">
        <f t="shared" si="45"/>
        <v>20760074</v>
      </c>
      <c r="O143" s="32">
        <f t="shared" si="46"/>
        <v>5559290</v>
      </c>
      <c r="P143" s="34" t="str">
        <f>IF(NOT(AND(T142="",A143&lt;=S142)),"",IF(FALSE,"繰上返済後再計算","")&amp;IF(AND(入力!$B$13="有効",A143&gt;1,MOD(A143-1,60)=0),IF(FALSE,"・","")&amp;"5年見直し","")&amp;IF(AND(A143=入力!$B$11,A143&gt;1),IF(OR(FALSE,AND(入力!$B$13="有効",A143&gt;1,MOD(A143-1,60)=0)),"・","")&amp;"金利変更","")&amp;IF(AND(OR(AND(入力!$B$13="有効",A143&gt;1,MOD(A143-1,60)=0),AND(A143=入力!$B$11,A143&gt;1)),入力!$B$14="有効",IF(E143=0,ROUND(C143/MAX(1,S142-A143+1),0),ROUND(-PMT(E143/12,MAX(1,S142-A143+1),C143),0))&gt;ROUND(G142*1.25,0),NOT(FALSE)),"・上限適用",""))</f>
        <v/>
      </c>
      <c r="Q143" s="35" t="str">
        <f>IF(AND(T142="",A143&lt;=S142),入力!$B$13,"")</f>
        <v>有効</v>
      </c>
      <c r="R143" s="32" t="str">
        <f>IF(AND(AND(T142="",A143&lt;=S142),OR(AND(入力!$B$13="有効",A143&gt;1,MOD(A143-1,60)=0),AND(A143=入力!$B$11,A143&gt;1)),入力!$B$14="有効"),ROUND(G142*1.25,0),"")</f>
        <v/>
      </c>
      <c r="S143" s="36">
        <f>IF(A143&lt;&gt;入力!$B$15,S142,IF(K143&lt;&gt;0,S142,IF(G143&lt;=F143,S142,IF(M143&lt;=0,S142,IF(AND(N143&gt;0,E143&gt;0,G143&lt;=N143*E143/12),S142,IF(A143+IF(N143=0,0,IF(E143=0,ROUNDUP(N143/G143,0),ROUNDUP(NPER(E143/12,-G143,N143),0)))&lt;S142,A143+IF(N143=0,0,IF(E143=0,ROUNDUP(N143/G143,0),ROUNDUP(NPER(E143/12,-G143,N143),0))),S142))))))</f>
        <v>359</v>
      </c>
      <c r="T143" s="35" t="str">
        <f t="shared" si="47"/>
        <v/>
      </c>
      <c r="U143" s="3">
        <f t="shared" si="32"/>
        <v>0</v>
      </c>
      <c r="V143" s="3">
        <f t="shared" si="33"/>
        <v>0</v>
      </c>
      <c r="W143" s="3">
        <f t="shared" si="34"/>
        <v>0</v>
      </c>
      <c r="X143" s="3">
        <f t="shared" si="35"/>
        <v>0</v>
      </c>
      <c r="Y143" s="3">
        <f>0</f>
        <v>0</v>
      </c>
      <c r="Z143" s="3">
        <f t="shared" si="36"/>
        <v>0</v>
      </c>
      <c r="AA143">
        <f>ROUND(IF(FALSE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,0)</f>
        <v>117312</v>
      </c>
    </row>
    <row r="144" spans="1:27">
      <c r="A144" s="30">
        <f>139</f>
        <v>139</v>
      </c>
      <c r="B144" s="31">
        <f>EDATE(入力!$B$6,A144-1)</f>
        <v>50437</v>
      </c>
      <c r="C144" s="32">
        <f t="shared" si="37"/>
        <v>20760074</v>
      </c>
      <c r="D144" s="32">
        <f t="shared" si="38"/>
        <v>0</v>
      </c>
      <c r="E144" s="33">
        <f>IF(AND(T143="",A144&lt;=S143),IF(A144&lt;入力!$B$11,入力!$B$10,入力!$B$12),0)</f>
        <v>2.5000000000000001E-2</v>
      </c>
      <c r="F144" s="32">
        <f t="shared" si="39"/>
        <v>43250</v>
      </c>
      <c r="G144" s="32">
        <f>ROUND(IF(NOT(AND(T143="",A144&lt;=S143)),0,IF(FALSE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),0)</f>
        <v>117312</v>
      </c>
      <c r="H144" s="32">
        <f t="shared" si="40"/>
        <v>117312</v>
      </c>
      <c r="I144" s="32">
        <f t="shared" si="41"/>
        <v>43250</v>
      </c>
      <c r="J144" s="32">
        <f t="shared" si="42"/>
        <v>0</v>
      </c>
      <c r="K144" s="32">
        <f t="shared" si="43"/>
        <v>0</v>
      </c>
      <c r="L144" s="32">
        <f t="shared" si="44"/>
        <v>74062</v>
      </c>
      <c r="M144" s="32">
        <f>IF(AND(AND(T143="",A144&lt;=S143),A144=入力!$B$15),ROUND(MIN(入力!$B$16,MAX(0,C144-L144)),0),0)</f>
        <v>0</v>
      </c>
      <c r="N144" s="32">
        <f t="shared" si="45"/>
        <v>20686012</v>
      </c>
      <c r="O144" s="32">
        <f t="shared" si="46"/>
        <v>5602540</v>
      </c>
      <c r="P144" s="34" t="str">
        <f>IF(NOT(AND(T143="",A144&lt;=S143)),"",IF(FALSE,"繰上返済後再計算","")&amp;IF(AND(入力!$B$13="有効",A144&gt;1,MOD(A144-1,60)=0),IF(FALSE,"・","")&amp;"5年見直し","")&amp;IF(AND(A144=入力!$B$11,A144&gt;1),IF(OR(FALSE,AND(入力!$B$13="有効",A144&gt;1,MOD(A144-1,60)=0)),"・","")&amp;"金利変更","")&amp;IF(AND(OR(AND(入力!$B$13="有効",A144&gt;1,MOD(A144-1,60)=0),AND(A144=入力!$B$11,A144&gt;1)),入力!$B$14="有効",IF(E144=0,ROUND(C144/MAX(1,S143-A144+1),0),ROUND(-PMT(E144/12,MAX(1,S143-A144+1),C144),0))&gt;ROUND(G143*1.25,0),NOT(FALSE)),"・上限適用",""))</f>
        <v/>
      </c>
      <c r="Q144" s="35" t="str">
        <f>IF(AND(T143="",A144&lt;=S143),入力!$B$13,"")</f>
        <v>有効</v>
      </c>
      <c r="R144" s="32" t="str">
        <f>IF(AND(AND(T143="",A144&lt;=S143),OR(AND(入力!$B$13="有効",A144&gt;1,MOD(A144-1,60)=0),AND(A144=入力!$B$11,A144&gt;1)),入力!$B$14="有効"),ROUND(G143*1.25,0),"")</f>
        <v/>
      </c>
      <c r="S144" s="36">
        <f>IF(A144&lt;&gt;入力!$B$15,S143,IF(K144&lt;&gt;0,S143,IF(G144&lt;=F144,S143,IF(M144&lt;=0,S143,IF(AND(N144&gt;0,E144&gt;0,G144&lt;=N144*E144/12),S143,IF(A144+IF(N144=0,0,IF(E144=0,ROUNDUP(N144/G144,0),ROUNDUP(NPER(E144/12,-G144,N144),0)))&lt;S143,A144+IF(N144=0,0,IF(E144=0,ROUNDUP(N144/G144,0),ROUNDUP(NPER(E144/12,-G144,N144),0))),S143))))))</f>
        <v>359</v>
      </c>
      <c r="T144" s="35" t="str">
        <f t="shared" si="47"/>
        <v/>
      </c>
      <c r="U144" s="3">
        <f t="shared" si="32"/>
        <v>0</v>
      </c>
      <c r="V144" s="3">
        <f t="shared" si="33"/>
        <v>0</v>
      </c>
      <c r="W144" s="3">
        <f t="shared" si="34"/>
        <v>0</v>
      </c>
      <c r="X144" s="3">
        <f t="shared" si="35"/>
        <v>0</v>
      </c>
      <c r="Y144" s="3">
        <f>0</f>
        <v>0</v>
      </c>
      <c r="Z144" s="3">
        <f t="shared" si="36"/>
        <v>0</v>
      </c>
      <c r="AA144">
        <f>ROUND(IF(FALSE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,0)</f>
        <v>117312</v>
      </c>
    </row>
    <row r="145" spans="1:27">
      <c r="A145" s="30">
        <f>140</f>
        <v>140</v>
      </c>
      <c r="B145" s="31">
        <f>EDATE(入力!$B$6,A145-1)</f>
        <v>50465</v>
      </c>
      <c r="C145" s="32">
        <f t="shared" si="37"/>
        <v>20686012</v>
      </c>
      <c r="D145" s="32">
        <f t="shared" si="38"/>
        <v>0</v>
      </c>
      <c r="E145" s="33">
        <f>IF(AND(T144="",A145&lt;=S144),IF(A145&lt;入力!$B$11,入力!$B$10,入力!$B$12),0)</f>
        <v>2.5000000000000001E-2</v>
      </c>
      <c r="F145" s="32">
        <f t="shared" si="39"/>
        <v>43096</v>
      </c>
      <c r="G145" s="32">
        <f>ROUND(IF(NOT(AND(T144="",A145&lt;=S144)),0,IF(FALSE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),0)</f>
        <v>117312</v>
      </c>
      <c r="H145" s="32">
        <f t="shared" si="40"/>
        <v>117312</v>
      </c>
      <c r="I145" s="32">
        <f t="shared" si="41"/>
        <v>43096</v>
      </c>
      <c r="J145" s="32">
        <f t="shared" si="42"/>
        <v>0</v>
      </c>
      <c r="K145" s="32">
        <f t="shared" si="43"/>
        <v>0</v>
      </c>
      <c r="L145" s="32">
        <f t="shared" si="44"/>
        <v>74216</v>
      </c>
      <c r="M145" s="32">
        <f>IF(AND(AND(T144="",A145&lt;=S144),A145=入力!$B$15),ROUND(MIN(入力!$B$16,MAX(0,C145-L145)),0),0)</f>
        <v>0</v>
      </c>
      <c r="N145" s="32">
        <f t="shared" si="45"/>
        <v>20611796</v>
      </c>
      <c r="O145" s="32">
        <f t="shared" si="46"/>
        <v>5645636</v>
      </c>
      <c r="P145" s="34" t="str">
        <f>IF(NOT(AND(T144="",A145&lt;=S144)),"",IF(FALSE,"繰上返済後再計算","")&amp;IF(AND(入力!$B$13="有効",A145&gt;1,MOD(A145-1,60)=0),IF(FALSE,"・","")&amp;"5年見直し","")&amp;IF(AND(A145=入力!$B$11,A145&gt;1),IF(OR(FALSE,AND(入力!$B$13="有効",A145&gt;1,MOD(A145-1,60)=0)),"・","")&amp;"金利変更","")&amp;IF(AND(OR(AND(入力!$B$13="有効",A145&gt;1,MOD(A145-1,60)=0),AND(A145=入力!$B$11,A145&gt;1)),入力!$B$14="有効",IF(E145=0,ROUND(C145/MAX(1,S144-A145+1),0),ROUND(-PMT(E145/12,MAX(1,S144-A145+1),C145),0))&gt;ROUND(G144*1.25,0),NOT(FALSE)),"・上限適用",""))</f>
        <v/>
      </c>
      <c r="Q145" s="35" t="str">
        <f>IF(AND(T144="",A145&lt;=S144),入力!$B$13,"")</f>
        <v>有効</v>
      </c>
      <c r="R145" s="32" t="str">
        <f>IF(AND(AND(T144="",A145&lt;=S144),OR(AND(入力!$B$13="有効",A145&gt;1,MOD(A145-1,60)=0),AND(A145=入力!$B$11,A145&gt;1)),入力!$B$14="有効"),ROUND(G144*1.25,0),"")</f>
        <v/>
      </c>
      <c r="S145" s="36">
        <f>IF(A145&lt;&gt;入力!$B$15,S144,IF(K145&lt;&gt;0,S144,IF(G145&lt;=F145,S144,IF(M145&lt;=0,S144,IF(AND(N145&gt;0,E145&gt;0,G145&lt;=N145*E145/12),S144,IF(A145+IF(N145=0,0,IF(E145=0,ROUNDUP(N145/G145,0),ROUNDUP(NPER(E145/12,-G145,N145),0)))&lt;S144,A145+IF(N145=0,0,IF(E145=0,ROUNDUP(N145/G145,0),ROUNDUP(NPER(E145/12,-G145,N145),0))),S144))))))</f>
        <v>359</v>
      </c>
      <c r="T145" s="35" t="str">
        <f t="shared" si="47"/>
        <v/>
      </c>
      <c r="U145" s="3">
        <f t="shared" si="32"/>
        <v>0</v>
      </c>
      <c r="V145" s="3">
        <f t="shared" si="33"/>
        <v>0</v>
      </c>
      <c r="W145" s="3">
        <f t="shared" si="34"/>
        <v>0</v>
      </c>
      <c r="X145" s="3">
        <f t="shared" si="35"/>
        <v>0</v>
      </c>
      <c r="Y145" s="3">
        <f>0</f>
        <v>0</v>
      </c>
      <c r="Z145" s="3">
        <f t="shared" si="36"/>
        <v>0</v>
      </c>
      <c r="AA145">
        <f>ROUND(IF(FALSE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,0)</f>
        <v>117312</v>
      </c>
    </row>
    <row r="146" spans="1:27">
      <c r="A146" s="30">
        <f>141</f>
        <v>141</v>
      </c>
      <c r="B146" s="31">
        <f>EDATE(入力!$B$6,A146-1)</f>
        <v>50496</v>
      </c>
      <c r="C146" s="32">
        <f t="shared" si="37"/>
        <v>20611796</v>
      </c>
      <c r="D146" s="32">
        <f t="shared" si="38"/>
        <v>0</v>
      </c>
      <c r="E146" s="33">
        <f>IF(AND(T145="",A146&lt;=S145),IF(A146&lt;入力!$B$11,入力!$B$10,入力!$B$12),0)</f>
        <v>2.5000000000000001E-2</v>
      </c>
      <c r="F146" s="32">
        <f t="shared" si="39"/>
        <v>42941</v>
      </c>
      <c r="G146" s="32">
        <f>ROUND(IF(NOT(AND(T145="",A146&lt;=S145)),0,IF(FALSE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),0)</f>
        <v>117312</v>
      </c>
      <c r="H146" s="32">
        <f t="shared" si="40"/>
        <v>117312</v>
      </c>
      <c r="I146" s="32">
        <f t="shared" si="41"/>
        <v>42941</v>
      </c>
      <c r="J146" s="32">
        <f t="shared" si="42"/>
        <v>0</v>
      </c>
      <c r="K146" s="32">
        <f t="shared" si="43"/>
        <v>0</v>
      </c>
      <c r="L146" s="32">
        <f t="shared" si="44"/>
        <v>74371</v>
      </c>
      <c r="M146" s="32">
        <f>IF(AND(AND(T145="",A146&lt;=S145),A146=入力!$B$15),ROUND(MIN(入力!$B$16,MAX(0,C146-L146)),0),0)</f>
        <v>0</v>
      </c>
      <c r="N146" s="32">
        <f t="shared" si="45"/>
        <v>20537425</v>
      </c>
      <c r="O146" s="32">
        <f t="shared" si="46"/>
        <v>5688577</v>
      </c>
      <c r="P146" s="34" t="str">
        <f>IF(NOT(AND(T145="",A146&lt;=S145)),"",IF(FALSE,"繰上返済後再計算","")&amp;IF(AND(入力!$B$13="有効",A146&gt;1,MOD(A146-1,60)=0),IF(FALSE,"・","")&amp;"5年見直し","")&amp;IF(AND(A146=入力!$B$11,A146&gt;1),IF(OR(FALSE,AND(入力!$B$13="有効",A146&gt;1,MOD(A146-1,60)=0)),"・","")&amp;"金利変更","")&amp;IF(AND(OR(AND(入力!$B$13="有効",A146&gt;1,MOD(A146-1,60)=0),AND(A146=入力!$B$11,A146&gt;1)),入力!$B$14="有効",IF(E146=0,ROUND(C146/MAX(1,S145-A146+1),0),ROUND(-PMT(E146/12,MAX(1,S145-A146+1),C146),0))&gt;ROUND(G145*1.25,0),NOT(FALSE)),"・上限適用",""))</f>
        <v/>
      </c>
      <c r="Q146" s="35" t="str">
        <f>IF(AND(T145="",A146&lt;=S145),入力!$B$13,"")</f>
        <v>有効</v>
      </c>
      <c r="R146" s="32" t="str">
        <f>IF(AND(AND(T145="",A146&lt;=S145),OR(AND(入力!$B$13="有効",A146&gt;1,MOD(A146-1,60)=0),AND(A146=入力!$B$11,A146&gt;1)),入力!$B$14="有効"),ROUND(G145*1.25,0),"")</f>
        <v/>
      </c>
      <c r="S146" s="36">
        <f>IF(A146&lt;&gt;入力!$B$15,S145,IF(K146&lt;&gt;0,S145,IF(G146&lt;=F146,S145,IF(M146&lt;=0,S145,IF(AND(N146&gt;0,E146&gt;0,G146&lt;=N146*E146/12),S145,IF(A146+IF(N146=0,0,IF(E146=0,ROUNDUP(N146/G146,0),ROUNDUP(NPER(E146/12,-G146,N146),0)))&lt;S145,A146+IF(N146=0,0,IF(E146=0,ROUNDUP(N146/G146,0),ROUNDUP(NPER(E146/12,-G146,N146),0))),S145))))))</f>
        <v>359</v>
      </c>
      <c r="T146" s="35" t="str">
        <f t="shared" si="47"/>
        <v/>
      </c>
      <c r="U146" s="3">
        <f t="shared" si="32"/>
        <v>0</v>
      </c>
      <c r="V146" s="3">
        <f t="shared" si="33"/>
        <v>0</v>
      </c>
      <c r="W146" s="3">
        <f t="shared" si="34"/>
        <v>0</v>
      </c>
      <c r="X146" s="3">
        <f t="shared" si="35"/>
        <v>0</v>
      </c>
      <c r="Y146" s="3">
        <f>0</f>
        <v>0</v>
      </c>
      <c r="Z146" s="3">
        <f t="shared" si="36"/>
        <v>0</v>
      </c>
      <c r="AA146">
        <f>ROUND(IF(FALSE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,0)</f>
        <v>117312</v>
      </c>
    </row>
    <row r="147" spans="1:27">
      <c r="A147" s="30">
        <f>142</f>
        <v>142</v>
      </c>
      <c r="B147" s="31">
        <f>EDATE(入力!$B$6,A147-1)</f>
        <v>50526</v>
      </c>
      <c r="C147" s="32">
        <f t="shared" si="37"/>
        <v>20537425</v>
      </c>
      <c r="D147" s="32">
        <f t="shared" si="38"/>
        <v>0</v>
      </c>
      <c r="E147" s="33">
        <f>IF(AND(T146="",A147&lt;=S146),IF(A147&lt;入力!$B$11,入力!$B$10,入力!$B$12),0)</f>
        <v>2.5000000000000001E-2</v>
      </c>
      <c r="F147" s="32">
        <f t="shared" si="39"/>
        <v>42786</v>
      </c>
      <c r="G147" s="32">
        <f>ROUND(IF(NOT(AND(T146="",A147&lt;=S146)),0,IF(FALSE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),0)</f>
        <v>117312</v>
      </c>
      <c r="H147" s="32">
        <f t="shared" si="40"/>
        <v>117312</v>
      </c>
      <c r="I147" s="32">
        <f t="shared" si="41"/>
        <v>42786</v>
      </c>
      <c r="J147" s="32">
        <f t="shared" si="42"/>
        <v>0</v>
      </c>
      <c r="K147" s="32">
        <f t="shared" si="43"/>
        <v>0</v>
      </c>
      <c r="L147" s="32">
        <f t="shared" si="44"/>
        <v>74526</v>
      </c>
      <c r="M147" s="32">
        <f>IF(AND(AND(T146="",A147&lt;=S146),A147=入力!$B$15),ROUND(MIN(入力!$B$16,MAX(0,C147-L147)),0),0)</f>
        <v>0</v>
      </c>
      <c r="N147" s="32">
        <f t="shared" si="45"/>
        <v>20462899</v>
      </c>
      <c r="O147" s="32">
        <f t="shared" si="46"/>
        <v>5731363</v>
      </c>
      <c r="P147" s="34" t="str">
        <f>IF(NOT(AND(T146="",A147&lt;=S146)),"",IF(FALSE,"繰上返済後再計算","")&amp;IF(AND(入力!$B$13="有効",A147&gt;1,MOD(A147-1,60)=0),IF(FALSE,"・","")&amp;"5年見直し","")&amp;IF(AND(A147=入力!$B$11,A147&gt;1),IF(OR(FALSE,AND(入力!$B$13="有効",A147&gt;1,MOD(A147-1,60)=0)),"・","")&amp;"金利変更","")&amp;IF(AND(OR(AND(入力!$B$13="有効",A147&gt;1,MOD(A147-1,60)=0),AND(A147=入力!$B$11,A147&gt;1)),入力!$B$14="有効",IF(E147=0,ROUND(C147/MAX(1,S146-A147+1),0),ROUND(-PMT(E147/12,MAX(1,S146-A147+1),C147),0))&gt;ROUND(G146*1.25,0),NOT(FALSE)),"・上限適用",""))</f>
        <v/>
      </c>
      <c r="Q147" s="35" t="str">
        <f>IF(AND(T146="",A147&lt;=S146),入力!$B$13,"")</f>
        <v>有効</v>
      </c>
      <c r="R147" s="32" t="str">
        <f>IF(AND(AND(T146="",A147&lt;=S146),OR(AND(入力!$B$13="有効",A147&gt;1,MOD(A147-1,60)=0),AND(A147=入力!$B$11,A147&gt;1)),入力!$B$14="有効"),ROUND(G146*1.25,0),"")</f>
        <v/>
      </c>
      <c r="S147" s="36">
        <f>IF(A147&lt;&gt;入力!$B$15,S146,IF(K147&lt;&gt;0,S146,IF(G147&lt;=F147,S146,IF(M147&lt;=0,S146,IF(AND(N147&gt;0,E147&gt;0,G147&lt;=N147*E147/12),S146,IF(A147+IF(N147=0,0,IF(E147=0,ROUNDUP(N147/G147,0),ROUNDUP(NPER(E147/12,-G147,N147),0)))&lt;S146,A147+IF(N147=0,0,IF(E147=0,ROUNDUP(N147/G147,0),ROUNDUP(NPER(E147/12,-G147,N147),0))),S146))))))</f>
        <v>359</v>
      </c>
      <c r="T147" s="35" t="str">
        <f t="shared" si="47"/>
        <v/>
      </c>
      <c r="U147" s="3">
        <f t="shared" si="32"/>
        <v>0</v>
      </c>
      <c r="V147" s="3">
        <f t="shared" si="33"/>
        <v>0</v>
      </c>
      <c r="W147" s="3">
        <f t="shared" si="34"/>
        <v>0</v>
      </c>
      <c r="X147" s="3">
        <f t="shared" si="35"/>
        <v>0</v>
      </c>
      <c r="Y147" s="3">
        <f>0</f>
        <v>0</v>
      </c>
      <c r="Z147" s="3">
        <f t="shared" si="36"/>
        <v>0</v>
      </c>
      <c r="AA147">
        <f>ROUND(IF(FALSE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,0)</f>
        <v>117312</v>
      </c>
    </row>
    <row r="148" spans="1:27">
      <c r="A148" s="30">
        <f>143</f>
        <v>143</v>
      </c>
      <c r="B148" s="31">
        <f>EDATE(入力!$B$6,A148-1)</f>
        <v>50557</v>
      </c>
      <c r="C148" s="32">
        <f t="shared" si="37"/>
        <v>20462899</v>
      </c>
      <c r="D148" s="32">
        <f t="shared" si="38"/>
        <v>0</v>
      </c>
      <c r="E148" s="33">
        <f>IF(AND(T147="",A148&lt;=S147),IF(A148&lt;入力!$B$11,入力!$B$10,入力!$B$12),0)</f>
        <v>2.5000000000000001E-2</v>
      </c>
      <c r="F148" s="32">
        <f t="shared" si="39"/>
        <v>42631</v>
      </c>
      <c r="G148" s="32">
        <f>ROUND(IF(NOT(AND(T147="",A148&lt;=S147)),0,IF(FALSE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),0)</f>
        <v>117312</v>
      </c>
      <c r="H148" s="32">
        <f t="shared" si="40"/>
        <v>117312</v>
      </c>
      <c r="I148" s="32">
        <f t="shared" si="41"/>
        <v>42631</v>
      </c>
      <c r="J148" s="32">
        <f t="shared" si="42"/>
        <v>0</v>
      </c>
      <c r="K148" s="32">
        <f t="shared" si="43"/>
        <v>0</v>
      </c>
      <c r="L148" s="32">
        <f t="shared" si="44"/>
        <v>74681</v>
      </c>
      <c r="M148" s="32">
        <f>IF(AND(AND(T147="",A148&lt;=S147),A148=入力!$B$15),ROUND(MIN(入力!$B$16,MAX(0,C148-L148)),0),0)</f>
        <v>0</v>
      </c>
      <c r="N148" s="32">
        <f t="shared" si="45"/>
        <v>20388218</v>
      </c>
      <c r="O148" s="32">
        <f t="shared" si="46"/>
        <v>5773994</v>
      </c>
      <c r="P148" s="34" t="str">
        <f>IF(NOT(AND(T147="",A148&lt;=S147)),"",IF(FALSE,"繰上返済後再計算","")&amp;IF(AND(入力!$B$13="有効",A148&gt;1,MOD(A148-1,60)=0),IF(FALSE,"・","")&amp;"5年見直し","")&amp;IF(AND(A148=入力!$B$11,A148&gt;1),IF(OR(FALSE,AND(入力!$B$13="有効",A148&gt;1,MOD(A148-1,60)=0)),"・","")&amp;"金利変更","")&amp;IF(AND(OR(AND(入力!$B$13="有効",A148&gt;1,MOD(A148-1,60)=0),AND(A148=入力!$B$11,A148&gt;1)),入力!$B$14="有効",IF(E148=0,ROUND(C148/MAX(1,S147-A148+1),0),ROUND(-PMT(E148/12,MAX(1,S147-A148+1),C148),0))&gt;ROUND(G147*1.25,0),NOT(FALSE)),"・上限適用",""))</f>
        <v/>
      </c>
      <c r="Q148" s="35" t="str">
        <f>IF(AND(T147="",A148&lt;=S147),入力!$B$13,"")</f>
        <v>有効</v>
      </c>
      <c r="R148" s="32" t="str">
        <f>IF(AND(AND(T147="",A148&lt;=S147),OR(AND(入力!$B$13="有効",A148&gt;1,MOD(A148-1,60)=0),AND(A148=入力!$B$11,A148&gt;1)),入力!$B$14="有効"),ROUND(G147*1.25,0),"")</f>
        <v/>
      </c>
      <c r="S148" s="36">
        <f>IF(A148&lt;&gt;入力!$B$15,S147,IF(K148&lt;&gt;0,S147,IF(G148&lt;=F148,S147,IF(M148&lt;=0,S147,IF(AND(N148&gt;0,E148&gt;0,G148&lt;=N148*E148/12),S147,IF(A148+IF(N148=0,0,IF(E148=0,ROUNDUP(N148/G148,0),ROUNDUP(NPER(E148/12,-G148,N148),0)))&lt;S147,A148+IF(N148=0,0,IF(E148=0,ROUNDUP(N148/G148,0),ROUNDUP(NPER(E148/12,-G148,N148),0))),S147))))))</f>
        <v>359</v>
      </c>
      <c r="T148" s="35" t="str">
        <f t="shared" si="47"/>
        <v/>
      </c>
      <c r="U148" s="3">
        <f t="shared" si="32"/>
        <v>0</v>
      </c>
      <c r="V148" s="3">
        <f t="shared" si="33"/>
        <v>0</v>
      </c>
      <c r="W148" s="3">
        <f t="shared" si="34"/>
        <v>0</v>
      </c>
      <c r="X148" s="3">
        <f t="shared" si="35"/>
        <v>0</v>
      </c>
      <c r="Y148" s="3">
        <f>0</f>
        <v>0</v>
      </c>
      <c r="Z148" s="3">
        <f t="shared" si="36"/>
        <v>0</v>
      </c>
      <c r="AA148">
        <f>ROUND(IF(FALSE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,0)</f>
        <v>117312</v>
      </c>
    </row>
    <row r="149" spans="1:27">
      <c r="A149" s="30">
        <f>144</f>
        <v>144</v>
      </c>
      <c r="B149" s="31">
        <f>EDATE(入力!$B$6,A149-1)</f>
        <v>50587</v>
      </c>
      <c r="C149" s="32">
        <f t="shared" si="37"/>
        <v>20388218</v>
      </c>
      <c r="D149" s="32">
        <f t="shared" si="38"/>
        <v>0</v>
      </c>
      <c r="E149" s="33">
        <f>IF(AND(T148="",A149&lt;=S148),IF(A149&lt;入力!$B$11,入力!$B$10,入力!$B$12),0)</f>
        <v>2.5000000000000001E-2</v>
      </c>
      <c r="F149" s="32">
        <f t="shared" si="39"/>
        <v>42475</v>
      </c>
      <c r="G149" s="32">
        <f>ROUND(IF(NOT(AND(T148="",A149&lt;=S148)),0,IF(FALSE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),0)</f>
        <v>117312</v>
      </c>
      <c r="H149" s="32">
        <f t="shared" si="40"/>
        <v>117312</v>
      </c>
      <c r="I149" s="32">
        <f t="shared" si="41"/>
        <v>42475</v>
      </c>
      <c r="J149" s="32">
        <f t="shared" si="42"/>
        <v>0</v>
      </c>
      <c r="K149" s="32">
        <f t="shared" si="43"/>
        <v>0</v>
      </c>
      <c r="L149" s="32">
        <f t="shared" si="44"/>
        <v>74837</v>
      </c>
      <c r="M149" s="32">
        <f>IF(AND(AND(T148="",A149&lt;=S148),A149=入力!$B$15),ROUND(MIN(入力!$B$16,MAX(0,C149-L149)),0),0)</f>
        <v>0</v>
      </c>
      <c r="N149" s="32">
        <f t="shared" si="45"/>
        <v>20313381</v>
      </c>
      <c r="O149" s="32">
        <f t="shared" si="46"/>
        <v>5816469</v>
      </c>
      <c r="P149" s="34" t="str">
        <f>IF(NOT(AND(T148="",A149&lt;=S148)),"",IF(FALSE,"繰上返済後再計算","")&amp;IF(AND(入力!$B$13="有効",A149&gt;1,MOD(A149-1,60)=0),IF(FALSE,"・","")&amp;"5年見直し","")&amp;IF(AND(A149=入力!$B$11,A149&gt;1),IF(OR(FALSE,AND(入力!$B$13="有効",A149&gt;1,MOD(A149-1,60)=0)),"・","")&amp;"金利変更","")&amp;IF(AND(OR(AND(入力!$B$13="有効",A149&gt;1,MOD(A149-1,60)=0),AND(A149=入力!$B$11,A149&gt;1)),入力!$B$14="有効",IF(E149=0,ROUND(C149/MAX(1,S148-A149+1),0),ROUND(-PMT(E149/12,MAX(1,S148-A149+1),C149),0))&gt;ROUND(G148*1.25,0),NOT(FALSE)),"・上限適用",""))</f>
        <v/>
      </c>
      <c r="Q149" s="35" t="str">
        <f>IF(AND(T148="",A149&lt;=S148),入力!$B$13,"")</f>
        <v>有効</v>
      </c>
      <c r="R149" s="32" t="str">
        <f>IF(AND(AND(T148="",A149&lt;=S148),OR(AND(入力!$B$13="有効",A149&gt;1,MOD(A149-1,60)=0),AND(A149=入力!$B$11,A149&gt;1)),入力!$B$14="有効"),ROUND(G148*1.25,0),"")</f>
        <v/>
      </c>
      <c r="S149" s="36">
        <f>IF(A149&lt;&gt;入力!$B$15,S148,IF(K149&lt;&gt;0,S148,IF(G149&lt;=F149,S148,IF(M149&lt;=0,S148,IF(AND(N149&gt;0,E149&gt;0,G149&lt;=N149*E149/12),S148,IF(A149+IF(N149=0,0,IF(E149=0,ROUNDUP(N149/G149,0),ROUNDUP(NPER(E149/12,-G149,N149),0)))&lt;S148,A149+IF(N149=0,0,IF(E149=0,ROUNDUP(N149/G149,0),ROUNDUP(NPER(E149/12,-G149,N149),0))),S148))))))</f>
        <v>359</v>
      </c>
      <c r="T149" s="35" t="str">
        <f t="shared" si="47"/>
        <v/>
      </c>
      <c r="U149" s="3">
        <f t="shared" si="32"/>
        <v>0</v>
      </c>
      <c r="V149" s="3">
        <f t="shared" si="33"/>
        <v>0</v>
      </c>
      <c r="W149" s="3">
        <f t="shared" si="34"/>
        <v>0</v>
      </c>
      <c r="X149" s="3">
        <f t="shared" si="35"/>
        <v>0</v>
      </c>
      <c r="Y149" s="3">
        <f>0</f>
        <v>0</v>
      </c>
      <c r="Z149" s="3">
        <f t="shared" si="36"/>
        <v>0</v>
      </c>
      <c r="AA149">
        <f>ROUND(IF(FALSE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,0)</f>
        <v>117312</v>
      </c>
    </row>
    <row r="150" spans="1:27">
      <c r="A150" s="30">
        <f>145</f>
        <v>145</v>
      </c>
      <c r="B150" s="31">
        <f>EDATE(入力!$B$6,A150-1)</f>
        <v>50618</v>
      </c>
      <c r="C150" s="32">
        <f t="shared" si="37"/>
        <v>20313381</v>
      </c>
      <c r="D150" s="32">
        <f t="shared" si="38"/>
        <v>0</v>
      </c>
      <c r="E150" s="33">
        <f>IF(AND(T149="",A150&lt;=S149),IF(A150&lt;入力!$B$11,入力!$B$10,入力!$B$12),0)</f>
        <v>2.5000000000000001E-2</v>
      </c>
      <c r="F150" s="32">
        <f t="shared" si="39"/>
        <v>42320</v>
      </c>
      <c r="G150" s="32">
        <f>ROUND(IF(NOT(AND(T149="",A150&lt;=S149)),0,IF(FALSE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),0)</f>
        <v>117312</v>
      </c>
      <c r="H150" s="32">
        <f t="shared" si="40"/>
        <v>117312</v>
      </c>
      <c r="I150" s="32">
        <f t="shared" si="41"/>
        <v>42320</v>
      </c>
      <c r="J150" s="32">
        <f t="shared" si="42"/>
        <v>0</v>
      </c>
      <c r="K150" s="32">
        <f t="shared" si="43"/>
        <v>0</v>
      </c>
      <c r="L150" s="32">
        <f t="shared" si="44"/>
        <v>74992</v>
      </c>
      <c r="M150" s="32">
        <f>IF(AND(AND(T149="",A150&lt;=S149),A150=入力!$B$15),ROUND(MIN(入力!$B$16,MAX(0,C150-L150)),0),0)</f>
        <v>0</v>
      </c>
      <c r="N150" s="32">
        <f t="shared" si="45"/>
        <v>20238389</v>
      </c>
      <c r="O150" s="32">
        <f t="shared" si="46"/>
        <v>5858789</v>
      </c>
      <c r="P150" s="34" t="str">
        <f>IF(NOT(AND(T149="",A150&lt;=S149)),"",IF(FALSE,"繰上返済後再計算","")&amp;IF(AND(入力!$B$13="有効",A150&gt;1,MOD(A150-1,60)=0),IF(FALSE,"・","")&amp;"5年見直し","")&amp;IF(AND(A150=入力!$B$11,A150&gt;1),IF(OR(FALSE,AND(入力!$B$13="有効",A150&gt;1,MOD(A150-1,60)=0)),"・","")&amp;"金利変更","")&amp;IF(AND(OR(AND(入力!$B$13="有効",A150&gt;1,MOD(A150-1,60)=0),AND(A150=入力!$B$11,A150&gt;1)),入力!$B$14="有効",IF(E150=0,ROUND(C150/MAX(1,S149-A150+1),0),ROUND(-PMT(E150/12,MAX(1,S149-A150+1),C150),0))&gt;ROUND(G149*1.25,0),NOT(FALSE)),"・上限適用",""))</f>
        <v/>
      </c>
      <c r="Q150" s="35" t="str">
        <f>IF(AND(T149="",A150&lt;=S149),入力!$B$13,"")</f>
        <v>有効</v>
      </c>
      <c r="R150" s="32" t="str">
        <f>IF(AND(AND(T149="",A150&lt;=S149),OR(AND(入力!$B$13="有効",A150&gt;1,MOD(A150-1,60)=0),AND(A150=入力!$B$11,A150&gt;1)),入力!$B$14="有効"),ROUND(G149*1.25,0),"")</f>
        <v/>
      </c>
      <c r="S150" s="36">
        <f>IF(A150&lt;&gt;入力!$B$15,S149,IF(K150&lt;&gt;0,S149,IF(G150&lt;=F150,S149,IF(M150&lt;=0,S149,IF(AND(N150&gt;0,E150&gt;0,G150&lt;=N150*E150/12),S149,IF(A150+IF(N150=0,0,IF(E150=0,ROUNDUP(N150/G150,0),ROUNDUP(NPER(E150/12,-G150,N150),0)))&lt;S149,A150+IF(N150=0,0,IF(E150=0,ROUNDUP(N150/G150,0),ROUNDUP(NPER(E150/12,-G150,N150),0))),S149))))))</f>
        <v>359</v>
      </c>
      <c r="T150" s="35" t="str">
        <f t="shared" si="47"/>
        <v/>
      </c>
      <c r="U150" s="3">
        <f t="shared" si="32"/>
        <v>0</v>
      </c>
      <c r="V150" s="3">
        <f t="shared" si="33"/>
        <v>0</v>
      </c>
      <c r="W150" s="3">
        <f t="shared" si="34"/>
        <v>0</v>
      </c>
      <c r="X150" s="3">
        <f t="shared" si="35"/>
        <v>0</v>
      </c>
      <c r="Y150" s="3">
        <f>0</f>
        <v>0</v>
      </c>
      <c r="Z150" s="3">
        <f t="shared" si="36"/>
        <v>0</v>
      </c>
      <c r="AA150">
        <f>ROUND(IF(FALSE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,0)</f>
        <v>117312</v>
      </c>
    </row>
    <row r="151" spans="1:27">
      <c r="A151" s="30">
        <f>146</f>
        <v>146</v>
      </c>
      <c r="B151" s="31">
        <f>EDATE(入力!$B$6,A151-1)</f>
        <v>50649</v>
      </c>
      <c r="C151" s="32">
        <f t="shared" si="37"/>
        <v>20238389</v>
      </c>
      <c r="D151" s="32">
        <f t="shared" si="38"/>
        <v>0</v>
      </c>
      <c r="E151" s="33">
        <f>IF(AND(T150="",A151&lt;=S150),IF(A151&lt;入力!$B$11,入力!$B$10,入力!$B$12),0)</f>
        <v>2.5000000000000001E-2</v>
      </c>
      <c r="F151" s="32">
        <f t="shared" si="39"/>
        <v>42163</v>
      </c>
      <c r="G151" s="32">
        <f>ROUND(IF(NOT(AND(T150="",A151&lt;=S150)),0,IF(FALSE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),0)</f>
        <v>117312</v>
      </c>
      <c r="H151" s="32">
        <f t="shared" si="40"/>
        <v>117312</v>
      </c>
      <c r="I151" s="32">
        <f t="shared" si="41"/>
        <v>42163</v>
      </c>
      <c r="J151" s="32">
        <f t="shared" si="42"/>
        <v>0</v>
      </c>
      <c r="K151" s="32">
        <f t="shared" si="43"/>
        <v>0</v>
      </c>
      <c r="L151" s="32">
        <f t="shared" si="44"/>
        <v>75149</v>
      </c>
      <c r="M151" s="32">
        <f>IF(AND(AND(T150="",A151&lt;=S150),A151=入力!$B$15),ROUND(MIN(入力!$B$16,MAX(0,C151-L151)),0),0)</f>
        <v>0</v>
      </c>
      <c r="N151" s="32">
        <f t="shared" si="45"/>
        <v>20163240</v>
      </c>
      <c r="O151" s="32">
        <f t="shared" si="46"/>
        <v>5900952</v>
      </c>
      <c r="P151" s="34" t="str">
        <f>IF(NOT(AND(T150="",A151&lt;=S150)),"",IF(FALSE,"繰上返済後再計算","")&amp;IF(AND(入力!$B$13="有効",A151&gt;1,MOD(A151-1,60)=0),IF(FALSE,"・","")&amp;"5年見直し","")&amp;IF(AND(A151=入力!$B$11,A151&gt;1),IF(OR(FALSE,AND(入力!$B$13="有効",A151&gt;1,MOD(A151-1,60)=0)),"・","")&amp;"金利変更","")&amp;IF(AND(OR(AND(入力!$B$13="有効",A151&gt;1,MOD(A151-1,60)=0),AND(A151=入力!$B$11,A151&gt;1)),入力!$B$14="有効",IF(E151=0,ROUND(C151/MAX(1,S150-A151+1),0),ROUND(-PMT(E151/12,MAX(1,S150-A151+1),C151),0))&gt;ROUND(G150*1.25,0),NOT(FALSE)),"・上限適用",""))</f>
        <v/>
      </c>
      <c r="Q151" s="35" t="str">
        <f>IF(AND(T150="",A151&lt;=S150),入力!$B$13,"")</f>
        <v>有効</v>
      </c>
      <c r="R151" s="32" t="str">
        <f>IF(AND(AND(T150="",A151&lt;=S150),OR(AND(入力!$B$13="有効",A151&gt;1,MOD(A151-1,60)=0),AND(A151=入力!$B$11,A151&gt;1)),入力!$B$14="有効"),ROUND(G150*1.25,0),"")</f>
        <v/>
      </c>
      <c r="S151" s="36">
        <f>IF(A151&lt;&gt;入力!$B$15,S150,IF(K151&lt;&gt;0,S150,IF(G151&lt;=F151,S150,IF(M151&lt;=0,S150,IF(AND(N151&gt;0,E151&gt;0,G151&lt;=N151*E151/12),S150,IF(A151+IF(N151=0,0,IF(E151=0,ROUNDUP(N151/G151,0),ROUNDUP(NPER(E151/12,-G151,N151),0)))&lt;S150,A151+IF(N151=0,0,IF(E151=0,ROUNDUP(N151/G151,0),ROUNDUP(NPER(E151/12,-G151,N151),0))),S150))))))</f>
        <v>359</v>
      </c>
      <c r="T151" s="35" t="str">
        <f t="shared" si="47"/>
        <v/>
      </c>
      <c r="U151" s="3">
        <f t="shared" si="32"/>
        <v>0</v>
      </c>
      <c r="V151" s="3">
        <f t="shared" si="33"/>
        <v>0</v>
      </c>
      <c r="W151" s="3">
        <f t="shared" si="34"/>
        <v>0</v>
      </c>
      <c r="X151" s="3">
        <f t="shared" si="35"/>
        <v>0</v>
      </c>
      <c r="Y151" s="3">
        <f>0</f>
        <v>0</v>
      </c>
      <c r="Z151" s="3">
        <f t="shared" si="36"/>
        <v>0</v>
      </c>
      <c r="AA151">
        <f>ROUND(IF(FALSE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,0)</f>
        <v>117312</v>
      </c>
    </row>
    <row r="152" spans="1:27">
      <c r="A152" s="30">
        <f>147</f>
        <v>147</v>
      </c>
      <c r="B152" s="31">
        <f>EDATE(入力!$B$6,A152-1)</f>
        <v>50679</v>
      </c>
      <c r="C152" s="32">
        <f t="shared" si="37"/>
        <v>20163240</v>
      </c>
      <c r="D152" s="32">
        <f t="shared" si="38"/>
        <v>0</v>
      </c>
      <c r="E152" s="33">
        <f>IF(AND(T151="",A152&lt;=S151),IF(A152&lt;入力!$B$11,入力!$B$10,入力!$B$12),0)</f>
        <v>2.5000000000000001E-2</v>
      </c>
      <c r="F152" s="32">
        <f t="shared" si="39"/>
        <v>42007</v>
      </c>
      <c r="G152" s="32">
        <f>ROUND(IF(NOT(AND(T151="",A152&lt;=S151)),0,IF(FALSE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),0)</f>
        <v>117312</v>
      </c>
      <c r="H152" s="32">
        <f t="shared" si="40"/>
        <v>117312</v>
      </c>
      <c r="I152" s="32">
        <f t="shared" si="41"/>
        <v>42007</v>
      </c>
      <c r="J152" s="32">
        <f t="shared" si="42"/>
        <v>0</v>
      </c>
      <c r="K152" s="32">
        <f t="shared" si="43"/>
        <v>0</v>
      </c>
      <c r="L152" s="32">
        <f t="shared" si="44"/>
        <v>75305</v>
      </c>
      <c r="M152" s="32">
        <f>IF(AND(AND(T151="",A152&lt;=S151),A152=入力!$B$15),ROUND(MIN(入力!$B$16,MAX(0,C152-L152)),0),0)</f>
        <v>0</v>
      </c>
      <c r="N152" s="32">
        <f t="shared" si="45"/>
        <v>20087935</v>
      </c>
      <c r="O152" s="32">
        <f t="shared" si="46"/>
        <v>5942959</v>
      </c>
      <c r="P152" s="34" t="str">
        <f>IF(NOT(AND(T151="",A152&lt;=S151)),"",IF(FALSE,"繰上返済後再計算","")&amp;IF(AND(入力!$B$13="有効",A152&gt;1,MOD(A152-1,60)=0),IF(FALSE,"・","")&amp;"5年見直し","")&amp;IF(AND(A152=入力!$B$11,A152&gt;1),IF(OR(FALSE,AND(入力!$B$13="有効",A152&gt;1,MOD(A152-1,60)=0)),"・","")&amp;"金利変更","")&amp;IF(AND(OR(AND(入力!$B$13="有効",A152&gt;1,MOD(A152-1,60)=0),AND(A152=入力!$B$11,A152&gt;1)),入力!$B$14="有効",IF(E152=0,ROUND(C152/MAX(1,S151-A152+1),0),ROUND(-PMT(E152/12,MAX(1,S151-A152+1),C152),0))&gt;ROUND(G151*1.25,0),NOT(FALSE)),"・上限適用",""))</f>
        <v/>
      </c>
      <c r="Q152" s="35" t="str">
        <f>IF(AND(T151="",A152&lt;=S151),入力!$B$13,"")</f>
        <v>有効</v>
      </c>
      <c r="R152" s="32" t="str">
        <f>IF(AND(AND(T151="",A152&lt;=S151),OR(AND(入力!$B$13="有効",A152&gt;1,MOD(A152-1,60)=0),AND(A152=入力!$B$11,A152&gt;1)),入力!$B$14="有効"),ROUND(G151*1.25,0),"")</f>
        <v/>
      </c>
      <c r="S152" s="36">
        <f>IF(A152&lt;&gt;入力!$B$15,S151,IF(K152&lt;&gt;0,S151,IF(G152&lt;=F152,S151,IF(M152&lt;=0,S151,IF(AND(N152&gt;0,E152&gt;0,G152&lt;=N152*E152/12),S151,IF(A152+IF(N152=0,0,IF(E152=0,ROUNDUP(N152/G152,0),ROUNDUP(NPER(E152/12,-G152,N152),0)))&lt;S151,A152+IF(N152=0,0,IF(E152=0,ROUNDUP(N152/G152,0),ROUNDUP(NPER(E152/12,-G152,N152),0))),S151))))))</f>
        <v>359</v>
      </c>
      <c r="T152" s="35" t="str">
        <f t="shared" si="47"/>
        <v/>
      </c>
      <c r="U152" s="3">
        <f t="shared" si="32"/>
        <v>0</v>
      </c>
      <c r="V152" s="3">
        <f t="shared" si="33"/>
        <v>0</v>
      </c>
      <c r="W152" s="3">
        <f t="shared" si="34"/>
        <v>0</v>
      </c>
      <c r="X152" s="3">
        <f t="shared" si="35"/>
        <v>0</v>
      </c>
      <c r="Y152" s="3">
        <f>0</f>
        <v>0</v>
      </c>
      <c r="Z152" s="3">
        <f t="shared" si="36"/>
        <v>0</v>
      </c>
      <c r="AA152">
        <f>ROUND(IF(FALSE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,0)</f>
        <v>117312</v>
      </c>
    </row>
    <row r="153" spans="1:27">
      <c r="A153" s="30">
        <f>148</f>
        <v>148</v>
      </c>
      <c r="B153" s="31">
        <f>EDATE(入力!$B$6,A153-1)</f>
        <v>50710</v>
      </c>
      <c r="C153" s="32">
        <f t="shared" si="37"/>
        <v>20087935</v>
      </c>
      <c r="D153" s="32">
        <f t="shared" si="38"/>
        <v>0</v>
      </c>
      <c r="E153" s="33">
        <f>IF(AND(T152="",A153&lt;=S152),IF(A153&lt;入力!$B$11,入力!$B$10,入力!$B$12),0)</f>
        <v>2.5000000000000001E-2</v>
      </c>
      <c r="F153" s="32">
        <f t="shared" si="39"/>
        <v>41850</v>
      </c>
      <c r="G153" s="32">
        <f>ROUND(IF(NOT(AND(T152="",A153&lt;=S152)),0,IF(FALSE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),0)</f>
        <v>117312</v>
      </c>
      <c r="H153" s="32">
        <f t="shared" si="40"/>
        <v>117312</v>
      </c>
      <c r="I153" s="32">
        <f t="shared" si="41"/>
        <v>41850</v>
      </c>
      <c r="J153" s="32">
        <f t="shared" si="42"/>
        <v>0</v>
      </c>
      <c r="K153" s="32">
        <f t="shared" si="43"/>
        <v>0</v>
      </c>
      <c r="L153" s="32">
        <f t="shared" si="44"/>
        <v>75462</v>
      </c>
      <c r="M153" s="32">
        <f>IF(AND(AND(T152="",A153&lt;=S152),A153=入力!$B$15),ROUND(MIN(入力!$B$16,MAX(0,C153-L153)),0),0)</f>
        <v>0</v>
      </c>
      <c r="N153" s="32">
        <f t="shared" si="45"/>
        <v>20012473</v>
      </c>
      <c r="O153" s="32">
        <f t="shared" si="46"/>
        <v>5984809</v>
      </c>
      <c r="P153" s="34" t="str">
        <f>IF(NOT(AND(T152="",A153&lt;=S152)),"",IF(FALSE,"繰上返済後再計算","")&amp;IF(AND(入力!$B$13="有効",A153&gt;1,MOD(A153-1,60)=0),IF(FALSE,"・","")&amp;"5年見直し","")&amp;IF(AND(A153=入力!$B$11,A153&gt;1),IF(OR(FALSE,AND(入力!$B$13="有効",A153&gt;1,MOD(A153-1,60)=0)),"・","")&amp;"金利変更","")&amp;IF(AND(OR(AND(入力!$B$13="有効",A153&gt;1,MOD(A153-1,60)=0),AND(A153=入力!$B$11,A153&gt;1)),入力!$B$14="有効",IF(E153=0,ROUND(C153/MAX(1,S152-A153+1),0),ROUND(-PMT(E153/12,MAX(1,S152-A153+1),C153),0))&gt;ROUND(G152*1.25,0),NOT(FALSE)),"・上限適用",""))</f>
        <v/>
      </c>
      <c r="Q153" s="35" t="str">
        <f>IF(AND(T152="",A153&lt;=S152),入力!$B$13,"")</f>
        <v>有効</v>
      </c>
      <c r="R153" s="32" t="str">
        <f>IF(AND(AND(T152="",A153&lt;=S152),OR(AND(入力!$B$13="有効",A153&gt;1,MOD(A153-1,60)=0),AND(A153=入力!$B$11,A153&gt;1)),入力!$B$14="有効"),ROUND(G152*1.25,0),"")</f>
        <v/>
      </c>
      <c r="S153" s="36">
        <f>IF(A153&lt;&gt;入力!$B$15,S152,IF(K153&lt;&gt;0,S152,IF(G153&lt;=F153,S152,IF(M153&lt;=0,S152,IF(AND(N153&gt;0,E153&gt;0,G153&lt;=N153*E153/12),S152,IF(A153+IF(N153=0,0,IF(E153=0,ROUNDUP(N153/G153,0),ROUNDUP(NPER(E153/12,-G153,N153),0)))&lt;S152,A153+IF(N153=0,0,IF(E153=0,ROUNDUP(N153/G153,0),ROUNDUP(NPER(E153/12,-G153,N153),0))),S152))))))</f>
        <v>359</v>
      </c>
      <c r="T153" s="35" t="str">
        <f t="shared" si="47"/>
        <v/>
      </c>
      <c r="U153" s="3">
        <f t="shared" si="32"/>
        <v>0</v>
      </c>
      <c r="V153" s="3">
        <f t="shared" si="33"/>
        <v>0</v>
      </c>
      <c r="W153" s="3">
        <f t="shared" si="34"/>
        <v>0</v>
      </c>
      <c r="X153" s="3">
        <f t="shared" si="35"/>
        <v>0</v>
      </c>
      <c r="Y153" s="3">
        <f>0</f>
        <v>0</v>
      </c>
      <c r="Z153" s="3">
        <f t="shared" si="36"/>
        <v>0</v>
      </c>
      <c r="AA153">
        <f>ROUND(IF(FALSE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,0)</f>
        <v>117312</v>
      </c>
    </row>
    <row r="154" spans="1:27">
      <c r="A154" s="30">
        <f>149</f>
        <v>149</v>
      </c>
      <c r="B154" s="31">
        <f>EDATE(入力!$B$6,A154-1)</f>
        <v>50740</v>
      </c>
      <c r="C154" s="32">
        <f t="shared" si="37"/>
        <v>20012473</v>
      </c>
      <c r="D154" s="32">
        <f t="shared" si="38"/>
        <v>0</v>
      </c>
      <c r="E154" s="33">
        <f>IF(AND(T153="",A154&lt;=S153),IF(A154&lt;入力!$B$11,入力!$B$10,入力!$B$12),0)</f>
        <v>2.5000000000000001E-2</v>
      </c>
      <c r="F154" s="32">
        <f t="shared" si="39"/>
        <v>41693</v>
      </c>
      <c r="G154" s="32">
        <f>ROUND(IF(NOT(AND(T153="",A154&lt;=S153)),0,IF(FALSE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),0)</f>
        <v>117312</v>
      </c>
      <c r="H154" s="32">
        <f t="shared" si="40"/>
        <v>117312</v>
      </c>
      <c r="I154" s="32">
        <f t="shared" si="41"/>
        <v>41693</v>
      </c>
      <c r="J154" s="32">
        <f t="shared" si="42"/>
        <v>0</v>
      </c>
      <c r="K154" s="32">
        <f t="shared" si="43"/>
        <v>0</v>
      </c>
      <c r="L154" s="32">
        <f t="shared" si="44"/>
        <v>75619</v>
      </c>
      <c r="M154" s="32">
        <f>IF(AND(AND(T153="",A154&lt;=S153),A154=入力!$B$15),ROUND(MIN(入力!$B$16,MAX(0,C154-L154)),0),0)</f>
        <v>0</v>
      </c>
      <c r="N154" s="32">
        <f t="shared" si="45"/>
        <v>19936854</v>
      </c>
      <c r="O154" s="32">
        <f t="shared" si="46"/>
        <v>6026502</v>
      </c>
      <c r="P154" s="34" t="str">
        <f>IF(NOT(AND(T153="",A154&lt;=S153)),"",IF(FALSE,"繰上返済後再計算","")&amp;IF(AND(入力!$B$13="有効",A154&gt;1,MOD(A154-1,60)=0),IF(FALSE,"・","")&amp;"5年見直し","")&amp;IF(AND(A154=入力!$B$11,A154&gt;1),IF(OR(FALSE,AND(入力!$B$13="有効",A154&gt;1,MOD(A154-1,60)=0)),"・","")&amp;"金利変更","")&amp;IF(AND(OR(AND(入力!$B$13="有効",A154&gt;1,MOD(A154-1,60)=0),AND(A154=入力!$B$11,A154&gt;1)),入力!$B$14="有効",IF(E154=0,ROUND(C154/MAX(1,S153-A154+1),0),ROUND(-PMT(E154/12,MAX(1,S153-A154+1),C154),0))&gt;ROUND(G153*1.25,0),NOT(FALSE)),"・上限適用",""))</f>
        <v/>
      </c>
      <c r="Q154" s="35" t="str">
        <f>IF(AND(T153="",A154&lt;=S153),入力!$B$13,"")</f>
        <v>有効</v>
      </c>
      <c r="R154" s="32" t="str">
        <f>IF(AND(AND(T153="",A154&lt;=S153),OR(AND(入力!$B$13="有効",A154&gt;1,MOD(A154-1,60)=0),AND(A154=入力!$B$11,A154&gt;1)),入力!$B$14="有効"),ROUND(G153*1.25,0),"")</f>
        <v/>
      </c>
      <c r="S154" s="36">
        <f>IF(A154&lt;&gt;入力!$B$15,S153,IF(K154&lt;&gt;0,S153,IF(G154&lt;=F154,S153,IF(M154&lt;=0,S153,IF(AND(N154&gt;0,E154&gt;0,G154&lt;=N154*E154/12),S153,IF(A154+IF(N154=0,0,IF(E154=0,ROUNDUP(N154/G154,0),ROUNDUP(NPER(E154/12,-G154,N154),0)))&lt;S153,A154+IF(N154=0,0,IF(E154=0,ROUNDUP(N154/G154,0),ROUNDUP(NPER(E154/12,-G154,N154),0))),S153))))))</f>
        <v>359</v>
      </c>
      <c r="T154" s="35" t="str">
        <f t="shared" si="47"/>
        <v/>
      </c>
      <c r="U154" s="3">
        <f t="shared" si="32"/>
        <v>0</v>
      </c>
      <c r="V154" s="3">
        <f t="shared" si="33"/>
        <v>0</v>
      </c>
      <c r="W154" s="3">
        <f t="shared" si="34"/>
        <v>0</v>
      </c>
      <c r="X154" s="3">
        <f t="shared" si="35"/>
        <v>0</v>
      </c>
      <c r="Y154" s="3">
        <f>0</f>
        <v>0</v>
      </c>
      <c r="Z154" s="3">
        <f t="shared" si="36"/>
        <v>0</v>
      </c>
      <c r="AA154">
        <f>ROUND(IF(FALSE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,0)</f>
        <v>117312</v>
      </c>
    </row>
    <row r="155" spans="1:27">
      <c r="A155" s="30">
        <f>150</f>
        <v>150</v>
      </c>
      <c r="B155" s="31">
        <f>EDATE(入力!$B$6,A155-1)</f>
        <v>50771</v>
      </c>
      <c r="C155" s="32">
        <f t="shared" si="37"/>
        <v>19936854</v>
      </c>
      <c r="D155" s="32">
        <f t="shared" si="38"/>
        <v>0</v>
      </c>
      <c r="E155" s="33">
        <f>IF(AND(T154="",A155&lt;=S154),IF(A155&lt;入力!$B$11,入力!$B$10,入力!$B$12),0)</f>
        <v>2.5000000000000001E-2</v>
      </c>
      <c r="F155" s="32">
        <f t="shared" si="39"/>
        <v>41535</v>
      </c>
      <c r="G155" s="32">
        <f>ROUND(IF(NOT(AND(T154="",A155&lt;=S154)),0,IF(FALSE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),0)</f>
        <v>117312</v>
      </c>
      <c r="H155" s="32">
        <f t="shared" si="40"/>
        <v>117312</v>
      </c>
      <c r="I155" s="32">
        <f t="shared" si="41"/>
        <v>41535</v>
      </c>
      <c r="J155" s="32">
        <f t="shared" si="42"/>
        <v>0</v>
      </c>
      <c r="K155" s="32">
        <f t="shared" si="43"/>
        <v>0</v>
      </c>
      <c r="L155" s="32">
        <f t="shared" si="44"/>
        <v>75777</v>
      </c>
      <c r="M155" s="32">
        <f>IF(AND(AND(T154="",A155&lt;=S154),A155=入力!$B$15),ROUND(MIN(入力!$B$16,MAX(0,C155-L155)),0),0)</f>
        <v>0</v>
      </c>
      <c r="N155" s="32">
        <f t="shared" si="45"/>
        <v>19861077</v>
      </c>
      <c r="O155" s="32">
        <f t="shared" si="46"/>
        <v>6068037</v>
      </c>
      <c r="P155" s="34" t="str">
        <f>IF(NOT(AND(T154="",A155&lt;=S154)),"",IF(FALSE,"繰上返済後再計算","")&amp;IF(AND(入力!$B$13="有効",A155&gt;1,MOD(A155-1,60)=0),IF(FALSE,"・","")&amp;"5年見直し","")&amp;IF(AND(A155=入力!$B$11,A155&gt;1),IF(OR(FALSE,AND(入力!$B$13="有効",A155&gt;1,MOD(A155-1,60)=0)),"・","")&amp;"金利変更","")&amp;IF(AND(OR(AND(入力!$B$13="有効",A155&gt;1,MOD(A155-1,60)=0),AND(A155=入力!$B$11,A155&gt;1)),入力!$B$14="有効",IF(E155=0,ROUND(C155/MAX(1,S154-A155+1),0),ROUND(-PMT(E155/12,MAX(1,S154-A155+1),C155),0))&gt;ROUND(G154*1.25,0),NOT(FALSE)),"・上限適用",""))</f>
        <v/>
      </c>
      <c r="Q155" s="35" t="str">
        <f>IF(AND(T154="",A155&lt;=S154),入力!$B$13,"")</f>
        <v>有効</v>
      </c>
      <c r="R155" s="32" t="str">
        <f>IF(AND(AND(T154="",A155&lt;=S154),OR(AND(入力!$B$13="有効",A155&gt;1,MOD(A155-1,60)=0),AND(A155=入力!$B$11,A155&gt;1)),入力!$B$14="有効"),ROUND(G154*1.25,0),"")</f>
        <v/>
      </c>
      <c r="S155" s="36">
        <f>IF(A155&lt;&gt;入力!$B$15,S154,IF(K155&lt;&gt;0,S154,IF(G155&lt;=F155,S154,IF(M155&lt;=0,S154,IF(AND(N155&gt;0,E155&gt;0,G155&lt;=N155*E155/12),S154,IF(A155+IF(N155=0,0,IF(E155=0,ROUNDUP(N155/G155,0),ROUNDUP(NPER(E155/12,-G155,N155),0)))&lt;S154,A155+IF(N155=0,0,IF(E155=0,ROUNDUP(N155/G155,0),ROUNDUP(NPER(E155/12,-G155,N155),0))),S154))))))</f>
        <v>359</v>
      </c>
      <c r="T155" s="35" t="str">
        <f t="shared" si="47"/>
        <v/>
      </c>
      <c r="U155" s="3">
        <f t="shared" si="32"/>
        <v>0</v>
      </c>
      <c r="V155" s="3">
        <f t="shared" si="33"/>
        <v>0</v>
      </c>
      <c r="W155" s="3">
        <f t="shared" si="34"/>
        <v>0</v>
      </c>
      <c r="X155" s="3">
        <f t="shared" si="35"/>
        <v>0</v>
      </c>
      <c r="Y155" s="3">
        <f>0</f>
        <v>0</v>
      </c>
      <c r="Z155" s="3">
        <f t="shared" si="36"/>
        <v>0</v>
      </c>
      <c r="AA155">
        <f>ROUND(IF(FALSE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,0)</f>
        <v>117312</v>
      </c>
    </row>
    <row r="156" spans="1:27">
      <c r="A156" s="30">
        <f>151</f>
        <v>151</v>
      </c>
      <c r="B156" s="31">
        <f>EDATE(入力!$B$6,A156-1)</f>
        <v>50802</v>
      </c>
      <c r="C156" s="32">
        <f t="shared" si="37"/>
        <v>19861077</v>
      </c>
      <c r="D156" s="32">
        <f t="shared" si="38"/>
        <v>0</v>
      </c>
      <c r="E156" s="33">
        <f>IF(AND(T155="",A156&lt;=S155),IF(A156&lt;入力!$B$11,入力!$B$10,入力!$B$12),0)</f>
        <v>2.5000000000000001E-2</v>
      </c>
      <c r="F156" s="32">
        <f t="shared" si="39"/>
        <v>41377</v>
      </c>
      <c r="G156" s="32">
        <f>ROUND(IF(NOT(AND(T155="",A156&lt;=S155)),0,IF(FALSE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),0)</f>
        <v>117312</v>
      </c>
      <c r="H156" s="32">
        <f t="shared" si="40"/>
        <v>117312</v>
      </c>
      <c r="I156" s="32">
        <f t="shared" si="41"/>
        <v>41377</v>
      </c>
      <c r="J156" s="32">
        <f t="shared" si="42"/>
        <v>0</v>
      </c>
      <c r="K156" s="32">
        <f t="shared" si="43"/>
        <v>0</v>
      </c>
      <c r="L156" s="32">
        <f t="shared" si="44"/>
        <v>75935</v>
      </c>
      <c r="M156" s="32">
        <f>IF(AND(AND(T155="",A156&lt;=S155),A156=入力!$B$15),ROUND(MIN(入力!$B$16,MAX(0,C156-L156)),0),0)</f>
        <v>0</v>
      </c>
      <c r="N156" s="32">
        <f t="shared" si="45"/>
        <v>19785142</v>
      </c>
      <c r="O156" s="32">
        <f t="shared" si="46"/>
        <v>6109414</v>
      </c>
      <c r="P156" s="34" t="str">
        <f>IF(NOT(AND(T155="",A156&lt;=S155)),"",IF(FALSE,"繰上返済後再計算","")&amp;IF(AND(入力!$B$13="有効",A156&gt;1,MOD(A156-1,60)=0),IF(FALSE,"・","")&amp;"5年見直し","")&amp;IF(AND(A156=入力!$B$11,A156&gt;1),IF(OR(FALSE,AND(入力!$B$13="有効",A156&gt;1,MOD(A156-1,60)=0)),"・","")&amp;"金利変更","")&amp;IF(AND(OR(AND(入力!$B$13="有効",A156&gt;1,MOD(A156-1,60)=0),AND(A156=入力!$B$11,A156&gt;1)),入力!$B$14="有効",IF(E156=0,ROUND(C156/MAX(1,S155-A156+1),0),ROUND(-PMT(E156/12,MAX(1,S155-A156+1),C156),0))&gt;ROUND(G155*1.25,0),NOT(FALSE)),"・上限適用",""))</f>
        <v/>
      </c>
      <c r="Q156" s="35" t="str">
        <f>IF(AND(T155="",A156&lt;=S155),入力!$B$13,"")</f>
        <v>有効</v>
      </c>
      <c r="R156" s="32" t="str">
        <f>IF(AND(AND(T155="",A156&lt;=S155),OR(AND(入力!$B$13="有効",A156&gt;1,MOD(A156-1,60)=0),AND(A156=入力!$B$11,A156&gt;1)),入力!$B$14="有効"),ROUND(G155*1.25,0),"")</f>
        <v/>
      </c>
      <c r="S156" s="36">
        <f>IF(A156&lt;&gt;入力!$B$15,S155,IF(K156&lt;&gt;0,S155,IF(G156&lt;=F156,S155,IF(M156&lt;=0,S155,IF(AND(N156&gt;0,E156&gt;0,G156&lt;=N156*E156/12),S155,IF(A156+IF(N156=0,0,IF(E156=0,ROUNDUP(N156/G156,0),ROUNDUP(NPER(E156/12,-G156,N156),0)))&lt;S155,A156+IF(N156=0,0,IF(E156=0,ROUNDUP(N156/G156,0),ROUNDUP(NPER(E156/12,-G156,N156),0))),S155))))))</f>
        <v>359</v>
      </c>
      <c r="T156" s="35" t="str">
        <f t="shared" si="47"/>
        <v/>
      </c>
      <c r="U156" s="3">
        <f t="shared" si="32"/>
        <v>0</v>
      </c>
      <c r="V156" s="3">
        <f t="shared" si="33"/>
        <v>0</v>
      </c>
      <c r="W156" s="3">
        <f t="shared" si="34"/>
        <v>0</v>
      </c>
      <c r="X156" s="3">
        <f t="shared" si="35"/>
        <v>0</v>
      </c>
      <c r="Y156" s="3">
        <f>0</f>
        <v>0</v>
      </c>
      <c r="Z156" s="3">
        <f t="shared" si="36"/>
        <v>0</v>
      </c>
      <c r="AA156">
        <f>ROUND(IF(FALSE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,0)</f>
        <v>117312</v>
      </c>
    </row>
    <row r="157" spans="1:27">
      <c r="A157" s="30">
        <f>152</f>
        <v>152</v>
      </c>
      <c r="B157" s="31">
        <f>EDATE(入力!$B$6,A157-1)</f>
        <v>50830</v>
      </c>
      <c r="C157" s="32">
        <f t="shared" si="37"/>
        <v>19785142</v>
      </c>
      <c r="D157" s="32">
        <f t="shared" si="38"/>
        <v>0</v>
      </c>
      <c r="E157" s="33">
        <f>IF(AND(T156="",A157&lt;=S156),IF(A157&lt;入力!$B$11,入力!$B$10,入力!$B$12),0)</f>
        <v>2.5000000000000001E-2</v>
      </c>
      <c r="F157" s="32">
        <f t="shared" si="39"/>
        <v>41219</v>
      </c>
      <c r="G157" s="32">
        <f>ROUND(IF(NOT(AND(T156="",A157&lt;=S156)),0,IF(FALSE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),0)</f>
        <v>117312</v>
      </c>
      <c r="H157" s="32">
        <f t="shared" si="40"/>
        <v>117312</v>
      </c>
      <c r="I157" s="32">
        <f t="shared" si="41"/>
        <v>41219</v>
      </c>
      <c r="J157" s="32">
        <f t="shared" si="42"/>
        <v>0</v>
      </c>
      <c r="K157" s="32">
        <f t="shared" si="43"/>
        <v>0</v>
      </c>
      <c r="L157" s="32">
        <f t="shared" si="44"/>
        <v>76093</v>
      </c>
      <c r="M157" s="32">
        <f>IF(AND(AND(T156="",A157&lt;=S156),A157=入力!$B$15),ROUND(MIN(入力!$B$16,MAX(0,C157-L157)),0),0)</f>
        <v>0</v>
      </c>
      <c r="N157" s="32">
        <f t="shared" si="45"/>
        <v>19709049</v>
      </c>
      <c r="O157" s="32">
        <f t="shared" si="46"/>
        <v>6150633</v>
      </c>
      <c r="P157" s="34" t="str">
        <f>IF(NOT(AND(T156="",A157&lt;=S156)),"",IF(FALSE,"繰上返済後再計算","")&amp;IF(AND(入力!$B$13="有効",A157&gt;1,MOD(A157-1,60)=0),IF(FALSE,"・","")&amp;"5年見直し","")&amp;IF(AND(A157=入力!$B$11,A157&gt;1),IF(OR(FALSE,AND(入力!$B$13="有効",A157&gt;1,MOD(A157-1,60)=0)),"・","")&amp;"金利変更","")&amp;IF(AND(OR(AND(入力!$B$13="有効",A157&gt;1,MOD(A157-1,60)=0),AND(A157=入力!$B$11,A157&gt;1)),入力!$B$14="有効",IF(E157=0,ROUND(C157/MAX(1,S156-A157+1),0),ROUND(-PMT(E157/12,MAX(1,S156-A157+1),C157),0))&gt;ROUND(G156*1.25,0),NOT(FALSE)),"・上限適用",""))</f>
        <v/>
      </c>
      <c r="Q157" s="35" t="str">
        <f>IF(AND(T156="",A157&lt;=S156),入力!$B$13,"")</f>
        <v>有効</v>
      </c>
      <c r="R157" s="32" t="str">
        <f>IF(AND(AND(T156="",A157&lt;=S156),OR(AND(入力!$B$13="有効",A157&gt;1,MOD(A157-1,60)=0),AND(A157=入力!$B$11,A157&gt;1)),入力!$B$14="有効"),ROUND(G156*1.25,0),"")</f>
        <v/>
      </c>
      <c r="S157" s="36">
        <f>IF(A157&lt;&gt;入力!$B$15,S156,IF(K157&lt;&gt;0,S156,IF(G157&lt;=F157,S156,IF(M157&lt;=0,S156,IF(AND(N157&gt;0,E157&gt;0,G157&lt;=N157*E157/12),S156,IF(A157+IF(N157=0,0,IF(E157=0,ROUNDUP(N157/G157,0),ROUNDUP(NPER(E157/12,-G157,N157),0)))&lt;S156,A157+IF(N157=0,0,IF(E157=0,ROUNDUP(N157/G157,0),ROUNDUP(NPER(E157/12,-G157,N157),0))),S156))))))</f>
        <v>359</v>
      </c>
      <c r="T157" s="35" t="str">
        <f t="shared" si="47"/>
        <v/>
      </c>
      <c r="U157" s="3">
        <f t="shared" si="32"/>
        <v>0</v>
      </c>
      <c r="V157" s="3">
        <f t="shared" si="33"/>
        <v>0</v>
      </c>
      <c r="W157" s="3">
        <f t="shared" si="34"/>
        <v>0</v>
      </c>
      <c r="X157" s="3">
        <f t="shared" si="35"/>
        <v>0</v>
      </c>
      <c r="Y157" s="3">
        <f>0</f>
        <v>0</v>
      </c>
      <c r="Z157" s="3">
        <f t="shared" si="36"/>
        <v>0</v>
      </c>
      <c r="AA157">
        <f>ROUND(IF(FALSE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,0)</f>
        <v>117312</v>
      </c>
    </row>
    <row r="158" spans="1:27">
      <c r="A158" s="30">
        <f>153</f>
        <v>153</v>
      </c>
      <c r="B158" s="31">
        <f>EDATE(入力!$B$6,A158-1)</f>
        <v>50861</v>
      </c>
      <c r="C158" s="32">
        <f t="shared" si="37"/>
        <v>19709049</v>
      </c>
      <c r="D158" s="32">
        <f t="shared" si="38"/>
        <v>0</v>
      </c>
      <c r="E158" s="33">
        <f>IF(AND(T157="",A158&lt;=S157),IF(A158&lt;入力!$B$11,入力!$B$10,入力!$B$12),0)</f>
        <v>2.5000000000000001E-2</v>
      </c>
      <c r="F158" s="32">
        <f t="shared" si="39"/>
        <v>41061</v>
      </c>
      <c r="G158" s="32">
        <f>ROUND(IF(NOT(AND(T157="",A158&lt;=S157)),0,IF(FALSE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),0)</f>
        <v>117312</v>
      </c>
      <c r="H158" s="32">
        <f t="shared" si="40"/>
        <v>117312</v>
      </c>
      <c r="I158" s="32">
        <f t="shared" si="41"/>
        <v>41061</v>
      </c>
      <c r="J158" s="32">
        <f t="shared" si="42"/>
        <v>0</v>
      </c>
      <c r="K158" s="32">
        <f t="shared" si="43"/>
        <v>0</v>
      </c>
      <c r="L158" s="32">
        <f t="shared" si="44"/>
        <v>76251</v>
      </c>
      <c r="M158" s="32">
        <f>IF(AND(AND(T157="",A158&lt;=S157),A158=入力!$B$15),ROUND(MIN(入力!$B$16,MAX(0,C158-L158)),0),0)</f>
        <v>0</v>
      </c>
      <c r="N158" s="32">
        <f t="shared" si="45"/>
        <v>19632798</v>
      </c>
      <c r="O158" s="32">
        <f t="shared" si="46"/>
        <v>6191694</v>
      </c>
      <c r="P158" s="34" t="str">
        <f>IF(NOT(AND(T157="",A158&lt;=S157)),"",IF(FALSE,"繰上返済後再計算","")&amp;IF(AND(入力!$B$13="有効",A158&gt;1,MOD(A158-1,60)=0),IF(FALSE,"・","")&amp;"5年見直し","")&amp;IF(AND(A158=入力!$B$11,A158&gt;1),IF(OR(FALSE,AND(入力!$B$13="有効",A158&gt;1,MOD(A158-1,60)=0)),"・","")&amp;"金利変更","")&amp;IF(AND(OR(AND(入力!$B$13="有効",A158&gt;1,MOD(A158-1,60)=0),AND(A158=入力!$B$11,A158&gt;1)),入力!$B$14="有効",IF(E158=0,ROUND(C158/MAX(1,S157-A158+1),0),ROUND(-PMT(E158/12,MAX(1,S157-A158+1),C158),0))&gt;ROUND(G157*1.25,0),NOT(FALSE)),"・上限適用",""))</f>
        <v/>
      </c>
      <c r="Q158" s="35" t="str">
        <f>IF(AND(T157="",A158&lt;=S157),入力!$B$13,"")</f>
        <v>有効</v>
      </c>
      <c r="R158" s="32" t="str">
        <f>IF(AND(AND(T157="",A158&lt;=S157),OR(AND(入力!$B$13="有効",A158&gt;1,MOD(A158-1,60)=0),AND(A158=入力!$B$11,A158&gt;1)),入力!$B$14="有効"),ROUND(G157*1.25,0),"")</f>
        <v/>
      </c>
      <c r="S158" s="36">
        <f>IF(A158&lt;&gt;入力!$B$15,S157,IF(K158&lt;&gt;0,S157,IF(G158&lt;=F158,S157,IF(M158&lt;=0,S157,IF(AND(N158&gt;0,E158&gt;0,G158&lt;=N158*E158/12),S157,IF(A158+IF(N158=0,0,IF(E158=0,ROUNDUP(N158/G158,0),ROUNDUP(NPER(E158/12,-G158,N158),0)))&lt;S157,A158+IF(N158=0,0,IF(E158=0,ROUNDUP(N158/G158,0),ROUNDUP(NPER(E158/12,-G158,N158),0))),S157))))))</f>
        <v>359</v>
      </c>
      <c r="T158" s="35" t="str">
        <f t="shared" si="47"/>
        <v/>
      </c>
      <c r="U158" s="3">
        <f t="shared" si="32"/>
        <v>0</v>
      </c>
      <c r="V158" s="3">
        <f t="shared" si="33"/>
        <v>0</v>
      </c>
      <c r="W158" s="3">
        <f t="shared" si="34"/>
        <v>0</v>
      </c>
      <c r="X158" s="3">
        <f t="shared" si="35"/>
        <v>0</v>
      </c>
      <c r="Y158" s="3">
        <f>0</f>
        <v>0</v>
      </c>
      <c r="Z158" s="3">
        <f t="shared" si="36"/>
        <v>0</v>
      </c>
      <c r="AA158">
        <f>ROUND(IF(FALSE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,0)</f>
        <v>117312</v>
      </c>
    </row>
    <row r="159" spans="1:27">
      <c r="A159" s="30">
        <f>154</f>
        <v>154</v>
      </c>
      <c r="B159" s="31">
        <f>EDATE(入力!$B$6,A159-1)</f>
        <v>50891</v>
      </c>
      <c r="C159" s="32">
        <f t="shared" si="37"/>
        <v>19632798</v>
      </c>
      <c r="D159" s="32">
        <f t="shared" si="38"/>
        <v>0</v>
      </c>
      <c r="E159" s="33">
        <f>IF(AND(T158="",A159&lt;=S158),IF(A159&lt;入力!$B$11,入力!$B$10,入力!$B$12),0)</f>
        <v>2.5000000000000001E-2</v>
      </c>
      <c r="F159" s="32">
        <f t="shared" si="39"/>
        <v>40902</v>
      </c>
      <c r="G159" s="32">
        <f>ROUND(IF(NOT(AND(T158="",A159&lt;=S158)),0,IF(FALSE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),0)</f>
        <v>117312</v>
      </c>
      <c r="H159" s="32">
        <f t="shared" si="40"/>
        <v>117312</v>
      </c>
      <c r="I159" s="32">
        <f t="shared" si="41"/>
        <v>40902</v>
      </c>
      <c r="J159" s="32">
        <f t="shared" si="42"/>
        <v>0</v>
      </c>
      <c r="K159" s="32">
        <f t="shared" si="43"/>
        <v>0</v>
      </c>
      <c r="L159" s="32">
        <f t="shared" si="44"/>
        <v>76410</v>
      </c>
      <c r="M159" s="32">
        <f>IF(AND(AND(T158="",A159&lt;=S158),A159=入力!$B$15),ROUND(MIN(入力!$B$16,MAX(0,C159-L159)),0),0)</f>
        <v>0</v>
      </c>
      <c r="N159" s="32">
        <f t="shared" si="45"/>
        <v>19556388</v>
      </c>
      <c r="O159" s="32">
        <f t="shared" si="46"/>
        <v>6232596</v>
      </c>
      <c r="P159" s="34" t="str">
        <f>IF(NOT(AND(T158="",A159&lt;=S158)),"",IF(FALSE,"繰上返済後再計算","")&amp;IF(AND(入力!$B$13="有効",A159&gt;1,MOD(A159-1,60)=0),IF(FALSE,"・","")&amp;"5年見直し","")&amp;IF(AND(A159=入力!$B$11,A159&gt;1),IF(OR(FALSE,AND(入力!$B$13="有効",A159&gt;1,MOD(A159-1,60)=0)),"・","")&amp;"金利変更","")&amp;IF(AND(OR(AND(入力!$B$13="有効",A159&gt;1,MOD(A159-1,60)=0),AND(A159=入力!$B$11,A159&gt;1)),入力!$B$14="有効",IF(E159=0,ROUND(C159/MAX(1,S158-A159+1),0),ROUND(-PMT(E159/12,MAX(1,S158-A159+1),C159),0))&gt;ROUND(G158*1.25,0),NOT(FALSE)),"・上限適用",""))</f>
        <v/>
      </c>
      <c r="Q159" s="35" t="str">
        <f>IF(AND(T158="",A159&lt;=S158),入力!$B$13,"")</f>
        <v>有効</v>
      </c>
      <c r="R159" s="32" t="str">
        <f>IF(AND(AND(T158="",A159&lt;=S158),OR(AND(入力!$B$13="有効",A159&gt;1,MOD(A159-1,60)=0),AND(A159=入力!$B$11,A159&gt;1)),入力!$B$14="有効"),ROUND(G158*1.25,0),"")</f>
        <v/>
      </c>
      <c r="S159" s="36">
        <f>IF(A159&lt;&gt;入力!$B$15,S158,IF(K159&lt;&gt;0,S158,IF(G159&lt;=F159,S158,IF(M159&lt;=0,S158,IF(AND(N159&gt;0,E159&gt;0,G159&lt;=N159*E159/12),S158,IF(A159+IF(N159=0,0,IF(E159=0,ROUNDUP(N159/G159,0),ROUNDUP(NPER(E159/12,-G159,N159),0)))&lt;S158,A159+IF(N159=0,0,IF(E159=0,ROUNDUP(N159/G159,0),ROUNDUP(NPER(E159/12,-G159,N159),0))),S158))))))</f>
        <v>359</v>
      </c>
      <c r="T159" s="35" t="str">
        <f t="shared" si="47"/>
        <v/>
      </c>
      <c r="U159" s="3">
        <f t="shared" si="32"/>
        <v>0</v>
      </c>
      <c r="V159" s="3">
        <f t="shared" si="33"/>
        <v>0</v>
      </c>
      <c r="W159" s="3">
        <f t="shared" si="34"/>
        <v>0</v>
      </c>
      <c r="X159" s="3">
        <f t="shared" si="35"/>
        <v>0</v>
      </c>
      <c r="Y159" s="3">
        <f>0</f>
        <v>0</v>
      </c>
      <c r="Z159" s="3">
        <f t="shared" si="36"/>
        <v>0</v>
      </c>
      <c r="AA159">
        <f>ROUND(IF(FALSE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,0)</f>
        <v>117312</v>
      </c>
    </row>
    <row r="160" spans="1:27">
      <c r="A160" s="30">
        <f>155</f>
        <v>155</v>
      </c>
      <c r="B160" s="31">
        <f>EDATE(入力!$B$6,A160-1)</f>
        <v>50922</v>
      </c>
      <c r="C160" s="32">
        <f t="shared" si="37"/>
        <v>19556388</v>
      </c>
      <c r="D160" s="32">
        <f t="shared" si="38"/>
        <v>0</v>
      </c>
      <c r="E160" s="33">
        <f>IF(AND(T159="",A160&lt;=S159),IF(A160&lt;入力!$B$11,入力!$B$10,入力!$B$12),0)</f>
        <v>2.5000000000000001E-2</v>
      </c>
      <c r="F160" s="32">
        <f t="shared" si="39"/>
        <v>40742</v>
      </c>
      <c r="G160" s="32">
        <f>ROUND(IF(NOT(AND(T159="",A160&lt;=S159)),0,IF(FALSE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),0)</f>
        <v>117312</v>
      </c>
      <c r="H160" s="32">
        <f t="shared" si="40"/>
        <v>117312</v>
      </c>
      <c r="I160" s="32">
        <f t="shared" si="41"/>
        <v>40742</v>
      </c>
      <c r="J160" s="32">
        <f t="shared" si="42"/>
        <v>0</v>
      </c>
      <c r="K160" s="32">
        <f t="shared" si="43"/>
        <v>0</v>
      </c>
      <c r="L160" s="32">
        <f t="shared" si="44"/>
        <v>76570</v>
      </c>
      <c r="M160" s="32">
        <f>IF(AND(AND(T159="",A160&lt;=S159),A160=入力!$B$15),ROUND(MIN(入力!$B$16,MAX(0,C160-L160)),0),0)</f>
        <v>0</v>
      </c>
      <c r="N160" s="32">
        <f t="shared" si="45"/>
        <v>19479818</v>
      </c>
      <c r="O160" s="32">
        <f t="shared" si="46"/>
        <v>6273338</v>
      </c>
      <c r="P160" s="34" t="str">
        <f>IF(NOT(AND(T159="",A160&lt;=S159)),"",IF(FALSE,"繰上返済後再計算","")&amp;IF(AND(入力!$B$13="有効",A160&gt;1,MOD(A160-1,60)=0),IF(FALSE,"・","")&amp;"5年見直し","")&amp;IF(AND(A160=入力!$B$11,A160&gt;1),IF(OR(FALSE,AND(入力!$B$13="有効",A160&gt;1,MOD(A160-1,60)=0)),"・","")&amp;"金利変更","")&amp;IF(AND(OR(AND(入力!$B$13="有効",A160&gt;1,MOD(A160-1,60)=0),AND(A160=入力!$B$11,A160&gt;1)),入力!$B$14="有効",IF(E160=0,ROUND(C160/MAX(1,S159-A160+1),0),ROUND(-PMT(E160/12,MAX(1,S159-A160+1),C160),0))&gt;ROUND(G159*1.25,0),NOT(FALSE)),"・上限適用",""))</f>
        <v/>
      </c>
      <c r="Q160" s="35" t="str">
        <f>IF(AND(T159="",A160&lt;=S159),入力!$B$13,"")</f>
        <v>有効</v>
      </c>
      <c r="R160" s="32" t="str">
        <f>IF(AND(AND(T159="",A160&lt;=S159),OR(AND(入力!$B$13="有効",A160&gt;1,MOD(A160-1,60)=0),AND(A160=入力!$B$11,A160&gt;1)),入力!$B$14="有効"),ROUND(G159*1.25,0),"")</f>
        <v/>
      </c>
      <c r="S160" s="36">
        <f>IF(A160&lt;&gt;入力!$B$15,S159,IF(K160&lt;&gt;0,S159,IF(G160&lt;=F160,S159,IF(M160&lt;=0,S159,IF(AND(N160&gt;0,E160&gt;0,G160&lt;=N160*E160/12),S159,IF(A160+IF(N160=0,0,IF(E160=0,ROUNDUP(N160/G160,0),ROUNDUP(NPER(E160/12,-G160,N160),0)))&lt;S159,A160+IF(N160=0,0,IF(E160=0,ROUNDUP(N160/G160,0),ROUNDUP(NPER(E160/12,-G160,N160),0))),S159))))))</f>
        <v>359</v>
      </c>
      <c r="T160" s="35" t="str">
        <f t="shared" si="47"/>
        <v/>
      </c>
      <c r="U160" s="3">
        <f t="shared" si="32"/>
        <v>0</v>
      </c>
      <c r="V160" s="3">
        <f t="shared" si="33"/>
        <v>0</v>
      </c>
      <c r="W160" s="3">
        <f t="shared" si="34"/>
        <v>0</v>
      </c>
      <c r="X160" s="3">
        <f t="shared" si="35"/>
        <v>0</v>
      </c>
      <c r="Y160" s="3">
        <f>0</f>
        <v>0</v>
      </c>
      <c r="Z160" s="3">
        <f t="shared" si="36"/>
        <v>0</v>
      </c>
      <c r="AA160">
        <f>ROUND(IF(FALSE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,0)</f>
        <v>117312</v>
      </c>
    </row>
    <row r="161" spans="1:27">
      <c r="A161" s="30">
        <f>156</f>
        <v>156</v>
      </c>
      <c r="B161" s="31">
        <f>EDATE(入力!$B$6,A161-1)</f>
        <v>50952</v>
      </c>
      <c r="C161" s="32">
        <f t="shared" si="37"/>
        <v>19479818</v>
      </c>
      <c r="D161" s="32">
        <f t="shared" si="38"/>
        <v>0</v>
      </c>
      <c r="E161" s="33">
        <f>IF(AND(T160="",A161&lt;=S160),IF(A161&lt;入力!$B$11,入力!$B$10,入力!$B$12),0)</f>
        <v>2.5000000000000001E-2</v>
      </c>
      <c r="F161" s="32">
        <f t="shared" si="39"/>
        <v>40583</v>
      </c>
      <c r="G161" s="32">
        <f>ROUND(IF(NOT(AND(T160="",A161&lt;=S160)),0,IF(FALSE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),0)</f>
        <v>117312</v>
      </c>
      <c r="H161" s="32">
        <f t="shared" si="40"/>
        <v>117312</v>
      </c>
      <c r="I161" s="32">
        <f t="shared" si="41"/>
        <v>40583</v>
      </c>
      <c r="J161" s="32">
        <f t="shared" si="42"/>
        <v>0</v>
      </c>
      <c r="K161" s="32">
        <f t="shared" si="43"/>
        <v>0</v>
      </c>
      <c r="L161" s="32">
        <f t="shared" si="44"/>
        <v>76729</v>
      </c>
      <c r="M161" s="32">
        <f>IF(AND(AND(T160="",A161&lt;=S160),A161=入力!$B$15),ROUND(MIN(入力!$B$16,MAX(0,C161-L161)),0),0)</f>
        <v>0</v>
      </c>
      <c r="N161" s="32">
        <f t="shared" si="45"/>
        <v>19403089</v>
      </c>
      <c r="O161" s="32">
        <f t="shared" si="46"/>
        <v>6313921</v>
      </c>
      <c r="P161" s="34" t="str">
        <f>IF(NOT(AND(T160="",A161&lt;=S160)),"",IF(FALSE,"繰上返済後再計算","")&amp;IF(AND(入力!$B$13="有効",A161&gt;1,MOD(A161-1,60)=0),IF(FALSE,"・","")&amp;"5年見直し","")&amp;IF(AND(A161=入力!$B$11,A161&gt;1),IF(OR(FALSE,AND(入力!$B$13="有効",A161&gt;1,MOD(A161-1,60)=0)),"・","")&amp;"金利変更","")&amp;IF(AND(OR(AND(入力!$B$13="有効",A161&gt;1,MOD(A161-1,60)=0),AND(A161=入力!$B$11,A161&gt;1)),入力!$B$14="有効",IF(E161=0,ROUND(C161/MAX(1,S160-A161+1),0),ROUND(-PMT(E161/12,MAX(1,S160-A161+1),C161),0))&gt;ROUND(G160*1.25,0),NOT(FALSE)),"・上限適用",""))</f>
        <v/>
      </c>
      <c r="Q161" s="35" t="str">
        <f>IF(AND(T160="",A161&lt;=S160),入力!$B$13,"")</f>
        <v>有効</v>
      </c>
      <c r="R161" s="32" t="str">
        <f>IF(AND(AND(T160="",A161&lt;=S160),OR(AND(入力!$B$13="有効",A161&gt;1,MOD(A161-1,60)=0),AND(A161=入力!$B$11,A161&gt;1)),入力!$B$14="有効"),ROUND(G160*1.25,0),"")</f>
        <v/>
      </c>
      <c r="S161" s="36">
        <f>IF(A161&lt;&gt;入力!$B$15,S160,IF(K161&lt;&gt;0,S160,IF(G161&lt;=F161,S160,IF(M161&lt;=0,S160,IF(AND(N161&gt;0,E161&gt;0,G161&lt;=N161*E161/12),S160,IF(A161+IF(N161=0,0,IF(E161=0,ROUNDUP(N161/G161,0),ROUNDUP(NPER(E161/12,-G161,N161),0)))&lt;S160,A161+IF(N161=0,0,IF(E161=0,ROUNDUP(N161/G161,0),ROUNDUP(NPER(E161/12,-G161,N161),0))),S160))))))</f>
        <v>359</v>
      </c>
      <c r="T161" s="35" t="str">
        <f t="shared" si="47"/>
        <v/>
      </c>
      <c r="U161" s="3">
        <f t="shared" si="32"/>
        <v>0</v>
      </c>
      <c r="V161" s="3">
        <f t="shared" si="33"/>
        <v>0</v>
      </c>
      <c r="W161" s="3">
        <f t="shared" si="34"/>
        <v>0</v>
      </c>
      <c r="X161" s="3">
        <f t="shared" si="35"/>
        <v>0</v>
      </c>
      <c r="Y161" s="3">
        <f>0</f>
        <v>0</v>
      </c>
      <c r="Z161" s="3">
        <f t="shared" si="36"/>
        <v>0</v>
      </c>
      <c r="AA161">
        <f>ROUND(IF(FALSE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,0)</f>
        <v>117312</v>
      </c>
    </row>
    <row r="162" spans="1:27">
      <c r="A162" s="30">
        <f>157</f>
        <v>157</v>
      </c>
      <c r="B162" s="31">
        <f>EDATE(入力!$B$6,A162-1)</f>
        <v>50983</v>
      </c>
      <c r="C162" s="32">
        <f t="shared" si="37"/>
        <v>19403089</v>
      </c>
      <c r="D162" s="32">
        <f t="shared" si="38"/>
        <v>0</v>
      </c>
      <c r="E162" s="33">
        <f>IF(AND(T161="",A162&lt;=S161),IF(A162&lt;入力!$B$11,入力!$B$10,入力!$B$12),0)</f>
        <v>2.5000000000000001E-2</v>
      </c>
      <c r="F162" s="32">
        <f t="shared" si="39"/>
        <v>40423</v>
      </c>
      <c r="G162" s="32">
        <f>ROUND(IF(NOT(AND(T161="",A162&lt;=S161)),0,IF(FALSE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),0)</f>
        <v>117312</v>
      </c>
      <c r="H162" s="32">
        <f t="shared" si="40"/>
        <v>117312</v>
      </c>
      <c r="I162" s="32">
        <f t="shared" si="41"/>
        <v>40423</v>
      </c>
      <c r="J162" s="32">
        <f t="shared" si="42"/>
        <v>0</v>
      </c>
      <c r="K162" s="32">
        <f t="shared" si="43"/>
        <v>0</v>
      </c>
      <c r="L162" s="32">
        <f t="shared" si="44"/>
        <v>76889</v>
      </c>
      <c r="M162" s="32">
        <f>IF(AND(AND(T161="",A162&lt;=S161),A162=入力!$B$15),ROUND(MIN(入力!$B$16,MAX(0,C162-L162)),0),0)</f>
        <v>0</v>
      </c>
      <c r="N162" s="32">
        <f t="shared" si="45"/>
        <v>19326200</v>
      </c>
      <c r="O162" s="32">
        <f t="shared" si="46"/>
        <v>6354344</v>
      </c>
      <c r="P162" s="34" t="str">
        <f>IF(NOT(AND(T161="",A162&lt;=S161)),"",IF(FALSE,"繰上返済後再計算","")&amp;IF(AND(入力!$B$13="有効",A162&gt;1,MOD(A162-1,60)=0),IF(FALSE,"・","")&amp;"5年見直し","")&amp;IF(AND(A162=入力!$B$11,A162&gt;1),IF(OR(FALSE,AND(入力!$B$13="有効",A162&gt;1,MOD(A162-1,60)=0)),"・","")&amp;"金利変更","")&amp;IF(AND(OR(AND(入力!$B$13="有効",A162&gt;1,MOD(A162-1,60)=0),AND(A162=入力!$B$11,A162&gt;1)),入力!$B$14="有効",IF(E162=0,ROUND(C162/MAX(1,S161-A162+1),0),ROUND(-PMT(E162/12,MAX(1,S161-A162+1),C162),0))&gt;ROUND(G161*1.25,0),NOT(FALSE)),"・上限適用",""))</f>
        <v/>
      </c>
      <c r="Q162" s="35" t="str">
        <f>IF(AND(T161="",A162&lt;=S161),入力!$B$13,"")</f>
        <v>有効</v>
      </c>
      <c r="R162" s="32" t="str">
        <f>IF(AND(AND(T161="",A162&lt;=S161),OR(AND(入力!$B$13="有効",A162&gt;1,MOD(A162-1,60)=0),AND(A162=入力!$B$11,A162&gt;1)),入力!$B$14="有効"),ROUND(G161*1.25,0),"")</f>
        <v/>
      </c>
      <c r="S162" s="36">
        <f>IF(A162&lt;&gt;入力!$B$15,S161,IF(K162&lt;&gt;0,S161,IF(G162&lt;=F162,S161,IF(M162&lt;=0,S161,IF(AND(N162&gt;0,E162&gt;0,G162&lt;=N162*E162/12),S161,IF(A162+IF(N162=0,0,IF(E162=0,ROUNDUP(N162/G162,0),ROUNDUP(NPER(E162/12,-G162,N162),0)))&lt;S161,A162+IF(N162=0,0,IF(E162=0,ROUNDUP(N162/G162,0),ROUNDUP(NPER(E162/12,-G162,N162),0))),S161))))))</f>
        <v>359</v>
      </c>
      <c r="T162" s="35" t="str">
        <f t="shared" si="47"/>
        <v/>
      </c>
      <c r="U162" s="3">
        <f t="shared" si="32"/>
        <v>0</v>
      </c>
      <c r="V162" s="3">
        <f t="shared" si="33"/>
        <v>0</v>
      </c>
      <c r="W162" s="3">
        <f t="shared" si="34"/>
        <v>0</v>
      </c>
      <c r="X162" s="3">
        <f t="shared" si="35"/>
        <v>0</v>
      </c>
      <c r="Y162" s="3">
        <f>0</f>
        <v>0</v>
      </c>
      <c r="Z162" s="3">
        <f t="shared" si="36"/>
        <v>0</v>
      </c>
      <c r="AA162">
        <f>ROUND(IF(FALSE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,0)</f>
        <v>117312</v>
      </c>
    </row>
    <row r="163" spans="1:27">
      <c r="A163" s="30">
        <f>158</f>
        <v>158</v>
      </c>
      <c r="B163" s="31">
        <f>EDATE(入力!$B$6,A163-1)</f>
        <v>51014</v>
      </c>
      <c r="C163" s="32">
        <f t="shared" si="37"/>
        <v>19326200</v>
      </c>
      <c r="D163" s="32">
        <f t="shared" si="38"/>
        <v>0</v>
      </c>
      <c r="E163" s="33">
        <f>IF(AND(T162="",A163&lt;=S162),IF(A163&lt;入力!$B$11,入力!$B$10,入力!$B$12),0)</f>
        <v>2.5000000000000001E-2</v>
      </c>
      <c r="F163" s="32">
        <f t="shared" si="39"/>
        <v>40263</v>
      </c>
      <c r="G163" s="32">
        <f>ROUND(IF(NOT(AND(T162="",A163&lt;=S162)),0,IF(FALSE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),0)</f>
        <v>117312</v>
      </c>
      <c r="H163" s="32">
        <f t="shared" si="40"/>
        <v>117312</v>
      </c>
      <c r="I163" s="32">
        <f t="shared" si="41"/>
        <v>40263</v>
      </c>
      <c r="J163" s="32">
        <f t="shared" si="42"/>
        <v>0</v>
      </c>
      <c r="K163" s="32">
        <f t="shared" si="43"/>
        <v>0</v>
      </c>
      <c r="L163" s="32">
        <f t="shared" si="44"/>
        <v>77049</v>
      </c>
      <c r="M163" s="32">
        <f>IF(AND(AND(T162="",A163&lt;=S162),A163=入力!$B$15),ROUND(MIN(入力!$B$16,MAX(0,C163-L163)),0),0)</f>
        <v>0</v>
      </c>
      <c r="N163" s="32">
        <f t="shared" si="45"/>
        <v>19249151</v>
      </c>
      <c r="O163" s="32">
        <f t="shared" si="46"/>
        <v>6394607</v>
      </c>
      <c r="P163" s="34" t="str">
        <f>IF(NOT(AND(T162="",A163&lt;=S162)),"",IF(FALSE,"繰上返済後再計算","")&amp;IF(AND(入力!$B$13="有効",A163&gt;1,MOD(A163-1,60)=0),IF(FALSE,"・","")&amp;"5年見直し","")&amp;IF(AND(A163=入力!$B$11,A163&gt;1),IF(OR(FALSE,AND(入力!$B$13="有効",A163&gt;1,MOD(A163-1,60)=0)),"・","")&amp;"金利変更","")&amp;IF(AND(OR(AND(入力!$B$13="有効",A163&gt;1,MOD(A163-1,60)=0),AND(A163=入力!$B$11,A163&gt;1)),入力!$B$14="有効",IF(E163=0,ROUND(C163/MAX(1,S162-A163+1),0),ROUND(-PMT(E163/12,MAX(1,S162-A163+1),C163),0))&gt;ROUND(G162*1.25,0),NOT(FALSE)),"・上限適用",""))</f>
        <v/>
      </c>
      <c r="Q163" s="35" t="str">
        <f>IF(AND(T162="",A163&lt;=S162),入力!$B$13,"")</f>
        <v>有効</v>
      </c>
      <c r="R163" s="32" t="str">
        <f>IF(AND(AND(T162="",A163&lt;=S162),OR(AND(入力!$B$13="有効",A163&gt;1,MOD(A163-1,60)=0),AND(A163=入力!$B$11,A163&gt;1)),入力!$B$14="有効"),ROUND(G162*1.25,0),"")</f>
        <v/>
      </c>
      <c r="S163" s="36">
        <f>IF(A163&lt;&gt;入力!$B$15,S162,IF(K163&lt;&gt;0,S162,IF(G163&lt;=F163,S162,IF(M163&lt;=0,S162,IF(AND(N163&gt;0,E163&gt;0,G163&lt;=N163*E163/12),S162,IF(A163+IF(N163=0,0,IF(E163=0,ROUNDUP(N163/G163,0),ROUNDUP(NPER(E163/12,-G163,N163),0)))&lt;S162,A163+IF(N163=0,0,IF(E163=0,ROUNDUP(N163/G163,0),ROUNDUP(NPER(E163/12,-G163,N163),0))),S162))))))</f>
        <v>359</v>
      </c>
      <c r="T163" s="35" t="str">
        <f t="shared" si="47"/>
        <v/>
      </c>
      <c r="U163" s="3">
        <f t="shared" si="32"/>
        <v>0</v>
      </c>
      <c r="V163" s="3">
        <f t="shared" si="33"/>
        <v>0</v>
      </c>
      <c r="W163" s="3">
        <f t="shared" si="34"/>
        <v>0</v>
      </c>
      <c r="X163" s="3">
        <f t="shared" si="35"/>
        <v>0</v>
      </c>
      <c r="Y163" s="3">
        <f>0</f>
        <v>0</v>
      </c>
      <c r="Z163" s="3">
        <f t="shared" si="36"/>
        <v>0</v>
      </c>
      <c r="AA163">
        <f>ROUND(IF(FALSE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,0)</f>
        <v>117312</v>
      </c>
    </row>
    <row r="164" spans="1:27">
      <c r="A164" s="30">
        <f>159</f>
        <v>159</v>
      </c>
      <c r="B164" s="31">
        <f>EDATE(入力!$B$6,A164-1)</f>
        <v>51044</v>
      </c>
      <c r="C164" s="32">
        <f t="shared" si="37"/>
        <v>19249151</v>
      </c>
      <c r="D164" s="32">
        <f t="shared" si="38"/>
        <v>0</v>
      </c>
      <c r="E164" s="33">
        <f>IF(AND(T163="",A164&lt;=S163),IF(A164&lt;入力!$B$11,入力!$B$10,入力!$B$12),0)</f>
        <v>2.5000000000000001E-2</v>
      </c>
      <c r="F164" s="32">
        <f t="shared" si="39"/>
        <v>40102</v>
      </c>
      <c r="G164" s="32">
        <f>ROUND(IF(NOT(AND(T163="",A164&lt;=S163)),0,IF(FALSE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),0)</f>
        <v>117312</v>
      </c>
      <c r="H164" s="32">
        <f t="shared" si="40"/>
        <v>117312</v>
      </c>
      <c r="I164" s="32">
        <f t="shared" si="41"/>
        <v>40102</v>
      </c>
      <c r="J164" s="32">
        <f t="shared" si="42"/>
        <v>0</v>
      </c>
      <c r="K164" s="32">
        <f t="shared" si="43"/>
        <v>0</v>
      </c>
      <c r="L164" s="32">
        <f t="shared" si="44"/>
        <v>77210</v>
      </c>
      <c r="M164" s="32">
        <f>IF(AND(AND(T163="",A164&lt;=S163),A164=入力!$B$15),ROUND(MIN(入力!$B$16,MAX(0,C164-L164)),0),0)</f>
        <v>0</v>
      </c>
      <c r="N164" s="32">
        <f t="shared" si="45"/>
        <v>19171941</v>
      </c>
      <c r="O164" s="32">
        <f t="shared" si="46"/>
        <v>6434709</v>
      </c>
      <c r="P164" s="34" t="str">
        <f>IF(NOT(AND(T163="",A164&lt;=S163)),"",IF(FALSE,"繰上返済後再計算","")&amp;IF(AND(入力!$B$13="有効",A164&gt;1,MOD(A164-1,60)=0),IF(FALSE,"・","")&amp;"5年見直し","")&amp;IF(AND(A164=入力!$B$11,A164&gt;1),IF(OR(FALSE,AND(入力!$B$13="有効",A164&gt;1,MOD(A164-1,60)=0)),"・","")&amp;"金利変更","")&amp;IF(AND(OR(AND(入力!$B$13="有効",A164&gt;1,MOD(A164-1,60)=0),AND(A164=入力!$B$11,A164&gt;1)),入力!$B$14="有効",IF(E164=0,ROUND(C164/MAX(1,S163-A164+1),0),ROUND(-PMT(E164/12,MAX(1,S163-A164+1),C164),0))&gt;ROUND(G163*1.25,0),NOT(FALSE)),"・上限適用",""))</f>
        <v/>
      </c>
      <c r="Q164" s="35" t="str">
        <f>IF(AND(T163="",A164&lt;=S163),入力!$B$13,"")</f>
        <v>有効</v>
      </c>
      <c r="R164" s="32" t="str">
        <f>IF(AND(AND(T163="",A164&lt;=S163),OR(AND(入力!$B$13="有効",A164&gt;1,MOD(A164-1,60)=0),AND(A164=入力!$B$11,A164&gt;1)),入力!$B$14="有効"),ROUND(G163*1.25,0),"")</f>
        <v/>
      </c>
      <c r="S164" s="36">
        <f>IF(A164&lt;&gt;入力!$B$15,S163,IF(K164&lt;&gt;0,S163,IF(G164&lt;=F164,S163,IF(M164&lt;=0,S163,IF(AND(N164&gt;0,E164&gt;0,G164&lt;=N164*E164/12),S163,IF(A164+IF(N164=0,0,IF(E164=0,ROUNDUP(N164/G164,0),ROUNDUP(NPER(E164/12,-G164,N164),0)))&lt;S163,A164+IF(N164=0,0,IF(E164=0,ROUNDUP(N164/G164,0),ROUNDUP(NPER(E164/12,-G164,N164),0))),S163))))))</f>
        <v>359</v>
      </c>
      <c r="T164" s="35" t="str">
        <f t="shared" si="47"/>
        <v/>
      </c>
      <c r="U164" s="3">
        <f t="shared" si="32"/>
        <v>0</v>
      </c>
      <c r="V164" s="3">
        <f t="shared" si="33"/>
        <v>0</v>
      </c>
      <c r="W164" s="3">
        <f t="shared" si="34"/>
        <v>0</v>
      </c>
      <c r="X164" s="3">
        <f t="shared" si="35"/>
        <v>0</v>
      </c>
      <c r="Y164" s="3">
        <f>0</f>
        <v>0</v>
      </c>
      <c r="Z164" s="3">
        <f t="shared" si="36"/>
        <v>0</v>
      </c>
      <c r="AA164">
        <f>ROUND(IF(FALSE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,0)</f>
        <v>117312</v>
      </c>
    </row>
    <row r="165" spans="1:27">
      <c r="A165" s="30">
        <f>160</f>
        <v>160</v>
      </c>
      <c r="B165" s="31">
        <f>EDATE(入力!$B$6,A165-1)</f>
        <v>51075</v>
      </c>
      <c r="C165" s="32">
        <f t="shared" si="37"/>
        <v>19171941</v>
      </c>
      <c r="D165" s="32">
        <f t="shared" si="38"/>
        <v>0</v>
      </c>
      <c r="E165" s="33">
        <f>IF(AND(T164="",A165&lt;=S164),IF(A165&lt;入力!$B$11,入力!$B$10,入力!$B$12),0)</f>
        <v>2.5000000000000001E-2</v>
      </c>
      <c r="F165" s="32">
        <f t="shared" si="39"/>
        <v>39942</v>
      </c>
      <c r="G165" s="32">
        <f>ROUND(IF(NOT(AND(T164="",A165&lt;=S164)),0,IF(FALSE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),0)</f>
        <v>117312</v>
      </c>
      <c r="H165" s="32">
        <f t="shared" si="40"/>
        <v>117312</v>
      </c>
      <c r="I165" s="32">
        <f t="shared" si="41"/>
        <v>39942</v>
      </c>
      <c r="J165" s="32">
        <f t="shared" si="42"/>
        <v>0</v>
      </c>
      <c r="K165" s="32">
        <f t="shared" si="43"/>
        <v>0</v>
      </c>
      <c r="L165" s="32">
        <f t="shared" si="44"/>
        <v>77370</v>
      </c>
      <c r="M165" s="32">
        <f>IF(AND(AND(T164="",A165&lt;=S164),A165=入力!$B$15),ROUND(MIN(入力!$B$16,MAX(0,C165-L165)),0),0)</f>
        <v>0</v>
      </c>
      <c r="N165" s="32">
        <f t="shared" si="45"/>
        <v>19094571</v>
      </c>
      <c r="O165" s="32">
        <f t="shared" si="46"/>
        <v>6474651</v>
      </c>
      <c r="P165" s="34" t="str">
        <f>IF(NOT(AND(T164="",A165&lt;=S164)),"",IF(FALSE,"繰上返済後再計算","")&amp;IF(AND(入力!$B$13="有効",A165&gt;1,MOD(A165-1,60)=0),IF(FALSE,"・","")&amp;"5年見直し","")&amp;IF(AND(A165=入力!$B$11,A165&gt;1),IF(OR(FALSE,AND(入力!$B$13="有効",A165&gt;1,MOD(A165-1,60)=0)),"・","")&amp;"金利変更","")&amp;IF(AND(OR(AND(入力!$B$13="有効",A165&gt;1,MOD(A165-1,60)=0),AND(A165=入力!$B$11,A165&gt;1)),入力!$B$14="有効",IF(E165=0,ROUND(C165/MAX(1,S164-A165+1),0),ROUND(-PMT(E165/12,MAX(1,S164-A165+1),C165),0))&gt;ROUND(G164*1.25,0),NOT(FALSE)),"・上限適用",""))</f>
        <v/>
      </c>
      <c r="Q165" s="35" t="str">
        <f>IF(AND(T164="",A165&lt;=S164),入力!$B$13,"")</f>
        <v>有効</v>
      </c>
      <c r="R165" s="32" t="str">
        <f>IF(AND(AND(T164="",A165&lt;=S164),OR(AND(入力!$B$13="有効",A165&gt;1,MOD(A165-1,60)=0),AND(A165=入力!$B$11,A165&gt;1)),入力!$B$14="有効"),ROUND(G164*1.25,0),"")</f>
        <v/>
      </c>
      <c r="S165" s="36">
        <f>IF(A165&lt;&gt;入力!$B$15,S164,IF(K165&lt;&gt;0,S164,IF(G165&lt;=F165,S164,IF(M165&lt;=0,S164,IF(AND(N165&gt;0,E165&gt;0,G165&lt;=N165*E165/12),S164,IF(A165+IF(N165=0,0,IF(E165=0,ROUNDUP(N165/G165,0),ROUNDUP(NPER(E165/12,-G165,N165),0)))&lt;S164,A165+IF(N165=0,0,IF(E165=0,ROUNDUP(N165/G165,0),ROUNDUP(NPER(E165/12,-G165,N165),0))),S164))))))</f>
        <v>359</v>
      </c>
      <c r="T165" s="35" t="str">
        <f t="shared" si="47"/>
        <v/>
      </c>
      <c r="U165" s="3">
        <f t="shared" si="32"/>
        <v>0</v>
      </c>
      <c r="V165" s="3">
        <f t="shared" si="33"/>
        <v>0</v>
      </c>
      <c r="W165" s="3">
        <f t="shared" si="34"/>
        <v>0</v>
      </c>
      <c r="X165" s="3">
        <f t="shared" si="35"/>
        <v>0</v>
      </c>
      <c r="Y165" s="3">
        <f>0</f>
        <v>0</v>
      </c>
      <c r="Z165" s="3">
        <f t="shared" si="36"/>
        <v>0</v>
      </c>
      <c r="AA165">
        <f>ROUND(IF(FALSE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,0)</f>
        <v>117312</v>
      </c>
    </row>
    <row r="166" spans="1:27">
      <c r="A166" s="30">
        <f>161</f>
        <v>161</v>
      </c>
      <c r="B166" s="31">
        <f>EDATE(入力!$B$6,A166-1)</f>
        <v>51105</v>
      </c>
      <c r="C166" s="32">
        <f t="shared" si="37"/>
        <v>19094571</v>
      </c>
      <c r="D166" s="32">
        <f t="shared" si="38"/>
        <v>0</v>
      </c>
      <c r="E166" s="33">
        <f>IF(AND(T165="",A166&lt;=S165),IF(A166&lt;入力!$B$11,入力!$B$10,入力!$B$12),0)</f>
        <v>2.5000000000000001E-2</v>
      </c>
      <c r="F166" s="32">
        <f t="shared" si="39"/>
        <v>39780</v>
      </c>
      <c r="G166" s="32">
        <f>ROUND(IF(NOT(AND(T165="",A166&lt;=S165)),0,IF(FALSE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),0)</f>
        <v>117312</v>
      </c>
      <c r="H166" s="32">
        <f t="shared" si="40"/>
        <v>117312</v>
      </c>
      <c r="I166" s="32">
        <f t="shared" si="41"/>
        <v>39780</v>
      </c>
      <c r="J166" s="32">
        <f t="shared" si="42"/>
        <v>0</v>
      </c>
      <c r="K166" s="32">
        <f t="shared" si="43"/>
        <v>0</v>
      </c>
      <c r="L166" s="32">
        <f t="shared" si="44"/>
        <v>77532</v>
      </c>
      <c r="M166" s="32">
        <f>IF(AND(AND(T165="",A166&lt;=S165),A166=入力!$B$15),ROUND(MIN(入力!$B$16,MAX(0,C166-L166)),0),0)</f>
        <v>0</v>
      </c>
      <c r="N166" s="32">
        <f t="shared" si="45"/>
        <v>19017039</v>
      </c>
      <c r="O166" s="32">
        <f t="shared" si="46"/>
        <v>6514431</v>
      </c>
      <c r="P166" s="34" t="str">
        <f>IF(NOT(AND(T165="",A166&lt;=S165)),"",IF(FALSE,"繰上返済後再計算","")&amp;IF(AND(入力!$B$13="有効",A166&gt;1,MOD(A166-1,60)=0),IF(FALSE,"・","")&amp;"5年見直し","")&amp;IF(AND(A166=入力!$B$11,A166&gt;1),IF(OR(FALSE,AND(入力!$B$13="有効",A166&gt;1,MOD(A166-1,60)=0)),"・","")&amp;"金利変更","")&amp;IF(AND(OR(AND(入力!$B$13="有効",A166&gt;1,MOD(A166-1,60)=0),AND(A166=入力!$B$11,A166&gt;1)),入力!$B$14="有効",IF(E166=0,ROUND(C166/MAX(1,S165-A166+1),0),ROUND(-PMT(E166/12,MAX(1,S165-A166+1),C166),0))&gt;ROUND(G165*1.25,0),NOT(FALSE)),"・上限適用",""))</f>
        <v/>
      </c>
      <c r="Q166" s="35" t="str">
        <f>IF(AND(T165="",A166&lt;=S165),入力!$B$13,"")</f>
        <v>有効</v>
      </c>
      <c r="R166" s="32" t="str">
        <f>IF(AND(AND(T165="",A166&lt;=S165),OR(AND(入力!$B$13="有効",A166&gt;1,MOD(A166-1,60)=0),AND(A166=入力!$B$11,A166&gt;1)),入力!$B$14="有効"),ROUND(G165*1.25,0),"")</f>
        <v/>
      </c>
      <c r="S166" s="36">
        <f>IF(A166&lt;&gt;入力!$B$15,S165,IF(K166&lt;&gt;0,S165,IF(G166&lt;=F166,S165,IF(M166&lt;=0,S165,IF(AND(N166&gt;0,E166&gt;0,G166&lt;=N166*E166/12),S165,IF(A166+IF(N166=0,0,IF(E166=0,ROUNDUP(N166/G166,0),ROUNDUP(NPER(E166/12,-G166,N166),0)))&lt;S165,A166+IF(N166=0,0,IF(E166=0,ROUNDUP(N166/G166,0),ROUNDUP(NPER(E166/12,-G166,N166),0))),S165))))))</f>
        <v>359</v>
      </c>
      <c r="T166" s="35" t="str">
        <f t="shared" si="47"/>
        <v/>
      </c>
      <c r="U166" s="3">
        <f t="shared" si="32"/>
        <v>0</v>
      </c>
      <c r="V166" s="3">
        <f t="shared" si="33"/>
        <v>0</v>
      </c>
      <c r="W166" s="3">
        <f t="shared" si="34"/>
        <v>0</v>
      </c>
      <c r="X166" s="3">
        <f t="shared" si="35"/>
        <v>0</v>
      </c>
      <c r="Y166" s="3">
        <f>0</f>
        <v>0</v>
      </c>
      <c r="Z166" s="3">
        <f t="shared" si="36"/>
        <v>0</v>
      </c>
      <c r="AA166">
        <f>ROUND(IF(FALSE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,0)</f>
        <v>117312</v>
      </c>
    </row>
    <row r="167" spans="1:27">
      <c r="A167" s="30">
        <f>162</f>
        <v>162</v>
      </c>
      <c r="B167" s="31">
        <f>EDATE(入力!$B$6,A167-1)</f>
        <v>51136</v>
      </c>
      <c r="C167" s="32">
        <f t="shared" si="37"/>
        <v>19017039</v>
      </c>
      <c r="D167" s="32">
        <f t="shared" si="38"/>
        <v>0</v>
      </c>
      <c r="E167" s="33">
        <f>IF(AND(T166="",A167&lt;=S166),IF(A167&lt;入力!$B$11,入力!$B$10,入力!$B$12),0)</f>
        <v>2.5000000000000001E-2</v>
      </c>
      <c r="F167" s="32">
        <f t="shared" si="39"/>
        <v>39619</v>
      </c>
      <c r="G167" s="32">
        <f>ROUND(IF(NOT(AND(T166="",A167&lt;=S166)),0,IF(FALSE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),0)</f>
        <v>117312</v>
      </c>
      <c r="H167" s="32">
        <f t="shared" si="40"/>
        <v>117312</v>
      </c>
      <c r="I167" s="32">
        <f t="shared" si="41"/>
        <v>39619</v>
      </c>
      <c r="J167" s="32">
        <f t="shared" si="42"/>
        <v>0</v>
      </c>
      <c r="K167" s="32">
        <f t="shared" si="43"/>
        <v>0</v>
      </c>
      <c r="L167" s="32">
        <f t="shared" si="44"/>
        <v>77693</v>
      </c>
      <c r="M167" s="32">
        <f>IF(AND(AND(T166="",A167&lt;=S166),A167=入力!$B$15),ROUND(MIN(入力!$B$16,MAX(0,C167-L167)),0),0)</f>
        <v>0</v>
      </c>
      <c r="N167" s="32">
        <f t="shared" si="45"/>
        <v>18939346</v>
      </c>
      <c r="O167" s="32">
        <f t="shared" si="46"/>
        <v>6554050</v>
      </c>
      <c r="P167" s="34" t="str">
        <f>IF(NOT(AND(T166="",A167&lt;=S166)),"",IF(FALSE,"繰上返済後再計算","")&amp;IF(AND(入力!$B$13="有効",A167&gt;1,MOD(A167-1,60)=0),IF(FALSE,"・","")&amp;"5年見直し","")&amp;IF(AND(A167=入力!$B$11,A167&gt;1),IF(OR(FALSE,AND(入力!$B$13="有効",A167&gt;1,MOD(A167-1,60)=0)),"・","")&amp;"金利変更","")&amp;IF(AND(OR(AND(入力!$B$13="有効",A167&gt;1,MOD(A167-1,60)=0),AND(A167=入力!$B$11,A167&gt;1)),入力!$B$14="有効",IF(E167=0,ROUND(C167/MAX(1,S166-A167+1),0),ROUND(-PMT(E167/12,MAX(1,S166-A167+1),C167),0))&gt;ROUND(G166*1.25,0),NOT(FALSE)),"・上限適用",""))</f>
        <v/>
      </c>
      <c r="Q167" s="35" t="str">
        <f>IF(AND(T166="",A167&lt;=S166),入力!$B$13,"")</f>
        <v>有効</v>
      </c>
      <c r="R167" s="32" t="str">
        <f>IF(AND(AND(T166="",A167&lt;=S166),OR(AND(入力!$B$13="有効",A167&gt;1,MOD(A167-1,60)=0),AND(A167=入力!$B$11,A167&gt;1)),入力!$B$14="有効"),ROUND(G166*1.25,0),"")</f>
        <v/>
      </c>
      <c r="S167" s="36">
        <f>IF(A167&lt;&gt;入力!$B$15,S166,IF(K167&lt;&gt;0,S166,IF(G167&lt;=F167,S166,IF(M167&lt;=0,S166,IF(AND(N167&gt;0,E167&gt;0,G167&lt;=N167*E167/12),S166,IF(A167+IF(N167=0,0,IF(E167=0,ROUNDUP(N167/G167,0),ROUNDUP(NPER(E167/12,-G167,N167),0)))&lt;S166,A167+IF(N167=0,0,IF(E167=0,ROUNDUP(N167/G167,0),ROUNDUP(NPER(E167/12,-G167,N167),0))),S166))))))</f>
        <v>359</v>
      </c>
      <c r="T167" s="35" t="str">
        <f t="shared" si="47"/>
        <v/>
      </c>
      <c r="U167" s="3">
        <f t="shared" si="32"/>
        <v>0</v>
      </c>
      <c r="V167" s="3">
        <f t="shared" si="33"/>
        <v>0</v>
      </c>
      <c r="W167" s="3">
        <f t="shared" si="34"/>
        <v>0</v>
      </c>
      <c r="X167" s="3">
        <f t="shared" si="35"/>
        <v>0</v>
      </c>
      <c r="Y167" s="3">
        <f>0</f>
        <v>0</v>
      </c>
      <c r="Z167" s="3">
        <f t="shared" si="36"/>
        <v>0</v>
      </c>
      <c r="AA167">
        <f>ROUND(IF(FALSE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,0)</f>
        <v>117312</v>
      </c>
    </row>
    <row r="168" spans="1:27">
      <c r="A168" s="30">
        <f>163</f>
        <v>163</v>
      </c>
      <c r="B168" s="31">
        <f>EDATE(入力!$B$6,A168-1)</f>
        <v>51167</v>
      </c>
      <c r="C168" s="32">
        <f t="shared" si="37"/>
        <v>18939346</v>
      </c>
      <c r="D168" s="32">
        <f t="shared" si="38"/>
        <v>0</v>
      </c>
      <c r="E168" s="33">
        <f>IF(AND(T167="",A168&lt;=S167),IF(A168&lt;入力!$B$11,入力!$B$10,入力!$B$12),0)</f>
        <v>2.5000000000000001E-2</v>
      </c>
      <c r="F168" s="32">
        <f t="shared" si="39"/>
        <v>39457</v>
      </c>
      <c r="G168" s="32">
        <f>ROUND(IF(NOT(AND(T167="",A168&lt;=S167)),0,IF(FALSE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),0)</f>
        <v>117312</v>
      </c>
      <c r="H168" s="32">
        <f t="shared" si="40"/>
        <v>117312</v>
      </c>
      <c r="I168" s="32">
        <f t="shared" si="41"/>
        <v>39457</v>
      </c>
      <c r="J168" s="32">
        <f t="shared" si="42"/>
        <v>0</v>
      </c>
      <c r="K168" s="32">
        <f t="shared" si="43"/>
        <v>0</v>
      </c>
      <c r="L168" s="32">
        <f t="shared" si="44"/>
        <v>77855</v>
      </c>
      <c r="M168" s="32">
        <f>IF(AND(AND(T167="",A168&lt;=S167),A168=入力!$B$15),ROUND(MIN(入力!$B$16,MAX(0,C168-L168)),0),0)</f>
        <v>0</v>
      </c>
      <c r="N168" s="32">
        <f t="shared" si="45"/>
        <v>18861491</v>
      </c>
      <c r="O168" s="32">
        <f t="shared" si="46"/>
        <v>6593507</v>
      </c>
      <c r="P168" s="34" t="str">
        <f>IF(NOT(AND(T167="",A168&lt;=S167)),"",IF(FALSE,"繰上返済後再計算","")&amp;IF(AND(入力!$B$13="有効",A168&gt;1,MOD(A168-1,60)=0),IF(FALSE,"・","")&amp;"5年見直し","")&amp;IF(AND(A168=入力!$B$11,A168&gt;1),IF(OR(FALSE,AND(入力!$B$13="有効",A168&gt;1,MOD(A168-1,60)=0)),"・","")&amp;"金利変更","")&amp;IF(AND(OR(AND(入力!$B$13="有効",A168&gt;1,MOD(A168-1,60)=0),AND(A168=入力!$B$11,A168&gt;1)),入力!$B$14="有効",IF(E168=0,ROUND(C168/MAX(1,S167-A168+1),0),ROUND(-PMT(E168/12,MAX(1,S167-A168+1),C168),0))&gt;ROUND(G167*1.25,0),NOT(FALSE)),"・上限適用",""))</f>
        <v/>
      </c>
      <c r="Q168" s="35" t="str">
        <f>IF(AND(T167="",A168&lt;=S167),入力!$B$13,"")</f>
        <v>有効</v>
      </c>
      <c r="R168" s="32" t="str">
        <f>IF(AND(AND(T167="",A168&lt;=S167),OR(AND(入力!$B$13="有効",A168&gt;1,MOD(A168-1,60)=0),AND(A168=入力!$B$11,A168&gt;1)),入力!$B$14="有効"),ROUND(G167*1.25,0),"")</f>
        <v/>
      </c>
      <c r="S168" s="36">
        <f>IF(A168&lt;&gt;入力!$B$15,S167,IF(K168&lt;&gt;0,S167,IF(G168&lt;=F168,S167,IF(M168&lt;=0,S167,IF(AND(N168&gt;0,E168&gt;0,G168&lt;=N168*E168/12),S167,IF(A168+IF(N168=0,0,IF(E168=0,ROUNDUP(N168/G168,0),ROUNDUP(NPER(E168/12,-G168,N168),0)))&lt;S167,A168+IF(N168=0,0,IF(E168=0,ROUNDUP(N168/G168,0),ROUNDUP(NPER(E168/12,-G168,N168),0))),S167))))))</f>
        <v>359</v>
      </c>
      <c r="T168" s="35" t="str">
        <f t="shared" si="47"/>
        <v/>
      </c>
      <c r="U168" s="3">
        <f t="shared" si="32"/>
        <v>0</v>
      </c>
      <c r="V168" s="3">
        <f t="shared" si="33"/>
        <v>0</v>
      </c>
      <c r="W168" s="3">
        <f t="shared" si="34"/>
        <v>0</v>
      </c>
      <c r="X168" s="3">
        <f t="shared" si="35"/>
        <v>0</v>
      </c>
      <c r="Y168" s="3">
        <f>0</f>
        <v>0</v>
      </c>
      <c r="Z168" s="3">
        <f t="shared" si="36"/>
        <v>0</v>
      </c>
      <c r="AA168">
        <f>ROUND(IF(FALSE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,0)</f>
        <v>117312</v>
      </c>
    </row>
    <row r="169" spans="1:27">
      <c r="A169" s="30">
        <f>164</f>
        <v>164</v>
      </c>
      <c r="B169" s="31">
        <f>EDATE(入力!$B$6,A169-1)</f>
        <v>51196</v>
      </c>
      <c r="C169" s="32">
        <f t="shared" si="37"/>
        <v>18861491</v>
      </c>
      <c r="D169" s="32">
        <f t="shared" si="38"/>
        <v>0</v>
      </c>
      <c r="E169" s="33">
        <f>IF(AND(T168="",A169&lt;=S168),IF(A169&lt;入力!$B$11,入力!$B$10,入力!$B$12),0)</f>
        <v>2.5000000000000001E-2</v>
      </c>
      <c r="F169" s="32">
        <f t="shared" si="39"/>
        <v>39295</v>
      </c>
      <c r="G169" s="32">
        <f>ROUND(IF(NOT(AND(T168="",A169&lt;=S168)),0,IF(FALSE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),0)</f>
        <v>117312</v>
      </c>
      <c r="H169" s="32">
        <f t="shared" si="40"/>
        <v>117312</v>
      </c>
      <c r="I169" s="32">
        <f t="shared" si="41"/>
        <v>39295</v>
      </c>
      <c r="J169" s="32">
        <f t="shared" si="42"/>
        <v>0</v>
      </c>
      <c r="K169" s="32">
        <f t="shared" si="43"/>
        <v>0</v>
      </c>
      <c r="L169" s="32">
        <f t="shared" si="44"/>
        <v>78017</v>
      </c>
      <c r="M169" s="32">
        <f>IF(AND(AND(T168="",A169&lt;=S168),A169=入力!$B$15),ROUND(MIN(入力!$B$16,MAX(0,C169-L169)),0),0)</f>
        <v>0</v>
      </c>
      <c r="N169" s="32">
        <f t="shared" si="45"/>
        <v>18783474</v>
      </c>
      <c r="O169" s="32">
        <f t="shared" si="46"/>
        <v>6632802</v>
      </c>
      <c r="P169" s="34" t="str">
        <f>IF(NOT(AND(T168="",A169&lt;=S168)),"",IF(FALSE,"繰上返済後再計算","")&amp;IF(AND(入力!$B$13="有効",A169&gt;1,MOD(A169-1,60)=0),IF(FALSE,"・","")&amp;"5年見直し","")&amp;IF(AND(A169=入力!$B$11,A169&gt;1),IF(OR(FALSE,AND(入力!$B$13="有効",A169&gt;1,MOD(A169-1,60)=0)),"・","")&amp;"金利変更","")&amp;IF(AND(OR(AND(入力!$B$13="有効",A169&gt;1,MOD(A169-1,60)=0),AND(A169=入力!$B$11,A169&gt;1)),入力!$B$14="有効",IF(E169=0,ROUND(C169/MAX(1,S168-A169+1),0),ROUND(-PMT(E169/12,MAX(1,S168-A169+1),C169),0))&gt;ROUND(G168*1.25,0),NOT(FALSE)),"・上限適用",""))</f>
        <v/>
      </c>
      <c r="Q169" s="35" t="str">
        <f>IF(AND(T168="",A169&lt;=S168),入力!$B$13,"")</f>
        <v>有効</v>
      </c>
      <c r="R169" s="32" t="str">
        <f>IF(AND(AND(T168="",A169&lt;=S168),OR(AND(入力!$B$13="有効",A169&gt;1,MOD(A169-1,60)=0),AND(A169=入力!$B$11,A169&gt;1)),入力!$B$14="有効"),ROUND(G168*1.25,0),"")</f>
        <v/>
      </c>
      <c r="S169" s="36">
        <f>IF(A169&lt;&gt;入力!$B$15,S168,IF(K169&lt;&gt;0,S168,IF(G169&lt;=F169,S168,IF(M169&lt;=0,S168,IF(AND(N169&gt;0,E169&gt;0,G169&lt;=N169*E169/12),S168,IF(A169+IF(N169=0,0,IF(E169=0,ROUNDUP(N169/G169,0),ROUNDUP(NPER(E169/12,-G169,N169),0)))&lt;S168,A169+IF(N169=0,0,IF(E169=0,ROUNDUP(N169/G169,0),ROUNDUP(NPER(E169/12,-G169,N169),0))),S168))))))</f>
        <v>359</v>
      </c>
      <c r="T169" s="35" t="str">
        <f t="shared" si="47"/>
        <v/>
      </c>
      <c r="U169" s="3">
        <f t="shared" si="32"/>
        <v>0</v>
      </c>
      <c r="V169" s="3">
        <f t="shared" si="33"/>
        <v>0</v>
      </c>
      <c r="W169" s="3">
        <f t="shared" si="34"/>
        <v>0</v>
      </c>
      <c r="X169" s="3">
        <f t="shared" si="35"/>
        <v>0</v>
      </c>
      <c r="Y169" s="3">
        <f>0</f>
        <v>0</v>
      </c>
      <c r="Z169" s="3">
        <f t="shared" si="36"/>
        <v>0</v>
      </c>
      <c r="AA169">
        <f>ROUND(IF(FALSE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,0)</f>
        <v>117312</v>
      </c>
    </row>
    <row r="170" spans="1:27">
      <c r="A170" s="30">
        <f>165</f>
        <v>165</v>
      </c>
      <c r="B170" s="31">
        <f>EDATE(入力!$B$6,A170-1)</f>
        <v>51227</v>
      </c>
      <c r="C170" s="32">
        <f t="shared" si="37"/>
        <v>18783474</v>
      </c>
      <c r="D170" s="32">
        <f t="shared" si="38"/>
        <v>0</v>
      </c>
      <c r="E170" s="33">
        <f>IF(AND(T169="",A170&lt;=S169),IF(A170&lt;入力!$B$11,入力!$B$10,入力!$B$12),0)</f>
        <v>2.5000000000000001E-2</v>
      </c>
      <c r="F170" s="32">
        <f t="shared" si="39"/>
        <v>39132</v>
      </c>
      <c r="G170" s="32">
        <f>ROUND(IF(NOT(AND(T169="",A170&lt;=S169)),0,IF(FALSE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),0)</f>
        <v>117312</v>
      </c>
      <c r="H170" s="32">
        <f t="shared" si="40"/>
        <v>117312</v>
      </c>
      <c r="I170" s="32">
        <f t="shared" si="41"/>
        <v>39132</v>
      </c>
      <c r="J170" s="32">
        <f t="shared" si="42"/>
        <v>0</v>
      </c>
      <c r="K170" s="32">
        <f t="shared" si="43"/>
        <v>0</v>
      </c>
      <c r="L170" s="32">
        <f t="shared" si="44"/>
        <v>78180</v>
      </c>
      <c r="M170" s="32">
        <f>IF(AND(AND(T169="",A170&lt;=S169),A170=入力!$B$15),ROUND(MIN(入力!$B$16,MAX(0,C170-L170)),0),0)</f>
        <v>0</v>
      </c>
      <c r="N170" s="32">
        <f t="shared" si="45"/>
        <v>18705294</v>
      </c>
      <c r="O170" s="32">
        <f t="shared" si="46"/>
        <v>6671934</v>
      </c>
      <c r="P170" s="34" t="str">
        <f>IF(NOT(AND(T169="",A170&lt;=S169)),"",IF(FALSE,"繰上返済後再計算","")&amp;IF(AND(入力!$B$13="有効",A170&gt;1,MOD(A170-1,60)=0),IF(FALSE,"・","")&amp;"5年見直し","")&amp;IF(AND(A170=入力!$B$11,A170&gt;1),IF(OR(FALSE,AND(入力!$B$13="有効",A170&gt;1,MOD(A170-1,60)=0)),"・","")&amp;"金利変更","")&amp;IF(AND(OR(AND(入力!$B$13="有効",A170&gt;1,MOD(A170-1,60)=0),AND(A170=入力!$B$11,A170&gt;1)),入力!$B$14="有効",IF(E170=0,ROUND(C170/MAX(1,S169-A170+1),0),ROUND(-PMT(E170/12,MAX(1,S169-A170+1),C170),0))&gt;ROUND(G169*1.25,0),NOT(FALSE)),"・上限適用",""))</f>
        <v/>
      </c>
      <c r="Q170" s="35" t="str">
        <f>IF(AND(T169="",A170&lt;=S169),入力!$B$13,"")</f>
        <v>有効</v>
      </c>
      <c r="R170" s="32" t="str">
        <f>IF(AND(AND(T169="",A170&lt;=S169),OR(AND(入力!$B$13="有効",A170&gt;1,MOD(A170-1,60)=0),AND(A170=入力!$B$11,A170&gt;1)),入力!$B$14="有効"),ROUND(G169*1.25,0),"")</f>
        <v/>
      </c>
      <c r="S170" s="36">
        <f>IF(A170&lt;&gt;入力!$B$15,S169,IF(K170&lt;&gt;0,S169,IF(G170&lt;=F170,S169,IF(M170&lt;=0,S169,IF(AND(N170&gt;0,E170&gt;0,G170&lt;=N170*E170/12),S169,IF(A170+IF(N170=0,0,IF(E170=0,ROUNDUP(N170/G170,0),ROUNDUP(NPER(E170/12,-G170,N170),0)))&lt;S169,A170+IF(N170=0,0,IF(E170=0,ROUNDUP(N170/G170,0),ROUNDUP(NPER(E170/12,-G170,N170),0))),S169))))))</f>
        <v>359</v>
      </c>
      <c r="T170" s="35" t="str">
        <f t="shared" si="47"/>
        <v/>
      </c>
      <c r="U170" s="3">
        <f t="shared" si="32"/>
        <v>0</v>
      </c>
      <c r="V170" s="3">
        <f t="shared" si="33"/>
        <v>0</v>
      </c>
      <c r="W170" s="3">
        <f t="shared" si="34"/>
        <v>0</v>
      </c>
      <c r="X170" s="3">
        <f t="shared" si="35"/>
        <v>0</v>
      </c>
      <c r="Y170" s="3">
        <f>0</f>
        <v>0</v>
      </c>
      <c r="Z170" s="3">
        <f t="shared" si="36"/>
        <v>0</v>
      </c>
      <c r="AA170">
        <f>ROUND(IF(FALSE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,0)</f>
        <v>117312</v>
      </c>
    </row>
    <row r="171" spans="1:27">
      <c r="A171" s="30">
        <f>166</f>
        <v>166</v>
      </c>
      <c r="B171" s="31">
        <f>EDATE(入力!$B$6,A171-1)</f>
        <v>51257</v>
      </c>
      <c r="C171" s="32">
        <f t="shared" si="37"/>
        <v>18705294</v>
      </c>
      <c r="D171" s="32">
        <f t="shared" si="38"/>
        <v>0</v>
      </c>
      <c r="E171" s="33">
        <f>IF(AND(T170="",A171&lt;=S170),IF(A171&lt;入力!$B$11,入力!$B$10,入力!$B$12),0)</f>
        <v>2.5000000000000001E-2</v>
      </c>
      <c r="F171" s="32">
        <f t="shared" si="39"/>
        <v>38969</v>
      </c>
      <c r="G171" s="32">
        <f>ROUND(IF(NOT(AND(T170="",A171&lt;=S170)),0,IF(FALSE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),0)</f>
        <v>117312</v>
      </c>
      <c r="H171" s="32">
        <f t="shared" si="40"/>
        <v>117312</v>
      </c>
      <c r="I171" s="32">
        <f t="shared" si="41"/>
        <v>38969</v>
      </c>
      <c r="J171" s="32">
        <f t="shared" si="42"/>
        <v>0</v>
      </c>
      <c r="K171" s="32">
        <f t="shared" si="43"/>
        <v>0</v>
      </c>
      <c r="L171" s="32">
        <f t="shared" si="44"/>
        <v>78343</v>
      </c>
      <c r="M171" s="32">
        <f>IF(AND(AND(T170="",A171&lt;=S170),A171=入力!$B$15),ROUND(MIN(入力!$B$16,MAX(0,C171-L171)),0),0)</f>
        <v>0</v>
      </c>
      <c r="N171" s="32">
        <f t="shared" si="45"/>
        <v>18626951</v>
      </c>
      <c r="O171" s="32">
        <f t="shared" si="46"/>
        <v>6710903</v>
      </c>
      <c r="P171" s="34" t="str">
        <f>IF(NOT(AND(T170="",A171&lt;=S170)),"",IF(FALSE,"繰上返済後再計算","")&amp;IF(AND(入力!$B$13="有効",A171&gt;1,MOD(A171-1,60)=0),IF(FALSE,"・","")&amp;"5年見直し","")&amp;IF(AND(A171=入力!$B$11,A171&gt;1),IF(OR(FALSE,AND(入力!$B$13="有効",A171&gt;1,MOD(A171-1,60)=0)),"・","")&amp;"金利変更","")&amp;IF(AND(OR(AND(入力!$B$13="有効",A171&gt;1,MOD(A171-1,60)=0),AND(A171=入力!$B$11,A171&gt;1)),入力!$B$14="有効",IF(E171=0,ROUND(C171/MAX(1,S170-A171+1),0),ROUND(-PMT(E171/12,MAX(1,S170-A171+1),C171),0))&gt;ROUND(G170*1.25,0),NOT(FALSE)),"・上限適用",""))</f>
        <v/>
      </c>
      <c r="Q171" s="35" t="str">
        <f>IF(AND(T170="",A171&lt;=S170),入力!$B$13,"")</f>
        <v>有効</v>
      </c>
      <c r="R171" s="32" t="str">
        <f>IF(AND(AND(T170="",A171&lt;=S170),OR(AND(入力!$B$13="有効",A171&gt;1,MOD(A171-1,60)=0),AND(A171=入力!$B$11,A171&gt;1)),入力!$B$14="有効"),ROUND(G170*1.25,0),"")</f>
        <v/>
      </c>
      <c r="S171" s="36">
        <f>IF(A171&lt;&gt;入力!$B$15,S170,IF(K171&lt;&gt;0,S170,IF(G171&lt;=F171,S170,IF(M171&lt;=0,S170,IF(AND(N171&gt;0,E171&gt;0,G171&lt;=N171*E171/12),S170,IF(A171+IF(N171=0,0,IF(E171=0,ROUNDUP(N171/G171,0),ROUNDUP(NPER(E171/12,-G171,N171),0)))&lt;S170,A171+IF(N171=0,0,IF(E171=0,ROUNDUP(N171/G171,0),ROUNDUP(NPER(E171/12,-G171,N171),0))),S170))))))</f>
        <v>359</v>
      </c>
      <c r="T171" s="35" t="str">
        <f t="shared" si="47"/>
        <v/>
      </c>
      <c r="U171" s="3">
        <f t="shared" si="32"/>
        <v>0</v>
      </c>
      <c r="V171" s="3">
        <f t="shared" si="33"/>
        <v>0</v>
      </c>
      <c r="W171" s="3">
        <f t="shared" si="34"/>
        <v>0</v>
      </c>
      <c r="X171" s="3">
        <f t="shared" si="35"/>
        <v>0</v>
      </c>
      <c r="Y171" s="3">
        <f>0</f>
        <v>0</v>
      </c>
      <c r="Z171" s="3">
        <f t="shared" si="36"/>
        <v>0</v>
      </c>
      <c r="AA171">
        <f>ROUND(IF(FALSE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,0)</f>
        <v>117312</v>
      </c>
    </row>
    <row r="172" spans="1:27">
      <c r="A172" s="30">
        <f>167</f>
        <v>167</v>
      </c>
      <c r="B172" s="31">
        <f>EDATE(入力!$B$6,A172-1)</f>
        <v>51288</v>
      </c>
      <c r="C172" s="32">
        <f t="shared" si="37"/>
        <v>18626951</v>
      </c>
      <c r="D172" s="32">
        <f t="shared" si="38"/>
        <v>0</v>
      </c>
      <c r="E172" s="33">
        <f>IF(AND(T171="",A172&lt;=S171),IF(A172&lt;入力!$B$11,入力!$B$10,入力!$B$12),0)</f>
        <v>2.5000000000000001E-2</v>
      </c>
      <c r="F172" s="32">
        <f t="shared" si="39"/>
        <v>38806</v>
      </c>
      <c r="G172" s="32">
        <f>ROUND(IF(NOT(AND(T171="",A172&lt;=S171)),0,IF(FALSE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),0)</f>
        <v>117312</v>
      </c>
      <c r="H172" s="32">
        <f t="shared" si="40"/>
        <v>117312</v>
      </c>
      <c r="I172" s="32">
        <f t="shared" si="41"/>
        <v>38806</v>
      </c>
      <c r="J172" s="32">
        <f t="shared" si="42"/>
        <v>0</v>
      </c>
      <c r="K172" s="32">
        <f t="shared" si="43"/>
        <v>0</v>
      </c>
      <c r="L172" s="32">
        <f t="shared" si="44"/>
        <v>78506</v>
      </c>
      <c r="M172" s="32">
        <f>IF(AND(AND(T171="",A172&lt;=S171),A172=入力!$B$15),ROUND(MIN(入力!$B$16,MAX(0,C172-L172)),0),0)</f>
        <v>0</v>
      </c>
      <c r="N172" s="32">
        <f t="shared" si="45"/>
        <v>18548445</v>
      </c>
      <c r="O172" s="32">
        <f t="shared" si="46"/>
        <v>6749709</v>
      </c>
      <c r="P172" s="34" t="str">
        <f>IF(NOT(AND(T171="",A172&lt;=S171)),"",IF(FALSE,"繰上返済後再計算","")&amp;IF(AND(入力!$B$13="有効",A172&gt;1,MOD(A172-1,60)=0),IF(FALSE,"・","")&amp;"5年見直し","")&amp;IF(AND(A172=入力!$B$11,A172&gt;1),IF(OR(FALSE,AND(入力!$B$13="有効",A172&gt;1,MOD(A172-1,60)=0)),"・","")&amp;"金利変更","")&amp;IF(AND(OR(AND(入力!$B$13="有効",A172&gt;1,MOD(A172-1,60)=0),AND(A172=入力!$B$11,A172&gt;1)),入力!$B$14="有効",IF(E172=0,ROUND(C172/MAX(1,S171-A172+1),0),ROUND(-PMT(E172/12,MAX(1,S171-A172+1),C172),0))&gt;ROUND(G171*1.25,0),NOT(FALSE)),"・上限適用",""))</f>
        <v/>
      </c>
      <c r="Q172" s="35" t="str">
        <f>IF(AND(T171="",A172&lt;=S171),入力!$B$13,"")</f>
        <v>有効</v>
      </c>
      <c r="R172" s="32" t="str">
        <f>IF(AND(AND(T171="",A172&lt;=S171),OR(AND(入力!$B$13="有効",A172&gt;1,MOD(A172-1,60)=0),AND(A172=入力!$B$11,A172&gt;1)),入力!$B$14="有効"),ROUND(G171*1.25,0),"")</f>
        <v/>
      </c>
      <c r="S172" s="36">
        <f>IF(A172&lt;&gt;入力!$B$15,S171,IF(K172&lt;&gt;0,S171,IF(G172&lt;=F172,S171,IF(M172&lt;=0,S171,IF(AND(N172&gt;0,E172&gt;0,G172&lt;=N172*E172/12),S171,IF(A172+IF(N172=0,0,IF(E172=0,ROUNDUP(N172/G172,0),ROUNDUP(NPER(E172/12,-G172,N172),0)))&lt;S171,A172+IF(N172=0,0,IF(E172=0,ROUNDUP(N172/G172,0),ROUNDUP(NPER(E172/12,-G172,N172),0))),S171))))))</f>
        <v>359</v>
      </c>
      <c r="T172" s="35" t="str">
        <f t="shared" si="47"/>
        <v/>
      </c>
      <c r="U172" s="3">
        <f t="shared" si="32"/>
        <v>0</v>
      </c>
      <c r="V172" s="3">
        <f t="shared" si="33"/>
        <v>0</v>
      </c>
      <c r="W172" s="3">
        <f t="shared" si="34"/>
        <v>0</v>
      </c>
      <c r="X172" s="3">
        <f t="shared" si="35"/>
        <v>0</v>
      </c>
      <c r="Y172" s="3">
        <f>0</f>
        <v>0</v>
      </c>
      <c r="Z172" s="3">
        <f t="shared" si="36"/>
        <v>0</v>
      </c>
      <c r="AA172">
        <f>ROUND(IF(FALSE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,0)</f>
        <v>117312</v>
      </c>
    </row>
    <row r="173" spans="1:27">
      <c r="A173" s="30">
        <f>168</f>
        <v>168</v>
      </c>
      <c r="B173" s="31">
        <f>EDATE(入力!$B$6,A173-1)</f>
        <v>51318</v>
      </c>
      <c r="C173" s="32">
        <f t="shared" si="37"/>
        <v>18548445</v>
      </c>
      <c r="D173" s="32">
        <f t="shared" si="38"/>
        <v>0</v>
      </c>
      <c r="E173" s="33">
        <f>IF(AND(T172="",A173&lt;=S172),IF(A173&lt;入力!$B$11,入力!$B$10,入力!$B$12),0)</f>
        <v>2.5000000000000001E-2</v>
      </c>
      <c r="F173" s="32">
        <f t="shared" si="39"/>
        <v>38643</v>
      </c>
      <c r="G173" s="32">
        <f>ROUND(IF(NOT(AND(T172="",A173&lt;=S172)),0,IF(FALSE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),0)</f>
        <v>117312</v>
      </c>
      <c r="H173" s="32">
        <f t="shared" si="40"/>
        <v>117312</v>
      </c>
      <c r="I173" s="32">
        <f t="shared" si="41"/>
        <v>38643</v>
      </c>
      <c r="J173" s="32">
        <f t="shared" si="42"/>
        <v>0</v>
      </c>
      <c r="K173" s="32">
        <f t="shared" si="43"/>
        <v>0</v>
      </c>
      <c r="L173" s="32">
        <f t="shared" si="44"/>
        <v>78669</v>
      </c>
      <c r="M173" s="32">
        <f>IF(AND(AND(T172="",A173&lt;=S172),A173=入力!$B$15),ROUND(MIN(入力!$B$16,MAX(0,C173-L173)),0),0)</f>
        <v>0</v>
      </c>
      <c r="N173" s="32">
        <f t="shared" si="45"/>
        <v>18469776</v>
      </c>
      <c r="O173" s="32">
        <f t="shared" si="46"/>
        <v>6788352</v>
      </c>
      <c r="P173" s="34" t="str">
        <f>IF(NOT(AND(T172="",A173&lt;=S172)),"",IF(FALSE,"繰上返済後再計算","")&amp;IF(AND(入力!$B$13="有効",A173&gt;1,MOD(A173-1,60)=0),IF(FALSE,"・","")&amp;"5年見直し","")&amp;IF(AND(A173=入力!$B$11,A173&gt;1),IF(OR(FALSE,AND(入力!$B$13="有効",A173&gt;1,MOD(A173-1,60)=0)),"・","")&amp;"金利変更","")&amp;IF(AND(OR(AND(入力!$B$13="有効",A173&gt;1,MOD(A173-1,60)=0),AND(A173=入力!$B$11,A173&gt;1)),入力!$B$14="有効",IF(E173=0,ROUND(C173/MAX(1,S172-A173+1),0),ROUND(-PMT(E173/12,MAX(1,S172-A173+1),C173),0))&gt;ROUND(G172*1.25,0),NOT(FALSE)),"・上限適用",""))</f>
        <v/>
      </c>
      <c r="Q173" s="35" t="str">
        <f>IF(AND(T172="",A173&lt;=S172),入力!$B$13,"")</f>
        <v>有効</v>
      </c>
      <c r="R173" s="32" t="str">
        <f>IF(AND(AND(T172="",A173&lt;=S172),OR(AND(入力!$B$13="有効",A173&gt;1,MOD(A173-1,60)=0),AND(A173=入力!$B$11,A173&gt;1)),入力!$B$14="有効"),ROUND(G172*1.25,0),"")</f>
        <v/>
      </c>
      <c r="S173" s="36">
        <f>IF(A173&lt;&gt;入力!$B$15,S172,IF(K173&lt;&gt;0,S172,IF(G173&lt;=F173,S172,IF(M173&lt;=0,S172,IF(AND(N173&gt;0,E173&gt;0,G173&lt;=N173*E173/12),S172,IF(A173+IF(N173=0,0,IF(E173=0,ROUNDUP(N173/G173,0),ROUNDUP(NPER(E173/12,-G173,N173),0)))&lt;S172,A173+IF(N173=0,0,IF(E173=0,ROUNDUP(N173/G173,0),ROUNDUP(NPER(E173/12,-G173,N173),0))),S172))))))</f>
        <v>359</v>
      </c>
      <c r="T173" s="35" t="str">
        <f t="shared" si="47"/>
        <v/>
      </c>
      <c r="U173" s="3">
        <f t="shared" si="32"/>
        <v>0</v>
      </c>
      <c r="V173" s="3">
        <f t="shared" si="33"/>
        <v>0</v>
      </c>
      <c r="W173" s="3">
        <f t="shared" si="34"/>
        <v>0</v>
      </c>
      <c r="X173" s="3">
        <f t="shared" si="35"/>
        <v>0</v>
      </c>
      <c r="Y173" s="3">
        <f>0</f>
        <v>0</v>
      </c>
      <c r="Z173" s="3">
        <f t="shared" si="36"/>
        <v>0</v>
      </c>
      <c r="AA173">
        <f>ROUND(IF(FALSE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,0)</f>
        <v>117312</v>
      </c>
    </row>
    <row r="174" spans="1:27">
      <c r="A174" s="30">
        <f>169</f>
        <v>169</v>
      </c>
      <c r="B174" s="31">
        <f>EDATE(入力!$B$6,A174-1)</f>
        <v>51349</v>
      </c>
      <c r="C174" s="32">
        <f t="shared" si="37"/>
        <v>18469776</v>
      </c>
      <c r="D174" s="32">
        <f t="shared" si="38"/>
        <v>0</v>
      </c>
      <c r="E174" s="33">
        <f>IF(AND(T173="",A174&lt;=S173),IF(A174&lt;入力!$B$11,入力!$B$10,入力!$B$12),0)</f>
        <v>2.5000000000000001E-2</v>
      </c>
      <c r="F174" s="32">
        <f t="shared" si="39"/>
        <v>38479</v>
      </c>
      <c r="G174" s="32">
        <f>ROUND(IF(NOT(AND(T173="",A174&lt;=S173)),0,IF(FALSE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),0)</f>
        <v>117312</v>
      </c>
      <c r="H174" s="32">
        <f t="shared" si="40"/>
        <v>117312</v>
      </c>
      <c r="I174" s="32">
        <f t="shared" si="41"/>
        <v>38479</v>
      </c>
      <c r="J174" s="32">
        <f t="shared" si="42"/>
        <v>0</v>
      </c>
      <c r="K174" s="32">
        <f t="shared" si="43"/>
        <v>0</v>
      </c>
      <c r="L174" s="32">
        <f t="shared" si="44"/>
        <v>78833</v>
      </c>
      <c r="M174" s="32">
        <f>IF(AND(AND(T173="",A174&lt;=S173),A174=入力!$B$15),ROUND(MIN(入力!$B$16,MAX(0,C174-L174)),0),0)</f>
        <v>0</v>
      </c>
      <c r="N174" s="32">
        <f t="shared" si="45"/>
        <v>18390943</v>
      </c>
      <c r="O174" s="32">
        <f t="shared" si="46"/>
        <v>6826831</v>
      </c>
      <c r="P174" s="34" t="str">
        <f>IF(NOT(AND(T173="",A174&lt;=S173)),"",IF(FALSE,"繰上返済後再計算","")&amp;IF(AND(入力!$B$13="有効",A174&gt;1,MOD(A174-1,60)=0),IF(FALSE,"・","")&amp;"5年見直し","")&amp;IF(AND(A174=入力!$B$11,A174&gt;1),IF(OR(FALSE,AND(入力!$B$13="有効",A174&gt;1,MOD(A174-1,60)=0)),"・","")&amp;"金利変更","")&amp;IF(AND(OR(AND(入力!$B$13="有効",A174&gt;1,MOD(A174-1,60)=0),AND(A174=入力!$B$11,A174&gt;1)),入力!$B$14="有効",IF(E174=0,ROUND(C174/MAX(1,S173-A174+1),0),ROUND(-PMT(E174/12,MAX(1,S173-A174+1),C174),0))&gt;ROUND(G173*1.25,0),NOT(FALSE)),"・上限適用",""))</f>
        <v/>
      </c>
      <c r="Q174" s="35" t="str">
        <f>IF(AND(T173="",A174&lt;=S173),入力!$B$13,"")</f>
        <v>有効</v>
      </c>
      <c r="R174" s="32" t="str">
        <f>IF(AND(AND(T173="",A174&lt;=S173),OR(AND(入力!$B$13="有効",A174&gt;1,MOD(A174-1,60)=0),AND(A174=入力!$B$11,A174&gt;1)),入力!$B$14="有効"),ROUND(G173*1.25,0),"")</f>
        <v/>
      </c>
      <c r="S174" s="36">
        <f>IF(A174&lt;&gt;入力!$B$15,S173,IF(K174&lt;&gt;0,S173,IF(G174&lt;=F174,S173,IF(M174&lt;=0,S173,IF(AND(N174&gt;0,E174&gt;0,G174&lt;=N174*E174/12),S173,IF(A174+IF(N174=0,0,IF(E174=0,ROUNDUP(N174/G174,0),ROUNDUP(NPER(E174/12,-G174,N174),0)))&lt;S173,A174+IF(N174=0,0,IF(E174=0,ROUNDUP(N174/G174,0),ROUNDUP(NPER(E174/12,-G174,N174),0))),S173))))))</f>
        <v>359</v>
      </c>
      <c r="T174" s="35" t="str">
        <f t="shared" si="47"/>
        <v/>
      </c>
      <c r="U174" s="3">
        <f t="shared" si="32"/>
        <v>0</v>
      </c>
      <c r="V174" s="3">
        <f t="shared" si="33"/>
        <v>0</v>
      </c>
      <c r="W174" s="3">
        <f t="shared" si="34"/>
        <v>0</v>
      </c>
      <c r="X174" s="3">
        <f t="shared" si="35"/>
        <v>0</v>
      </c>
      <c r="Y174" s="3">
        <f>0</f>
        <v>0</v>
      </c>
      <c r="Z174" s="3">
        <f t="shared" si="36"/>
        <v>0</v>
      </c>
      <c r="AA174">
        <f>ROUND(IF(FALSE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,0)</f>
        <v>117312</v>
      </c>
    </row>
    <row r="175" spans="1:27">
      <c r="A175" s="30">
        <f>170</f>
        <v>170</v>
      </c>
      <c r="B175" s="31">
        <f>EDATE(入力!$B$6,A175-1)</f>
        <v>51380</v>
      </c>
      <c r="C175" s="32">
        <f t="shared" si="37"/>
        <v>18390943</v>
      </c>
      <c r="D175" s="32">
        <f t="shared" si="38"/>
        <v>0</v>
      </c>
      <c r="E175" s="33">
        <f>IF(AND(T174="",A175&lt;=S174),IF(A175&lt;入力!$B$11,入力!$B$10,入力!$B$12),0)</f>
        <v>2.5000000000000001E-2</v>
      </c>
      <c r="F175" s="32">
        <f t="shared" si="39"/>
        <v>38314</v>
      </c>
      <c r="G175" s="32">
        <f>ROUND(IF(NOT(AND(T174="",A175&lt;=S174)),0,IF(FALSE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),0)</f>
        <v>117312</v>
      </c>
      <c r="H175" s="32">
        <f t="shared" si="40"/>
        <v>117312</v>
      </c>
      <c r="I175" s="32">
        <f t="shared" si="41"/>
        <v>38314</v>
      </c>
      <c r="J175" s="32">
        <f t="shared" si="42"/>
        <v>0</v>
      </c>
      <c r="K175" s="32">
        <f t="shared" si="43"/>
        <v>0</v>
      </c>
      <c r="L175" s="32">
        <f t="shared" si="44"/>
        <v>78998</v>
      </c>
      <c r="M175" s="32">
        <f>IF(AND(AND(T174="",A175&lt;=S174),A175=入力!$B$15),ROUND(MIN(入力!$B$16,MAX(0,C175-L175)),0),0)</f>
        <v>0</v>
      </c>
      <c r="N175" s="32">
        <f t="shared" si="45"/>
        <v>18311945</v>
      </c>
      <c r="O175" s="32">
        <f t="shared" si="46"/>
        <v>6865145</v>
      </c>
      <c r="P175" s="34" t="str">
        <f>IF(NOT(AND(T174="",A175&lt;=S174)),"",IF(FALSE,"繰上返済後再計算","")&amp;IF(AND(入力!$B$13="有効",A175&gt;1,MOD(A175-1,60)=0),IF(FALSE,"・","")&amp;"5年見直し","")&amp;IF(AND(A175=入力!$B$11,A175&gt;1),IF(OR(FALSE,AND(入力!$B$13="有効",A175&gt;1,MOD(A175-1,60)=0)),"・","")&amp;"金利変更","")&amp;IF(AND(OR(AND(入力!$B$13="有効",A175&gt;1,MOD(A175-1,60)=0),AND(A175=入力!$B$11,A175&gt;1)),入力!$B$14="有効",IF(E175=0,ROUND(C175/MAX(1,S174-A175+1),0),ROUND(-PMT(E175/12,MAX(1,S174-A175+1),C175),0))&gt;ROUND(G174*1.25,0),NOT(FALSE)),"・上限適用",""))</f>
        <v/>
      </c>
      <c r="Q175" s="35" t="str">
        <f>IF(AND(T174="",A175&lt;=S174),入力!$B$13,"")</f>
        <v>有効</v>
      </c>
      <c r="R175" s="32" t="str">
        <f>IF(AND(AND(T174="",A175&lt;=S174),OR(AND(入力!$B$13="有効",A175&gt;1,MOD(A175-1,60)=0),AND(A175=入力!$B$11,A175&gt;1)),入力!$B$14="有効"),ROUND(G174*1.25,0),"")</f>
        <v/>
      </c>
      <c r="S175" s="36">
        <f>IF(A175&lt;&gt;入力!$B$15,S174,IF(K175&lt;&gt;0,S174,IF(G175&lt;=F175,S174,IF(M175&lt;=0,S174,IF(AND(N175&gt;0,E175&gt;0,G175&lt;=N175*E175/12),S174,IF(A175+IF(N175=0,0,IF(E175=0,ROUNDUP(N175/G175,0),ROUNDUP(NPER(E175/12,-G175,N175),0)))&lt;S174,A175+IF(N175=0,0,IF(E175=0,ROUNDUP(N175/G175,0),ROUNDUP(NPER(E175/12,-G175,N175),0))),S174))))))</f>
        <v>359</v>
      </c>
      <c r="T175" s="35" t="str">
        <f t="shared" si="47"/>
        <v/>
      </c>
      <c r="U175" s="3">
        <f t="shared" si="32"/>
        <v>0</v>
      </c>
      <c r="V175" s="3">
        <f t="shared" si="33"/>
        <v>0</v>
      </c>
      <c r="W175" s="3">
        <f t="shared" si="34"/>
        <v>0</v>
      </c>
      <c r="X175" s="3">
        <f t="shared" si="35"/>
        <v>0</v>
      </c>
      <c r="Y175" s="3">
        <f>0</f>
        <v>0</v>
      </c>
      <c r="Z175" s="3">
        <f t="shared" si="36"/>
        <v>0</v>
      </c>
      <c r="AA175">
        <f>ROUND(IF(FALSE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,0)</f>
        <v>117312</v>
      </c>
    </row>
    <row r="176" spans="1:27">
      <c r="A176" s="30">
        <f>171</f>
        <v>171</v>
      </c>
      <c r="B176" s="31">
        <f>EDATE(入力!$B$6,A176-1)</f>
        <v>51410</v>
      </c>
      <c r="C176" s="32">
        <f t="shared" si="37"/>
        <v>18311945</v>
      </c>
      <c r="D176" s="32">
        <f t="shared" si="38"/>
        <v>0</v>
      </c>
      <c r="E176" s="33">
        <f>IF(AND(T175="",A176&lt;=S175),IF(A176&lt;入力!$B$11,入力!$B$10,入力!$B$12),0)</f>
        <v>2.5000000000000001E-2</v>
      </c>
      <c r="F176" s="32">
        <f t="shared" si="39"/>
        <v>38150</v>
      </c>
      <c r="G176" s="32">
        <f>ROUND(IF(NOT(AND(T175="",A176&lt;=S175)),0,IF(FALSE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),0)</f>
        <v>117312</v>
      </c>
      <c r="H176" s="32">
        <f t="shared" si="40"/>
        <v>117312</v>
      </c>
      <c r="I176" s="32">
        <f t="shared" si="41"/>
        <v>38150</v>
      </c>
      <c r="J176" s="32">
        <f t="shared" si="42"/>
        <v>0</v>
      </c>
      <c r="K176" s="32">
        <f t="shared" si="43"/>
        <v>0</v>
      </c>
      <c r="L176" s="32">
        <f t="shared" si="44"/>
        <v>79162</v>
      </c>
      <c r="M176" s="32">
        <f>IF(AND(AND(T175="",A176&lt;=S175),A176=入力!$B$15),ROUND(MIN(入力!$B$16,MAX(0,C176-L176)),0),0)</f>
        <v>0</v>
      </c>
      <c r="N176" s="32">
        <f t="shared" si="45"/>
        <v>18232783</v>
      </c>
      <c r="O176" s="32">
        <f t="shared" si="46"/>
        <v>6903295</v>
      </c>
      <c r="P176" s="34" t="str">
        <f>IF(NOT(AND(T175="",A176&lt;=S175)),"",IF(FALSE,"繰上返済後再計算","")&amp;IF(AND(入力!$B$13="有効",A176&gt;1,MOD(A176-1,60)=0),IF(FALSE,"・","")&amp;"5年見直し","")&amp;IF(AND(A176=入力!$B$11,A176&gt;1),IF(OR(FALSE,AND(入力!$B$13="有効",A176&gt;1,MOD(A176-1,60)=0)),"・","")&amp;"金利変更","")&amp;IF(AND(OR(AND(入力!$B$13="有効",A176&gt;1,MOD(A176-1,60)=0),AND(A176=入力!$B$11,A176&gt;1)),入力!$B$14="有効",IF(E176=0,ROUND(C176/MAX(1,S175-A176+1),0),ROUND(-PMT(E176/12,MAX(1,S175-A176+1),C176),0))&gt;ROUND(G175*1.25,0),NOT(FALSE)),"・上限適用",""))</f>
        <v/>
      </c>
      <c r="Q176" s="35" t="str">
        <f>IF(AND(T175="",A176&lt;=S175),入力!$B$13,"")</f>
        <v>有効</v>
      </c>
      <c r="R176" s="32" t="str">
        <f>IF(AND(AND(T175="",A176&lt;=S175),OR(AND(入力!$B$13="有効",A176&gt;1,MOD(A176-1,60)=0),AND(A176=入力!$B$11,A176&gt;1)),入力!$B$14="有効"),ROUND(G175*1.25,0),"")</f>
        <v/>
      </c>
      <c r="S176" s="36">
        <f>IF(A176&lt;&gt;入力!$B$15,S175,IF(K176&lt;&gt;0,S175,IF(G176&lt;=F176,S175,IF(M176&lt;=0,S175,IF(AND(N176&gt;0,E176&gt;0,G176&lt;=N176*E176/12),S175,IF(A176+IF(N176=0,0,IF(E176=0,ROUNDUP(N176/G176,0),ROUNDUP(NPER(E176/12,-G176,N176),0)))&lt;S175,A176+IF(N176=0,0,IF(E176=0,ROUNDUP(N176/G176,0),ROUNDUP(NPER(E176/12,-G176,N176),0))),S175))))))</f>
        <v>359</v>
      </c>
      <c r="T176" s="35" t="str">
        <f t="shared" si="47"/>
        <v/>
      </c>
      <c r="U176" s="3">
        <f t="shared" si="32"/>
        <v>0</v>
      </c>
      <c r="V176" s="3">
        <f t="shared" si="33"/>
        <v>0</v>
      </c>
      <c r="W176" s="3">
        <f t="shared" si="34"/>
        <v>0</v>
      </c>
      <c r="X176" s="3">
        <f t="shared" si="35"/>
        <v>0</v>
      </c>
      <c r="Y176" s="3">
        <f>0</f>
        <v>0</v>
      </c>
      <c r="Z176" s="3">
        <f t="shared" si="36"/>
        <v>0</v>
      </c>
      <c r="AA176">
        <f>ROUND(IF(FALSE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,0)</f>
        <v>117312</v>
      </c>
    </row>
    <row r="177" spans="1:27">
      <c r="A177" s="30">
        <f>172</f>
        <v>172</v>
      </c>
      <c r="B177" s="31">
        <f>EDATE(入力!$B$6,A177-1)</f>
        <v>51441</v>
      </c>
      <c r="C177" s="32">
        <f t="shared" si="37"/>
        <v>18232783</v>
      </c>
      <c r="D177" s="32">
        <f t="shared" si="38"/>
        <v>0</v>
      </c>
      <c r="E177" s="33">
        <f>IF(AND(T176="",A177&lt;=S176),IF(A177&lt;入力!$B$11,入力!$B$10,入力!$B$12),0)</f>
        <v>2.5000000000000001E-2</v>
      </c>
      <c r="F177" s="32">
        <f t="shared" si="39"/>
        <v>37985</v>
      </c>
      <c r="G177" s="32">
        <f>ROUND(IF(NOT(AND(T176="",A177&lt;=S176)),0,IF(FALSE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),0)</f>
        <v>117312</v>
      </c>
      <c r="H177" s="32">
        <f t="shared" si="40"/>
        <v>117312</v>
      </c>
      <c r="I177" s="32">
        <f t="shared" si="41"/>
        <v>37985</v>
      </c>
      <c r="J177" s="32">
        <f t="shared" si="42"/>
        <v>0</v>
      </c>
      <c r="K177" s="32">
        <f t="shared" si="43"/>
        <v>0</v>
      </c>
      <c r="L177" s="32">
        <f t="shared" si="44"/>
        <v>79327</v>
      </c>
      <c r="M177" s="32">
        <f>IF(AND(AND(T176="",A177&lt;=S176),A177=入力!$B$15),ROUND(MIN(入力!$B$16,MAX(0,C177-L177)),0),0)</f>
        <v>0</v>
      </c>
      <c r="N177" s="32">
        <f t="shared" si="45"/>
        <v>18153456</v>
      </c>
      <c r="O177" s="32">
        <f t="shared" si="46"/>
        <v>6941280</v>
      </c>
      <c r="P177" s="34" t="str">
        <f>IF(NOT(AND(T176="",A177&lt;=S176)),"",IF(FALSE,"繰上返済後再計算","")&amp;IF(AND(入力!$B$13="有効",A177&gt;1,MOD(A177-1,60)=0),IF(FALSE,"・","")&amp;"5年見直し","")&amp;IF(AND(A177=入力!$B$11,A177&gt;1),IF(OR(FALSE,AND(入力!$B$13="有効",A177&gt;1,MOD(A177-1,60)=0)),"・","")&amp;"金利変更","")&amp;IF(AND(OR(AND(入力!$B$13="有効",A177&gt;1,MOD(A177-1,60)=0),AND(A177=入力!$B$11,A177&gt;1)),入力!$B$14="有効",IF(E177=0,ROUND(C177/MAX(1,S176-A177+1),0),ROUND(-PMT(E177/12,MAX(1,S176-A177+1),C177),0))&gt;ROUND(G176*1.25,0),NOT(FALSE)),"・上限適用",""))</f>
        <v/>
      </c>
      <c r="Q177" s="35" t="str">
        <f>IF(AND(T176="",A177&lt;=S176),入力!$B$13,"")</f>
        <v>有効</v>
      </c>
      <c r="R177" s="32" t="str">
        <f>IF(AND(AND(T176="",A177&lt;=S176),OR(AND(入力!$B$13="有効",A177&gt;1,MOD(A177-1,60)=0),AND(A177=入力!$B$11,A177&gt;1)),入力!$B$14="有効"),ROUND(G176*1.25,0),"")</f>
        <v/>
      </c>
      <c r="S177" s="36">
        <f>IF(A177&lt;&gt;入力!$B$15,S176,IF(K177&lt;&gt;0,S176,IF(G177&lt;=F177,S176,IF(M177&lt;=0,S176,IF(AND(N177&gt;0,E177&gt;0,G177&lt;=N177*E177/12),S176,IF(A177+IF(N177=0,0,IF(E177=0,ROUNDUP(N177/G177,0),ROUNDUP(NPER(E177/12,-G177,N177),0)))&lt;S176,A177+IF(N177=0,0,IF(E177=0,ROUNDUP(N177/G177,0),ROUNDUP(NPER(E177/12,-G177,N177),0))),S176))))))</f>
        <v>359</v>
      </c>
      <c r="T177" s="35" t="str">
        <f t="shared" si="47"/>
        <v/>
      </c>
      <c r="U177" s="3">
        <f t="shared" si="32"/>
        <v>0</v>
      </c>
      <c r="V177" s="3">
        <f t="shared" si="33"/>
        <v>0</v>
      </c>
      <c r="W177" s="3">
        <f t="shared" si="34"/>
        <v>0</v>
      </c>
      <c r="X177" s="3">
        <f t="shared" si="35"/>
        <v>0</v>
      </c>
      <c r="Y177" s="3">
        <f>0</f>
        <v>0</v>
      </c>
      <c r="Z177" s="3">
        <f t="shared" si="36"/>
        <v>0</v>
      </c>
      <c r="AA177">
        <f>ROUND(IF(FALSE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,0)</f>
        <v>117312</v>
      </c>
    </row>
    <row r="178" spans="1:27">
      <c r="A178" s="30">
        <f>173</f>
        <v>173</v>
      </c>
      <c r="B178" s="31">
        <f>EDATE(入力!$B$6,A178-1)</f>
        <v>51471</v>
      </c>
      <c r="C178" s="32">
        <f t="shared" si="37"/>
        <v>18153456</v>
      </c>
      <c r="D178" s="32">
        <f t="shared" si="38"/>
        <v>0</v>
      </c>
      <c r="E178" s="33">
        <f>IF(AND(T177="",A178&lt;=S177),IF(A178&lt;入力!$B$11,入力!$B$10,入力!$B$12),0)</f>
        <v>2.5000000000000001E-2</v>
      </c>
      <c r="F178" s="32">
        <f t="shared" si="39"/>
        <v>37820</v>
      </c>
      <c r="G178" s="32">
        <f>ROUND(IF(NOT(AND(T177="",A178&lt;=S177)),0,IF(FALSE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),0)</f>
        <v>117312</v>
      </c>
      <c r="H178" s="32">
        <f t="shared" si="40"/>
        <v>117312</v>
      </c>
      <c r="I178" s="32">
        <f t="shared" si="41"/>
        <v>37820</v>
      </c>
      <c r="J178" s="32">
        <f t="shared" si="42"/>
        <v>0</v>
      </c>
      <c r="K178" s="32">
        <f t="shared" si="43"/>
        <v>0</v>
      </c>
      <c r="L178" s="32">
        <f t="shared" si="44"/>
        <v>79492</v>
      </c>
      <c r="M178" s="32">
        <f>IF(AND(AND(T177="",A178&lt;=S177),A178=入力!$B$15),ROUND(MIN(入力!$B$16,MAX(0,C178-L178)),0),0)</f>
        <v>0</v>
      </c>
      <c r="N178" s="32">
        <f t="shared" si="45"/>
        <v>18073964</v>
      </c>
      <c r="O178" s="32">
        <f t="shared" si="46"/>
        <v>6979100</v>
      </c>
      <c r="P178" s="34" t="str">
        <f>IF(NOT(AND(T177="",A178&lt;=S177)),"",IF(FALSE,"繰上返済後再計算","")&amp;IF(AND(入力!$B$13="有効",A178&gt;1,MOD(A178-1,60)=0),IF(FALSE,"・","")&amp;"5年見直し","")&amp;IF(AND(A178=入力!$B$11,A178&gt;1),IF(OR(FALSE,AND(入力!$B$13="有効",A178&gt;1,MOD(A178-1,60)=0)),"・","")&amp;"金利変更","")&amp;IF(AND(OR(AND(入力!$B$13="有効",A178&gt;1,MOD(A178-1,60)=0),AND(A178=入力!$B$11,A178&gt;1)),入力!$B$14="有効",IF(E178=0,ROUND(C178/MAX(1,S177-A178+1),0),ROUND(-PMT(E178/12,MAX(1,S177-A178+1),C178),0))&gt;ROUND(G177*1.25,0),NOT(FALSE)),"・上限適用",""))</f>
        <v/>
      </c>
      <c r="Q178" s="35" t="str">
        <f>IF(AND(T177="",A178&lt;=S177),入力!$B$13,"")</f>
        <v>有効</v>
      </c>
      <c r="R178" s="32" t="str">
        <f>IF(AND(AND(T177="",A178&lt;=S177),OR(AND(入力!$B$13="有効",A178&gt;1,MOD(A178-1,60)=0),AND(A178=入力!$B$11,A178&gt;1)),入力!$B$14="有効"),ROUND(G177*1.25,0),"")</f>
        <v/>
      </c>
      <c r="S178" s="36">
        <f>IF(A178&lt;&gt;入力!$B$15,S177,IF(K178&lt;&gt;0,S177,IF(G178&lt;=F178,S177,IF(M178&lt;=0,S177,IF(AND(N178&gt;0,E178&gt;0,G178&lt;=N178*E178/12),S177,IF(A178+IF(N178=0,0,IF(E178=0,ROUNDUP(N178/G178,0),ROUNDUP(NPER(E178/12,-G178,N178),0)))&lt;S177,A178+IF(N178=0,0,IF(E178=0,ROUNDUP(N178/G178,0),ROUNDUP(NPER(E178/12,-G178,N178),0))),S177))))))</f>
        <v>359</v>
      </c>
      <c r="T178" s="35" t="str">
        <f t="shared" si="47"/>
        <v/>
      </c>
      <c r="U178" s="3">
        <f t="shared" si="32"/>
        <v>0</v>
      </c>
      <c r="V178" s="3">
        <f t="shared" si="33"/>
        <v>0</v>
      </c>
      <c r="W178" s="3">
        <f t="shared" si="34"/>
        <v>0</v>
      </c>
      <c r="X178" s="3">
        <f t="shared" si="35"/>
        <v>0</v>
      </c>
      <c r="Y178" s="3">
        <f>0</f>
        <v>0</v>
      </c>
      <c r="Z178" s="3">
        <f t="shared" si="36"/>
        <v>0</v>
      </c>
      <c r="AA178">
        <f>ROUND(IF(FALSE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,0)</f>
        <v>117312</v>
      </c>
    </row>
    <row r="179" spans="1:27">
      <c r="A179" s="30">
        <f>174</f>
        <v>174</v>
      </c>
      <c r="B179" s="31">
        <f>EDATE(入力!$B$6,A179-1)</f>
        <v>51502</v>
      </c>
      <c r="C179" s="32">
        <f t="shared" si="37"/>
        <v>18073964</v>
      </c>
      <c r="D179" s="32">
        <f t="shared" si="38"/>
        <v>0</v>
      </c>
      <c r="E179" s="33">
        <f>IF(AND(T178="",A179&lt;=S178),IF(A179&lt;入力!$B$11,入力!$B$10,入力!$B$12),0)</f>
        <v>2.5000000000000001E-2</v>
      </c>
      <c r="F179" s="32">
        <f t="shared" si="39"/>
        <v>37654</v>
      </c>
      <c r="G179" s="32">
        <f>ROUND(IF(NOT(AND(T178="",A179&lt;=S178)),0,IF(FALSE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),0)</f>
        <v>117312</v>
      </c>
      <c r="H179" s="32">
        <f t="shared" si="40"/>
        <v>117312</v>
      </c>
      <c r="I179" s="32">
        <f t="shared" si="41"/>
        <v>37654</v>
      </c>
      <c r="J179" s="32">
        <f t="shared" si="42"/>
        <v>0</v>
      </c>
      <c r="K179" s="32">
        <f t="shared" si="43"/>
        <v>0</v>
      </c>
      <c r="L179" s="32">
        <f t="shared" si="44"/>
        <v>79658</v>
      </c>
      <c r="M179" s="32">
        <f>IF(AND(AND(T178="",A179&lt;=S178),A179=入力!$B$15),ROUND(MIN(入力!$B$16,MAX(0,C179-L179)),0),0)</f>
        <v>0</v>
      </c>
      <c r="N179" s="32">
        <f t="shared" si="45"/>
        <v>17994306</v>
      </c>
      <c r="O179" s="32">
        <f t="shared" si="46"/>
        <v>7016754</v>
      </c>
      <c r="P179" s="34" t="str">
        <f>IF(NOT(AND(T178="",A179&lt;=S178)),"",IF(FALSE,"繰上返済後再計算","")&amp;IF(AND(入力!$B$13="有効",A179&gt;1,MOD(A179-1,60)=0),IF(FALSE,"・","")&amp;"5年見直し","")&amp;IF(AND(A179=入力!$B$11,A179&gt;1),IF(OR(FALSE,AND(入力!$B$13="有効",A179&gt;1,MOD(A179-1,60)=0)),"・","")&amp;"金利変更","")&amp;IF(AND(OR(AND(入力!$B$13="有効",A179&gt;1,MOD(A179-1,60)=0),AND(A179=入力!$B$11,A179&gt;1)),入力!$B$14="有効",IF(E179=0,ROUND(C179/MAX(1,S178-A179+1),0),ROUND(-PMT(E179/12,MAX(1,S178-A179+1),C179),0))&gt;ROUND(G178*1.25,0),NOT(FALSE)),"・上限適用",""))</f>
        <v/>
      </c>
      <c r="Q179" s="35" t="str">
        <f>IF(AND(T178="",A179&lt;=S178),入力!$B$13,"")</f>
        <v>有効</v>
      </c>
      <c r="R179" s="32" t="str">
        <f>IF(AND(AND(T178="",A179&lt;=S178),OR(AND(入力!$B$13="有効",A179&gt;1,MOD(A179-1,60)=0),AND(A179=入力!$B$11,A179&gt;1)),入力!$B$14="有効"),ROUND(G178*1.25,0),"")</f>
        <v/>
      </c>
      <c r="S179" s="36">
        <f>IF(A179&lt;&gt;入力!$B$15,S178,IF(K179&lt;&gt;0,S178,IF(G179&lt;=F179,S178,IF(M179&lt;=0,S178,IF(AND(N179&gt;0,E179&gt;0,G179&lt;=N179*E179/12),S178,IF(A179+IF(N179=0,0,IF(E179=0,ROUNDUP(N179/G179,0),ROUNDUP(NPER(E179/12,-G179,N179),0)))&lt;S178,A179+IF(N179=0,0,IF(E179=0,ROUNDUP(N179/G179,0),ROUNDUP(NPER(E179/12,-G179,N179),0))),S178))))))</f>
        <v>359</v>
      </c>
      <c r="T179" s="35" t="str">
        <f t="shared" si="47"/>
        <v/>
      </c>
      <c r="U179" s="3">
        <f t="shared" si="32"/>
        <v>0</v>
      </c>
      <c r="V179" s="3">
        <f t="shared" si="33"/>
        <v>0</v>
      </c>
      <c r="W179" s="3">
        <f t="shared" si="34"/>
        <v>0</v>
      </c>
      <c r="X179" s="3">
        <f t="shared" si="35"/>
        <v>0</v>
      </c>
      <c r="Y179" s="3">
        <f>0</f>
        <v>0</v>
      </c>
      <c r="Z179" s="3">
        <f t="shared" si="36"/>
        <v>0</v>
      </c>
      <c r="AA179">
        <f>ROUND(IF(FALSE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,0)</f>
        <v>117312</v>
      </c>
    </row>
    <row r="180" spans="1:27">
      <c r="A180" s="30">
        <f>175</f>
        <v>175</v>
      </c>
      <c r="B180" s="31">
        <f>EDATE(入力!$B$6,A180-1)</f>
        <v>51533</v>
      </c>
      <c r="C180" s="32">
        <f t="shared" si="37"/>
        <v>17994306</v>
      </c>
      <c r="D180" s="32">
        <f t="shared" si="38"/>
        <v>0</v>
      </c>
      <c r="E180" s="33">
        <f>IF(AND(T179="",A180&lt;=S179),IF(A180&lt;入力!$B$11,入力!$B$10,入力!$B$12),0)</f>
        <v>2.5000000000000001E-2</v>
      </c>
      <c r="F180" s="32">
        <f t="shared" si="39"/>
        <v>37488</v>
      </c>
      <c r="G180" s="32">
        <f>ROUND(IF(NOT(AND(T179="",A180&lt;=S179)),0,IF(FALSE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),0)</f>
        <v>117312</v>
      </c>
      <c r="H180" s="32">
        <f t="shared" si="40"/>
        <v>117312</v>
      </c>
      <c r="I180" s="32">
        <f t="shared" si="41"/>
        <v>37488</v>
      </c>
      <c r="J180" s="32">
        <f t="shared" si="42"/>
        <v>0</v>
      </c>
      <c r="K180" s="32">
        <f t="shared" si="43"/>
        <v>0</v>
      </c>
      <c r="L180" s="32">
        <f t="shared" si="44"/>
        <v>79824</v>
      </c>
      <c r="M180" s="32">
        <f>IF(AND(AND(T179="",A180&lt;=S179),A180=入力!$B$15),ROUND(MIN(入力!$B$16,MAX(0,C180-L180)),0),0)</f>
        <v>0</v>
      </c>
      <c r="N180" s="32">
        <f t="shared" si="45"/>
        <v>17914482</v>
      </c>
      <c r="O180" s="32">
        <f t="shared" si="46"/>
        <v>7054242</v>
      </c>
      <c r="P180" s="34" t="str">
        <f>IF(NOT(AND(T179="",A180&lt;=S179)),"",IF(FALSE,"繰上返済後再計算","")&amp;IF(AND(入力!$B$13="有効",A180&gt;1,MOD(A180-1,60)=0),IF(FALSE,"・","")&amp;"5年見直し","")&amp;IF(AND(A180=入力!$B$11,A180&gt;1),IF(OR(FALSE,AND(入力!$B$13="有効",A180&gt;1,MOD(A180-1,60)=0)),"・","")&amp;"金利変更","")&amp;IF(AND(OR(AND(入力!$B$13="有効",A180&gt;1,MOD(A180-1,60)=0),AND(A180=入力!$B$11,A180&gt;1)),入力!$B$14="有効",IF(E180=0,ROUND(C180/MAX(1,S179-A180+1),0),ROUND(-PMT(E180/12,MAX(1,S179-A180+1),C180),0))&gt;ROUND(G179*1.25,0),NOT(FALSE)),"・上限適用",""))</f>
        <v/>
      </c>
      <c r="Q180" s="35" t="str">
        <f>IF(AND(T179="",A180&lt;=S179),入力!$B$13,"")</f>
        <v>有効</v>
      </c>
      <c r="R180" s="32" t="str">
        <f>IF(AND(AND(T179="",A180&lt;=S179),OR(AND(入力!$B$13="有効",A180&gt;1,MOD(A180-1,60)=0),AND(A180=入力!$B$11,A180&gt;1)),入力!$B$14="有効"),ROUND(G179*1.25,0),"")</f>
        <v/>
      </c>
      <c r="S180" s="36">
        <f>IF(A180&lt;&gt;入力!$B$15,S179,IF(K180&lt;&gt;0,S179,IF(G180&lt;=F180,S179,IF(M180&lt;=0,S179,IF(AND(N180&gt;0,E180&gt;0,G180&lt;=N180*E180/12),S179,IF(A180+IF(N180=0,0,IF(E180=0,ROUNDUP(N180/G180,0),ROUNDUP(NPER(E180/12,-G180,N180),0)))&lt;S179,A180+IF(N180=0,0,IF(E180=0,ROUNDUP(N180/G180,0),ROUNDUP(NPER(E180/12,-G180,N180),0))),S179))))))</f>
        <v>359</v>
      </c>
      <c r="T180" s="35" t="str">
        <f t="shared" si="47"/>
        <v/>
      </c>
      <c r="U180" s="3">
        <f t="shared" si="32"/>
        <v>0</v>
      </c>
      <c r="V180" s="3">
        <f t="shared" si="33"/>
        <v>0</v>
      </c>
      <c r="W180" s="3">
        <f t="shared" si="34"/>
        <v>0</v>
      </c>
      <c r="X180" s="3">
        <f t="shared" si="35"/>
        <v>0</v>
      </c>
      <c r="Y180" s="3">
        <f>0</f>
        <v>0</v>
      </c>
      <c r="Z180" s="3">
        <f t="shared" si="36"/>
        <v>0</v>
      </c>
      <c r="AA180">
        <f>ROUND(IF(FALSE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,0)</f>
        <v>117312</v>
      </c>
    </row>
    <row r="181" spans="1:27">
      <c r="A181" s="30">
        <f>176</f>
        <v>176</v>
      </c>
      <c r="B181" s="31">
        <f>EDATE(入力!$B$6,A181-1)</f>
        <v>51561</v>
      </c>
      <c r="C181" s="32">
        <f t="shared" si="37"/>
        <v>17914482</v>
      </c>
      <c r="D181" s="32">
        <f t="shared" si="38"/>
        <v>0</v>
      </c>
      <c r="E181" s="33">
        <f>IF(AND(T180="",A181&lt;=S180),IF(A181&lt;入力!$B$11,入力!$B$10,入力!$B$12),0)</f>
        <v>2.5000000000000001E-2</v>
      </c>
      <c r="F181" s="32">
        <f t="shared" si="39"/>
        <v>37322</v>
      </c>
      <c r="G181" s="32">
        <f>ROUND(IF(NOT(AND(T180="",A181&lt;=S180)),0,IF(FALSE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),0)</f>
        <v>117312</v>
      </c>
      <c r="H181" s="32">
        <f t="shared" si="40"/>
        <v>117312</v>
      </c>
      <c r="I181" s="32">
        <f t="shared" si="41"/>
        <v>37322</v>
      </c>
      <c r="J181" s="32">
        <f t="shared" si="42"/>
        <v>0</v>
      </c>
      <c r="K181" s="32">
        <f t="shared" si="43"/>
        <v>0</v>
      </c>
      <c r="L181" s="32">
        <f t="shared" si="44"/>
        <v>79990</v>
      </c>
      <c r="M181" s="32">
        <f>IF(AND(AND(T180="",A181&lt;=S180),A181=入力!$B$15),ROUND(MIN(入力!$B$16,MAX(0,C181-L181)),0),0)</f>
        <v>0</v>
      </c>
      <c r="N181" s="32">
        <f t="shared" si="45"/>
        <v>17834492</v>
      </c>
      <c r="O181" s="32">
        <f t="shared" si="46"/>
        <v>7091564</v>
      </c>
      <c r="P181" s="34" t="str">
        <f>IF(NOT(AND(T180="",A181&lt;=S180)),"",IF(FALSE,"繰上返済後再計算","")&amp;IF(AND(入力!$B$13="有効",A181&gt;1,MOD(A181-1,60)=0),IF(FALSE,"・","")&amp;"5年見直し","")&amp;IF(AND(A181=入力!$B$11,A181&gt;1),IF(OR(FALSE,AND(入力!$B$13="有効",A181&gt;1,MOD(A181-1,60)=0)),"・","")&amp;"金利変更","")&amp;IF(AND(OR(AND(入力!$B$13="有効",A181&gt;1,MOD(A181-1,60)=0),AND(A181=入力!$B$11,A181&gt;1)),入力!$B$14="有効",IF(E181=0,ROUND(C181/MAX(1,S180-A181+1),0),ROUND(-PMT(E181/12,MAX(1,S180-A181+1),C181),0))&gt;ROUND(G180*1.25,0),NOT(FALSE)),"・上限適用",""))</f>
        <v/>
      </c>
      <c r="Q181" s="35" t="str">
        <f>IF(AND(T180="",A181&lt;=S180),入力!$B$13,"")</f>
        <v>有効</v>
      </c>
      <c r="R181" s="32" t="str">
        <f>IF(AND(AND(T180="",A181&lt;=S180),OR(AND(入力!$B$13="有効",A181&gt;1,MOD(A181-1,60)=0),AND(A181=入力!$B$11,A181&gt;1)),入力!$B$14="有効"),ROUND(G180*1.25,0),"")</f>
        <v/>
      </c>
      <c r="S181" s="36">
        <f>IF(A181&lt;&gt;入力!$B$15,S180,IF(K181&lt;&gt;0,S180,IF(G181&lt;=F181,S180,IF(M181&lt;=0,S180,IF(AND(N181&gt;0,E181&gt;0,G181&lt;=N181*E181/12),S180,IF(A181+IF(N181=0,0,IF(E181=0,ROUNDUP(N181/G181,0),ROUNDUP(NPER(E181/12,-G181,N181),0)))&lt;S180,A181+IF(N181=0,0,IF(E181=0,ROUNDUP(N181/G181,0),ROUNDUP(NPER(E181/12,-G181,N181),0))),S180))))))</f>
        <v>359</v>
      </c>
      <c r="T181" s="35" t="str">
        <f t="shared" si="47"/>
        <v/>
      </c>
      <c r="U181" s="3">
        <f t="shared" si="32"/>
        <v>0</v>
      </c>
      <c r="V181" s="3">
        <f t="shared" si="33"/>
        <v>0</v>
      </c>
      <c r="W181" s="3">
        <f t="shared" si="34"/>
        <v>0</v>
      </c>
      <c r="X181" s="3">
        <f t="shared" si="35"/>
        <v>0</v>
      </c>
      <c r="Y181" s="3">
        <f>0</f>
        <v>0</v>
      </c>
      <c r="Z181" s="3">
        <f t="shared" si="36"/>
        <v>0</v>
      </c>
      <c r="AA181">
        <f>ROUND(IF(FALSE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,0)</f>
        <v>117312</v>
      </c>
    </row>
    <row r="182" spans="1:27">
      <c r="A182" s="30">
        <f>177</f>
        <v>177</v>
      </c>
      <c r="B182" s="31">
        <f>EDATE(入力!$B$6,A182-1)</f>
        <v>51592</v>
      </c>
      <c r="C182" s="32">
        <f t="shared" si="37"/>
        <v>17834492</v>
      </c>
      <c r="D182" s="32">
        <f t="shared" si="38"/>
        <v>0</v>
      </c>
      <c r="E182" s="33">
        <f>IF(AND(T181="",A182&lt;=S181),IF(A182&lt;入力!$B$11,入力!$B$10,入力!$B$12),0)</f>
        <v>2.5000000000000001E-2</v>
      </c>
      <c r="F182" s="32">
        <f t="shared" si="39"/>
        <v>37155</v>
      </c>
      <c r="G182" s="32">
        <f>ROUND(IF(NOT(AND(T181="",A182&lt;=S181)),0,IF(FALSE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),0)</f>
        <v>117312</v>
      </c>
      <c r="H182" s="32">
        <f t="shared" si="40"/>
        <v>117312</v>
      </c>
      <c r="I182" s="32">
        <f t="shared" si="41"/>
        <v>37155</v>
      </c>
      <c r="J182" s="32">
        <f t="shared" si="42"/>
        <v>0</v>
      </c>
      <c r="K182" s="32">
        <f t="shared" si="43"/>
        <v>0</v>
      </c>
      <c r="L182" s="32">
        <f t="shared" si="44"/>
        <v>80157</v>
      </c>
      <c r="M182" s="32">
        <f>IF(AND(AND(T181="",A182&lt;=S181),A182=入力!$B$15),ROUND(MIN(入力!$B$16,MAX(0,C182-L182)),0),0)</f>
        <v>0</v>
      </c>
      <c r="N182" s="32">
        <f t="shared" si="45"/>
        <v>17754335</v>
      </c>
      <c r="O182" s="32">
        <f t="shared" si="46"/>
        <v>7128719</v>
      </c>
      <c r="P182" s="34" t="str">
        <f>IF(NOT(AND(T181="",A182&lt;=S181)),"",IF(FALSE,"繰上返済後再計算","")&amp;IF(AND(入力!$B$13="有効",A182&gt;1,MOD(A182-1,60)=0),IF(FALSE,"・","")&amp;"5年見直し","")&amp;IF(AND(A182=入力!$B$11,A182&gt;1),IF(OR(FALSE,AND(入力!$B$13="有効",A182&gt;1,MOD(A182-1,60)=0)),"・","")&amp;"金利変更","")&amp;IF(AND(OR(AND(入力!$B$13="有効",A182&gt;1,MOD(A182-1,60)=0),AND(A182=入力!$B$11,A182&gt;1)),入力!$B$14="有効",IF(E182=0,ROUND(C182/MAX(1,S181-A182+1),0),ROUND(-PMT(E182/12,MAX(1,S181-A182+1),C182),0))&gt;ROUND(G181*1.25,0),NOT(FALSE)),"・上限適用",""))</f>
        <v/>
      </c>
      <c r="Q182" s="35" t="str">
        <f>IF(AND(T181="",A182&lt;=S181),入力!$B$13,"")</f>
        <v>有効</v>
      </c>
      <c r="R182" s="32" t="str">
        <f>IF(AND(AND(T181="",A182&lt;=S181),OR(AND(入力!$B$13="有効",A182&gt;1,MOD(A182-1,60)=0),AND(A182=入力!$B$11,A182&gt;1)),入力!$B$14="有効"),ROUND(G181*1.25,0),"")</f>
        <v/>
      </c>
      <c r="S182" s="36">
        <f>IF(A182&lt;&gt;入力!$B$15,S181,IF(K182&lt;&gt;0,S181,IF(G182&lt;=F182,S181,IF(M182&lt;=0,S181,IF(AND(N182&gt;0,E182&gt;0,G182&lt;=N182*E182/12),S181,IF(A182+IF(N182=0,0,IF(E182=0,ROUNDUP(N182/G182,0),ROUNDUP(NPER(E182/12,-G182,N182),0)))&lt;S181,A182+IF(N182=0,0,IF(E182=0,ROUNDUP(N182/G182,0),ROUNDUP(NPER(E182/12,-G182,N182),0))),S181))))))</f>
        <v>359</v>
      </c>
      <c r="T182" s="35" t="str">
        <f t="shared" si="47"/>
        <v/>
      </c>
      <c r="U182" s="3">
        <f t="shared" si="32"/>
        <v>0</v>
      </c>
      <c r="V182" s="3">
        <f t="shared" si="33"/>
        <v>0</v>
      </c>
      <c r="W182" s="3">
        <f t="shared" si="34"/>
        <v>0</v>
      </c>
      <c r="X182" s="3">
        <f t="shared" si="35"/>
        <v>0</v>
      </c>
      <c r="Y182" s="3">
        <f>0</f>
        <v>0</v>
      </c>
      <c r="Z182" s="3">
        <f t="shared" si="36"/>
        <v>0</v>
      </c>
      <c r="AA182">
        <f>ROUND(IF(FALSE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,0)</f>
        <v>117312</v>
      </c>
    </row>
    <row r="183" spans="1:27">
      <c r="A183" s="30">
        <f>178</f>
        <v>178</v>
      </c>
      <c r="B183" s="31">
        <f>EDATE(入力!$B$6,A183-1)</f>
        <v>51622</v>
      </c>
      <c r="C183" s="32">
        <f t="shared" si="37"/>
        <v>17754335</v>
      </c>
      <c r="D183" s="32">
        <f t="shared" si="38"/>
        <v>0</v>
      </c>
      <c r="E183" s="33">
        <f>IF(AND(T182="",A183&lt;=S182),IF(A183&lt;入力!$B$11,入力!$B$10,入力!$B$12),0)</f>
        <v>2.5000000000000001E-2</v>
      </c>
      <c r="F183" s="32">
        <f t="shared" si="39"/>
        <v>36988</v>
      </c>
      <c r="G183" s="32">
        <f>ROUND(IF(NOT(AND(T182="",A183&lt;=S182)),0,IF(FALSE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),0)</f>
        <v>117312</v>
      </c>
      <c r="H183" s="32">
        <f t="shared" si="40"/>
        <v>117312</v>
      </c>
      <c r="I183" s="32">
        <f t="shared" si="41"/>
        <v>36988</v>
      </c>
      <c r="J183" s="32">
        <f t="shared" si="42"/>
        <v>0</v>
      </c>
      <c r="K183" s="32">
        <f t="shared" si="43"/>
        <v>0</v>
      </c>
      <c r="L183" s="32">
        <f t="shared" si="44"/>
        <v>80324</v>
      </c>
      <c r="M183" s="32">
        <f>IF(AND(AND(T182="",A183&lt;=S182),A183=入力!$B$15),ROUND(MIN(入力!$B$16,MAX(0,C183-L183)),0),0)</f>
        <v>0</v>
      </c>
      <c r="N183" s="32">
        <f t="shared" si="45"/>
        <v>17674011</v>
      </c>
      <c r="O183" s="32">
        <f t="shared" si="46"/>
        <v>7165707</v>
      </c>
      <c r="P183" s="34" t="str">
        <f>IF(NOT(AND(T182="",A183&lt;=S182)),"",IF(FALSE,"繰上返済後再計算","")&amp;IF(AND(入力!$B$13="有効",A183&gt;1,MOD(A183-1,60)=0),IF(FALSE,"・","")&amp;"5年見直し","")&amp;IF(AND(A183=入力!$B$11,A183&gt;1),IF(OR(FALSE,AND(入力!$B$13="有効",A183&gt;1,MOD(A183-1,60)=0)),"・","")&amp;"金利変更","")&amp;IF(AND(OR(AND(入力!$B$13="有効",A183&gt;1,MOD(A183-1,60)=0),AND(A183=入力!$B$11,A183&gt;1)),入力!$B$14="有効",IF(E183=0,ROUND(C183/MAX(1,S182-A183+1),0),ROUND(-PMT(E183/12,MAX(1,S182-A183+1),C183),0))&gt;ROUND(G182*1.25,0),NOT(FALSE)),"・上限適用",""))</f>
        <v/>
      </c>
      <c r="Q183" s="35" t="str">
        <f>IF(AND(T182="",A183&lt;=S182),入力!$B$13,"")</f>
        <v>有効</v>
      </c>
      <c r="R183" s="32" t="str">
        <f>IF(AND(AND(T182="",A183&lt;=S182),OR(AND(入力!$B$13="有効",A183&gt;1,MOD(A183-1,60)=0),AND(A183=入力!$B$11,A183&gt;1)),入力!$B$14="有効"),ROUND(G182*1.25,0),"")</f>
        <v/>
      </c>
      <c r="S183" s="36">
        <f>IF(A183&lt;&gt;入力!$B$15,S182,IF(K183&lt;&gt;0,S182,IF(G183&lt;=F183,S182,IF(M183&lt;=0,S182,IF(AND(N183&gt;0,E183&gt;0,G183&lt;=N183*E183/12),S182,IF(A183+IF(N183=0,0,IF(E183=0,ROUNDUP(N183/G183,0),ROUNDUP(NPER(E183/12,-G183,N183),0)))&lt;S182,A183+IF(N183=0,0,IF(E183=0,ROUNDUP(N183/G183,0),ROUNDUP(NPER(E183/12,-G183,N183),0))),S182))))))</f>
        <v>359</v>
      </c>
      <c r="T183" s="35" t="str">
        <f t="shared" si="47"/>
        <v/>
      </c>
      <c r="U183" s="3">
        <f t="shared" si="32"/>
        <v>0</v>
      </c>
      <c r="V183" s="3">
        <f t="shared" si="33"/>
        <v>0</v>
      </c>
      <c r="W183" s="3">
        <f t="shared" si="34"/>
        <v>0</v>
      </c>
      <c r="X183" s="3">
        <f t="shared" si="35"/>
        <v>0</v>
      </c>
      <c r="Y183" s="3">
        <f>0</f>
        <v>0</v>
      </c>
      <c r="Z183" s="3">
        <f t="shared" si="36"/>
        <v>0</v>
      </c>
      <c r="AA183">
        <f>ROUND(IF(FALSE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,0)</f>
        <v>117312</v>
      </c>
    </row>
    <row r="184" spans="1:27">
      <c r="A184" s="30">
        <f>179</f>
        <v>179</v>
      </c>
      <c r="B184" s="31">
        <f>EDATE(入力!$B$6,A184-1)</f>
        <v>51653</v>
      </c>
      <c r="C184" s="32">
        <f t="shared" si="37"/>
        <v>17674011</v>
      </c>
      <c r="D184" s="32">
        <f t="shared" si="38"/>
        <v>0</v>
      </c>
      <c r="E184" s="33">
        <f>IF(AND(T183="",A184&lt;=S183),IF(A184&lt;入力!$B$11,入力!$B$10,入力!$B$12),0)</f>
        <v>2.5000000000000001E-2</v>
      </c>
      <c r="F184" s="32">
        <f t="shared" si="39"/>
        <v>36821</v>
      </c>
      <c r="G184" s="32">
        <f>ROUND(IF(NOT(AND(T183="",A184&lt;=S183)),0,IF(FALSE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),0)</f>
        <v>117312</v>
      </c>
      <c r="H184" s="32">
        <f t="shared" si="40"/>
        <v>117312</v>
      </c>
      <c r="I184" s="32">
        <f t="shared" si="41"/>
        <v>36821</v>
      </c>
      <c r="J184" s="32">
        <f t="shared" si="42"/>
        <v>0</v>
      </c>
      <c r="K184" s="32">
        <f t="shared" si="43"/>
        <v>0</v>
      </c>
      <c r="L184" s="32">
        <f t="shared" si="44"/>
        <v>80491</v>
      </c>
      <c r="M184" s="32">
        <f>IF(AND(AND(T183="",A184&lt;=S183),A184=入力!$B$15),ROUND(MIN(入力!$B$16,MAX(0,C184-L184)),0),0)</f>
        <v>0</v>
      </c>
      <c r="N184" s="32">
        <f t="shared" si="45"/>
        <v>17593520</v>
      </c>
      <c r="O184" s="32">
        <f t="shared" si="46"/>
        <v>7202528</v>
      </c>
      <c r="P184" s="34" t="str">
        <f>IF(NOT(AND(T183="",A184&lt;=S183)),"",IF(FALSE,"繰上返済後再計算","")&amp;IF(AND(入力!$B$13="有効",A184&gt;1,MOD(A184-1,60)=0),IF(FALSE,"・","")&amp;"5年見直し","")&amp;IF(AND(A184=入力!$B$11,A184&gt;1),IF(OR(FALSE,AND(入力!$B$13="有効",A184&gt;1,MOD(A184-1,60)=0)),"・","")&amp;"金利変更","")&amp;IF(AND(OR(AND(入力!$B$13="有効",A184&gt;1,MOD(A184-1,60)=0),AND(A184=入力!$B$11,A184&gt;1)),入力!$B$14="有効",IF(E184=0,ROUND(C184/MAX(1,S183-A184+1),0),ROUND(-PMT(E184/12,MAX(1,S183-A184+1),C184),0))&gt;ROUND(G183*1.25,0),NOT(FALSE)),"・上限適用",""))</f>
        <v/>
      </c>
      <c r="Q184" s="35" t="str">
        <f>IF(AND(T183="",A184&lt;=S183),入力!$B$13,"")</f>
        <v>有効</v>
      </c>
      <c r="R184" s="32" t="str">
        <f>IF(AND(AND(T183="",A184&lt;=S183),OR(AND(入力!$B$13="有効",A184&gt;1,MOD(A184-1,60)=0),AND(A184=入力!$B$11,A184&gt;1)),入力!$B$14="有効"),ROUND(G183*1.25,0),"")</f>
        <v/>
      </c>
      <c r="S184" s="36">
        <f>IF(A184&lt;&gt;入力!$B$15,S183,IF(K184&lt;&gt;0,S183,IF(G184&lt;=F184,S183,IF(M184&lt;=0,S183,IF(AND(N184&gt;0,E184&gt;0,G184&lt;=N184*E184/12),S183,IF(A184+IF(N184=0,0,IF(E184=0,ROUNDUP(N184/G184,0),ROUNDUP(NPER(E184/12,-G184,N184),0)))&lt;S183,A184+IF(N184=0,0,IF(E184=0,ROUNDUP(N184/G184,0),ROUNDUP(NPER(E184/12,-G184,N184),0))),S183))))))</f>
        <v>359</v>
      </c>
      <c r="T184" s="35" t="str">
        <f t="shared" si="47"/>
        <v/>
      </c>
      <c r="U184" s="3">
        <f t="shared" si="32"/>
        <v>0</v>
      </c>
      <c r="V184" s="3">
        <f t="shared" si="33"/>
        <v>0</v>
      </c>
      <c r="W184" s="3">
        <f t="shared" si="34"/>
        <v>0</v>
      </c>
      <c r="X184" s="3">
        <f t="shared" si="35"/>
        <v>0</v>
      </c>
      <c r="Y184" s="3">
        <f>0</f>
        <v>0</v>
      </c>
      <c r="Z184" s="3">
        <f t="shared" si="36"/>
        <v>0</v>
      </c>
      <c r="AA184">
        <f>ROUND(IF(FALSE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,0)</f>
        <v>117312</v>
      </c>
    </row>
    <row r="185" spans="1:27">
      <c r="A185" s="30">
        <f>180</f>
        <v>180</v>
      </c>
      <c r="B185" s="31">
        <f>EDATE(入力!$B$6,A185-1)</f>
        <v>51683</v>
      </c>
      <c r="C185" s="32">
        <f t="shared" si="37"/>
        <v>17593520</v>
      </c>
      <c r="D185" s="32">
        <f t="shared" si="38"/>
        <v>0</v>
      </c>
      <c r="E185" s="33">
        <f>IF(AND(T184="",A185&lt;=S184),IF(A185&lt;入力!$B$11,入力!$B$10,入力!$B$12),0)</f>
        <v>2.5000000000000001E-2</v>
      </c>
      <c r="F185" s="32">
        <f t="shared" si="39"/>
        <v>36653</v>
      </c>
      <c r="G185" s="32">
        <f>ROUND(IF(NOT(AND(T184="",A185&lt;=S184)),0,IF(FALSE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),0)</f>
        <v>117312</v>
      </c>
      <c r="H185" s="32">
        <f t="shared" si="40"/>
        <v>117312</v>
      </c>
      <c r="I185" s="32">
        <f t="shared" si="41"/>
        <v>36653</v>
      </c>
      <c r="J185" s="32">
        <f t="shared" si="42"/>
        <v>0</v>
      </c>
      <c r="K185" s="32">
        <f t="shared" si="43"/>
        <v>0</v>
      </c>
      <c r="L185" s="32">
        <f t="shared" si="44"/>
        <v>80659</v>
      </c>
      <c r="M185" s="32">
        <f>IF(AND(AND(T184="",A185&lt;=S184),A185=入力!$B$15),ROUND(MIN(入力!$B$16,MAX(0,C185-L185)),0),0)</f>
        <v>0</v>
      </c>
      <c r="N185" s="32">
        <f t="shared" si="45"/>
        <v>17512861</v>
      </c>
      <c r="O185" s="32">
        <f t="shared" si="46"/>
        <v>7239181</v>
      </c>
      <c r="P185" s="34" t="str">
        <f>IF(NOT(AND(T184="",A185&lt;=S184)),"",IF(FALSE,"繰上返済後再計算","")&amp;IF(AND(入力!$B$13="有効",A185&gt;1,MOD(A185-1,60)=0),IF(FALSE,"・","")&amp;"5年見直し","")&amp;IF(AND(A185=入力!$B$11,A185&gt;1),IF(OR(FALSE,AND(入力!$B$13="有効",A185&gt;1,MOD(A185-1,60)=0)),"・","")&amp;"金利変更","")&amp;IF(AND(OR(AND(入力!$B$13="有効",A185&gt;1,MOD(A185-1,60)=0),AND(A185=入力!$B$11,A185&gt;1)),入力!$B$14="有効",IF(E185=0,ROUND(C185/MAX(1,S184-A185+1),0),ROUND(-PMT(E185/12,MAX(1,S184-A185+1),C185),0))&gt;ROUND(G184*1.25,0),NOT(FALSE)),"・上限適用",""))</f>
        <v/>
      </c>
      <c r="Q185" s="35" t="str">
        <f>IF(AND(T184="",A185&lt;=S184),入力!$B$13,"")</f>
        <v>有効</v>
      </c>
      <c r="R185" s="32" t="str">
        <f>IF(AND(AND(T184="",A185&lt;=S184),OR(AND(入力!$B$13="有効",A185&gt;1,MOD(A185-1,60)=0),AND(A185=入力!$B$11,A185&gt;1)),入力!$B$14="有効"),ROUND(G184*1.25,0),"")</f>
        <v/>
      </c>
      <c r="S185" s="36">
        <f>IF(A185&lt;&gt;入力!$B$15,S184,IF(K185&lt;&gt;0,S184,IF(G185&lt;=F185,S184,IF(M185&lt;=0,S184,IF(AND(N185&gt;0,E185&gt;0,G185&lt;=N185*E185/12),S184,IF(A185+IF(N185=0,0,IF(E185=0,ROUNDUP(N185/G185,0),ROUNDUP(NPER(E185/12,-G185,N185),0)))&lt;S184,A185+IF(N185=0,0,IF(E185=0,ROUNDUP(N185/G185,0),ROUNDUP(NPER(E185/12,-G185,N185),0))),S184))))))</f>
        <v>359</v>
      </c>
      <c r="T185" s="35" t="str">
        <f t="shared" si="47"/>
        <v/>
      </c>
      <c r="U185" s="3">
        <f t="shared" si="32"/>
        <v>0</v>
      </c>
      <c r="V185" s="3">
        <f t="shared" si="33"/>
        <v>0</v>
      </c>
      <c r="W185" s="3">
        <f t="shared" si="34"/>
        <v>0</v>
      </c>
      <c r="X185" s="3">
        <f t="shared" si="35"/>
        <v>0</v>
      </c>
      <c r="Y185" s="3">
        <f>0</f>
        <v>0</v>
      </c>
      <c r="Z185" s="3">
        <f t="shared" si="36"/>
        <v>0</v>
      </c>
      <c r="AA185">
        <f>ROUND(IF(FALSE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,0)</f>
        <v>117312</v>
      </c>
    </row>
    <row r="186" spans="1:27">
      <c r="A186" s="30">
        <f>181</f>
        <v>181</v>
      </c>
      <c r="B186" s="31">
        <f>EDATE(入力!$B$6,A186-1)</f>
        <v>51714</v>
      </c>
      <c r="C186" s="32">
        <f t="shared" si="37"/>
        <v>17512861</v>
      </c>
      <c r="D186" s="32">
        <f t="shared" si="38"/>
        <v>0</v>
      </c>
      <c r="E186" s="33">
        <f>IF(AND(T185="",A186&lt;=S185),IF(A186&lt;入力!$B$11,入力!$B$10,入力!$B$12),0)</f>
        <v>2.5000000000000001E-2</v>
      </c>
      <c r="F186" s="32">
        <f t="shared" si="39"/>
        <v>36485</v>
      </c>
      <c r="G186" s="32">
        <f>ROUND(IF(NOT(AND(T185="",A186&lt;=S185)),0,IF(FALSE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),0)</f>
        <v>117312</v>
      </c>
      <c r="H186" s="32">
        <f t="shared" si="40"/>
        <v>117312</v>
      </c>
      <c r="I186" s="32">
        <f t="shared" si="41"/>
        <v>36485</v>
      </c>
      <c r="J186" s="32">
        <f t="shared" si="42"/>
        <v>0</v>
      </c>
      <c r="K186" s="32">
        <f t="shared" si="43"/>
        <v>0</v>
      </c>
      <c r="L186" s="32">
        <f t="shared" si="44"/>
        <v>80827</v>
      </c>
      <c r="M186" s="32">
        <f>IF(AND(AND(T185="",A186&lt;=S185),A186=入力!$B$15),ROUND(MIN(入力!$B$16,MAX(0,C186-L186)),0),0)</f>
        <v>0</v>
      </c>
      <c r="N186" s="32">
        <f t="shared" si="45"/>
        <v>17432034</v>
      </c>
      <c r="O186" s="32">
        <f t="shared" si="46"/>
        <v>7275666</v>
      </c>
      <c r="P186" s="34" t="str">
        <f>IF(NOT(AND(T185="",A186&lt;=S185)),"",IF(FALSE,"繰上返済後再計算","")&amp;IF(AND(入力!$B$13="有効",A186&gt;1,MOD(A186-1,60)=0),IF(FALSE,"・","")&amp;"5年見直し","")&amp;IF(AND(A186=入力!$B$11,A186&gt;1),IF(OR(FALSE,AND(入力!$B$13="有効",A186&gt;1,MOD(A186-1,60)=0)),"・","")&amp;"金利変更","")&amp;IF(AND(OR(AND(入力!$B$13="有効",A186&gt;1,MOD(A186-1,60)=0),AND(A186=入力!$B$11,A186&gt;1)),入力!$B$14="有効",IF(E186=0,ROUND(C186/MAX(1,S185-A186+1),0),ROUND(-PMT(E186/12,MAX(1,S185-A186+1),C186),0))&gt;ROUND(G185*1.25,0),NOT(FALSE)),"・上限適用",""))</f>
        <v>5年見直し</v>
      </c>
      <c r="Q186" s="35" t="str">
        <f>IF(AND(T185="",A186&lt;=S185),入力!$B$13,"")</f>
        <v>有効</v>
      </c>
      <c r="R186" s="32">
        <f>IF(AND(AND(T185="",A186&lt;=S185),OR(AND(入力!$B$13="有効",A186&gt;1,MOD(A186-1,60)=0),AND(A186=入力!$B$11,A186&gt;1)),入力!$B$14="有効"),ROUND(G185*1.25,0),"")</f>
        <v>146640</v>
      </c>
      <c r="S186" s="36">
        <f>IF(A186&lt;&gt;入力!$B$15,S185,IF(K186&lt;&gt;0,S185,IF(G186&lt;=F186,S185,IF(M186&lt;=0,S185,IF(AND(N186&gt;0,E186&gt;0,G186&lt;=N186*E186/12),S185,IF(A186+IF(N186=0,0,IF(E186=0,ROUNDUP(N186/G186,0),ROUNDUP(NPER(E186/12,-G186,N186),0)))&lt;S185,A186+IF(N186=0,0,IF(E186=0,ROUNDUP(N186/G186,0),ROUNDUP(NPER(E186/12,-G186,N186),0))),S185))))))</f>
        <v>359</v>
      </c>
      <c r="T186" s="35" t="str">
        <f t="shared" si="47"/>
        <v/>
      </c>
      <c r="U186" s="3">
        <f t="shared" si="32"/>
        <v>0</v>
      </c>
      <c r="V186" s="3">
        <f t="shared" si="33"/>
        <v>0</v>
      </c>
      <c r="W186" s="3">
        <f t="shared" si="34"/>
        <v>0</v>
      </c>
      <c r="X186" s="3">
        <f t="shared" si="35"/>
        <v>0</v>
      </c>
      <c r="Y186" s="3">
        <f>0</f>
        <v>0</v>
      </c>
      <c r="Z186" s="3">
        <f t="shared" si="36"/>
        <v>0</v>
      </c>
      <c r="AA186">
        <f>ROUND(IF(FALSE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,0)</f>
        <v>117312</v>
      </c>
    </row>
    <row r="187" spans="1:27">
      <c r="A187" s="30">
        <f>182</f>
        <v>182</v>
      </c>
      <c r="B187" s="31">
        <f>EDATE(入力!$B$6,A187-1)</f>
        <v>51745</v>
      </c>
      <c r="C187" s="32">
        <f t="shared" si="37"/>
        <v>17432034</v>
      </c>
      <c r="D187" s="32">
        <f t="shared" si="38"/>
        <v>0</v>
      </c>
      <c r="E187" s="33">
        <f>IF(AND(T186="",A187&lt;=S186),IF(A187&lt;入力!$B$11,入力!$B$10,入力!$B$12),0)</f>
        <v>2.5000000000000001E-2</v>
      </c>
      <c r="F187" s="32">
        <f t="shared" si="39"/>
        <v>36317</v>
      </c>
      <c r="G187" s="32">
        <f>ROUND(IF(NOT(AND(T186="",A187&lt;=S186)),0,IF(FALSE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),0)</f>
        <v>117312</v>
      </c>
      <c r="H187" s="32">
        <f t="shared" si="40"/>
        <v>117312</v>
      </c>
      <c r="I187" s="32">
        <f t="shared" si="41"/>
        <v>36317</v>
      </c>
      <c r="J187" s="32">
        <f t="shared" si="42"/>
        <v>0</v>
      </c>
      <c r="K187" s="32">
        <f t="shared" si="43"/>
        <v>0</v>
      </c>
      <c r="L187" s="32">
        <f t="shared" si="44"/>
        <v>80995</v>
      </c>
      <c r="M187" s="32">
        <f>IF(AND(AND(T186="",A187&lt;=S186),A187=入力!$B$15),ROUND(MIN(入力!$B$16,MAX(0,C187-L187)),0),0)</f>
        <v>0</v>
      </c>
      <c r="N187" s="32">
        <f t="shared" si="45"/>
        <v>17351039</v>
      </c>
      <c r="O187" s="32">
        <f t="shared" si="46"/>
        <v>7311983</v>
      </c>
      <c r="P187" s="34" t="str">
        <f>IF(NOT(AND(T186="",A187&lt;=S186)),"",IF(FALSE,"繰上返済後再計算","")&amp;IF(AND(入力!$B$13="有効",A187&gt;1,MOD(A187-1,60)=0),IF(FALSE,"・","")&amp;"5年見直し","")&amp;IF(AND(A187=入力!$B$11,A187&gt;1),IF(OR(FALSE,AND(入力!$B$13="有効",A187&gt;1,MOD(A187-1,60)=0)),"・","")&amp;"金利変更","")&amp;IF(AND(OR(AND(入力!$B$13="有効",A187&gt;1,MOD(A187-1,60)=0),AND(A187=入力!$B$11,A187&gt;1)),入力!$B$14="有効",IF(E187=0,ROUND(C187/MAX(1,S186-A187+1),0),ROUND(-PMT(E187/12,MAX(1,S186-A187+1),C187),0))&gt;ROUND(G186*1.25,0),NOT(FALSE)),"・上限適用",""))</f>
        <v/>
      </c>
      <c r="Q187" s="35" t="str">
        <f>IF(AND(T186="",A187&lt;=S186),入力!$B$13,"")</f>
        <v>有効</v>
      </c>
      <c r="R187" s="32" t="str">
        <f>IF(AND(AND(T186="",A187&lt;=S186),OR(AND(入力!$B$13="有効",A187&gt;1,MOD(A187-1,60)=0),AND(A187=入力!$B$11,A187&gt;1)),入力!$B$14="有効"),ROUND(G186*1.25,0),"")</f>
        <v/>
      </c>
      <c r="S187" s="36">
        <f>IF(A187&lt;&gt;入力!$B$15,S186,IF(K187&lt;&gt;0,S186,IF(G187&lt;=F187,S186,IF(M187&lt;=0,S186,IF(AND(N187&gt;0,E187&gt;0,G187&lt;=N187*E187/12),S186,IF(A187+IF(N187=0,0,IF(E187=0,ROUNDUP(N187/G187,0),ROUNDUP(NPER(E187/12,-G187,N187),0)))&lt;S186,A187+IF(N187=0,0,IF(E187=0,ROUNDUP(N187/G187,0),ROUNDUP(NPER(E187/12,-G187,N187),0))),S186))))))</f>
        <v>359</v>
      </c>
      <c r="T187" s="35" t="str">
        <f t="shared" si="47"/>
        <v/>
      </c>
      <c r="U187" s="3">
        <f t="shared" si="32"/>
        <v>0</v>
      </c>
      <c r="V187" s="3">
        <f t="shared" si="33"/>
        <v>0</v>
      </c>
      <c r="W187" s="3">
        <f t="shared" si="34"/>
        <v>0</v>
      </c>
      <c r="X187" s="3">
        <f t="shared" si="35"/>
        <v>0</v>
      </c>
      <c r="Y187" s="3">
        <f>0</f>
        <v>0</v>
      </c>
      <c r="Z187" s="3">
        <f t="shared" si="36"/>
        <v>0</v>
      </c>
      <c r="AA187">
        <f>ROUND(IF(FALSE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,0)</f>
        <v>117312</v>
      </c>
    </row>
    <row r="188" spans="1:27">
      <c r="A188" s="30">
        <f>183</f>
        <v>183</v>
      </c>
      <c r="B188" s="31">
        <f>EDATE(入力!$B$6,A188-1)</f>
        <v>51775</v>
      </c>
      <c r="C188" s="32">
        <f t="shared" si="37"/>
        <v>17351039</v>
      </c>
      <c r="D188" s="32">
        <f t="shared" si="38"/>
        <v>0</v>
      </c>
      <c r="E188" s="33">
        <f>IF(AND(T187="",A188&lt;=S187),IF(A188&lt;入力!$B$11,入力!$B$10,入力!$B$12),0)</f>
        <v>2.5000000000000001E-2</v>
      </c>
      <c r="F188" s="32">
        <f t="shared" si="39"/>
        <v>36148</v>
      </c>
      <c r="G188" s="32">
        <f>ROUND(IF(NOT(AND(T187="",A188&lt;=S187)),0,IF(FALSE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),0)</f>
        <v>117312</v>
      </c>
      <c r="H188" s="32">
        <f t="shared" si="40"/>
        <v>117312</v>
      </c>
      <c r="I188" s="32">
        <f t="shared" si="41"/>
        <v>36148</v>
      </c>
      <c r="J188" s="32">
        <f t="shared" si="42"/>
        <v>0</v>
      </c>
      <c r="K188" s="32">
        <f t="shared" si="43"/>
        <v>0</v>
      </c>
      <c r="L188" s="32">
        <f t="shared" si="44"/>
        <v>81164</v>
      </c>
      <c r="M188" s="32">
        <f>IF(AND(AND(T187="",A188&lt;=S187),A188=入力!$B$15),ROUND(MIN(入力!$B$16,MAX(0,C188-L188)),0),0)</f>
        <v>0</v>
      </c>
      <c r="N188" s="32">
        <f t="shared" si="45"/>
        <v>17269875</v>
      </c>
      <c r="O188" s="32">
        <f t="shared" si="46"/>
        <v>7348131</v>
      </c>
      <c r="P188" s="34" t="str">
        <f>IF(NOT(AND(T187="",A188&lt;=S187)),"",IF(FALSE,"繰上返済後再計算","")&amp;IF(AND(入力!$B$13="有効",A188&gt;1,MOD(A188-1,60)=0),IF(FALSE,"・","")&amp;"5年見直し","")&amp;IF(AND(A188=入力!$B$11,A188&gt;1),IF(OR(FALSE,AND(入力!$B$13="有効",A188&gt;1,MOD(A188-1,60)=0)),"・","")&amp;"金利変更","")&amp;IF(AND(OR(AND(入力!$B$13="有効",A188&gt;1,MOD(A188-1,60)=0),AND(A188=入力!$B$11,A188&gt;1)),入力!$B$14="有効",IF(E188=0,ROUND(C188/MAX(1,S187-A188+1),0),ROUND(-PMT(E188/12,MAX(1,S187-A188+1),C188),0))&gt;ROUND(G187*1.25,0),NOT(FALSE)),"・上限適用",""))</f>
        <v/>
      </c>
      <c r="Q188" s="35" t="str">
        <f>IF(AND(T187="",A188&lt;=S187),入力!$B$13,"")</f>
        <v>有効</v>
      </c>
      <c r="R188" s="32" t="str">
        <f>IF(AND(AND(T187="",A188&lt;=S187),OR(AND(入力!$B$13="有効",A188&gt;1,MOD(A188-1,60)=0),AND(A188=入力!$B$11,A188&gt;1)),入力!$B$14="有効"),ROUND(G187*1.25,0),"")</f>
        <v/>
      </c>
      <c r="S188" s="36">
        <f>IF(A188&lt;&gt;入力!$B$15,S187,IF(K188&lt;&gt;0,S187,IF(G188&lt;=F188,S187,IF(M188&lt;=0,S187,IF(AND(N188&gt;0,E188&gt;0,G188&lt;=N188*E188/12),S187,IF(A188+IF(N188=0,0,IF(E188=0,ROUNDUP(N188/G188,0),ROUNDUP(NPER(E188/12,-G188,N188),0)))&lt;S187,A188+IF(N188=0,0,IF(E188=0,ROUNDUP(N188/G188,0),ROUNDUP(NPER(E188/12,-G188,N188),0))),S187))))))</f>
        <v>359</v>
      </c>
      <c r="T188" s="35" t="str">
        <f t="shared" si="47"/>
        <v/>
      </c>
      <c r="U188" s="3">
        <f t="shared" si="32"/>
        <v>0</v>
      </c>
      <c r="V188" s="3">
        <f t="shared" si="33"/>
        <v>0</v>
      </c>
      <c r="W188" s="3">
        <f t="shared" si="34"/>
        <v>0</v>
      </c>
      <c r="X188" s="3">
        <f t="shared" si="35"/>
        <v>0</v>
      </c>
      <c r="Y188" s="3">
        <f>0</f>
        <v>0</v>
      </c>
      <c r="Z188" s="3">
        <f t="shared" si="36"/>
        <v>0</v>
      </c>
      <c r="AA188">
        <f>ROUND(IF(FALSE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,0)</f>
        <v>117312</v>
      </c>
    </row>
    <row r="189" spans="1:27">
      <c r="A189" s="30">
        <f>184</f>
        <v>184</v>
      </c>
      <c r="B189" s="31">
        <f>EDATE(入力!$B$6,A189-1)</f>
        <v>51806</v>
      </c>
      <c r="C189" s="32">
        <f t="shared" si="37"/>
        <v>17269875</v>
      </c>
      <c r="D189" s="32">
        <f t="shared" si="38"/>
        <v>0</v>
      </c>
      <c r="E189" s="33">
        <f>IF(AND(T188="",A189&lt;=S188),IF(A189&lt;入力!$B$11,入力!$B$10,入力!$B$12),0)</f>
        <v>2.5000000000000001E-2</v>
      </c>
      <c r="F189" s="32">
        <f t="shared" si="39"/>
        <v>35979</v>
      </c>
      <c r="G189" s="32">
        <f>ROUND(IF(NOT(AND(T188="",A189&lt;=S188)),0,IF(FALSE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),0)</f>
        <v>117312</v>
      </c>
      <c r="H189" s="32">
        <f t="shared" si="40"/>
        <v>117312</v>
      </c>
      <c r="I189" s="32">
        <f t="shared" si="41"/>
        <v>35979</v>
      </c>
      <c r="J189" s="32">
        <f t="shared" si="42"/>
        <v>0</v>
      </c>
      <c r="K189" s="32">
        <f t="shared" si="43"/>
        <v>0</v>
      </c>
      <c r="L189" s="32">
        <f t="shared" si="44"/>
        <v>81333</v>
      </c>
      <c r="M189" s="32">
        <f>IF(AND(AND(T188="",A189&lt;=S188),A189=入力!$B$15),ROUND(MIN(入力!$B$16,MAX(0,C189-L189)),0),0)</f>
        <v>0</v>
      </c>
      <c r="N189" s="32">
        <f t="shared" si="45"/>
        <v>17188542</v>
      </c>
      <c r="O189" s="32">
        <f t="shared" si="46"/>
        <v>7384110</v>
      </c>
      <c r="P189" s="34" t="str">
        <f>IF(NOT(AND(T188="",A189&lt;=S188)),"",IF(FALSE,"繰上返済後再計算","")&amp;IF(AND(入力!$B$13="有効",A189&gt;1,MOD(A189-1,60)=0),IF(FALSE,"・","")&amp;"5年見直し","")&amp;IF(AND(A189=入力!$B$11,A189&gt;1),IF(OR(FALSE,AND(入力!$B$13="有効",A189&gt;1,MOD(A189-1,60)=0)),"・","")&amp;"金利変更","")&amp;IF(AND(OR(AND(入力!$B$13="有効",A189&gt;1,MOD(A189-1,60)=0),AND(A189=入力!$B$11,A189&gt;1)),入力!$B$14="有効",IF(E189=0,ROUND(C189/MAX(1,S188-A189+1),0),ROUND(-PMT(E189/12,MAX(1,S188-A189+1),C189),0))&gt;ROUND(G188*1.25,0),NOT(FALSE)),"・上限適用",""))</f>
        <v/>
      </c>
      <c r="Q189" s="35" t="str">
        <f>IF(AND(T188="",A189&lt;=S188),入力!$B$13,"")</f>
        <v>有効</v>
      </c>
      <c r="R189" s="32" t="str">
        <f>IF(AND(AND(T188="",A189&lt;=S188),OR(AND(入力!$B$13="有効",A189&gt;1,MOD(A189-1,60)=0),AND(A189=入力!$B$11,A189&gt;1)),入力!$B$14="有効"),ROUND(G188*1.25,0),"")</f>
        <v/>
      </c>
      <c r="S189" s="36">
        <f>IF(A189&lt;&gt;入力!$B$15,S188,IF(K189&lt;&gt;0,S188,IF(G189&lt;=F189,S188,IF(M189&lt;=0,S188,IF(AND(N189&gt;0,E189&gt;0,G189&lt;=N189*E189/12),S188,IF(A189+IF(N189=0,0,IF(E189=0,ROUNDUP(N189/G189,0),ROUNDUP(NPER(E189/12,-G189,N189),0)))&lt;S188,A189+IF(N189=0,0,IF(E189=0,ROUNDUP(N189/G189,0),ROUNDUP(NPER(E189/12,-G189,N189),0))),S188))))))</f>
        <v>359</v>
      </c>
      <c r="T189" s="35" t="str">
        <f t="shared" si="47"/>
        <v/>
      </c>
      <c r="U189" s="3">
        <f t="shared" si="32"/>
        <v>0</v>
      </c>
      <c r="V189" s="3">
        <f t="shared" si="33"/>
        <v>0</v>
      </c>
      <c r="W189" s="3">
        <f t="shared" si="34"/>
        <v>0</v>
      </c>
      <c r="X189" s="3">
        <f t="shared" si="35"/>
        <v>0</v>
      </c>
      <c r="Y189" s="3">
        <f>0</f>
        <v>0</v>
      </c>
      <c r="Z189" s="3">
        <f t="shared" si="36"/>
        <v>0</v>
      </c>
      <c r="AA189">
        <f>ROUND(IF(FALSE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,0)</f>
        <v>117312</v>
      </c>
    </row>
    <row r="190" spans="1:27">
      <c r="A190" s="30">
        <f>185</f>
        <v>185</v>
      </c>
      <c r="B190" s="31">
        <f>EDATE(入力!$B$6,A190-1)</f>
        <v>51836</v>
      </c>
      <c r="C190" s="32">
        <f t="shared" si="37"/>
        <v>17188542</v>
      </c>
      <c r="D190" s="32">
        <f t="shared" si="38"/>
        <v>0</v>
      </c>
      <c r="E190" s="33">
        <f>IF(AND(T189="",A190&lt;=S189),IF(A190&lt;入力!$B$11,入力!$B$10,入力!$B$12),0)</f>
        <v>2.5000000000000001E-2</v>
      </c>
      <c r="F190" s="32">
        <f t="shared" si="39"/>
        <v>35809</v>
      </c>
      <c r="G190" s="32">
        <f>ROUND(IF(NOT(AND(T189="",A190&lt;=S189)),0,IF(FALSE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),0)</f>
        <v>117312</v>
      </c>
      <c r="H190" s="32">
        <f t="shared" si="40"/>
        <v>117312</v>
      </c>
      <c r="I190" s="32">
        <f t="shared" si="41"/>
        <v>35809</v>
      </c>
      <c r="J190" s="32">
        <f t="shared" si="42"/>
        <v>0</v>
      </c>
      <c r="K190" s="32">
        <f t="shared" si="43"/>
        <v>0</v>
      </c>
      <c r="L190" s="32">
        <f t="shared" si="44"/>
        <v>81503</v>
      </c>
      <c r="M190" s="32">
        <f>IF(AND(AND(T189="",A190&lt;=S189),A190=入力!$B$15),ROUND(MIN(入力!$B$16,MAX(0,C190-L190)),0),0)</f>
        <v>0</v>
      </c>
      <c r="N190" s="32">
        <f t="shared" si="45"/>
        <v>17107039</v>
      </c>
      <c r="O190" s="32">
        <f t="shared" si="46"/>
        <v>7419919</v>
      </c>
      <c r="P190" s="34" t="str">
        <f>IF(NOT(AND(T189="",A190&lt;=S189)),"",IF(FALSE,"繰上返済後再計算","")&amp;IF(AND(入力!$B$13="有効",A190&gt;1,MOD(A190-1,60)=0),IF(FALSE,"・","")&amp;"5年見直し","")&amp;IF(AND(A190=入力!$B$11,A190&gt;1),IF(OR(FALSE,AND(入力!$B$13="有効",A190&gt;1,MOD(A190-1,60)=0)),"・","")&amp;"金利変更","")&amp;IF(AND(OR(AND(入力!$B$13="有効",A190&gt;1,MOD(A190-1,60)=0),AND(A190=入力!$B$11,A190&gt;1)),入力!$B$14="有効",IF(E190=0,ROUND(C190/MAX(1,S189-A190+1),0),ROUND(-PMT(E190/12,MAX(1,S189-A190+1),C190),0))&gt;ROUND(G189*1.25,0),NOT(FALSE)),"・上限適用",""))</f>
        <v/>
      </c>
      <c r="Q190" s="35" t="str">
        <f>IF(AND(T189="",A190&lt;=S189),入力!$B$13,"")</f>
        <v>有効</v>
      </c>
      <c r="R190" s="32" t="str">
        <f>IF(AND(AND(T189="",A190&lt;=S189),OR(AND(入力!$B$13="有効",A190&gt;1,MOD(A190-1,60)=0),AND(A190=入力!$B$11,A190&gt;1)),入力!$B$14="有効"),ROUND(G189*1.25,0),"")</f>
        <v/>
      </c>
      <c r="S190" s="36">
        <f>IF(A190&lt;&gt;入力!$B$15,S189,IF(K190&lt;&gt;0,S189,IF(G190&lt;=F190,S189,IF(M190&lt;=0,S189,IF(AND(N190&gt;0,E190&gt;0,G190&lt;=N190*E190/12),S189,IF(A190+IF(N190=0,0,IF(E190=0,ROUNDUP(N190/G190,0),ROUNDUP(NPER(E190/12,-G190,N190),0)))&lt;S189,A190+IF(N190=0,0,IF(E190=0,ROUNDUP(N190/G190,0),ROUNDUP(NPER(E190/12,-G190,N190),0))),S189))))))</f>
        <v>359</v>
      </c>
      <c r="T190" s="35" t="str">
        <f t="shared" si="47"/>
        <v/>
      </c>
      <c r="U190" s="3">
        <f t="shared" si="32"/>
        <v>0</v>
      </c>
      <c r="V190" s="3">
        <f t="shared" si="33"/>
        <v>0</v>
      </c>
      <c r="W190" s="3">
        <f t="shared" si="34"/>
        <v>0</v>
      </c>
      <c r="X190" s="3">
        <f t="shared" si="35"/>
        <v>0</v>
      </c>
      <c r="Y190" s="3">
        <f>0</f>
        <v>0</v>
      </c>
      <c r="Z190" s="3">
        <f t="shared" si="36"/>
        <v>0</v>
      </c>
      <c r="AA190">
        <f>ROUND(IF(FALSE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,0)</f>
        <v>117312</v>
      </c>
    </row>
    <row r="191" spans="1:27">
      <c r="A191" s="30">
        <f>186</f>
        <v>186</v>
      </c>
      <c r="B191" s="31">
        <f>EDATE(入力!$B$6,A191-1)</f>
        <v>51867</v>
      </c>
      <c r="C191" s="32">
        <f t="shared" si="37"/>
        <v>17107039</v>
      </c>
      <c r="D191" s="32">
        <f t="shared" si="38"/>
        <v>0</v>
      </c>
      <c r="E191" s="33">
        <f>IF(AND(T190="",A191&lt;=S190),IF(A191&lt;入力!$B$11,入力!$B$10,入力!$B$12),0)</f>
        <v>2.5000000000000001E-2</v>
      </c>
      <c r="F191" s="32">
        <f t="shared" si="39"/>
        <v>35640</v>
      </c>
      <c r="G191" s="32">
        <f>ROUND(IF(NOT(AND(T190="",A191&lt;=S190)),0,IF(FALSE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),0)</f>
        <v>117312</v>
      </c>
      <c r="H191" s="32">
        <f t="shared" si="40"/>
        <v>117312</v>
      </c>
      <c r="I191" s="32">
        <f t="shared" si="41"/>
        <v>35640</v>
      </c>
      <c r="J191" s="32">
        <f t="shared" si="42"/>
        <v>0</v>
      </c>
      <c r="K191" s="32">
        <f t="shared" si="43"/>
        <v>0</v>
      </c>
      <c r="L191" s="32">
        <f t="shared" si="44"/>
        <v>81672</v>
      </c>
      <c r="M191" s="32">
        <f>IF(AND(AND(T190="",A191&lt;=S190),A191=入力!$B$15),ROUND(MIN(入力!$B$16,MAX(0,C191-L191)),0),0)</f>
        <v>0</v>
      </c>
      <c r="N191" s="32">
        <f t="shared" si="45"/>
        <v>17025367</v>
      </c>
      <c r="O191" s="32">
        <f t="shared" si="46"/>
        <v>7455559</v>
      </c>
      <c r="P191" s="34" t="str">
        <f>IF(NOT(AND(T190="",A191&lt;=S190)),"",IF(FALSE,"繰上返済後再計算","")&amp;IF(AND(入力!$B$13="有効",A191&gt;1,MOD(A191-1,60)=0),IF(FALSE,"・","")&amp;"5年見直し","")&amp;IF(AND(A191=入力!$B$11,A191&gt;1),IF(OR(FALSE,AND(入力!$B$13="有効",A191&gt;1,MOD(A191-1,60)=0)),"・","")&amp;"金利変更","")&amp;IF(AND(OR(AND(入力!$B$13="有効",A191&gt;1,MOD(A191-1,60)=0),AND(A191=入力!$B$11,A191&gt;1)),入力!$B$14="有効",IF(E191=0,ROUND(C191/MAX(1,S190-A191+1),0),ROUND(-PMT(E191/12,MAX(1,S190-A191+1),C191),0))&gt;ROUND(G190*1.25,0),NOT(FALSE)),"・上限適用",""))</f>
        <v/>
      </c>
      <c r="Q191" s="35" t="str">
        <f>IF(AND(T190="",A191&lt;=S190),入力!$B$13,"")</f>
        <v>有効</v>
      </c>
      <c r="R191" s="32" t="str">
        <f>IF(AND(AND(T190="",A191&lt;=S190),OR(AND(入力!$B$13="有効",A191&gt;1,MOD(A191-1,60)=0),AND(A191=入力!$B$11,A191&gt;1)),入力!$B$14="有効"),ROUND(G190*1.25,0),"")</f>
        <v/>
      </c>
      <c r="S191" s="36">
        <f>IF(A191&lt;&gt;入力!$B$15,S190,IF(K191&lt;&gt;0,S190,IF(G191&lt;=F191,S190,IF(M191&lt;=0,S190,IF(AND(N191&gt;0,E191&gt;0,G191&lt;=N191*E191/12),S190,IF(A191+IF(N191=0,0,IF(E191=0,ROUNDUP(N191/G191,0),ROUNDUP(NPER(E191/12,-G191,N191),0)))&lt;S190,A191+IF(N191=0,0,IF(E191=0,ROUNDUP(N191/G191,0),ROUNDUP(NPER(E191/12,-G191,N191),0))),S190))))))</f>
        <v>359</v>
      </c>
      <c r="T191" s="35" t="str">
        <f t="shared" si="47"/>
        <v/>
      </c>
      <c r="U191" s="3">
        <f t="shared" si="32"/>
        <v>0</v>
      </c>
      <c r="V191" s="3">
        <f t="shared" si="33"/>
        <v>0</v>
      </c>
      <c r="W191" s="3">
        <f t="shared" si="34"/>
        <v>0</v>
      </c>
      <c r="X191" s="3">
        <f t="shared" si="35"/>
        <v>0</v>
      </c>
      <c r="Y191" s="3">
        <f>0</f>
        <v>0</v>
      </c>
      <c r="Z191" s="3">
        <f t="shared" si="36"/>
        <v>0</v>
      </c>
      <c r="AA191">
        <f>ROUND(IF(FALSE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,0)</f>
        <v>117312</v>
      </c>
    </row>
    <row r="192" spans="1:27">
      <c r="A192" s="30">
        <f>187</f>
        <v>187</v>
      </c>
      <c r="B192" s="31">
        <f>EDATE(入力!$B$6,A192-1)</f>
        <v>51898</v>
      </c>
      <c r="C192" s="32">
        <f t="shared" si="37"/>
        <v>17025367</v>
      </c>
      <c r="D192" s="32">
        <f t="shared" si="38"/>
        <v>0</v>
      </c>
      <c r="E192" s="33">
        <f>IF(AND(T191="",A192&lt;=S191),IF(A192&lt;入力!$B$11,入力!$B$10,入力!$B$12),0)</f>
        <v>2.5000000000000001E-2</v>
      </c>
      <c r="F192" s="32">
        <f t="shared" si="39"/>
        <v>35470</v>
      </c>
      <c r="G192" s="32">
        <f>ROUND(IF(NOT(AND(T191="",A192&lt;=S191)),0,IF(FALSE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),0)</f>
        <v>117312</v>
      </c>
      <c r="H192" s="32">
        <f t="shared" si="40"/>
        <v>117312</v>
      </c>
      <c r="I192" s="32">
        <f t="shared" si="41"/>
        <v>35470</v>
      </c>
      <c r="J192" s="32">
        <f t="shared" si="42"/>
        <v>0</v>
      </c>
      <c r="K192" s="32">
        <f t="shared" si="43"/>
        <v>0</v>
      </c>
      <c r="L192" s="32">
        <f t="shared" si="44"/>
        <v>81842</v>
      </c>
      <c r="M192" s="32">
        <f>IF(AND(AND(T191="",A192&lt;=S191),A192=入力!$B$15),ROUND(MIN(入力!$B$16,MAX(0,C192-L192)),0),0)</f>
        <v>0</v>
      </c>
      <c r="N192" s="32">
        <f t="shared" si="45"/>
        <v>16943525</v>
      </c>
      <c r="O192" s="32">
        <f t="shared" si="46"/>
        <v>7491029</v>
      </c>
      <c r="P192" s="34" t="str">
        <f>IF(NOT(AND(T191="",A192&lt;=S191)),"",IF(FALSE,"繰上返済後再計算","")&amp;IF(AND(入力!$B$13="有効",A192&gt;1,MOD(A192-1,60)=0),IF(FALSE,"・","")&amp;"5年見直し","")&amp;IF(AND(A192=入力!$B$11,A192&gt;1),IF(OR(FALSE,AND(入力!$B$13="有効",A192&gt;1,MOD(A192-1,60)=0)),"・","")&amp;"金利変更","")&amp;IF(AND(OR(AND(入力!$B$13="有効",A192&gt;1,MOD(A192-1,60)=0),AND(A192=入力!$B$11,A192&gt;1)),入力!$B$14="有効",IF(E192=0,ROUND(C192/MAX(1,S191-A192+1),0),ROUND(-PMT(E192/12,MAX(1,S191-A192+1),C192),0))&gt;ROUND(G191*1.25,0),NOT(FALSE)),"・上限適用",""))</f>
        <v/>
      </c>
      <c r="Q192" s="35" t="str">
        <f>IF(AND(T191="",A192&lt;=S191),入力!$B$13,"")</f>
        <v>有効</v>
      </c>
      <c r="R192" s="32" t="str">
        <f>IF(AND(AND(T191="",A192&lt;=S191),OR(AND(入力!$B$13="有効",A192&gt;1,MOD(A192-1,60)=0),AND(A192=入力!$B$11,A192&gt;1)),入力!$B$14="有効"),ROUND(G191*1.25,0),"")</f>
        <v/>
      </c>
      <c r="S192" s="36">
        <f>IF(A192&lt;&gt;入力!$B$15,S191,IF(K192&lt;&gt;0,S191,IF(G192&lt;=F192,S191,IF(M192&lt;=0,S191,IF(AND(N192&gt;0,E192&gt;0,G192&lt;=N192*E192/12),S191,IF(A192+IF(N192=0,0,IF(E192=0,ROUNDUP(N192/G192,0),ROUNDUP(NPER(E192/12,-G192,N192),0)))&lt;S191,A192+IF(N192=0,0,IF(E192=0,ROUNDUP(N192/G192,0),ROUNDUP(NPER(E192/12,-G192,N192),0))),S191))))))</f>
        <v>359</v>
      </c>
      <c r="T192" s="35" t="str">
        <f t="shared" si="47"/>
        <v/>
      </c>
      <c r="U192" s="3">
        <f t="shared" si="32"/>
        <v>0</v>
      </c>
      <c r="V192" s="3">
        <f t="shared" si="33"/>
        <v>0</v>
      </c>
      <c r="W192" s="3">
        <f t="shared" si="34"/>
        <v>0</v>
      </c>
      <c r="X192" s="3">
        <f t="shared" si="35"/>
        <v>0</v>
      </c>
      <c r="Y192" s="3">
        <f>0</f>
        <v>0</v>
      </c>
      <c r="Z192" s="3">
        <f t="shared" si="36"/>
        <v>0</v>
      </c>
      <c r="AA192">
        <f>ROUND(IF(FALSE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,0)</f>
        <v>117312</v>
      </c>
    </row>
    <row r="193" spans="1:27">
      <c r="A193" s="30">
        <f>188</f>
        <v>188</v>
      </c>
      <c r="B193" s="31">
        <f>EDATE(入力!$B$6,A193-1)</f>
        <v>51926</v>
      </c>
      <c r="C193" s="32">
        <f t="shared" si="37"/>
        <v>16943525</v>
      </c>
      <c r="D193" s="32">
        <f t="shared" si="38"/>
        <v>0</v>
      </c>
      <c r="E193" s="33">
        <f>IF(AND(T192="",A193&lt;=S192),IF(A193&lt;入力!$B$11,入力!$B$10,入力!$B$12),0)</f>
        <v>2.5000000000000001E-2</v>
      </c>
      <c r="F193" s="32">
        <f t="shared" si="39"/>
        <v>35299</v>
      </c>
      <c r="G193" s="32">
        <f>ROUND(IF(NOT(AND(T192="",A193&lt;=S192)),0,IF(FALSE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),0)</f>
        <v>117312</v>
      </c>
      <c r="H193" s="32">
        <f t="shared" si="40"/>
        <v>117312</v>
      </c>
      <c r="I193" s="32">
        <f t="shared" si="41"/>
        <v>35299</v>
      </c>
      <c r="J193" s="32">
        <f t="shared" si="42"/>
        <v>0</v>
      </c>
      <c r="K193" s="32">
        <f t="shared" si="43"/>
        <v>0</v>
      </c>
      <c r="L193" s="32">
        <f t="shared" si="44"/>
        <v>82013</v>
      </c>
      <c r="M193" s="32">
        <f>IF(AND(AND(T192="",A193&lt;=S192),A193=入力!$B$15),ROUND(MIN(入力!$B$16,MAX(0,C193-L193)),0),0)</f>
        <v>0</v>
      </c>
      <c r="N193" s="32">
        <f t="shared" si="45"/>
        <v>16861512</v>
      </c>
      <c r="O193" s="32">
        <f t="shared" si="46"/>
        <v>7526328</v>
      </c>
      <c r="P193" s="34" t="str">
        <f>IF(NOT(AND(T192="",A193&lt;=S192)),"",IF(FALSE,"繰上返済後再計算","")&amp;IF(AND(入力!$B$13="有効",A193&gt;1,MOD(A193-1,60)=0),IF(FALSE,"・","")&amp;"5年見直し","")&amp;IF(AND(A193=入力!$B$11,A193&gt;1),IF(OR(FALSE,AND(入力!$B$13="有効",A193&gt;1,MOD(A193-1,60)=0)),"・","")&amp;"金利変更","")&amp;IF(AND(OR(AND(入力!$B$13="有効",A193&gt;1,MOD(A193-1,60)=0),AND(A193=入力!$B$11,A193&gt;1)),入力!$B$14="有効",IF(E193=0,ROUND(C193/MAX(1,S192-A193+1),0),ROUND(-PMT(E193/12,MAX(1,S192-A193+1),C193),0))&gt;ROUND(G192*1.25,0),NOT(FALSE)),"・上限適用",""))</f>
        <v/>
      </c>
      <c r="Q193" s="35" t="str">
        <f>IF(AND(T192="",A193&lt;=S192),入力!$B$13,"")</f>
        <v>有効</v>
      </c>
      <c r="R193" s="32" t="str">
        <f>IF(AND(AND(T192="",A193&lt;=S192),OR(AND(入力!$B$13="有効",A193&gt;1,MOD(A193-1,60)=0),AND(A193=入力!$B$11,A193&gt;1)),入力!$B$14="有効"),ROUND(G192*1.25,0),"")</f>
        <v/>
      </c>
      <c r="S193" s="36">
        <f>IF(A193&lt;&gt;入力!$B$15,S192,IF(K193&lt;&gt;0,S192,IF(G193&lt;=F193,S192,IF(M193&lt;=0,S192,IF(AND(N193&gt;0,E193&gt;0,G193&lt;=N193*E193/12),S192,IF(A193+IF(N193=0,0,IF(E193=0,ROUNDUP(N193/G193,0),ROUNDUP(NPER(E193/12,-G193,N193),0)))&lt;S192,A193+IF(N193=0,0,IF(E193=0,ROUNDUP(N193/G193,0),ROUNDUP(NPER(E193/12,-G193,N193),0))),S192))))))</f>
        <v>359</v>
      </c>
      <c r="T193" s="35" t="str">
        <f t="shared" si="47"/>
        <v/>
      </c>
      <c r="U193" s="3">
        <f t="shared" si="32"/>
        <v>0</v>
      </c>
      <c r="V193" s="3">
        <f t="shared" si="33"/>
        <v>0</v>
      </c>
      <c r="W193" s="3">
        <f t="shared" si="34"/>
        <v>0</v>
      </c>
      <c r="X193" s="3">
        <f t="shared" si="35"/>
        <v>0</v>
      </c>
      <c r="Y193" s="3">
        <f>0</f>
        <v>0</v>
      </c>
      <c r="Z193" s="3">
        <f t="shared" si="36"/>
        <v>0</v>
      </c>
      <c r="AA193">
        <f>ROUND(IF(FALSE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,0)</f>
        <v>117312</v>
      </c>
    </row>
    <row r="194" spans="1:27">
      <c r="A194" s="30">
        <f>189</f>
        <v>189</v>
      </c>
      <c r="B194" s="31">
        <f>EDATE(入力!$B$6,A194-1)</f>
        <v>51957</v>
      </c>
      <c r="C194" s="32">
        <f t="shared" si="37"/>
        <v>16861512</v>
      </c>
      <c r="D194" s="32">
        <f t="shared" si="38"/>
        <v>0</v>
      </c>
      <c r="E194" s="33">
        <f>IF(AND(T193="",A194&lt;=S193),IF(A194&lt;入力!$B$11,入力!$B$10,入力!$B$12),0)</f>
        <v>2.5000000000000001E-2</v>
      </c>
      <c r="F194" s="32">
        <f t="shared" si="39"/>
        <v>35128</v>
      </c>
      <c r="G194" s="32">
        <f>ROUND(IF(NOT(AND(T193="",A194&lt;=S193)),0,IF(FALSE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),0)</f>
        <v>117312</v>
      </c>
      <c r="H194" s="32">
        <f t="shared" si="40"/>
        <v>117312</v>
      </c>
      <c r="I194" s="32">
        <f t="shared" si="41"/>
        <v>35128</v>
      </c>
      <c r="J194" s="32">
        <f t="shared" si="42"/>
        <v>0</v>
      </c>
      <c r="K194" s="32">
        <f t="shared" si="43"/>
        <v>0</v>
      </c>
      <c r="L194" s="32">
        <f t="shared" si="44"/>
        <v>82184</v>
      </c>
      <c r="M194" s="32">
        <f>IF(AND(AND(T193="",A194&lt;=S193),A194=入力!$B$15),ROUND(MIN(入力!$B$16,MAX(0,C194-L194)),0),0)</f>
        <v>0</v>
      </c>
      <c r="N194" s="32">
        <f t="shared" si="45"/>
        <v>16779328</v>
      </c>
      <c r="O194" s="32">
        <f t="shared" si="46"/>
        <v>7561456</v>
      </c>
      <c r="P194" s="34" t="str">
        <f>IF(NOT(AND(T193="",A194&lt;=S193)),"",IF(FALSE,"繰上返済後再計算","")&amp;IF(AND(入力!$B$13="有効",A194&gt;1,MOD(A194-1,60)=0),IF(FALSE,"・","")&amp;"5年見直し","")&amp;IF(AND(A194=入力!$B$11,A194&gt;1),IF(OR(FALSE,AND(入力!$B$13="有効",A194&gt;1,MOD(A194-1,60)=0)),"・","")&amp;"金利変更","")&amp;IF(AND(OR(AND(入力!$B$13="有効",A194&gt;1,MOD(A194-1,60)=0),AND(A194=入力!$B$11,A194&gt;1)),入力!$B$14="有効",IF(E194=0,ROUND(C194/MAX(1,S193-A194+1),0),ROUND(-PMT(E194/12,MAX(1,S193-A194+1),C194),0))&gt;ROUND(G193*1.25,0),NOT(FALSE)),"・上限適用",""))</f>
        <v/>
      </c>
      <c r="Q194" s="35" t="str">
        <f>IF(AND(T193="",A194&lt;=S193),入力!$B$13,"")</f>
        <v>有効</v>
      </c>
      <c r="R194" s="32" t="str">
        <f>IF(AND(AND(T193="",A194&lt;=S193),OR(AND(入力!$B$13="有効",A194&gt;1,MOD(A194-1,60)=0),AND(A194=入力!$B$11,A194&gt;1)),入力!$B$14="有効"),ROUND(G193*1.25,0),"")</f>
        <v/>
      </c>
      <c r="S194" s="36">
        <f>IF(A194&lt;&gt;入力!$B$15,S193,IF(K194&lt;&gt;0,S193,IF(G194&lt;=F194,S193,IF(M194&lt;=0,S193,IF(AND(N194&gt;0,E194&gt;0,G194&lt;=N194*E194/12),S193,IF(A194+IF(N194=0,0,IF(E194=0,ROUNDUP(N194/G194,0),ROUNDUP(NPER(E194/12,-G194,N194),0)))&lt;S193,A194+IF(N194=0,0,IF(E194=0,ROUNDUP(N194/G194,0),ROUNDUP(NPER(E194/12,-G194,N194),0))),S193))))))</f>
        <v>359</v>
      </c>
      <c r="T194" s="35" t="str">
        <f t="shared" si="47"/>
        <v/>
      </c>
      <c r="U194" s="3">
        <f t="shared" si="32"/>
        <v>0</v>
      </c>
      <c r="V194" s="3">
        <f t="shared" si="33"/>
        <v>0</v>
      </c>
      <c r="W194" s="3">
        <f t="shared" si="34"/>
        <v>0</v>
      </c>
      <c r="X194" s="3">
        <f t="shared" si="35"/>
        <v>0</v>
      </c>
      <c r="Y194" s="3">
        <f>0</f>
        <v>0</v>
      </c>
      <c r="Z194" s="3">
        <f t="shared" si="36"/>
        <v>0</v>
      </c>
      <c r="AA194">
        <f>ROUND(IF(FALSE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,0)</f>
        <v>117312</v>
      </c>
    </row>
    <row r="195" spans="1:27">
      <c r="A195" s="30">
        <f>190</f>
        <v>190</v>
      </c>
      <c r="B195" s="31">
        <f>EDATE(入力!$B$6,A195-1)</f>
        <v>51987</v>
      </c>
      <c r="C195" s="32">
        <f t="shared" si="37"/>
        <v>16779328</v>
      </c>
      <c r="D195" s="32">
        <f t="shared" si="38"/>
        <v>0</v>
      </c>
      <c r="E195" s="33">
        <f>IF(AND(T194="",A195&lt;=S194),IF(A195&lt;入力!$B$11,入力!$B$10,入力!$B$12),0)</f>
        <v>2.5000000000000001E-2</v>
      </c>
      <c r="F195" s="32">
        <f t="shared" si="39"/>
        <v>34957</v>
      </c>
      <c r="G195" s="32">
        <f>ROUND(IF(NOT(AND(T194="",A195&lt;=S194)),0,IF(FALSE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),0)</f>
        <v>117312</v>
      </c>
      <c r="H195" s="32">
        <f t="shared" si="40"/>
        <v>117312</v>
      </c>
      <c r="I195" s="32">
        <f t="shared" si="41"/>
        <v>34957</v>
      </c>
      <c r="J195" s="32">
        <f t="shared" si="42"/>
        <v>0</v>
      </c>
      <c r="K195" s="32">
        <f t="shared" si="43"/>
        <v>0</v>
      </c>
      <c r="L195" s="32">
        <f t="shared" si="44"/>
        <v>82355</v>
      </c>
      <c r="M195" s="32">
        <f>IF(AND(AND(T194="",A195&lt;=S194),A195=入力!$B$15),ROUND(MIN(入力!$B$16,MAX(0,C195-L195)),0),0)</f>
        <v>0</v>
      </c>
      <c r="N195" s="32">
        <f t="shared" si="45"/>
        <v>16696973</v>
      </c>
      <c r="O195" s="32">
        <f t="shared" si="46"/>
        <v>7596413</v>
      </c>
      <c r="P195" s="34" t="str">
        <f>IF(NOT(AND(T194="",A195&lt;=S194)),"",IF(FALSE,"繰上返済後再計算","")&amp;IF(AND(入力!$B$13="有効",A195&gt;1,MOD(A195-1,60)=0),IF(FALSE,"・","")&amp;"5年見直し","")&amp;IF(AND(A195=入力!$B$11,A195&gt;1),IF(OR(FALSE,AND(入力!$B$13="有効",A195&gt;1,MOD(A195-1,60)=0)),"・","")&amp;"金利変更","")&amp;IF(AND(OR(AND(入力!$B$13="有効",A195&gt;1,MOD(A195-1,60)=0),AND(A195=入力!$B$11,A195&gt;1)),入力!$B$14="有効",IF(E195=0,ROUND(C195/MAX(1,S194-A195+1),0),ROUND(-PMT(E195/12,MAX(1,S194-A195+1),C195),0))&gt;ROUND(G194*1.25,0),NOT(FALSE)),"・上限適用",""))</f>
        <v/>
      </c>
      <c r="Q195" s="35" t="str">
        <f>IF(AND(T194="",A195&lt;=S194),入力!$B$13,"")</f>
        <v>有効</v>
      </c>
      <c r="R195" s="32" t="str">
        <f>IF(AND(AND(T194="",A195&lt;=S194),OR(AND(入力!$B$13="有効",A195&gt;1,MOD(A195-1,60)=0),AND(A195=入力!$B$11,A195&gt;1)),入力!$B$14="有効"),ROUND(G194*1.25,0),"")</f>
        <v/>
      </c>
      <c r="S195" s="36">
        <f>IF(A195&lt;&gt;入力!$B$15,S194,IF(K195&lt;&gt;0,S194,IF(G195&lt;=F195,S194,IF(M195&lt;=0,S194,IF(AND(N195&gt;0,E195&gt;0,G195&lt;=N195*E195/12),S194,IF(A195+IF(N195=0,0,IF(E195=0,ROUNDUP(N195/G195,0),ROUNDUP(NPER(E195/12,-G195,N195),0)))&lt;S194,A195+IF(N195=0,0,IF(E195=0,ROUNDUP(N195/G195,0),ROUNDUP(NPER(E195/12,-G195,N195),0))),S194))))))</f>
        <v>359</v>
      </c>
      <c r="T195" s="35" t="str">
        <f t="shared" si="47"/>
        <v/>
      </c>
      <c r="U195" s="3">
        <f t="shared" si="32"/>
        <v>0</v>
      </c>
      <c r="V195" s="3">
        <f t="shared" si="33"/>
        <v>0</v>
      </c>
      <c r="W195" s="3">
        <f t="shared" si="34"/>
        <v>0</v>
      </c>
      <c r="X195" s="3">
        <f t="shared" si="35"/>
        <v>0</v>
      </c>
      <c r="Y195" s="3">
        <f>0</f>
        <v>0</v>
      </c>
      <c r="Z195" s="3">
        <f t="shared" si="36"/>
        <v>0</v>
      </c>
      <c r="AA195">
        <f>ROUND(IF(FALSE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,0)</f>
        <v>117312</v>
      </c>
    </row>
    <row r="196" spans="1:27">
      <c r="A196" s="30">
        <f>191</f>
        <v>191</v>
      </c>
      <c r="B196" s="31">
        <f>EDATE(入力!$B$6,A196-1)</f>
        <v>52018</v>
      </c>
      <c r="C196" s="32">
        <f t="shared" si="37"/>
        <v>16696973</v>
      </c>
      <c r="D196" s="32">
        <f t="shared" si="38"/>
        <v>0</v>
      </c>
      <c r="E196" s="33">
        <f>IF(AND(T195="",A196&lt;=S195),IF(A196&lt;入力!$B$11,入力!$B$10,入力!$B$12),0)</f>
        <v>2.5000000000000001E-2</v>
      </c>
      <c r="F196" s="32">
        <f t="shared" si="39"/>
        <v>34785</v>
      </c>
      <c r="G196" s="32">
        <f>ROUND(IF(NOT(AND(T195="",A196&lt;=S195)),0,IF(FALSE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),0)</f>
        <v>117312</v>
      </c>
      <c r="H196" s="32">
        <f t="shared" si="40"/>
        <v>117312</v>
      </c>
      <c r="I196" s="32">
        <f t="shared" si="41"/>
        <v>34785</v>
      </c>
      <c r="J196" s="32">
        <f t="shared" si="42"/>
        <v>0</v>
      </c>
      <c r="K196" s="32">
        <f t="shared" si="43"/>
        <v>0</v>
      </c>
      <c r="L196" s="32">
        <f t="shared" si="44"/>
        <v>82527</v>
      </c>
      <c r="M196" s="32">
        <f>IF(AND(AND(T195="",A196&lt;=S195),A196=入力!$B$15),ROUND(MIN(入力!$B$16,MAX(0,C196-L196)),0),0)</f>
        <v>0</v>
      </c>
      <c r="N196" s="32">
        <f t="shared" si="45"/>
        <v>16614446</v>
      </c>
      <c r="O196" s="32">
        <f t="shared" si="46"/>
        <v>7631198</v>
      </c>
      <c r="P196" s="34" t="str">
        <f>IF(NOT(AND(T195="",A196&lt;=S195)),"",IF(FALSE,"繰上返済後再計算","")&amp;IF(AND(入力!$B$13="有効",A196&gt;1,MOD(A196-1,60)=0),IF(FALSE,"・","")&amp;"5年見直し","")&amp;IF(AND(A196=入力!$B$11,A196&gt;1),IF(OR(FALSE,AND(入力!$B$13="有効",A196&gt;1,MOD(A196-1,60)=0)),"・","")&amp;"金利変更","")&amp;IF(AND(OR(AND(入力!$B$13="有効",A196&gt;1,MOD(A196-1,60)=0),AND(A196=入力!$B$11,A196&gt;1)),入力!$B$14="有効",IF(E196=0,ROUND(C196/MAX(1,S195-A196+1),0),ROUND(-PMT(E196/12,MAX(1,S195-A196+1),C196),0))&gt;ROUND(G195*1.25,0),NOT(FALSE)),"・上限適用",""))</f>
        <v/>
      </c>
      <c r="Q196" s="35" t="str">
        <f>IF(AND(T195="",A196&lt;=S195),入力!$B$13,"")</f>
        <v>有効</v>
      </c>
      <c r="R196" s="32" t="str">
        <f>IF(AND(AND(T195="",A196&lt;=S195),OR(AND(入力!$B$13="有効",A196&gt;1,MOD(A196-1,60)=0),AND(A196=入力!$B$11,A196&gt;1)),入力!$B$14="有効"),ROUND(G195*1.25,0),"")</f>
        <v/>
      </c>
      <c r="S196" s="36">
        <f>IF(A196&lt;&gt;入力!$B$15,S195,IF(K196&lt;&gt;0,S195,IF(G196&lt;=F196,S195,IF(M196&lt;=0,S195,IF(AND(N196&gt;0,E196&gt;0,G196&lt;=N196*E196/12),S195,IF(A196+IF(N196=0,0,IF(E196=0,ROUNDUP(N196/G196,0),ROUNDUP(NPER(E196/12,-G196,N196),0)))&lt;S195,A196+IF(N196=0,0,IF(E196=0,ROUNDUP(N196/G196,0),ROUNDUP(NPER(E196/12,-G196,N196),0))),S195))))))</f>
        <v>359</v>
      </c>
      <c r="T196" s="35" t="str">
        <f t="shared" si="47"/>
        <v/>
      </c>
      <c r="U196" s="3">
        <f t="shared" si="32"/>
        <v>0</v>
      </c>
      <c r="V196" s="3">
        <f t="shared" si="33"/>
        <v>0</v>
      </c>
      <c r="W196" s="3">
        <f t="shared" si="34"/>
        <v>0</v>
      </c>
      <c r="X196" s="3">
        <f t="shared" si="35"/>
        <v>0</v>
      </c>
      <c r="Y196" s="3">
        <f>0</f>
        <v>0</v>
      </c>
      <c r="Z196" s="3">
        <f t="shared" si="36"/>
        <v>0</v>
      </c>
      <c r="AA196">
        <f>ROUND(IF(FALSE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,0)</f>
        <v>117312</v>
      </c>
    </row>
    <row r="197" spans="1:27">
      <c r="A197" s="30">
        <f>192</f>
        <v>192</v>
      </c>
      <c r="B197" s="31">
        <f>EDATE(入力!$B$6,A197-1)</f>
        <v>52048</v>
      </c>
      <c r="C197" s="32">
        <f t="shared" si="37"/>
        <v>16614446</v>
      </c>
      <c r="D197" s="32">
        <f t="shared" si="38"/>
        <v>0</v>
      </c>
      <c r="E197" s="33">
        <f>IF(AND(T196="",A197&lt;=S196),IF(A197&lt;入力!$B$11,入力!$B$10,入力!$B$12),0)</f>
        <v>2.5000000000000001E-2</v>
      </c>
      <c r="F197" s="32">
        <f t="shared" si="39"/>
        <v>34613</v>
      </c>
      <c r="G197" s="32">
        <f>ROUND(IF(NOT(AND(T196="",A197&lt;=S196)),0,IF(FALSE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),0)</f>
        <v>117312</v>
      </c>
      <c r="H197" s="32">
        <f t="shared" si="40"/>
        <v>117312</v>
      </c>
      <c r="I197" s="32">
        <f t="shared" si="41"/>
        <v>34613</v>
      </c>
      <c r="J197" s="32">
        <f t="shared" si="42"/>
        <v>0</v>
      </c>
      <c r="K197" s="32">
        <f t="shared" si="43"/>
        <v>0</v>
      </c>
      <c r="L197" s="32">
        <f t="shared" si="44"/>
        <v>82699</v>
      </c>
      <c r="M197" s="32">
        <f>IF(AND(AND(T196="",A197&lt;=S196),A197=入力!$B$15),ROUND(MIN(入力!$B$16,MAX(0,C197-L197)),0),0)</f>
        <v>0</v>
      </c>
      <c r="N197" s="32">
        <f t="shared" si="45"/>
        <v>16531747</v>
      </c>
      <c r="O197" s="32">
        <f t="shared" si="46"/>
        <v>7665811</v>
      </c>
      <c r="P197" s="34" t="str">
        <f>IF(NOT(AND(T196="",A197&lt;=S196)),"",IF(FALSE,"繰上返済後再計算","")&amp;IF(AND(入力!$B$13="有効",A197&gt;1,MOD(A197-1,60)=0),IF(FALSE,"・","")&amp;"5年見直し","")&amp;IF(AND(A197=入力!$B$11,A197&gt;1),IF(OR(FALSE,AND(入力!$B$13="有効",A197&gt;1,MOD(A197-1,60)=0)),"・","")&amp;"金利変更","")&amp;IF(AND(OR(AND(入力!$B$13="有効",A197&gt;1,MOD(A197-1,60)=0),AND(A197=入力!$B$11,A197&gt;1)),入力!$B$14="有効",IF(E197=0,ROUND(C197/MAX(1,S196-A197+1),0),ROUND(-PMT(E197/12,MAX(1,S196-A197+1),C197),0))&gt;ROUND(G196*1.25,0),NOT(FALSE)),"・上限適用",""))</f>
        <v/>
      </c>
      <c r="Q197" s="35" t="str">
        <f>IF(AND(T196="",A197&lt;=S196),入力!$B$13,"")</f>
        <v>有効</v>
      </c>
      <c r="R197" s="32" t="str">
        <f>IF(AND(AND(T196="",A197&lt;=S196),OR(AND(入力!$B$13="有効",A197&gt;1,MOD(A197-1,60)=0),AND(A197=入力!$B$11,A197&gt;1)),入力!$B$14="有効"),ROUND(G196*1.25,0),"")</f>
        <v/>
      </c>
      <c r="S197" s="36">
        <f>IF(A197&lt;&gt;入力!$B$15,S196,IF(K197&lt;&gt;0,S196,IF(G197&lt;=F197,S196,IF(M197&lt;=0,S196,IF(AND(N197&gt;0,E197&gt;0,G197&lt;=N197*E197/12),S196,IF(A197+IF(N197=0,0,IF(E197=0,ROUNDUP(N197/G197,0),ROUNDUP(NPER(E197/12,-G197,N197),0)))&lt;S196,A197+IF(N197=0,0,IF(E197=0,ROUNDUP(N197/G197,0),ROUNDUP(NPER(E197/12,-G197,N197),0))),S196))))))</f>
        <v>359</v>
      </c>
      <c r="T197" s="35" t="str">
        <f t="shared" si="47"/>
        <v/>
      </c>
      <c r="U197" s="3">
        <f t="shared" si="32"/>
        <v>0</v>
      </c>
      <c r="V197" s="3">
        <f t="shared" si="33"/>
        <v>0</v>
      </c>
      <c r="W197" s="3">
        <f t="shared" si="34"/>
        <v>0</v>
      </c>
      <c r="X197" s="3">
        <f t="shared" si="35"/>
        <v>0</v>
      </c>
      <c r="Y197" s="3">
        <f>0</f>
        <v>0</v>
      </c>
      <c r="Z197" s="3">
        <f t="shared" si="36"/>
        <v>0</v>
      </c>
      <c r="AA197">
        <f>ROUND(IF(FALSE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,0)</f>
        <v>117312</v>
      </c>
    </row>
    <row r="198" spans="1:27">
      <c r="A198" s="30">
        <f>193</f>
        <v>193</v>
      </c>
      <c r="B198" s="31">
        <f>EDATE(入力!$B$6,A198-1)</f>
        <v>52079</v>
      </c>
      <c r="C198" s="32">
        <f t="shared" si="37"/>
        <v>16531747</v>
      </c>
      <c r="D198" s="32">
        <f t="shared" si="38"/>
        <v>0</v>
      </c>
      <c r="E198" s="33">
        <f>IF(AND(T197="",A198&lt;=S197),IF(A198&lt;入力!$B$11,入力!$B$10,入力!$B$12),0)</f>
        <v>2.5000000000000001E-2</v>
      </c>
      <c r="F198" s="32">
        <f t="shared" si="39"/>
        <v>34441</v>
      </c>
      <c r="G198" s="32">
        <f>ROUND(IF(NOT(AND(T197="",A198&lt;=S197)),0,IF(FALSE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),0)</f>
        <v>117312</v>
      </c>
      <c r="H198" s="32">
        <f t="shared" si="40"/>
        <v>117312</v>
      </c>
      <c r="I198" s="32">
        <f t="shared" si="41"/>
        <v>34441</v>
      </c>
      <c r="J198" s="32">
        <f t="shared" si="42"/>
        <v>0</v>
      </c>
      <c r="K198" s="32">
        <f t="shared" si="43"/>
        <v>0</v>
      </c>
      <c r="L198" s="32">
        <f t="shared" si="44"/>
        <v>82871</v>
      </c>
      <c r="M198" s="32">
        <f>IF(AND(AND(T197="",A198&lt;=S197),A198=入力!$B$15),ROUND(MIN(入力!$B$16,MAX(0,C198-L198)),0),0)</f>
        <v>0</v>
      </c>
      <c r="N198" s="32">
        <f t="shared" si="45"/>
        <v>16448876</v>
      </c>
      <c r="O198" s="32">
        <f t="shared" si="46"/>
        <v>7700252</v>
      </c>
      <c r="P198" s="34" t="str">
        <f>IF(NOT(AND(T197="",A198&lt;=S197)),"",IF(FALSE,"繰上返済後再計算","")&amp;IF(AND(入力!$B$13="有効",A198&gt;1,MOD(A198-1,60)=0),IF(FALSE,"・","")&amp;"5年見直し","")&amp;IF(AND(A198=入力!$B$11,A198&gt;1),IF(OR(FALSE,AND(入力!$B$13="有効",A198&gt;1,MOD(A198-1,60)=0)),"・","")&amp;"金利変更","")&amp;IF(AND(OR(AND(入力!$B$13="有効",A198&gt;1,MOD(A198-1,60)=0),AND(A198=入力!$B$11,A198&gt;1)),入力!$B$14="有効",IF(E198=0,ROUND(C198/MAX(1,S197-A198+1),0),ROUND(-PMT(E198/12,MAX(1,S197-A198+1),C198),0))&gt;ROUND(G197*1.25,0),NOT(FALSE)),"・上限適用",""))</f>
        <v/>
      </c>
      <c r="Q198" s="35" t="str">
        <f>IF(AND(T197="",A198&lt;=S197),入力!$B$13,"")</f>
        <v>有効</v>
      </c>
      <c r="R198" s="32" t="str">
        <f>IF(AND(AND(T197="",A198&lt;=S197),OR(AND(入力!$B$13="有効",A198&gt;1,MOD(A198-1,60)=0),AND(A198=入力!$B$11,A198&gt;1)),入力!$B$14="有効"),ROUND(G197*1.25,0),"")</f>
        <v/>
      </c>
      <c r="S198" s="36">
        <f>IF(A198&lt;&gt;入力!$B$15,S197,IF(K198&lt;&gt;0,S197,IF(G198&lt;=F198,S197,IF(M198&lt;=0,S197,IF(AND(N198&gt;0,E198&gt;0,G198&lt;=N198*E198/12),S197,IF(A198+IF(N198=0,0,IF(E198=0,ROUNDUP(N198/G198,0),ROUNDUP(NPER(E198/12,-G198,N198),0)))&lt;S197,A198+IF(N198=0,0,IF(E198=0,ROUNDUP(N198/G198,0),ROUNDUP(NPER(E198/12,-G198,N198),0))),S197))))))</f>
        <v>359</v>
      </c>
      <c r="T198" s="35" t="str">
        <f t="shared" si="47"/>
        <v/>
      </c>
      <c r="U198" s="3">
        <f t="shared" ref="U198:U261" si="48">ABS(I198-MIN(H198,D198+F198))</f>
        <v>0</v>
      </c>
      <c r="V198" s="3">
        <f t="shared" ref="V198:V261" si="49">ABS(L198-(H198-I198))</f>
        <v>0</v>
      </c>
      <c r="W198" s="3">
        <f t="shared" ref="W198:W261" si="50">ABS(K198-(D198+J198))</f>
        <v>0</v>
      </c>
      <c r="X198" s="3">
        <f t="shared" ref="X198:X261" si="51">ABS(F198-ROUND(F198,0))+ABS(G198-ROUND(G198,0))+ABS(H198-ROUND(H198,0))+ABS(I198-ROUND(I198,0))+ABS(J198-ROUND(J198,0))+ABS(K198-ROUND(K198,0))+ABS(L198-ROUND(L198,0))+ABS(M198-ROUND(M198,0))+ABS(N198-ROUND(N198,0))+ABS(O198-ROUND(O198,0))</f>
        <v>0</v>
      </c>
      <c r="Y198" s="3">
        <f>0</f>
        <v>0</v>
      </c>
      <c r="Z198" s="3">
        <f t="shared" ref="Z198:Z261" si="52">SUM(--ISERROR(A198),--ISERROR(B198),--ISERROR(C198),--ISERROR(D198),--ISERROR(E198),--ISERROR(F198),--ISERROR(G198),--ISERROR(H198),--ISERROR(I198),--ISERROR(J198),--ISERROR(K198),--ISERROR(L198),--ISERROR(M198),--ISERROR(N198),--ISERROR(O198),--ISERROR(P198),--ISERROR(Q198),--ISERROR(R198),--ISERROR(S198),--ISERROR(T198))</f>
        <v>0</v>
      </c>
      <c r="AA198">
        <f>ROUND(IF(FALSE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,0)</f>
        <v>117312</v>
      </c>
    </row>
    <row r="199" spans="1:27">
      <c r="A199" s="30">
        <f>194</f>
        <v>194</v>
      </c>
      <c r="B199" s="31">
        <f>EDATE(入力!$B$6,A199-1)</f>
        <v>52110</v>
      </c>
      <c r="C199" s="32">
        <f t="shared" ref="C199:C262" si="53">IF(AND(T198="",A199&lt;=S198),N198,0)</f>
        <v>16448876</v>
      </c>
      <c r="D199" s="32">
        <f t="shared" ref="D199:D262" si="54">IF(AND(T198="",A199&lt;=S198),K198,0)</f>
        <v>0</v>
      </c>
      <c r="E199" s="33">
        <f>IF(AND(T198="",A199&lt;=S198),IF(A199&lt;入力!$B$11,入力!$B$10,入力!$B$12),0)</f>
        <v>2.5000000000000001E-2</v>
      </c>
      <c r="F199" s="32">
        <f t="shared" ref="F199:F262" si="55">IF(AND(T198="",A199&lt;=S198),ROUND(C199*E199/12,0),0)</f>
        <v>34268</v>
      </c>
      <c r="G199" s="32">
        <f>ROUND(IF(NOT(AND(T198="",A199&lt;=S198)),0,IF(FALSE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),0)</f>
        <v>117312</v>
      </c>
      <c r="H199" s="32">
        <f t="shared" ref="H199:H262" si="56">IF(AND(T198="",A199&lt;=S198),ROUND(MIN(G199,C199+D199+F199),0),0)</f>
        <v>117312</v>
      </c>
      <c r="I199" s="32">
        <f t="shared" ref="I199:I262" si="57">IF(AND(T198="",A199&lt;=S198),ROUND(MIN(H199,D199+F199),0),0)</f>
        <v>34268</v>
      </c>
      <c r="J199" s="32">
        <f t="shared" ref="J199:J262" si="58">IF(AND(T198="",A199&lt;=S198),ROUND(F199-I199,0),0)</f>
        <v>0</v>
      </c>
      <c r="K199" s="32">
        <f t="shared" ref="K199:K262" si="59">IF(AND(T198="",A199&lt;=S198),ROUND(D199+J199,0),0)</f>
        <v>0</v>
      </c>
      <c r="L199" s="32">
        <f t="shared" ref="L199:L262" si="60">IF(AND(T198="",A199&lt;=S198),ROUND(H199-I199,0),0)</f>
        <v>83044</v>
      </c>
      <c r="M199" s="32">
        <f>IF(AND(AND(T198="",A199&lt;=S198),A199=入力!$B$15),ROUND(MIN(入力!$B$16,MAX(0,C199-L199)),0),0)</f>
        <v>0</v>
      </c>
      <c r="N199" s="32">
        <f t="shared" ref="N199:N262" si="61">IF(AND(T198="",A199&lt;=S198),ROUND(MAX(0,C199-L199-M199),0),0)</f>
        <v>16365832</v>
      </c>
      <c r="O199" s="32">
        <f t="shared" ref="O199:O262" si="62">IF(AND(T198="",A199&lt;=S198),ROUND(O198+F199,0),O198)</f>
        <v>7734520</v>
      </c>
      <c r="P199" s="34" t="str">
        <f>IF(NOT(AND(T198="",A199&lt;=S198)),"",IF(FALSE,"繰上返済後再計算","")&amp;IF(AND(入力!$B$13="有効",A199&gt;1,MOD(A199-1,60)=0),IF(FALSE,"・","")&amp;"5年見直し","")&amp;IF(AND(A199=入力!$B$11,A199&gt;1),IF(OR(FALSE,AND(入力!$B$13="有効",A199&gt;1,MOD(A199-1,60)=0)),"・","")&amp;"金利変更","")&amp;IF(AND(OR(AND(入力!$B$13="有効",A199&gt;1,MOD(A199-1,60)=0),AND(A199=入力!$B$11,A199&gt;1)),入力!$B$14="有効",IF(E199=0,ROUND(C199/MAX(1,S198-A199+1),0),ROUND(-PMT(E199/12,MAX(1,S198-A199+1),C199),0))&gt;ROUND(G198*1.25,0),NOT(FALSE)),"・上限適用",""))</f>
        <v/>
      </c>
      <c r="Q199" s="35" t="str">
        <f>IF(AND(T198="",A199&lt;=S198),入力!$B$13,"")</f>
        <v>有効</v>
      </c>
      <c r="R199" s="32" t="str">
        <f>IF(AND(AND(T198="",A199&lt;=S198),OR(AND(入力!$B$13="有効",A199&gt;1,MOD(A199-1,60)=0),AND(A199=入力!$B$11,A199&gt;1)),入力!$B$14="有効"),ROUND(G198*1.25,0),"")</f>
        <v/>
      </c>
      <c r="S199" s="36">
        <f>IF(A199&lt;&gt;入力!$B$15,S198,IF(K199&lt;&gt;0,S198,IF(G199&lt;=F199,S198,IF(M199&lt;=0,S198,IF(AND(N199&gt;0,E199&gt;0,G199&lt;=N199*E199/12),S198,IF(A199+IF(N199=0,0,IF(E199=0,ROUNDUP(N199/G199,0),ROUNDUP(NPER(E199/12,-G199,N199),0)))&lt;S198,A199+IF(N199=0,0,IF(E199=0,ROUNDUP(N199/G199,0),ROUNDUP(NPER(E199/12,-G199,N199),0))),S198))))))</f>
        <v>359</v>
      </c>
      <c r="T199" s="35" t="str">
        <f t="shared" ref="T199:T262" si="63">IF(NOT(AND(T198="",A199&lt;=S198)),"",IF(AND(N199=0,K199=0),"完済",IF(A199=S199,"最終回清算","")))</f>
        <v/>
      </c>
      <c r="U199" s="3">
        <f t="shared" si="48"/>
        <v>0</v>
      </c>
      <c r="V199" s="3">
        <f t="shared" si="49"/>
        <v>0</v>
      </c>
      <c r="W199" s="3">
        <f t="shared" si="50"/>
        <v>0</v>
      </c>
      <c r="X199" s="3">
        <f t="shared" si="51"/>
        <v>0</v>
      </c>
      <c r="Y199" s="3">
        <f>0</f>
        <v>0</v>
      </c>
      <c r="Z199" s="3">
        <f t="shared" si="52"/>
        <v>0</v>
      </c>
      <c r="AA199">
        <f>ROUND(IF(FALSE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,0)</f>
        <v>117312</v>
      </c>
    </row>
    <row r="200" spans="1:27">
      <c r="A200" s="30">
        <f>195</f>
        <v>195</v>
      </c>
      <c r="B200" s="31">
        <f>EDATE(入力!$B$6,A200-1)</f>
        <v>52140</v>
      </c>
      <c r="C200" s="32">
        <f t="shared" si="53"/>
        <v>16365832</v>
      </c>
      <c r="D200" s="32">
        <f t="shared" si="54"/>
        <v>0</v>
      </c>
      <c r="E200" s="33">
        <f>IF(AND(T199="",A200&lt;=S199),IF(A200&lt;入力!$B$11,入力!$B$10,入力!$B$12),0)</f>
        <v>2.5000000000000001E-2</v>
      </c>
      <c r="F200" s="32">
        <f t="shared" si="55"/>
        <v>34095</v>
      </c>
      <c r="G200" s="32">
        <f>ROUND(IF(NOT(AND(T199="",A200&lt;=S199)),0,IF(FALSE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),0)</f>
        <v>117312</v>
      </c>
      <c r="H200" s="32">
        <f t="shared" si="56"/>
        <v>117312</v>
      </c>
      <c r="I200" s="32">
        <f t="shared" si="57"/>
        <v>34095</v>
      </c>
      <c r="J200" s="32">
        <f t="shared" si="58"/>
        <v>0</v>
      </c>
      <c r="K200" s="32">
        <f t="shared" si="59"/>
        <v>0</v>
      </c>
      <c r="L200" s="32">
        <f t="shared" si="60"/>
        <v>83217</v>
      </c>
      <c r="M200" s="32">
        <f>IF(AND(AND(T199="",A200&lt;=S199),A200=入力!$B$15),ROUND(MIN(入力!$B$16,MAX(0,C200-L200)),0),0)</f>
        <v>0</v>
      </c>
      <c r="N200" s="32">
        <f t="shared" si="61"/>
        <v>16282615</v>
      </c>
      <c r="O200" s="32">
        <f t="shared" si="62"/>
        <v>7768615</v>
      </c>
      <c r="P200" s="34" t="str">
        <f>IF(NOT(AND(T199="",A200&lt;=S199)),"",IF(FALSE,"繰上返済後再計算","")&amp;IF(AND(入力!$B$13="有効",A200&gt;1,MOD(A200-1,60)=0),IF(FALSE,"・","")&amp;"5年見直し","")&amp;IF(AND(A200=入力!$B$11,A200&gt;1),IF(OR(FALSE,AND(入力!$B$13="有効",A200&gt;1,MOD(A200-1,60)=0)),"・","")&amp;"金利変更","")&amp;IF(AND(OR(AND(入力!$B$13="有効",A200&gt;1,MOD(A200-1,60)=0),AND(A200=入力!$B$11,A200&gt;1)),入力!$B$14="有効",IF(E200=0,ROUND(C200/MAX(1,S199-A200+1),0),ROUND(-PMT(E200/12,MAX(1,S199-A200+1),C200),0))&gt;ROUND(G199*1.25,0),NOT(FALSE)),"・上限適用",""))</f>
        <v/>
      </c>
      <c r="Q200" s="35" t="str">
        <f>IF(AND(T199="",A200&lt;=S199),入力!$B$13,"")</f>
        <v>有効</v>
      </c>
      <c r="R200" s="32" t="str">
        <f>IF(AND(AND(T199="",A200&lt;=S199),OR(AND(入力!$B$13="有効",A200&gt;1,MOD(A200-1,60)=0),AND(A200=入力!$B$11,A200&gt;1)),入力!$B$14="有効"),ROUND(G199*1.25,0),"")</f>
        <v/>
      </c>
      <c r="S200" s="36">
        <f>IF(A200&lt;&gt;入力!$B$15,S199,IF(K200&lt;&gt;0,S199,IF(G200&lt;=F200,S199,IF(M200&lt;=0,S199,IF(AND(N200&gt;0,E200&gt;0,G200&lt;=N200*E200/12),S199,IF(A200+IF(N200=0,0,IF(E200=0,ROUNDUP(N200/G200,0),ROUNDUP(NPER(E200/12,-G200,N200),0)))&lt;S199,A200+IF(N200=0,0,IF(E200=0,ROUNDUP(N200/G200,0),ROUNDUP(NPER(E200/12,-G200,N200),0))),S199))))))</f>
        <v>359</v>
      </c>
      <c r="T200" s="35" t="str">
        <f t="shared" si="63"/>
        <v/>
      </c>
      <c r="U200" s="3">
        <f t="shared" si="48"/>
        <v>0</v>
      </c>
      <c r="V200" s="3">
        <f t="shared" si="49"/>
        <v>0</v>
      </c>
      <c r="W200" s="3">
        <f t="shared" si="50"/>
        <v>0</v>
      </c>
      <c r="X200" s="3">
        <f t="shared" si="51"/>
        <v>0</v>
      </c>
      <c r="Y200" s="3">
        <f>0</f>
        <v>0</v>
      </c>
      <c r="Z200" s="3">
        <f t="shared" si="52"/>
        <v>0</v>
      </c>
      <c r="AA200">
        <f>ROUND(IF(FALSE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,0)</f>
        <v>117312</v>
      </c>
    </row>
    <row r="201" spans="1:27">
      <c r="A201" s="30">
        <f>196</f>
        <v>196</v>
      </c>
      <c r="B201" s="31">
        <f>EDATE(入力!$B$6,A201-1)</f>
        <v>52171</v>
      </c>
      <c r="C201" s="32">
        <f t="shared" si="53"/>
        <v>16282615</v>
      </c>
      <c r="D201" s="32">
        <f t="shared" si="54"/>
        <v>0</v>
      </c>
      <c r="E201" s="33">
        <f>IF(AND(T200="",A201&lt;=S200),IF(A201&lt;入力!$B$11,入力!$B$10,入力!$B$12),0)</f>
        <v>2.5000000000000001E-2</v>
      </c>
      <c r="F201" s="32">
        <f t="shared" si="55"/>
        <v>33922</v>
      </c>
      <c r="G201" s="32">
        <f>ROUND(IF(NOT(AND(T200="",A201&lt;=S200)),0,IF(FALSE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),0)</f>
        <v>117312</v>
      </c>
      <c r="H201" s="32">
        <f t="shared" si="56"/>
        <v>117312</v>
      </c>
      <c r="I201" s="32">
        <f t="shared" si="57"/>
        <v>33922</v>
      </c>
      <c r="J201" s="32">
        <f t="shared" si="58"/>
        <v>0</v>
      </c>
      <c r="K201" s="32">
        <f t="shared" si="59"/>
        <v>0</v>
      </c>
      <c r="L201" s="32">
        <f t="shared" si="60"/>
        <v>83390</v>
      </c>
      <c r="M201" s="32">
        <f>IF(AND(AND(T200="",A201&lt;=S200),A201=入力!$B$15),ROUND(MIN(入力!$B$16,MAX(0,C201-L201)),0),0)</f>
        <v>0</v>
      </c>
      <c r="N201" s="32">
        <f t="shared" si="61"/>
        <v>16199225</v>
      </c>
      <c r="O201" s="32">
        <f t="shared" si="62"/>
        <v>7802537</v>
      </c>
      <c r="P201" s="34" t="str">
        <f>IF(NOT(AND(T200="",A201&lt;=S200)),"",IF(FALSE,"繰上返済後再計算","")&amp;IF(AND(入力!$B$13="有効",A201&gt;1,MOD(A201-1,60)=0),IF(FALSE,"・","")&amp;"5年見直し","")&amp;IF(AND(A201=入力!$B$11,A201&gt;1),IF(OR(FALSE,AND(入力!$B$13="有効",A201&gt;1,MOD(A201-1,60)=0)),"・","")&amp;"金利変更","")&amp;IF(AND(OR(AND(入力!$B$13="有効",A201&gt;1,MOD(A201-1,60)=0),AND(A201=入力!$B$11,A201&gt;1)),入力!$B$14="有効",IF(E201=0,ROUND(C201/MAX(1,S200-A201+1),0),ROUND(-PMT(E201/12,MAX(1,S200-A201+1),C201),0))&gt;ROUND(G200*1.25,0),NOT(FALSE)),"・上限適用",""))</f>
        <v/>
      </c>
      <c r="Q201" s="35" t="str">
        <f>IF(AND(T200="",A201&lt;=S200),入力!$B$13,"")</f>
        <v>有効</v>
      </c>
      <c r="R201" s="32" t="str">
        <f>IF(AND(AND(T200="",A201&lt;=S200),OR(AND(入力!$B$13="有効",A201&gt;1,MOD(A201-1,60)=0),AND(A201=入力!$B$11,A201&gt;1)),入力!$B$14="有効"),ROUND(G200*1.25,0),"")</f>
        <v/>
      </c>
      <c r="S201" s="36">
        <f>IF(A201&lt;&gt;入力!$B$15,S200,IF(K201&lt;&gt;0,S200,IF(G201&lt;=F201,S200,IF(M201&lt;=0,S200,IF(AND(N201&gt;0,E201&gt;0,G201&lt;=N201*E201/12),S200,IF(A201+IF(N201=0,0,IF(E201=0,ROUNDUP(N201/G201,0),ROUNDUP(NPER(E201/12,-G201,N201),0)))&lt;S200,A201+IF(N201=0,0,IF(E201=0,ROUNDUP(N201/G201,0),ROUNDUP(NPER(E201/12,-G201,N201),0))),S200))))))</f>
        <v>359</v>
      </c>
      <c r="T201" s="35" t="str">
        <f t="shared" si="63"/>
        <v/>
      </c>
      <c r="U201" s="3">
        <f t="shared" si="48"/>
        <v>0</v>
      </c>
      <c r="V201" s="3">
        <f t="shared" si="49"/>
        <v>0</v>
      </c>
      <c r="W201" s="3">
        <f t="shared" si="50"/>
        <v>0</v>
      </c>
      <c r="X201" s="3">
        <f t="shared" si="51"/>
        <v>0</v>
      </c>
      <c r="Y201" s="3">
        <f>0</f>
        <v>0</v>
      </c>
      <c r="Z201" s="3">
        <f t="shared" si="52"/>
        <v>0</v>
      </c>
      <c r="AA201">
        <f>ROUND(IF(FALSE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,0)</f>
        <v>117312</v>
      </c>
    </row>
    <row r="202" spans="1:27">
      <c r="A202" s="30">
        <f>197</f>
        <v>197</v>
      </c>
      <c r="B202" s="31">
        <f>EDATE(入力!$B$6,A202-1)</f>
        <v>52201</v>
      </c>
      <c r="C202" s="32">
        <f t="shared" si="53"/>
        <v>16199225</v>
      </c>
      <c r="D202" s="32">
        <f t="shared" si="54"/>
        <v>0</v>
      </c>
      <c r="E202" s="33">
        <f>IF(AND(T201="",A202&lt;=S201),IF(A202&lt;入力!$B$11,入力!$B$10,入力!$B$12),0)</f>
        <v>2.5000000000000001E-2</v>
      </c>
      <c r="F202" s="32">
        <f t="shared" si="55"/>
        <v>33748</v>
      </c>
      <c r="G202" s="32">
        <f>ROUND(IF(NOT(AND(T201="",A202&lt;=S201)),0,IF(FALSE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),0)</f>
        <v>117312</v>
      </c>
      <c r="H202" s="32">
        <f t="shared" si="56"/>
        <v>117312</v>
      </c>
      <c r="I202" s="32">
        <f t="shared" si="57"/>
        <v>33748</v>
      </c>
      <c r="J202" s="32">
        <f t="shared" si="58"/>
        <v>0</v>
      </c>
      <c r="K202" s="32">
        <f t="shared" si="59"/>
        <v>0</v>
      </c>
      <c r="L202" s="32">
        <f t="shared" si="60"/>
        <v>83564</v>
      </c>
      <c r="M202" s="32">
        <f>IF(AND(AND(T201="",A202&lt;=S201),A202=入力!$B$15),ROUND(MIN(入力!$B$16,MAX(0,C202-L202)),0),0)</f>
        <v>0</v>
      </c>
      <c r="N202" s="32">
        <f t="shared" si="61"/>
        <v>16115661</v>
      </c>
      <c r="O202" s="32">
        <f t="shared" si="62"/>
        <v>7836285</v>
      </c>
      <c r="P202" s="34" t="str">
        <f>IF(NOT(AND(T201="",A202&lt;=S201)),"",IF(FALSE,"繰上返済後再計算","")&amp;IF(AND(入力!$B$13="有効",A202&gt;1,MOD(A202-1,60)=0),IF(FALSE,"・","")&amp;"5年見直し","")&amp;IF(AND(A202=入力!$B$11,A202&gt;1),IF(OR(FALSE,AND(入力!$B$13="有効",A202&gt;1,MOD(A202-1,60)=0)),"・","")&amp;"金利変更","")&amp;IF(AND(OR(AND(入力!$B$13="有効",A202&gt;1,MOD(A202-1,60)=0),AND(A202=入力!$B$11,A202&gt;1)),入力!$B$14="有効",IF(E202=0,ROUND(C202/MAX(1,S201-A202+1),0),ROUND(-PMT(E202/12,MAX(1,S201-A202+1),C202),0))&gt;ROUND(G201*1.25,0),NOT(FALSE)),"・上限適用",""))</f>
        <v/>
      </c>
      <c r="Q202" s="35" t="str">
        <f>IF(AND(T201="",A202&lt;=S201),入力!$B$13,"")</f>
        <v>有効</v>
      </c>
      <c r="R202" s="32" t="str">
        <f>IF(AND(AND(T201="",A202&lt;=S201),OR(AND(入力!$B$13="有効",A202&gt;1,MOD(A202-1,60)=0),AND(A202=入力!$B$11,A202&gt;1)),入力!$B$14="有効"),ROUND(G201*1.25,0),"")</f>
        <v/>
      </c>
      <c r="S202" s="36">
        <f>IF(A202&lt;&gt;入力!$B$15,S201,IF(K202&lt;&gt;0,S201,IF(G202&lt;=F202,S201,IF(M202&lt;=0,S201,IF(AND(N202&gt;0,E202&gt;0,G202&lt;=N202*E202/12),S201,IF(A202+IF(N202=0,0,IF(E202=0,ROUNDUP(N202/G202,0),ROUNDUP(NPER(E202/12,-G202,N202),0)))&lt;S201,A202+IF(N202=0,0,IF(E202=0,ROUNDUP(N202/G202,0),ROUNDUP(NPER(E202/12,-G202,N202),0))),S201))))))</f>
        <v>359</v>
      </c>
      <c r="T202" s="35" t="str">
        <f t="shared" si="63"/>
        <v/>
      </c>
      <c r="U202" s="3">
        <f t="shared" si="48"/>
        <v>0</v>
      </c>
      <c r="V202" s="3">
        <f t="shared" si="49"/>
        <v>0</v>
      </c>
      <c r="W202" s="3">
        <f t="shared" si="50"/>
        <v>0</v>
      </c>
      <c r="X202" s="3">
        <f t="shared" si="51"/>
        <v>0</v>
      </c>
      <c r="Y202" s="3">
        <f>0</f>
        <v>0</v>
      </c>
      <c r="Z202" s="3">
        <f t="shared" si="52"/>
        <v>0</v>
      </c>
      <c r="AA202">
        <f>ROUND(IF(FALSE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,0)</f>
        <v>117312</v>
      </c>
    </row>
    <row r="203" spans="1:27">
      <c r="A203" s="30">
        <f>198</f>
        <v>198</v>
      </c>
      <c r="B203" s="31">
        <f>EDATE(入力!$B$6,A203-1)</f>
        <v>52232</v>
      </c>
      <c r="C203" s="32">
        <f t="shared" si="53"/>
        <v>16115661</v>
      </c>
      <c r="D203" s="32">
        <f t="shared" si="54"/>
        <v>0</v>
      </c>
      <c r="E203" s="33">
        <f>IF(AND(T202="",A203&lt;=S202),IF(A203&lt;入力!$B$11,入力!$B$10,入力!$B$12),0)</f>
        <v>2.5000000000000001E-2</v>
      </c>
      <c r="F203" s="32">
        <f t="shared" si="55"/>
        <v>33574</v>
      </c>
      <c r="G203" s="32">
        <f>ROUND(IF(NOT(AND(T202="",A203&lt;=S202)),0,IF(FALSE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),0)</f>
        <v>117312</v>
      </c>
      <c r="H203" s="32">
        <f t="shared" si="56"/>
        <v>117312</v>
      </c>
      <c r="I203" s="32">
        <f t="shared" si="57"/>
        <v>33574</v>
      </c>
      <c r="J203" s="32">
        <f t="shared" si="58"/>
        <v>0</v>
      </c>
      <c r="K203" s="32">
        <f t="shared" si="59"/>
        <v>0</v>
      </c>
      <c r="L203" s="32">
        <f t="shared" si="60"/>
        <v>83738</v>
      </c>
      <c r="M203" s="32">
        <f>IF(AND(AND(T202="",A203&lt;=S202),A203=入力!$B$15),ROUND(MIN(入力!$B$16,MAX(0,C203-L203)),0),0)</f>
        <v>0</v>
      </c>
      <c r="N203" s="32">
        <f t="shared" si="61"/>
        <v>16031923</v>
      </c>
      <c r="O203" s="32">
        <f t="shared" si="62"/>
        <v>7869859</v>
      </c>
      <c r="P203" s="34" t="str">
        <f>IF(NOT(AND(T202="",A203&lt;=S202)),"",IF(FALSE,"繰上返済後再計算","")&amp;IF(AND(入力!$B$13="有効",A203&gt;1,MOD(A203-1,60)=0),IF(FALSE,"・","")&amp;"5年見直し","")&amp;IF(AND(A203=入力!$B$11,A203&gt;1),IF(OR(FALSE,AND(入力!$B$13="有効",A203&gt;1,MOD(A203-1,60)=0)),"・","")&amp;"金利変更","")&amp;IF(AND(OR(AND(入力!$B$13="有効",A203&gt;1,MOD(A203-1,60)=0),AND(A203=入力!$B$11,A203&gt;1)),入力!$B$14="有効",IF(E203=0,ROUND(C203/MAX(1,S202-A203+1),0),ROUND(-PMT(E203/12,MAX(1,S202-A203+1),C203),0))&gt;ROUND(G202*1.25,0),NOT(FALSE)),"・上限適用",""))</f>
        <v/>
      </c>
      <c r="Q203" s="35" t="str">
        <f>IF(AND(T202="",A203&lt;=S202),入力!$B$13,"")</f>
        <v>有効</v>
      </c>
      <c r="R203" s="32" t="str">
        <f>IF(AND(AND(T202="",A203&lt;=S202),OR(AND(入力!$B$13="有効",A203&gt;1,MOD(A203-1,60)=0),AND(A203=入力!$B$11,A203&gt;1)),入力!$B$14="有効"),ROUND(G202*1.25,0),"")</f>
        <v/>
      </c>
      <c r="S203" s="36">
        <f>IF(A203&lt;&gt;入力!$B$15,S202,IF(K203&lt;&gt;0,S202,IF(G203&lt;=F203,S202,IF(M203&lt;=0,S202,IF(AND(N203&gt;0,E203&gt;0,G203&lt;=N203*E203/12),S202,IF(A203+IF(N203=0,0,IF(E203=0,ROUNDUP(N203/G203,0),ROUNDUP(NPER(E203/12,-G203,N203),0)))&lt;S202,A203+IF(N203=0,0,IF(E203=0,ROUNDUP(N203/G203,0),ROUNDUP(NPER(E203/12,-G203,N203),0))),S202))))))</f>
        <v>359</v>
      </c>
      <c r="T203" s="35" t="str">
        <f t="shared" si="63"/>
        <v/>
      </c>
      <c r="U203" s="3">
        <f t="shared" si="48"/>
        <v>0</v>
      </c>
      <c r="V203" s="3">
        <f t="shared" si="49"/>
        <v>0</v>
      </c>
      <c r="W203" s="3">
        <f t="shared" si="50"/>
        <v>0</v>
      </c>
      <c r="X203" s="3">
        <f t="shared" si="51"/>
        <v>0</v>
      </c>
      <c r="Y203" s="3">
        <f>0</f>
        <v>0</v>
      </c>
      <c r="Z203" s="3">
        <f t="shared" si="52"/>
        <v>0</v>
      </c>
      <c r="AA203">
        <f>ROUND(IF(FALSE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,0)</f>
        <v>117312</v>
      </c>
    </row>
    <row r="204" spans="1:27">
      <c r="A204" s="30">
        <f>199</f>
        <v>199</v>
      </c>
      <c r="B204" s="31">
        <f>EDATE(入力!$B$6,A204-1)</f>
        <v>52263</v>
      </c>
      <c r="C204" s="32">
        <f t="shared" si="53"/>
        <v>16031923</v>
      </c>
      <c r="D204" s="32">
        <f t="shared" si="54"/>
        <v>0</v>
      </c>
      <c r="E204" s="33">
        <f>IF(AND(T203="",A204&lt;=S203),IF(A204&lt;入力!$B$11,入力!$B$10,入力!$B$12),0)</f>
        <v>2.5000000000000001E-2</v>
      </c>
      <c r="F204" s="32">
        <f t="shared" si="55"/>
        <v>33400</v>
      </c>
      <c r="G204" s="32">
        <f>ROUND(IF(NOT(AND(T203="",A204&lt;=S203)),0,IF(FALSE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),0)</f>
        <v>117312</v>
      </c>
      <c r="H204" s="32">
        <f t="shared" si="56"/>
        <v>117312</v>
      </c>
      <c r="I204" s="32">
        <f t="shared" si="57"/>
        <v>33400</v>
      </c>
      <c r="J204" s="32">
        <f t="shared" si="58"/>
        <v>0</v>
      </c>
      <c r="K204" s="32">
        <f t="shared" si="59"/>
        <v>0</v>
      </c>
      <c r="L204" s="32">
        <f t="shared" si="60"/>
        <v>83912</v>
      </c>
      <c r="M204" s="32">
        <f>IF(AND(AND(T203="",A204&lt;=S203),A204=入力!$B$15),ROUND(MIN(入力!$B$16,MAX(0,C204-L204)),0),0)</f>
        <v>0</v>
      </c>
      <c r="N204" s="32">
        <f t="shared" si="61"/>
        <v>15948011</v>
      </c>
      <c r="O204" s="32">
        <f t="shared" si="62"/>
        <v>7903259</v>
      </c>
      <c r="P204" s="34" t="str">
        <f>IF(NOT(AND(T203="",A204&lt;=S203)),"",IF(FALSE,"繰上返済後再計算","")&amp;IF(AND(入力!$B$13="有効",A204&gt;1,MOD(A204-1,60)=0),IF(FALSE,"・","")&amp;"5年見直し","")&amp;IF(AND(A204=入力!$B$11,A204&gt;1),IF(OR(FALSE,AND(入力!$B$13="有効",A204&gt;1,MOD(A204-1,60)=0)),"・","")&amp;"金利変更","")&amp;IF(AND(OR(AND(入力!$B$13="有効",A204&gt;1,MOD(A204-1,60)=0),AND(A204=入力!$B$11,A204&gt;1)),入力!$B$14="有効",IF(E204=0,ROUND(C204/MAX(1,S203-A204+1),0),ROUND(-PMT(E204/12,MAX(1,S203-A204+1),C204),0))&gt;ROUND(G203*1.25,0),NOT(FALSE)),"・上限適用",""))</f>
        <v/>
      </c>
      <c r="Q204" s="35" t="str">
        <f>IF(AND(T203="",A204&lt;=S203),入力!$B$13,"")</f>
        <v>有効</v>
      </c>
      <c r="R204" s="32" t="str">
        <f>IF(AND(AND(T203="",A204&lt;=S203),OR(AND(入力!$B$13="有効",A204&gt;1,MOD(A204-1,60)=0),AND(A204=入力!$B$11,A204&gt;1)),入力!$B$14="有効"),ROUND(G203*1.25,0),"")</f>
        <v/>
      </c>
      <c r="S204" s="36">
        <f>IF(A204&lt;&gt;入力!$B$15,S203,IF(K204&lt;&gt;0,S203,IF(G204&lt;=F204,S203,IF(M204&lt;=0,S203,IF(AND(N204&gt;0,E204&gt;0,G204&lt;=N204*E204/12),S203,IF(A204+IF(N204=0,0,IF(E204=0,ROUNDUP(N204/G204,0),ROUNDUP(NPER(E204/12,-G204,N204),0)))&lt;S203,A204+IF(N204=0,0,IF(E204=0,ROUNDUP(N204/G204,0),ROUNDUP(NPER(E204/12,-G204,N204),0))),S203))))))</f>
        <v>359</v>
      </c>
      <c r="T204" s="35" t="str">
        <f t="shared" si="63"/>
        <v/>
      </c>
      <c r="U204" s="3">
        <f t="shared" si="48"/>
        <v>0</v>
      </c>
      <c r="V204" s="3">
        <f t="shared" si="49"/>
        <v>0</v>
      </c>
      <c r="W204" s="3">
        <f t="shared" si="50"/>
        <v>0</v>
      </c>
      <c r="X204" s="3">
        <f t="shared" si="51"/>
        <v>0</v>
      </c>
      <c r="Y204" s="3">
        <f>0</f>
        <v>0</v>
      </c>
      <c r="Z204" s="3">
        <f t="shared" si="52"/>
        <v>0</v>
      </c>
      <c r="AA204">
        <f>ROUND(IF(FALSE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,0)</f>
        <v>117312</v>
      </c>
    </row>
    <row r="205" spans="1:27">
      <c r="A205" s="30">
        <f>200</f>
        <v>200</v>
      </c>
      <c r="B205" s="31">
        <f>EDATE(入力!$B$6,A205-1)</f>
        <v>52291</v>
      </c>
      <c r="C205" s="32">
        <f t="shared" si="53"/>
        <v>15948011</v>
      </c>
      <c r="D205" s="32">
        <f t="shared" si="54"/>
        <v>0</v>
      </c>
      <c r="E205" s="33">
        <f>IF(AND(T204="",A205&lt;=S204),IF(A205&lt;入力!$B$11,入力!$B$10,入力!$B$12),0)</f>
        <v>2.5000000000000001E-2</v>
      </c>
      <c r="F205" s="32">
        <f t="shared" si="55"/>
        <v>33225</v>
      </c>
      <c r="G205" s="32">
        <f>ROUND(IF(NOT(AND(T204="",A205&lt;=S204)),0,IF(FALSE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),0)</f>
        <v>117312</v>
      </c>
      <c r="H205" s="32">
        <f t="shared" si="56"/>
        <v>117312</v>
      </c>
      <c r="I205" s="32">
        <f t="shared" si="57"/>
        <v>33225</v>
      </c>
      <c r="J205" s="32">
        <f t="shared" si="58"/>
        <v>0</v>
      </c>
      <c r="K205" s="32">
        <f t="shared" si="59"/>
        <v>0</v>
      </c>
      <c r="L205" s="32">
        <f t="shared" si="60"/>
        <v>84087</v>
      </c>
      <c r="M205" s="32">
        <f>IF(AND(AND(T204="",A205&lt;=S204),A205=入力!$B$15),ROUND(MIN(入力!$B$16,MAX(0,C205-L205)),0),0)</f>
        <v>0</v>
      </c>
      <c r="N205" s="32">
        <f t="shared" si="61"/>
        <v>15863924</v>
      </c>
      <c r="O205" s="32">
        <f t="shared" si="62"/>
        <v>7936484</v>
      </c>
      <c r="P205" s="34" t="str">
        <f>IF(NOT(AND(T204="",A205&lt;=S204)),"",IF(FALSE,"繰上返済後再計算","")&amp;IF(AND(入力!$B$13="有効",A205&gt;1,MOD(A205-1,60)=0),IF(FALSE,"・","")&amp;"5年見直し","")&amp;IF(AND(A205=入力!$B$11,A205&gt;1),IF(OR(FALSE,AND(入力!$B$13="有効",A205&gt;1,MOD(A205-1,60)=0)),"・","")&amp;"金利変更","")&amp;IF(AND(OR(AND(入力!$B$13="有効",A205&gt;1,MOD(A205-1,60)=0),AND(A205=入力!$B$11,A205&gt;1)),入力!$B$14="有効",IF(E205=0,ROUND(C205/MAX(1,S204-A205+1),0),ROUND(-PMT(E205/12,MAX(1,S204-A205+1),C205),0))&gt;ROUND(G204*1.25,0),NOT(FALSE)),"・上限適用",""))</f>
        <v/>
      </c>
      <c r="Q205" s="35" t="str">
        <f>IF(AND(T204="",A205&lt;=S204),入力!$B$13,"")</f>
        <v>有効</v>
      </c>
      <c r="R205" s="32" t="str">
        <f>IF(AND(AND(T204="",A205&lt;=S204),OR(AND(入力!$B$13="有効",A205&gt;1,MOD(A205-1,60)=0),AND(A205=入力!$B$11,A205&gt;1)),入力!$B$14="有効"),ROUND(G204*1.25,0),"")</f>
        <v/>
      </c>
      <c r="S205" s="36">
        <f>IF(A205&lt;&gt;入力!$B$15,S204,IF(K205&lt;&gt;0,S204,IF(G205&lt;=F205,S204,IF(M205&lt;=0,S204,IF(AND(N205&gt;0,E205&gt;0,G205&lt;=N205*E205/12),S204,IF(A205+IF(N205=0,0,IF(E205=0,ROUNDUP(N205/G205,0),ROUNDUP(NPER(E205/12,-G205,N205),0)))&lt;S204,A205+IF(N205=0,0,IF(E205=0,ROUNDUP(N205/G205,0),ROUNDUP(NPER(E205/12,-G205,N205),0))),S204))))))</f>
        <v>359</v>
      </c>
      <c r="T205" s="35" t="str">
        <f t="shared" si="63"/>
        <v/>
      </c>
      <c r="U205" s="3">
        <f t="shared" si="48"/>
        <v>0</v>
      </c>
      <c r="V205" s="3">
        <f t="shared" si="49"/>
        <v>0</v>
      </c>
      <c r="W205" s="3">
        <f t="shared" si="50"/>
        <v>0</v>
      </c>
      <c r="X205" s="3">
        <f t="shared" si="51"/>
        <v>0</v>
      </c>
      <c r="Y205" s="3">
        <f>0</f>
        <v>0</v>
      </c>
      <c r="Z205" s="3">
        <f t="shared" si="52"/>
        <v>0</v>
      </c>
      <c r="AA205">
        <f>ROUND(IF(FALSE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,0)</f>
        <v>117312</v>
      </c>
    </row>
    <row r="206" spans="1:27">
      <c r="A206" s="30">
        <f>201</f>
        <v>201</v>
      </c>
      <c r="B206" s="31">
        <f>EDATE(入力!$B$6,A206-1)</f>
        <v>52322</v>
      </c>
      <c r="C206" s="32">
        <f t="shared" si="53"/>
        <v>15863924</v>
      </c>
      <c r="D206" s="32">
        <f t="shared" si="54"/>
        <v>0</v>
      </c>
      <c r="E206" s="33">
        <f>IF(AND(T205="",A206&lt;=S205),IF(A206&lt;入力!$B$11,入力!$B$10,入力!$B$12),0)</f>
        <v>2.5000000000000001E-2</v>
      </c>
      <c r="F206" s="32">
        <f t="shared" si="55"/>
        <v>33050</v>
      </c>
      <c r="G206" s="32">
        <f>ROUND(IF(NOT(AND(T205="",A206&lt;=S205)),0,IF(FALSE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),0)</f>
        <v>117312</v>
      </c>
      <c r="H206" s="32">
        <f t="shared" si="56"/>
        <v>117312</v>
      </c>
      <c r="I206" s="32">
        <f t="shared" si="57"/>
        <v>33050</v>
      </c>
      <c r="J206" s="32">
        <f t="shared" si="58"/>
        <v>0</v>
      </c>
      <c r="K206" s="32">
        <f t="shared" si="59"/>
        <v>0</v>
      </c>
      <c r="L206" s="32">
        <f t="shared" si="60"/>
        <v>84262</v>
      </c>
      <c r="M206" s="32">
        <f>IF(AND(AND(T205="",A206&lt;=S205),A206=入力!$B$15),ROUND(MIN(入力!$B$16,MAX(0,C206-L206)),0),0)</f>
        <v>0</v>
      </c>
      <c r="N206" s="32">
        <f t="shared" si="61"/>
        <v>15779662</v>
      </c>
      <c r="O206" s="32">
        <f t="shared" si="62"/>
        <v>7969534</v>
      </c>
      <c r="P206" s="34" t="str">
        <f>IF(NOT(AND(T205="",A206&lt;=S205)),"",IF(FALSE,"繰上返済後再計算","")&amp;IF(AND(入力!$B$13="有効",A206&gt;1,MOD(A206-1,60)=0),IF(FALSE,"・","")&amp;"5年見直し","")&amp;IF(AND(A206=入力!$B$11,A206&gt;1),IF(OR(FALSE,AND(入力!$B$13="有効",A206&gt;1,MOD(A206-1,60)=0)),"・","")&amp;"金利変更","")&amp;IF(AND(OR(AND(入力!$B$13="有効",A206&gt;1,MOD(A206-1,60)=0),AND(A206=入力!$B$11,A206&gt;1)),入力!$B$14="有効",IF(E206=0,ROUND(C206/MAX(1,S205-A206+1),0),ROUND(-PMT(E206/12,MAX(1,S205-A206+1),C206),0))&gt;ROUND(G205*1.25,0),NOT(FALSE)),"・上限適用",""))</f>
        <v/>
      </c>
      <c r="Q206" s="35" t="str">
        <f>IF(AND(T205="",A206&lt;=S205),入力!$B$13,"")</f>
        <v>有効</v>
      </c>
      <c r="R206" s="32" t="str">
        <f>IF(AND(AND(T205="",A206&lt;=S205),OR(AND(入力!$B$13="有効",A206&gt;1,MOD(A206-1,60)=0),AND(A206=入力!$B$11,A206&gt;1)),入力!$B$14="有効"),ROUND(G205*1.25,0),"")</f>
        <v/>
      </c>
      <c r="S206" s="36">
        <f>IF(A206&lt;&gt;入力!$B$15,S205,IF(K206&lt;&gt;0,S205,IF(G206&lt;=F206,S205,IF(M206&lt;=0,S205,IF(AND(N206&gt;0,E206&gt;0,G206&lt;=N206*E206/12),S205,IF(A206+IF(N206=0,0,IF(E206=0,ROUNDUP(N206/G206,0),ROUNDUP(NPER(E206/12,-G206,N206),0)))&lt;S205,A206+IF(N206=0,0,IF(E206=0,ROUNDUP(N206/G206,0),ROUNDUP(NPER(E206/12,-G206,N206),0))),S205))))))</f>
        <v>359</v>
      </c>
      <c r="T206" s="35" t="str">
        <f t="shared" si="63"/>
        <v/>
      </c>
      <c r="U206" s="3">
        <f t="shared" si="48"/>
        <v>0</v>
      </c>
      <c r="V206" s="3">
        <f t="shared" si="49"/>
        <v>0</v>
      </c>
      <c r="W206" s="3">
        <f t="shared" si="50"/>
        <v>0</v>
      </c>
      <c r="X206" s="3">
        <f t="shared" si="51"/>
        <v>0</v>
      </c>
      <c r="Y206" s="3">
        <f>0</f>
        <v>0</v>
      </c>
      <c r="Z206" s="3">
        <f t="shared" si="52"/>
        <v>0</v>
      </c>
      <c r="AA206">
        <f>ROUND(IF(FALSE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,0)</f>
        <v>117312</v>
      </c>
    </row>
    <row r="207" spans="1:27">
      <c r="A207" s="30">
        <f>202</f>
        <v>202</v>
      </c>
      <c r="B207" s="31">
        <f>EDATE(入力!$B$6,A207-1)</f>
        <v>52352</v>
      </c>
      <c r="C207" s="32">
        <f t="shared" si="53"/>
        <v>15779662</v>
      </c>
      <c r="D207" s="32">
        <f t="shared" si="54"/>
        <v>0</v>
      </c>
      <c r="E207" s="33">
        <f>IF(AND(T206="",A207&lt;=S206),IF(A207&lt;入力!$B$11,入力!$B$10,入力!$B$12),0)</f>
        <v>2.5000000000000001E-2</v>
      </c>
      <c r="F207" s="32">
        <f t="shared" si="55"/>
        <v>32874</v>
      </c>
      <c r="G207" s="32">
        <f>ROUND(IF(NOT(AND(T206="",A207&lt;=S206)),0,IF(FALSE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),0)</f>
        <v>117312</v>
      </c>
      <c r="H207" s="32">
        <f t="shared" si="56"/>
        <v>117312</v>
      </c>
      <c r="I207" s="32">
        <f t="shared" si="57"/>
        <v>32874</v>
      </c>
      <c r="J207" s="32">
        <f t="shared" si="58"/>
        <v>0</v>
      </c>
      <c r="K207" s="32">
        <f t="shared" si="59"/>
        <v>0</v>
      </c>
      <c r="L207" s="32">
        <f t="shared" si="60"/>
        <v>84438</v>
      </c>
      <c r="M207" s="32">
        <f>IF(AND(AND(T206="",A207&lt;=S206),A207=入力!$B$15),ROUND(MIN(入力!$B$16,MAX(0,C207-L207)),0),0)</f>
        <v>0</v>
      </c>
      <c r="N207" s="32">
        <f t="shared" si="61"/>
        <v>15695224</v>
      </c>
      <c r="O207" s="32">
        <f t="shared" si="62"/>
        <v>8002408</v>
      </c>
      <c r="P207" s="34" t="str">
        <f>IF(NOT(AND(T206="",A207&lt;=S206)),"",IF(FALSE,"繰上返済後再計算","")&amp;IF(AND(入力!$B$13="有効",A207&gt;1,MOD(A207-1,60)=0),IF(FALSE,"・","")&amp;"5年見直し","")&amp;IF(AND(A207=入力!$B$11,A207&gt;1),IF(OR(FALSE,AND(入力!$B$13="有効",A207&gt;1,MOD(A207-1,60)=0)),"・","")&amp;"金利変更","")&amp;IF(AND(OR(AND(入力!$B$13="有効",A207&gt;1,MOD(A207-1,60)=0),AND(A207=入力!$B$11,A207&gt;1)),入力!$B$14="有効",IF(E207=0,ROUND(C207/MAX(1,S206-A207+1),0),ROUND(-PMT(E207/12,MAX(1,S206-A207+1),C207),0))&gt;ROUND(G206*1.25,0),NOT(FALSE)),"・上限適用",""))</f>
        <v/>
      </c>
      <c r="Q207" s="35" t="str">
        <f>IF(AND(T206="",A207&lt;=S206),入力!$B$13,"")</f>
        <v>有効</v>
      </c>
      <c r="R207" s="32" t="str">
        <f>IF(AND(AND(T206="",A207&lt;=S206),OR(AND(入力!$B$13="有効",A207&gt;1,MOD(A207-1,60)=0),AND(A207=入力!$B$11,A207&gt;1)),入力!$B$14="有効"),ROUND(G206*1.25,0),"")</f>
        <v/>
      </c>
      <c r="S207" s="36">
        <f>IF(A207&lt;&gt;入力!$B$15,S206,IF(K207&lt;&gt;0,S206,IF(G207&lt;=F207,S206,IF(M207&lt;=0,S206,IF(AND(N207&gt;0,E207&gt;0,G207&lt;=N207*E207/12),S206,IF(A207+IF(N207=0,0,IF(E207=0,ROUNDUP(N207/G207,0),ROUNDUP(NPER(E207/12,-G207,N207),0)))&lt;S206,A207+IF(N207=0,0,IF(E207=0,ROUNDUP(N207/G207,0),ROUNDUP(NPER(E207/12,-G207,N207),0))),S206))))))</f>
        <v>359</v>
      </c>
      <c r="T207" s="35" t="str">
        <f t="shared" si="63"/>
        <v/>
      </c>
      <c r="U207" s="3">
        <f t="shared" si="48"/>
        <v>0</v>
      </c>
      <c r="V207" s="3">
        <f t="shared" si="49"/>
        <v>0</v>
      </c>
      <c r="W207" s="3">
        <f t="shared" si="50"/>
        <v>0</v>
      </c>
      <c r="X207" s="3">
        <f t="shared" si="51"/>
        <v>0</v>
      </c>
      <c r="Y207" s="3">
        <f>0</f>
        <v>0</v>
      </c>
      <c r="Z207" s="3">
        <f t="shared" si="52"/>
        <v>0</v>
      </c>
      <c r="AA207">
        <f>ROUND(IF(FALSE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,0)</f>
        <v>117312</v>
      </c>
    </row>
    <row r="208" spans="1:27">
      <c r="A208" s="30">
        <f>203</f>
        <v>203</v>
      </c>
      <c r="B208" s="31">
        <f>EDATE(入力!$B$6,A208-1)</f>
        <v>52383</v>
      </c>
      <c r="C208" s="32">
        <f t="shared" si="53"/>
        <v>15695224</v>
      </c>
      <c r="D208" s="32">
        <f t="shared" si="54"/>
        <v>0</v>
      </c>
      <c r="E208" s="33">
        <f>IF(AND(T207="",A208&lt;=S207),IF(A208&lt;入力!$B$11,入力!$B$10,入力!$B$12),0)</f>
        <v>2.5000000000000001E-2</v>
      </c>
      <c r="F208" s="32">
        <f t="shared" si="55"/>
        <v>32698</v>
      </c>
      <c r="G208" s="32">
        <f>ROUND(IF(NOT(AND(T207="",A208&lt;=S207)),0,IF(FALSE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),0)</f>
        <v>117312</v>
      </c>
      <c r="H208" s="32">
        <f t="shared" si="56"/>
        <v>117312</v>
      </c>
      <c r="I208" s="32">
        <f t="shared" si="57"/>
        <v>32698</v>
      </c>
      <c r="J208" s="32">
        <f t="shared" si="58"/>
        <v>0</v>
      </c>
      <c r="K208" s="32">
        <f t="shared" si="59"/>
        <v>0</v>
      </c>
      <c r="L208" s="32">
        <f t="shared" si="60"/>
        <v>84614</v>
      </c>
      <c r="M208" s="32">
        <f>IF(AND(AND(T207="",A208&lt;=S207),A208=入力!$B$15),ROUND(MIN(入力!$B$16,MAX(0,C208-L208)),0),0)</f>
        <v>0</v>
      </c>
      <c r="N208" s="32">
        <f t="shared" si="61"/>
        <v>15610610</v>
      </c>
      <c r="O208" s="32">
        <f t="shared" si="62"/>
        <v>8035106</v>
      </c>
      <c r="P208" s="34" t="str">
        <f>IF(NOT(AND(T207="",A208&lt;=S207)),"",IF(FALSE,"繰上返済後再計算","")&amp;IF(AND(入力!$B$13="有効",A208&gt;1,MOD(A208-1,60)=0),IF(FALSE,"・","")&amp;"5年見直し","")&amp;IF(AND(A208=入力!$B$11,A208&gt;1),IF(OR(FALSE,AND(入力!$B$13="有効",A208&gt;1,MOD(A208-1,60)=0)),"・","")&amp;"金利変更","")&amp;IF(AND(OR(AND(入力!$B$13="有効",A208&gt;1,MOD(A208-1,60)=0),AND(A208=入力!$B$11,A208&gt;1)),入力!$B$14="有効",IF(E208=0,ROUND(C208/MAX(1,S207-A208+1),0),ROUND(-PMT(E208/12,MAX(1,S207-A208+1),C208),0))&gt;ROUND(G207*1.25,0),NOT(FALSE)),"・上限適用",""))</f>
        <v/>
      </c>
      <c r="Q208" s="35" t="str">
        <f>IF(AND(T207="",A208&lt;=S207),入力!$B$13,"")</f>
        <v>有効</v>
      </c>
      <c r="R208" s="32" t="str">
        <f>IF(AND(AND(T207="",A208&lt;=S207),OR(AND(入力!$B$13="有効",A208&gt;1,MOD(A208-1,60)=0),AND(A208=入力!$B$11,A208&gt;1)),入力!$B$14="有効"),ROUND(G207*1.25,0),"")</f>
        <v/>
      </c>
      <c r="S208" s="36">
        <f>IF(A208&lt;&gt;入力!$B$15,S207,IF(K208&lt;&gt;0,S207,IF(G208&lt;=F208,S207,IF(M208&lt;=0,S207,IF(AND(N208&gt;0,E208&gt;0,G208&lt;=N208*E208/12),S207,IF(A208+IF(N208=0,0,IF(E208=0,ROUNDUP(N208/G208,0),ROUNDUP(NPER(E208/12,-G208,N208),0)))&lt;S207,A208+IF(N208=0,0,IF(E208=0,ROUNDUP(N208/G208,0),ROUNDUP(NPER(E208/12,-G208,N208),0))),S207))))))</f>
        <v>359</v>
      </c>
      <c r="T208" s="35" t="str">
        <f t="shared" si="63"/>
        <v/>
      </c>
      <c r="U208" s="3">
        <f t="shared" si="48"/>
        <v>0</v>
      </c>
      <c r="V208" s="3">
        <f t="shared" si="49"/>
        <v>0</v>
      </c>
      <c r="W208" s="3">
        <f t="shared" si="50"/>
        <v>0</v>
      </c>
      <c r="X208" s="3">
        <f t="shared" si="51"/>
        <v>0</v>
      </c>
      <c r="Y208" s="3">
        <f>0</f>
        <v>0</v>
      </c>
      <c r="Z208" s="3">
        <f t="shared" si="52"/>
        <v>0</v>
      </c>
      <c r="AA208">
        <f>ROUND(IF(FALSE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,0)</f>
        <v>117312</v>
      </c>
    </row>
    <row r="209" spans="1:27">
      <c r="A209" s="30">
        <f>204</f>
        <v>204</v>
      </c>
      <c r="B209" s="31">
        <f>EDATE(入力!$B$6,A209-1)</f>
        <v>52413</v>
      </c>
      <c r="C209" s="32">
        <f t="shared" si="53"/>
        <v>15610610</v>
      </c>
      <c r="D209" s="32">
        <f t="shared" si="54"/>
        <v>0</v>
      </c>
      <c r="E209" s="33">
        <f>IF(AND(T208="",A209&lt;=S208),IF(A209&lt;入力!$B$11,入力!$B$10,入力!$B$12),0)</f>
        <v>2.5000000000000001E-2</v>
      </c>
      <c r="F209" s="32">
        <f t="shared" si="55"/>
        <v>32522</v>
      </c>
      <c r="G209" s="32">
        <f>ROUND(IF(NOT(AND(T208="",A209&lt;=S208)),0,IF(FALSE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),0)</f>
        <v>117312</v>
      </c>
      <c r="H209" s="32">
        <f t="shared" si="56"/>
        <v>117312</v>
      </c>
      <c r="I209" s="32">
        <f t="shared" si="57"/>
        <v>32522</v>
      </c>
      <c r="J209" s="32">
        <f t="shared" si="58"/>
        <v>0</v>
      </c>
      <c r="K209" s="32">
        <f t="shared" si="59"/>
        <v>0</v>
      </c>
      <c r="L209" s="32">
        <f t="shared" si="60"/>
        <v>84790</v>
      </c>
      <c r="M209" s="32">
        <f>IF(AND(AND(T208="",A209&lt;=S208),A209=入力!$B$15),ROUND(MIN(入力!$B$16,MAX(0,C209-L209)),0),0)</f>
        <v>0</v>
      </c>
      <c r="N209" s="32">
        <f t="shared" si="61"/>
        <v>15525820</v>
      </c>
      <c r="O209" s="32">
        <f t="shared" si="62"/>
        <v>8067628</v>
      </c>
      <c r="P209" s="34" t="str">
        <f>IF(NOT(AND(T208="",A209&lt;=S208)),"",IF(FALSE,"繰上返済後再計算","")&amp;IF(AND(入力!$B$13="有効",A209&gt;1,MOD(A209-1,60)=0),IF(FALSE,"・","")&amp;"5年見直し","")&amp;IF(AND(A209=入力!$B$11,A209&gt;1),IF(OR(FALSE,AND(入力!$B$13="有効",A209&gt;1,MOD(A209-1,60)=0)),"・","")&amp;"金利変更","")&amp;IF(AND(OR(AND(入力!$B$13="有効",A209&gt;1,MOD(A209-1,60)=0),AND(A209=入力!$B$11,A209&gt;1)),入力!$B$14="有効",IF(E209=0,ROUND(C209/MAX(1,S208-A209+1),0),ROUND(-PMT(E209/12,MAX(1,S208-A209+1),C209),0))&gt;ROUND(G208*1.25,0),NOT(FALSE)),"・上限適用",""))</f>
        <v/>
      </c>
      <c r="Q209" s="35" t="str">
        <f>IF(AND(T208="",A209&lt;=S208),入力!$B$13,"")</f>
        <v>有効</v>
      </c>
      <c r="R209" s="32" t="str">
        <f>IF(AND(AND(T208="",A209&lt;=S208),OR(AND(入力!$B$13="有効",A209&gt;1,MOD(A209-1,60)=0),AND(A209=入力!$B$11,A209&gt;1)),入力!$B$14="有効"),ROUND(G208*1.25,0),"")</f>
        <v/>
      </c>
      <c r="S209" s="36">
        <f>IF(A209&lt;&gt;入力!$B$15,S208,IF(K209&lt;&gt;0,S208,IF(G209&lt;=F209,S208,IF(M209&lt;=0,S208,IF(AND(N209&gt;0,E209&gt;0,G209&lt;=N209*E209/12),S208,IF(A209+IF(N209=0,0,IF(E209=0,ROUNDUP(N209/G209,0),ROUNDUP(NPER(E209/12,-G209,N209),0)))&lt;S208,A209+IF(N209=0,0,IF(E209=0,ROUNDUP(N209/G209,0),ROUNDUP(NPER(E209/12,-G209,N209),0))),S208))))))</f>
        <v>359</v>
      </c>
      <c r="T209" s="35" t="str">
        <f t="shared" si="63"/>
        <v/>
      </c>
      <c r="U209" s="3">
        <f t="shared" si="48"/>
        <v>0</v>
      </c>
      <c r="V209" s="3">
        <f t="shared" si="49"/>
        <v>0</v>
      </c>
      <c r="W209" s="3">
        <f t="shared" si="50"/>
        <v>0</v>
      </c>
      <c r="X209" s="3">
        <f t="shared" si="51"/>
        <v>0</v>
      </c>
      <c r="Y209" s="3">
        <f>0</f>
        <v>0</v>
      </c>
      <c r="Z209" s="3">
        <f t="shared" si="52"/>
        <v>0</v>
      </c>
      <c r="AA209">
        <f>ROUND(IF(FALSE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,0)</f>
        <v>117312</v>
      </c>
    </row>
    <row r="210" spans="1:27">
      <c r="A210" s="30">
        <f>205</f>
        <v>205</v>
      </c>
      <c r="B210" s="31">
        <f>EDATE(入力!$B$6,A210-1)</f>
        <v>52444</v>
      </c>
      <c r="C210" s="32">
        <f t="shared" si="53"/>
        <v>15525820</v>
      </c>
      <c r="D210" s="32">
        <f t="shared" si="54"/>
        <v>0</v>
      </c>
      <c r="E210" s="33">
        <f>IF(AND(T209="",A210&lt;=S209),IF(A210&lt;入力!$B$11,入力!$B$10,入力!$B$12),0)</f>
        <v>2.5000000000000001E-2</v>
      </c>
      <c r="F210" s="32">
        <f t="shared" si="55"/>
        <v>32345</v>
      </c>
      <c r="G210" s="32">
        <f>ROUND(IF(NOT(AND(T209="",A210&lt;=S209)),0,IF(FALSE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),0)</f>
        <v>117312</v>
      </c>
      <c r="H210" s="32">
        <f t="shared" si="56"/>
        <v>117312</v>
      </c>
      <c r="I210" s="32">
        <f t="shared" si="57"/>
        <v>32345</v>
      </c>
      <c r="J210" s="32">
        <f t="shared" si="58"/>
        <v>0</v>
      </c>
      <c r="K210" s="32">
        <f t="shared" si="59"/>
        <v>0</v>
      </c>
      <c r="L210" s="32">
        <f t="shared" si="60"/>
        <v>84967</v>
      </c>
      <c r="M210" s="32">
        <f>IF(AND(AND(T209="",A210&lt;=S209),A210=入力!$B$15),ROUND(MIN(入力!$B$16,MAX(0,C210-L210)),0),0)</f>
        <v>0</v>
      </c>
      <c r="N210" s="32">
        <f t="shared" si="61"/>
        <v>15440853</v>
      </c>
      <c r="O210" s="32">
        <f t="shared" si="62"/>
        <v>8099973</v>
      </c>
      <c r="P210" s="34" t="str">
        <f>IF(NOT(AND(T209="",A210&lt;=S209)),"",IF(FALSE,"繰上返済後再計算","")&amp;IF(AND(入力!$B$13="有効",A210&gt;1,MOD(A210-1,60)=0),IF(FALSE,"・","")&amp;"5年見直し","")&amp;IF(AND(A210=入力!$B$11,A210&gt;1),IF(OR(FALSE,AND(入力!$B$13="有効",A210&gt;1,MOD(A210-1,60)=0)),"・","")&amp;"金利変更","")&amp;IF(AND(OR(AND(入力!$B$13="有効",A210&gt;1,MOD(A210-1,60)=0),AND(A210=入力!$B$11,A210&gt;1)),入力!$B$14="有効",IF(E210=0,ROUND(C210/MAX(1,S209-A210+1),0),ROUND(-PMT(E210/12,MAX(1,S209-A210+1),C210),0))&gt;ROUND(G209*1.25,0),NOT(FALSE)),"・上限適用",""))</f>
        <v/>
      </c>
      <c r="Q210" s="35" t="str">
        <f>IF(AND(T209="",A210&lt;=S209),入力!$B$13,"")</f>
        <v>有効</v>
      </c>
      <c r="R210" s="32" t="str">
        <f>IF(AND(AND(T209="",A210&lt;=S209),OR(AND(入力!$B$13="有効",A210&gt;1,MOD(A210-1,60)=0),AND(A210=入力!$B$11,A210&gt;1)),入力!$B$14="有効"),ROUND(G209*1.25,0),"")</f>
        <v/>
      </c>
      <c r="S210" s="36">
        <f>IF(A210&lt;&gt;入力!$B$15,S209,IF(K210&lt;&gt;0,S209,IF(G210&lt;=F210,S209,IF(M210&lt;=0,S209,IF(AND(N210&gt;0,E210&gt;0,G210&lt;=N210*E210/12),S209,IF(A210+IF(N210=0,0,IF(E210=0,ROUNDUP(N210/G210,0),ROUNDUP(NPER(E210/12,-G210,N210),0)))&lt;S209,A210+IF(N210=0,0,IF(E210=0,ROUNDUP(N210/G210,0),ROUNDUP(NPER(E210/12,-G210,N210),0))),S209))))))</f>
        <v>359</v>
      </c>
      <c r="T210" s="35" t="str">
        <f t="shared" si="63"/>
        <v/>
      </c>
      <c r="U210" s="3">
        <f t="shared" si="48"/>
        <v>0</v>
      </c>
      <c r="V210" s="3">
        <f t="shared" si="49"/>
        <v>0</v>
      </c>
      <c r="W210" s="3">
        <f t="shared" si="50"/>
        <v>0</v>
      </c>
      <c r="X210" s="3">
        <f t="shared" si="51"/>
        <v>0</v>
      </c>
      <c r="Y210" s="3">
        <f>0</f>
        <v>0</v>
      </c>
      <c r="Z210" s="3">
        <f t="shared" si="52"/>
        <v>0</v>
      </c>
      <c r="AA210">
        <f>ROUND(IF(FALSE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,0)</f>
        <v>117312</v>
      </c>
    </row>
    <row r="211" spans="1:27">
      <c r="A211" s="30">
        <f>206</f>
        <v>206</v>
      </c>
      <c r="B211" s="31">
        <f>EDATE(入力!$B$6,A211-1)</f>
        <v>52475</v>
      </c>
      <c r="C211" s="32">
        <f t="shared" si="53"/>
        <v>15440853</v>
      </c>
      <c r="D211" s="32">
        <f t="shared" si="54"/>
        <v>0</v>
      </c>
      <c r="E211" s="33">
        <f>IF(AND(T210="",A211&lt;=S210),IF(A211&lt;入力!$B$11,入力!$B$10,入力!$B$12),0)</f>
        <v>2.5000000000000001E-2</v>
      </c>
      <c r="F211" s="32">
        <f t="shared" si="55"/>
        <v>32168</v>
      </c>
      <c r="G211" s="32">
        <f>ROUND(IF(NOT(AND(T210="",A211&lt;=S210)),0,IF(FALSE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),0)</f>
        <v>117312</v>
      </c>
      <c r="H211" s="32">
        <f t="shared" si="56"/>
        <v>117312</v>
      </c>
      <c r="I211" s="32">
        <f t="shared" si="57"/>
        <v>32168</v>
      </c>
      <c r="J211" s="32">
        <f t="shared" si="58"/>
        <v>0</v>
      </c>
      <c r="K211" s="32">
        <f t="shared" si="59"/>
        <v>0</v>
      </c>
      <c r="L211" s="32">
        <f t="shared" si="60"/>
        <v>85144</v>
      </c>
      <c r="M211" s="32">
        <f>IF(AND(AND(T210="",A211&lt;=S210),A211=入力!$B$15),ROUND(MIN(入力!$B$16,MAX(0,C211-L211)),0),0)</f>
        <v>0</v>
      </c>
      <c r="N211" s="32">
        <f t="shared" si="61"/>
        <v>15355709</v>
      </c>
      <c r="O211" s="32">
        <f t="shared" si="62"/>
        <v>8132141</v>
      </c>
      <c r="P211" s="34" t="str">
        <f>IF(NOT(AND(T210="",A211&lt;=S210)),"",IF(FALSE,"繰上返済後再計算","")&amp;IF(AND(入力!$B$13="有効",A211&gt;1,MOD(A211-1,60)=0),IF(FALSE,"・","")&amp;"5年見直し","")&amp;IF(AND(A211=入力!$B$11,A211&gt;1),IF(OR(FALSE,AND(入力!$B$13="有効",A211&gt;1,MOD(A211-1,60)=0)),"・","")&amp;"金利変更","")&amp;IF(AND(OR(AND(入力!$B$13="有効",A211&gt;1,MOD(A211-1,60)=0),AND(A211=入力!$B$11,A211&gt;1)),入力!$B$14="有効",IF(E211=0,ROUND(C211/MAX(1,S210-A211+1),0),ROUND(-PMT(E211/12,MAX(1,S210-A211+1),C211),0))&gt;ROUND(G210*1.25,0),NOT(FALSE)),"・上限適用",""))</f>
        <v/>
      </c>
      <c r="Q211" s="35" t="str">
        <f>IF(AND(T210="",A211&lt;=S210),入力!$B$13,"")</f>
        <v>有効</v>
      </c>
      <c r="R211" s="32" t="str">
        <f>IF(AND(AND(T210="",A211&lt;=S210),OR(AND(入力!$B$13="有効",A211&gt;1,MOD(A211-1,60)=0),AND(A211=入力!$B$11,A211&gt;1)),入力!$B$14="有効"),ROUND(G210*1.25,0),"")</f>
        <v/>
      </c>
      <c r="S211" s="36">
        <f>IF(A211&lt;&gt;入力!$B$15,S210,IF(K211&lt;&gt;0,S210,IF(G211&lt;=F211,S210,IF(M211&lt;=0,S210,IF(AND(N211&gt;0,E211&gt;0,G211&lt;=N211*E211/12),S210,IF(A211+IF(N211=0,0,IF(E211=0,ROUNDUP(N211/G211,0),ROUNDUP(NPER(E211/12,-G211,N211),0)))&lt;S210,A211+IF(N211=0,0,IF(E211=0,ROUNDUP(N211/G211,0),ROUNDUP(NPER(E211/12,-G211,N211),0))),S210))))))</f>
        <v>359</v>
      </c>
      <c r="T211" s="35" t="str">
        <f t="shared" si="63"/>
        <v/>
      </c>
      <c r="U211" s="3">
        <f t="shared" si="48"/>
        <v>0</v>
      </c>
      <c r="V211" s="3">
        <f t="shared" si="49"/>
        <v>0</v>
      </c>
      <c r="W211" s="3">
        <f t="shared" si="50"/>
        <v>0</v>
      </c>
      <c r="X211" s="3">
        <f t="shared" si="51"/>
        <v>0</v>
      </c>
      <c r="Y211" s="3">
        <f>0</f>
        <v>0</v>
      </c>
      <c r="Z211" s="3">
        <f t="shared" si="52"/>
        <v>0</v>
      </c>
      <c r="AA211">
        <f>ROUND(IF(FALSE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,0)</f>
        <v>117312</v>
      </c>
    </row>
    <row r="212" spans="1:27">
      <c r="A212" s="30">
        <f>207</f>
        <v>207</v>
      </c>
      <c r="B212" s="31">
        <f>EDATE(入力!$B$6,A212-1)</f>
        <v>52505</v>
      </c>
      <c r="C212" s="32">
        <f t="shared" si="53"/>
        <v>15355709</v>
      </c>
      <c r="D212" s="32">
        <f t="shared" si="54"/>
        <v>0</v>
      </c>
      <c r="E212" s="33">
        <f>IF(AND(T211="",A212&lt;=S211),IF(A212&lt;入力!$B$11,入力!$B$10,入力!$B$12),0)</f>
        <v>2.5000000000000001E-2</v>
      </c>
      <c r="F212" s="32">
        <f t="shared" si="55"/>
        <v>31991</v>
      </c>
      <c r="G212" s="32">
        <f>ROUND(IF(NOT(AND(T211="",A212&lt;=S211)),0,IF(FALSE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),0)</f>
        <v>117312</v>
      </c>
      <c r="H212" s="32">
        <f t="shared" si="56"/>
        <v>117312</v>
      </c>
      <c r="I212" s="32">
        <f t="shared" si="57"/>
        <v>31991</v>
      </c>
      <c r="J212" s="32">
        <f t="shared" si="58"/>
        <v>0</v>
      </c>
      <c r="K212" s="32">
        <f t="shared" si="59"/>
        <v>0</v>
      </c>
      <c r="L212" s="32">
        <f t="shared" si="60"/>
        <v>85321</v>
      </c>
      <c r="M212" s="32">
        <f>IF(AND(AND(T211="",A212&lt;=S211),A212=入力!$B$15),ROUND(MIN(入力!$B$16,MAX(0,C212-L212)),0),0)</f>
        <v>0</v>
      </c>
      <c r="N212" s="32">
        <f t="shared" si="61"/>
        <v>15270388</v>
      </c>
      <c r="O212" s="32">
        <f t="shared" si="62"/>
        <v>8164132</v>
      </c>
      <c r="P212" s="34" t="str">
        <f>IF(NOT(AND(T211="",A212&lt;=S211)),"",IF(FALSE,"繰上返済後再計算","")&amp;IF(AND(入力!$B$13="有効",A212&gt;1,MOD(A212-1,60)=0),IF(FALSE,"・","")&amp;"5年見直し","")&amp;IF(AND(A212=入力!$B$11,A212&gt;1),IF(OR(FALSE,AND(入力!$B$13="有効",A212&gt;1,MOD(A212-1,60)=0)),"・","")&amp;"金利変更","")&amp;IF(AND(OR(AND(入力!$B$13="有効",A212&gt;1,MOD(A212-1,60)=0),AND(A212=入力!$B$11,A212&gt;1)),入力!$B$14="有効",IF(E212=0,ROUND(C212/MAX(1,S211-A212+1),0),ROUND(-PMT(E212/12,MAX(1,S211-A212+1),C212),0))&gt;ROUND(G211*1.25,0),NOT(FALSE)),"・上限適用",""))</f>
        <v/>
      </c>
      <c r="Q212" s="35" t="str">
        <f>IF(AND(T211="",A212&lt;=S211),入力!$B$13,"")</f>
        <v>有効</v>
      </c>
      <c r="R212" s="32" t="str">
        <f>IF(AND(AND(T211="",A212&lt;=S211),OR(AND(入力!$B$13="有効",A212&gt;1,MOD(A212-1,60)=0),AND(A212=入力!$B$11,A212&gt;1)),入力!$B$14="有効"),ROUND(G211*1.25,0),"")</f>
        <v/>
      </c>
      <c r="S212" s="36">
        <f>IF(A212&lt;&gt;入力!$B$15,S211,IF(K212&lt;&gt;0,S211,IF(G212&lt;=F212,S211,IF(M212&lt;=0,S211,IF(AND(N212&gt;0,E212&gt;0,G212&lt;=N212*E212/12),S211,IF(A212+IF(N212=0,0,IF(E212=0,ROUNDUP(N212/G212,0),ROUNDUP(NPER(E212/12,-G212,N212),0)))&lt;S211,A212+IF(N212=0,0,IF(E212=0,ROUNDUP(N212/G212,0),ROUNDUP(NPER(E212/12,-G212,N212),0))),S211))))))</f>
        <v>359</v>
      </c>
      <c r="T212" s="35" t="str">
        <f t="shared" si="63"/>
        <v/>
      </c>
      <c r="U212" s="3">
        <f t="shared" si="48"/>
        <v>0</v>
      </c>
      <c r="V212" s="3">
        <f t="shared" si="49"/>
        <v>0</v>
      </c>
      <c r="W212" s="3">
        <f t="shared" si="50"/>
        <v>0</v>
      </c>
      <c r="X212" s="3">
        <f t="shared" si="51"/>
        <v>0</v>
      </c>
      <c r="Y212" s="3">
        <f>0</f>
        <v>0</v>
      </c>
      <c r="Z212" s="3">
        <f t="shared" si="52"/>
        <v>0</v>
      </c>
      <c r="AA212">
        <f>ROUND(IF(FALSE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,0)</f>
        <v>117312</v>
      </c>
    </row>
    <row r="213" spans="1:27">
      <c r="A213" s="30">
        <f>208</f>
        <v>208</v>
      </c>
      <c r="B213" s="31">
        <f>EDATE(入力!$B$6,A213-1)</f>
        <v>52536</v>
      </c>
      <c r="C213" s="32">
        <f t="shared" si="53"/>
        <v>15270388</v>
      </c>
      <c r="D213" s="32">
        <f t="shared" si="54"/>
        <v>0</v>
      </c>
      <c r="E213" s="33">
        <f>IF(AND(T212="",A213&lt;=S212),IF(A213&lt;入力!$B$11,入力!$B$10,入力!$B$12),0)</f>
        <v>2.5000000000000001E-2</v>
      </c>
      <c r="F213" s="32">
        <f t="shared" si="55"/>
        <v>31813</v>
      </c>
      <c r="G213" s="32">
        <f>ROUND(IF(NOT(AND(T212="",A213&lt;=S212)),0,IF(FALSE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),0)</f>
        <v>117312</v>
      </c>
      <c r="H213" s="32">
        <f t="shared" si="56"/>
        <v>117312</v>
      </c>
      <c r="I213" s="32">
        <f t="shared" si="57"/>
        <v>31813</v>
      </c>
      <c r="J213" s="32">
        <f t="shared" si="58"/>
        <v>0</v>
      </c>
      <c r="K213" s="32">
        <f t="shared" si="59"/>
        <v>0</v>
      </c>
      <c r="L213" s="32">
        <f t="shared" si="60"/>
        <v>85499</v>
      </c>
      <c r="M213" s="32">
        <f>IF(AND(AND(T212="",A213&lt;=S212),A213=入力!$B$15),ROUND(MIN(入力!$B$16,MAX(0,C213-L213)),0),0)</f>
        <v>0</v>
      </c>
      <c r="N213" s="32">
        <f t="shared" si="61"/>
        <v>15184889</v>
      </c>
      <c r="O213" s="32">
        <f t="shared" si="62"/>
        <v>8195945</v>
      </c>
      <c r="P213" s="34" t="str">
        <f>IF(NOT(AND(T212="",A213&lt;=S212)),"",IF(FALSE,"繰上返済後再計算","")&amp;IF(AND(入力!$B$13="有効",A213&gt;1,MOD(A213-1,60)=0),IF(FALSE,"・","")&amp;"5年見直し","")&amp;IF(AND(A213=入力!$B$11,A213&gt;1),IF(OR(FALSE,AND(入力!$B$13="有効",A213&gt;1,MOD(A213-1,60)=0)),"・","")&amp;"金利変更","")&amp;IF(AND(OR(AND(入力!$B$13="有効",A213&gt;1,MOD(A213-1,60)=0),AND(A213=入力!$B$11,A213&gt;1)),入力!$B$14="有効",IF(E213=0,ROUND(C213/MAX(1,S212-A213+1),0),ROUND(-PMT(E213/12,MAX(1,S212-A213+1),C213),0))&gt;ROUND(G212*1.25,0),NOT(FALSE)),"・上限適用",""))</f>
        <v/>
      </c>
      <c r="Q213" s="35" t="str">
        <f>IF(AND(T212="",A213&lt;=S212),入力!$B$13,"")</f>
        <v>有効</v>
      </c>
      <c r="R213" s="32" t="str">
        <f>IF(AND(AND(T212="",A213&lt;=S212),OR(AND(入力!$B$13="有効",A213&gt;1,MOD(A213-1,60)=0),AND(A213=入力!$B$11,A213&gt;1)),入力!$B$14="有効"),ROUND(G212*1.25,0),"")</f>
        <v/>
      </c>
      <c r="S213" s="36">
        <f>IF(A213&lt;&gt;入力!$B$15,S212,IF(K213&lt;&gt;0,S212,IF(G213&lt;=F213,S212,IF(M213&lt;=0,S212,IF(AND(N213&gt;0,E213&gt;0,G213&lt;=N213*E213/12),S212,IF(A213+IF(N213=0,0,IF(E213=0,ROUNDUP(N213/G213,0),ROUNDUP(NPER(E213/12,-G213,N213),0)))&lt;S212,A213+IF(N213=0,0,IF(E213=0,ROUNDUP(N213/G213,0),ROUNDUP(NPER(E213/12,-G213,N213),0))),S212))))))</f>
        <v>359</v>
      </c>
      <c r="T213" s="35" t="str">
        <f t="shared" si="63"/>
        <v/>
      </c>
      <c r="U213" s="3">
        <f t="shared" si="48"/>
        <v>0</v>
      </c>
      <c r="V213" s="3">
        <f t="shared" si="49"/>
        <v>0</v>
      </c>
      <c r="W213" s="3">
        <f t="shared" si="50"/>
        <v>0</v>
      </c>
      <c r="X213" s="3">
        <f t="shared" si="51"/>
        <v>0</v>
      </c>
      <c r="Y213" s="3">
        <f>0</f>
        <v>0</v>
      </c>
      <c r="Z213" s="3">
        <f t="shared" si="52"/>
        <v>0</v>
      </c>
      <c r="AA213">
        <f>ROUND(IF(FALSE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,0)</f>
        <v>117312</v>
      </c>
    </row>
    <row r="214" spans="1:27">
      <c r="A214" s="30">
        <f>209</f>
        <v>209</v>
      </c>
      <c r="B214" s="31">
        <f>EDATE(入力!$B$6,A214-1)</f>
        <v>52566</v>
      </c>
      <c r="C214" s="32">
        <f t="shared" si="53"/>
        <v>15184889</v>
      </c>
      <c r="D214" s="32">
        <f t="shared" si="54"/>
        <v>0</v>
      </c>
      <c r="E214" s="33">
        <f>IF(AND(T213="",A214&lt;=S213),IF(A214&lt;入力!$B$11,入力!$B$10,入力!$B$12),0)</f>
        <v>2.5000000000000001E-2</v>
      </c>
      <c r="F214" s="32">
        <f t="shared" si="55"/>
        <v>31635</v>
      </c>
      <c r="G214" s="32">
        <f>ROUND(IF(NOT(AND(T213="",A214&lt;=S213)),0,IF(FALSE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),0)</f>
        <v>117312</v>
      </c>
      <c r="H214" s="32">
        <f t="shared" si="56"/>
        <v>117312</v>
      </c>
      <c r="I214" s="32">
        <f t="shared" si="57"/>
        <v>31635</v>
      </c>
      <c r="J214" s="32">
        <f t="shared" si="58"/>
        <v>0</v>
      </c>
      <c r="K214" s="32">
        <f t="shared" si="59"/>
        <v>0</v>
      </c>
      <c r="L214" s="32">
        <f t="shared" si="60"/>
        <v>85677</v>
      </c>
      <c r="M214" s="32">
        <f>IF(AND(AND(T213="",A214&lt;=S213),A214=入力!$B$15),ROUND(MIN(入力!$B$16,MAX(0,C214-L214)),0),0)</f>
        <v>0</v>
      </c>
      <c r="N214" s="32">
        <f t="shared" si="61"/>
        <v>15099212</v>
      </c>
      <c r="O214" s="32">
        <f t="shared" si="62"/>
        <v>8227580</v>
      </c>
      <c r="P214" s="34" t="str">
        <f>IF(NOT(AND(T213="",A214&lt;=S213)),"",IF(FALSE,"繰上返済後再計算","")&amp;IF(AND(入力!$B$13="有効",A214&gt;1,MOD(A214-1,60)=0),IF(FALSE,"・","")&amp;"5年見直し","")&amp;IF(AND(A214=入力!$B$11,A214&gt;1),IF(OR(FALSE,AND(入力!$B$13="有効",A214&gt;1,MOD(A214-1,60)=0)),"・","")&amp;"金利変更","")&amp;IF(AND(OR(AND(入力!$B$13="有効",A214&gt;1,MOD(A214-1,60)=0),AND(A214=入力!$B$11,A214&gt;1)),入力!$B$14="有効",IF(E214=0,ROUND(C214/MAX(1,S213-A214+1),0),ROUND(-PMT(E214/12,MAX(1,S213-A214+1),C214),0))&gt;ROUND(G213*1.25,0),NOT(FALSE)),"・上限適用",""))</f>
        <v/>
      </c>
      <c r="Q214" s="35" t="str">
        <f>IF(AND(T213="",A214&lt;=S213),入力!$B$13,"")</f>
        <v>有効</v>
      </c>
      <c r="R214" s="32" t="str">
        <f>IF(AND(AND(T213="",A214&lt;=S213),OR(AND(入力!$B$13="有効",A214&gt;1,MOD(A214-1,60)=0),AND(A214=入力!$B$11,A214&gt;1)),入力!$B$14="有効"),ROUND(G213*1.25,0),"")</f>
        <v/>
      </c>
      <c r="S214" s="36">
        <f>IF(A214&lt;&gt;入力!$B$15,S213,IF(K214&lt;&gt;0,S213,IF(G214&lt;=F214,S213,IF(M214&lt;=0,S213,IF(AND(N214&gt;0,E214&gt;0,G214&lt;=N214*E214/12),S213,IF(A214+IF(N214=0,0,IF(E214=0,ROUNDUP(N214/G214,0),ROUNDUP(NPER(E214/12,-G214,N214),0)))&lt;S213,A214+IF(N214=0,0,IF(E214=0,ROUNDUP(N214/G214,0),ROUNDUP(NPER(E214/12,-G214,N214),0))),S213))))))</f>
        <v>359</v>
      </c>
      <c r="T214" s="35" t="str">
        <f t="shared" si="63"/>
        <v/>
      </c>
      <c r="U214" s="3">
        <f t="shared" si="48"/>
        <v>0</v>
      </c>
      <c r="V214" s="3">
        <f t="shared" si="49"/>
        <v>0</v>
      </c>
      <c r="W214" s="3">
        <f t="shared" si="50"/>
        <v>0</v>
      </c>
      <c r="X214" s="3">
        <f t="shared" si="51"/>
        <v>0</v>
      </c>
      <c r="Y214" s="3">
        <f>0</f>
        <v>0</v>
      </c>
      <c r="Z214" s="3">
        <f t="shared" si="52"/>
        <v>0</v>
      </c>
      <c r="AA214">
        <f>ROUND(IF(FALSE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,0)</f>
        <v>117312</v>
      </c>
    </row>
    <row r="215" spans="1:27">
      <c r="A215" s="30">
        <f>210</f>
        <v>210</v>
      </c>
      <c r="B215" s="31">
        <f>EDATE(入力!$B$6,A215-1)</f>
        <v>52597</v>
      </c>
      <c r="C215" s="32">
        <f t="shared" si="53"/>
        <v>15099212</v>
      </c>
      <c r="D215" s="32">
        <f t="shared" si="54"/>
        <v>0</v>
      </c>
      <c r="E215" s="33">
        <f>IF(AND(T214="",A215&lt;=S214),IF(A215&lt;入力!$B$11,入力!$B$10,入力!$B$12),0)</f>
        <v>2.5000000000000001E-2</v>
      </c>
      <c r="F215" s="32">
        <f t="shared" si="55"/>
        <v>31457</v>
      </c>
      <c r="G215" s="32">
        <f>ROUND(IF(NOT(AND(T214="",A215&lt;=S214)),0,IF(FALSE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),0)</f>
        <v>117312</v>
      </c>
      <c r="H215" s="32">
        <f t="shared" si="56"/>
        <v>117312</v>
      </c>
      <c r="I215" s="32">
        <f t="shared" si="57"/>
        <v>31457</v>
      </c>
      <c r="J215" s="32">
        <f t="shared" si="58"/>
        <v>0</v>
      </c>
      <c r="K215" s="32">
        <f t="shared" si="59"/>
        <v>0</v>
      </c>
      <c r="L215" s="32">
        <f t="shared" si="60"/>
        <v>85855</v>
      </c>
      <c r="M215" s="32">
        <f>IF(AND(AND(T214="",A215&lt;=S214),A215=入力!$B$15),ROUND(MIN(入力!$B$16,MAX(0,C215-L215)),0),0)</f>
        <v>0</v>
      </c>
      <c r="N215" s="32">
        <f t="shared" si="61"/>
        <v>15013357</v>
      </c>
      <c r="O215" s="32">
        <f t="shared" si="62"/>
        <v>8259037</v>
      </c>
      <c r="P215" s="34" t="str">
        <f>IF(NOT(AND(T214="",A215&lt;=S214)),"",IF(FALSE,"繰上返済後再計算","")&amp;IF(AND(入力!$B$13="有効",A215&gt;1,MOD(A215-1,60)=0),IF(FALSE,"・","")&amp;"5年見直し","")&amp;IF(AND(A215=入力!$B$11,A215&gt;1),IF(OR(FALSE,AND(入力!$B$13="有効",A215&gt;1,MOD(A215-1,60)=0)),"・","")&amp;"金利変更","")&amp;IF(AND(OR(AND(入力!$B$13="有効",A215&gt;1,MOD(A215-1,60)=0),AND(A215=入力!$B$11,A215&gt;1)),入力!$B$14="有効",IF(E215=0,ROUND(C215/MAX(1,S214-A215+1),0),ROUND(-PMT(E215/12,MAX(1,S214-A215+1),C215),0))&gt;ROUND(G214*1.25,0),NOT(FALSE)),"・上限適用",""))</f>
        <v/>
      </c>
      <c r="Q215" s="35" t="str">
        <f>IF(AND(T214="",A215&lt;=S214),入力!$B$13,"")</f>
        <v>有効</v>
      </c>
      <c r="R215" s="32" t="str">
        <f>IF(AND(AND(T214="",A215&lt;=S214),OR(AND(入力!$B$13="有効",A215&gt;1,MOD(A215-1,60)=0),AND(A215=入力!$B$11,A215&gt;1)),入力!$B$14="有効"),ROUND(G214*1.25,0),"")</f>
        <v/>
      </c>
      <c r="S215" s="36">
        <f>IF(A215&lt;&gt;入力!$B$15,S214,IF(K215&lt;&gt;0,S214,IF(G215&lt;=F215,S214,IF(M215&lt;=0,S214,IF(AND(N215&gt;0,E215&gt;0,G215&lt;=N215*E215/12),S214,IF(A215+IF(N215=0,0,IF(E215=0,ROUNDUP(N215/G215,0),ROUNDUP(NPER(E215/12,-G215,N215),0)))&lt;S214,A215+IF(N215=0,0,IF(E215=0,ROUNDUP(N215/G215,0),ROUNDUP(NPER(E215/12,-G215,N215),0))),S214))))))</f>
        <v>359</v>
      </c>
      <c r="T215" s="35" t="str">
        <f t="shared" si="63"/>
        <v/>
      </c>
      <c r="U215" s="3">
        <f t="shared" si="48"/>
        <v>0</v>
      </c>
      <c r="V215" s="3">
        <f t="shared" si="49"/>
        <v>0</v>
      </c>
      <c r="W215" s="3">
        <f t="shared" si="50"/>
        <v>0</v>
      </c>
      <c r="X215" s="3">
        <f t="shared" si="51"/>
        <v>0</v>
      </c>
      <c r="Y215" s="3">
        <f>0</f>
        <v>0</v>
      </c>
      <c r="Z215" s="3">
        <f t="shared" si="52"/>
        <v>0</v>
      </c>
      <c r="AA215">
        <f>ROUND(IF(FALSE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,0)</f>
        <v>117312</v>
      </c>
    </row>
    <row r="216" spans="1:27">
      <c r="A216" s="30">
        <f>211</f>
        <v>211</v>
      </c>
      <c r="B216" s="31">
        <f>EDATE(入力!$B$6,A216-1)</f>
        <v>52628</v>
      </c>
      <c r="C216" s="32">
        <f t="shared" si="53"/>
        <v>15013357</v>
      </c>
      <c r="D216" s="32">
        <f t="shared" si="54"/>
        <v>0</v>
      </c>
      <c r="E216" s="33">
        <f>IF(AND(T215="",A216&lt;=S215),IF(A216&lt;入力!$B$11,入力!$B$10,入力!$B$12),0)</f>
        <v>2.5000000000000001E-2</v>
      </c>
      <c r="F216" s="32">
        <f t="shared" si="55"/>
        <v>31278</v>
      </c>
      <c r="G216" s="32">
        <f>ROUND(IF(NOT(AND(T215="",A216&lt;=S215)),0,IF(FALSE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),0)</f>
        <v>117312</v>
      </c>
      <c r="H216" s="32">
        <f t="shared" si="56"/>
        <v>117312</v>
      </c>
      <c r="I216" s="32">
        <f t="shared" si="57"/>
        <v>31278</v>
      </c>
      <c r="J216" s="32">
        <f t="shared" si="58"/>
        <v>0</v>
      </c>
      <c r="K216" s="32">
        <f t="shared" si="59"/>
        <v>0</v>
      </c>
      <c r="L216" s="32">
        <f t="shared" si="60"/>
        <v>86034</v>
      </c>
      <c r="M216" s="32">
        <f>IF(AND(AND(T215="",A216&lt;=S215),A216=入力!$B$15),ROUND(MIN(入力!$B$16,MAX(0,C216-L216)),0),0)</f>
        <v>0</v>
      </c>
      <c r="N216" s="32">
        <f t="shared" si="61"/>
        <v>14927323</v>
      </c>
      <c r="O216" s="32">
        <f t="shared" si="62"/>
        <v>8290315</v>
      </c>
      <c r="P216" s="34" t="str">
        <f>IF(NOT(AND(T215="",A216&lt;=S215)),"",IF(FALSE,"繰上返済後再計算","")&amp;IF(AND(入力!$B$13="有効",A216&gt;1,MOD(A216-1,60)=0),IF(FALSE,"・","")&amp;"5年見直し","")&amp;IF(AND(A216=入力!$B$11,A216&gt;1),IF(OR(FALSE,AND(入力!$B$13="有効",A216&gt;1,MOD(A216-1,60)=0)),"・","")&amp;"金利変更","")&amp;IF(AND(OR(AND(入力!$B$13="有効",A216&gt;1,MOD(A216-1,60)=0),AND(A216=入力!$B$11,A216&gt;1)),入力!$B$14="有効",IF(E216=0,ROUND(C216/MAX(1,S215-A216+1),0),ROUND(-PMT(E216/12,MAX(1,S215-A216+1),C216),0))&gt;ROUND(G215*1.25,0),NOT(FALSE)),"・上限適用",""))</f>
        <v/>
      </c>
      <c r="Q216" s="35" t="str">
        <f>IF(AND(T215="",A216&lt;=S215),入力!$B$13,"")</f>
        <v>有効</v>
      </c>
      <c r="R216" s="32" t="str">
        <f>IF(AND(AND(T215="",A216&lt;=S215),OR(AND(入力!$B$13="有効",A216&gt;1,MOD(A216-1,60)=0),AND(A216=入力!$B$11,A216&gt;1)),入力!$B$14="有効"),ROUND(G215*1.25,0),"")</f>
        <v/>
      </c>
      <c r="S216" s="36">
        <f>IF(A216&lt;&gt;入力!$B$15,S215,IF(K216&lt;&gt;0,S215,IF(G216&lt;=F216,S215,IF(M216&lt;=0,S215,IF(AND(N216&gt;0,E216&gt;0,G216&lt;=N216*E216/12),S215,IF(A216+IF(N216=0,0,IF(E216=0,ROUNDUP(N216/G216,0),ROUNDUP(NPER(E216/12,-G216,N216),0)))&lt;S215,A216+IF(N216=0,0,IF(E216=0,ROUNDUP(N216/G216,0),ROUNDUP(NPER(E216/12,-G216,N216),0))),S215))))))</f>
        <v>359</v>
      </c>
      <c r="T216" s="35" t="str">
        <f t="shared" si="63"/>
        <v/>
      </c>
      <c r="U216" s="3">
        <f t="shared" si="48"/>
        <v>0</v>
      </c>
      <c r="V216" s="3">
        <f t="shared" si="49"/>
        <v>0</v>
      </c>
      <c r="W216" s="3">
        <f t="shared" si="50"/>
        <v>0</v>
      </c>
      <c r="X216" s="3">
        <f t="shared" si="51"/>
        <v>0</v>
      </c>
      <c r="Y216" s="3">
        <f>0</f>
        <v>0</v>
      </c>
      <c r="Z216" s="3">
        <f t="shared" si="52"/>
        <v>0</v>
      </c>
      <c r="AA216">
        <f>ROUND(IF(FALSE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,0)</f>
        <v>117312</v>
      </c>
    </row>
    <row r="217" spans="1:27">
      <c r="A217" s="30">
        <f>212</f>
        <v>212</v>
      </c>
      <c r="B217" s="31">
        <f>EDATE(入力!$B$6,A217-1)</f>
        <v>52657</v>
      </c>
      <c r="C217" s="32">
        <f t="shared" si="53"/>
        <v>14927323</v>
      </c>
      <c r="D217" s="32">
        <f t="shared" si="54"/>
        <v>0</v>
      </c>
      <c r="E217" s="33">
        <f>IF(AND(T216="",A217&lt;=S216),IF(A217&lt;入力!$B$11,入力!$B$10,入力!$B$12),0)</f>
        <v>2.5000000000000001E-2</v>
      </c>
      <c r="F217" s="32">
        <f t="shared" si="55"/>
        <v>31099</v>
      </c>
      <c r="G217" s="32">
        <f>ROUND(IF(NOT(AND(T216="",A217&lt;=S216)),0,IF(FALSE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),0)</f>
        <v>117312</v>
      </c>
      <c r="H217" s="32">
        <f t="shared" si="56"/>
        <v>117312</v>
      </c>
      <c r="I217" s="32">
        <f t="shared" si="57"/>
        <v>31099</v>
      </c>
      <c r="J217" s="32">
        <f t="shared" si="58"/>
        <v>0</v>
      </c>
      <c r="K217" s="32">
        <f t="shared" si="59"/>
        <v>0</v>
      </c>
      <c r="L217" s="32">
        <f t="shared" si="60"/>
        <v>86213</v>
      </c>
      <c r="M217" s="32">
        <f>IF(AND(AND(T216="",A217&lt;=S216),A217=入力!$B$15),ROUND(MIN(入力!$B$16,MAX(0,C217-L217)),0),0)</f>
        <v>0</v>
      </c>
      <c r="N217" s="32">
        <f t="shared" si="61"/>
        <v>14841110</v>
      </c>
      <c r="O217" s="32">
        <f t="shared" si="62"/>
        <v>8321414</v>
      </c>
      <c r="P217" s="34" t="str">
        <f>IF(NOT(AND(T216="",A217&lt;=S216)),"",IF(FALSE,"繰上返済後再計算","")&amp;IF(AND(入力!$B$13="有効",A217&gt;1,MOD(A217-1,60)=0),IF(FALSE,"・","")&amp;"5年見直し","")&amp;IF(AND(A217=入力!$B$11,A217&gt;1),IF(OR(FALSE,AND(入力!$B$13="有効",A217&gt;1,MOD(A217-1,60)=0)),"・","")&amp;"金利変更","")&amp;IF(AND(OR(AND(入力!$B$13="有効",A217&gt;1,MOD(A217-1,60)=0),AND(A217=入力!$B$11,A217&gt;1)),入力!$B$14="有効",IF(E217=0,ROUND(C217/MAX(1,S216-A217+1),0),ROUND(-PMT(E217/12,MAX(1,S216-A217+1),C217),0))&gt;ROUND(G216*1.25,0),NOT(FALSE)),"・上限適用",""))</f>
        <v/>
      </c>
      <c r="Q217" s="35" t="str">
        <f>IF(AND(T216="",A217&lt;=S216),入力!$B$13,"")</f>
        <v>有効</v>
      </c>
      <c r="R217" s="32" t="str">
        <f>IF(AND(AND(T216="",A217&lt;=S216),OR(AND(入力!$B$13="有効",A217&gt;1,MOD(A217-1,60)=0),AND(A217=入力!$B$11,A217&gt;1)),入力!$B$14="有効"),ROUND(G216*1.25,0),"")</f>
        <v/>
      </c>
      <c r="S217" s="36">
        <f>IF(A217&lt;&gt;入力!$B$15,S216,IF(K217&lt;&gt;0,S216,IF(G217&lt;=F217,S216,IF(M217&lt;=0,S216,IF(AND(N217&gt;0,E217&gt;0,G217&lt;=N217*E217/12),S216,IF(A217+IF(N217=0,0,IF(E217=0,ROUNDUP(N217/G217,0),ROUNDUP(NPER(E217/12,-G217,N217),0)))&lt;S216,A217+IF(N217=0,0,IF(E217=0,ROUNDUP(N217/G217,0),ROUNDUP(NPER(E217/12,-G217,N217),0))),S216))))))</f>
        <v>359</v>
      </c>
      <c r="T217" s="35" t="str">
        <f t="shared" si="63"/>
        <v/>
      </c>
      <c r="U217" s="3">
        <f t="shared" si="48"/>
        <v>0</v>
      </c>
      <c r="V217" s="3">
        <f t="shared" si="49"/>
        <v>0</v>
      </c>
      <c r="W217" s="3">
        <f t="shared" si="50"/>
        <v>0</v>
      </c>
      <c r="X217" s="3">
        <f t="shared" si="51"/>
        <v>0</v>
      </c>
      <c r="Y217" s="3">
        <f>0</f>
        <v>0</v>
      </c>
      <c r="Z217" s="3">
        <f t="shared" si="52"/>
        <v>0</v>
      </c>
      <c r="AA217">
        <f>ROUND(IF(FALSE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,0)</f>
        <v>117312</v>
      </c>
    </row>
    <row r="218" spans="1:27">
      <c r="A218" s="30">
        <f>213</f>
        <v>213</v>
      </c>
      <c r="B218" s="31">
        <f>EDATE(入力!$B$6,A218-1)</f>
        <v>52688</v>
      </c>
      <c r="C218" s="32">
        <f t="shared" si="53"/>
        <v>14841110</v>
      </c>
      <c r="D218" s="32">
        <f t="shared" si="54"/>
        <v>0</v>
      </c>
      <c r="E218" s="33">
        <f>IF(AND(T217="",A218&lt;=S217),IF(A218&lt;入力!$B$11,入力!$B$10,入力!$B$12),0)</f>
        <v>2.5000000000000001E-2</v>
      </c>
      <c r="F218" s="32">
        <f t="shared" si="55"/>
        <v>30919</v>
      </c>
      <c r="G218" s="32">
        <f>ROUND(IF(NOT(AND(T217="",A218&lt;=S217)),0,IF(FALSE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),0)</f>
        <v>117312</v>
      </c>
      <c r="H218" s="32">
        <f t="shared" si="56"/>
        <v>117312</v>
      </c>
      <c r="I218" s="32">
        <f t="shared" si="57"/>
        <v>30919</v>
      </c>
      <c r="J218" s="32">
        <f t="shared" si="58"/>
        <v>0</v>
      </c>
      <c r="K218" s="32">
        <f t="shared" si="59"/>
        <v>0</v>
      </c>
      <c r="L218" s="32">
        <f t="shared" si="60"/>
        <v>86393</v>
      </c>
      <c r="M218" s="32">
        <f>IF(AND(AND(T217="",A218&lt;=S217),A218=入力!$B$15),ROUND(MIN(入力!$B$16,MAX(0,C218-L218)),0),0)</f>
        <v>0</v>
      </c>
      <c r="N218" s="32">
        <f t="shared" si="61"/>
        <v>14754717</v>
      </c>
      <c r="O218" s="32">
        <f t="shared" si="62"/>
        <v>8352333</v>
      </c>
      <c r="P218" s="34" t="str">
        <f>IF(NOT(AND(T217="",A218&lt;=S217)),"",IF(FALSE,"繰上返済後再計算","")&amp;IF(AND(入力!$B$13="有効",A218&gt;1,MOD(A218-1,60)=0),IF(FALSE,"・","")&amp;"5年見直し","")&amp;IF(AND(A218=入力!$B$11,A218&gt;1),IF(OR(FALSE,AND(入力!$B$13="有効",A218&gt;1,MOD(A218-1,60)=0)),"・","")&amp;"金利変更","")&amp;IF(AND(OR(AND(入力!$B$13="有効",A218&gt;1,MOD(A218-1,60)=0),AND(A218=入力!$B$11,A218&gt;1)),入力!$B$14="有効",IF(E218=0,ROUND(C218/MAX(1,S217-A218+1),0),ROUND(-PMT(E218/12,MAX(1,S217-A218+1),C218),0))&gt;ROUND(G217*1.25,0),NOT(FALSE)),"・上限適用",""))</f>
        <v/>
      </c>
      <c r="Q218" s="35" t="str">
        <f>IF(AND(T217="",A218&lt;=S217),入力!$B$13,"")</f>
        <v>有効</v>
      </c>
      <c r="R218" s="32" t="str">
        <f>IF(AND(AND(T217="",A218&lt;=S217),OR(AND(入力!$B$13="有効",A218&gt;1,MOD(A218-1,60)=0),AND(A218=入力!$B$11,A218&gt;1)),入力!$B$14="有効"),ROUND(G217*1.25,0),"")</f>
        <v/>
      </c>
      <c r="S218" s="36">
        <f>IF(A218&lt;&gt;入力!$B$15,S217,IF(K218&lt;&gt;0,S217,IF(G218&lt;=F218,S217,IF(M218&lt;=0,S217,IF(AND(N218&gt;0,E218&gt;0,G218&lt;=N218*E218/12),S217,IF(A218+IF(N218=0,0,IF(E218=0,ROUNDUP(N218/G218,0),ROUNDUP(NPER(E218/12,-G218,N218),0)))&lt;S217,A218+IF(N218=0,0,IF(E218=0,ROUNDUP(N218/G218,0),ROUNDUP(NPER(E218/12,-G218,N218),0))),S217))))))</f>
        <v>359</v>
      </c>
      <c r="T218" s="35" t="str">
        <f t="shared" si="63"/>
        <v/>
      </c>
      <c r="U218" s="3">
        <f t="shared" si="48"/>
        <v>0</v>
      </c>
      <c r="V218" s="3">
        <f t="shared" si="49"/>
        <v>0</v>
      </c>
      <c r="W218" s="3">
        <f t="shared" si="50"/>
        <v>0</v>
      </c>
      <c r="X218" s="3">
        <f t="shared" si="51"/>
        <v>0</v>
      </c>
      <c r="Y218" s="3">
        <f>0</f>
        <v>0</v>
      </c>
      <c r="Z218" s="3">
        <f t="shared" si="52"/>
        <v>0</v>
      </c>
      <c r="AA218">
        <f>ROUND(IF(FALSE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,0)</f>
        <v>117312</v>
      </c>
    </row>
    <row r="219" spans="1:27">
      <c r="A219" s="30">
        <f>214</f>
        <v>214</v>
      </c>
      <c r="B219" s="31">
        <f>EDATE(入力!$B$6,A219-1)</f>
        <v>52718</v>
      </c>
      <c r="C219" s="32">
        <f t="shared" si="53"/>
        <v>14754717</v>
      </c>
      <c r="D219" s="32">
        <f t="shared" si="54"/>
        <v>0</v>
      </c>
      <c r="E219" s="33">
        <f>IF(AND(T218="",A219&lt;=S218),IF(A219&lt;入力!$B$11,入力!$B$10,入力!$B$12),0)</f>
        <v>2.5000000000000001E-2</v>
      </c>
      <c r="F219" s="32">
        <f t="shared" si="55"/>
        <v>30739</v>
      </c>
      <c r="G219" s="32">
        <f>ROUND(IF(NOT(AND(T218="",A219&lt;=S218)),0,IF(FALSE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),0)</f>
        <v>117312</v>
      </c>
      <c r="H219" s="32">
        <f t="shared" si="56"/>
        <v>117312</v>
      </c>
      <c r="I219" s="32">
        <f t="shared" si="57"/>
        <v>30739</v>
      </c>
      <c r="J219" s="32">
        <f t="shared" si="58"/>
        <v>0</v>
      </c>
      <c r="K219" s="32">
        <f t="shared" si="59"/>
        <v>0</v>
      </c>
      <c r="L219" s="32">
        <f t="shared" si="60"/>
        <v>86573</v>
      </c>
      <c r="M219" s="32">
        <f>IF(AND(AND(T218="",A219&lt;=S218),A219=入力!$B$15),ROUND(MIN(入力!$B$16,MAX(0,C219-L219)),0),0)</f>
        <v>0</v>
      </c>
      <c r="N219" s="32">
        <f t="shared" si="61"/>
        <v>14668144</v>
      </c>
      <c r="O219" s="32">
        <f t="shared" si="62"/>
        <v>8383072</v>
      </c>
      <c r="P219" s="34" t="str">
        <f>IF(NOT(AND(T218="",A219&lt;=S218)),"",IF(FALSE,"繰上返済後再計算","")&amp;IF(AND(入力!$B$13="有効",A219&gt;1,MOD(A219-1,60)=0),IF(FALSE,"・","")&amp;"5年見直し","")&amp;IF(AND(A219=入力!$B$11,A219&gt;1),IF(OR(FALSE,AND(入力!$B$13="有効",A219&gt;1,MOD(A219-1,60)=0)),"・","")&amp;"金利変更","")&amp;IF(AND(OR(AND(入力!$B$13="有効",A219&gt;1,MOD(A219-1,60)=0),AND(A219=入力!$B$11,A219&gt;1)),入力!$B$14="有効",IF(E219=0,ROUND(C219/MAX(1,S218-A219+1),0),ROUND(-PMT(E219/12,MAX(1,S218-A219+1),C219),0))&gt;ROUND(G218*1.25,0),NOT(FALSE)),"・上限適用",""))</f>
        <v/>
      </c>
      <c r="Q219" s="35" t="str">
        <f>IF(AND(T218="",A219&lt;=S218),入力!$B$13,"")</f>
        <v>有効</v>
      </c>
      <c r="R219" s="32" t="str">
        <f>IF(AND(AND(T218="",A219&lt;=S218),OR(AND(入力!$B$13="有効",A219&gt;1,MOD(A219-1,60)=0),AND(A219=入力!$B$11,A219&gt;1)),入力!$B$14="有効"),ROUND(G218*1.25,0),"")</f>
        <v/>
      </c>
      <c r="S219" s="36">
        <f>IF(A219&lt;&gt;入力!$B$15,S218,IF(K219&lt;&gt;0,S218,IF(G219&lt;=F219,S218,IF(M219&lt;=0,S218,IF(AND(N219&gt;0,E219&gt;0,G219&lt;=N219*E219/12),S218,IF(A219+IF(N219=0,0,IF(E219=0,ROUNDUP(N219/G219,0),ROUNDUP(NPER(E219/12,-G219,N219),0)))&lt;S218,A219+IF(N219=0,0,IF(E219=0,ROUNDUP(N219/G219,0),ROUNDUP(NPER(E219/12,-G219,N219),0))),S218))))))</f>
        <v>359</v>
      </c>
      <c r="T219" s="35" t="str">
        <f t="shared" si="63"/>
        <v/>
      </c>
      <c r="U219" s="3">
        <f t="shared" si="48"/>
        <v>0</v>
      </c>
      <c r="V219" s="3">
        <f t="shared" si="49"/>
        <v>0</v>
      </c>
      <c r="W219" s="3">
        <f t="shared" si="50"/>
        <v>0</v>
      </c>
      <c r="X219" s="3">
        <f t="shared" si="51"/>
        <v>0</v>
      </c>
      <c r="Y219" s="3">
        <f>0</f>
        <v>0</v>
      </c>
      <c r="Z219" s="3">
        <f t="shared" si="52"/>
        <v>0</v>
      </c>
      <c r="AA219">
        <f>ROUND(IF(FALSE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,0)</f>
        <v>117312</v>
      </c>
    </row>
    <row r="220" spans="1:27">
      <c r="A220" s="30">
        <f>215</f>
        <v>215</v>
      </c>
      <c r="B220" s="31">
        <f>EDATE(入力!$B$6,A220-1)</f>
        <v>52749</v>
      </c>
      <c r="C220" s="32">
        <f t="shared" si="53"/>
        <v>14668144</v>
      </c>
      <c r="D220" s="32">
        <f t="shared" si="54"/>
        <v>0</v>
      </c>
      <c r="E220" s="33">
        <f>IF(AND(T219="",A220&lt;=S219),IF(A220&lt;入力!$B$11,入力!$B$10,入力!$B$12),0)</f>
        <v>2.5000000000000001E-2</v>
      </c>
      <c r="F220" s="32">
        <f t="shared" si="55"/>
        <v>30559</v>
      </c>
      <c r="G220" s="32">
        <f>ROUND(IF(NOT(AND(T219="",A220&lt;=S219)),0,IF(FALSE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),0)</f>
        <v>117312</v>
      </c>
      <c r="H220" s="32">
        <f t="shared" si="56"/>
        <v>117312</v>
      </c>
      <c r="I220" s="32">
        <f t="shared" si="57"/>
        <v>30559</v>
      </c>
      <c r="J220" s="32">
        <f t="shared" si="58"/>
        <v>0</v>
      </c>
      <c r="K220" s="32">
        <f t="shared" si="59"/>
        <v>0</v>
      </c>
      <c r="L220" s="32">
        <f t="shared" si="60"/>
        <v>86753</v>
      </c>
      <c r="M220" s="32">
        <f>IF(AND(AND(T219="",A220&lt;=S219),A220=入力!$B$15),ROUND(MIN(入力!$B$16,MAX(0,C220-L220)),0),0)</f>
        <v>0</v>
      </c>
      <c r="N220" s="32">
        <f t="shared" si="61"/>
        <v>14581391</v>
      </c>
      <c r="O220" s="32">
        <f t="shared" si="62"/>
        <v>8413631</v>
      </c>
      <c r="P220" s="34" t="str">
        <f>IF(NOT(AND(T219="",A220&lt;=S219)),"",IF(FALSE,"繰上返済後再計算","")&amp;IF(AND(入力!$B$13="有効",A220&gt;1,MOD(A220-1,60)=0),IF(FALSE,"・","")&amp;"5年見直し","")&amp;IF(AND(A220=入力!$B$11,A220&gt;1),IF(OR(FALSE,AND(入力!$B$13="有効",A220&gt;1,MOD(A220-1,60)=0)),"・","")&amp;"金利変更","")&amp;IF(AND(OR(AND(入力!$B$13="有効",A220&gt;1,MOD(A220-1,60)=0),AND(A220=入力!$B$11,A220&gt;1)),入力!$B$14="有効",IF(E220=0,ROUND(C220/MAX(1,S219-A220+1),0),ROUND(-PMT(E220/12,MAX(1,S219-A220+1),C220),0))&gt;ROUND(G219*1.25,0),NOT(FALSE)),"・上限適用",""))</f>
        <v/>
      </c>
      <c r="Q220" s="35" t="str">
        <f>IF(AND(T219="",A220&lt;=S219),入力!$B$13,"")</f>
        <v>有効</v>
      </c>
      <c r="R220" s="32" t="str">
        <f>IF(AND(AND(T219="",A220&lt;=S219),OR(AND(入力!$B$13="有効",A220&gt;1,MOD(A220-1,60)=0),AND(A220=入力!$B$11,A220&gt;1)),入力!$B$14="有効"),ROUND(G219*1.25,0),"")</f>
        <v/>
      </c>
      <c r="S220" s="36">
        <f>IF(A220&lt;&gt;入力!$B$15,S219,IF(K220&lt;&gt;0,S219,IF(G220&lt;=F220,S219,IF(M220&lt;=0,S219,IF(AND(N220&gt;0,E220&gt;0,G220&lt;=N220*E220/12),S219,IF(A220+IF(N220=0,0,IF(E220=0,ROUNDUP(N220/G220,0),ROUNDUP(NPER(E220/12,-G220,N220),0)))&lt;S219,A220+IF(N220=0,0,IF(E220=0,ROUNDUP(N220/G220,0),ROUNDUP(NPER(E220/12,-G220,N220),0))),S219))))))</f>
        <v>359</v>
      </c>
      <c r="T220" s="35" t="str">
        <f t="shared" si="63"/>
        <v/>
      </c>
      <c r="U220" s="3">
        <f t="shared" si="48"/>
        <v>0</v>
      </c>
      <c r="V220" s="3">
        <f t="shared" si="49"/>
        <v>0</v>
      </c>
      <c r="W220" s="3">
        <f t="shared" si="50"/>
        <v>0</v>
      </c>
      <c r="X220" s="3">
        <f t="shared" si="51"/>
        <v>0</v>
      </c>
      <c r="Y220" s="3">
        <f>0</f>
        <v>0</v>
      </c>
      <c r="Z220" s="3">
        <f t="shared" si="52"/>
        <v>0</v>
      </c>
      <c r="AA220">
        <f>ROUND(IF(FALSE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,0)</f>
        <v>117312</v>
      </c>
    </row>
    <row r="221" spans="1:27">
      <c r="A221" s="30">
        <f>216</f>
        <v>216</v>
      </c>
      <c r="B221" s="31">
        <f>EDATE(入力!$B$6,A221-1)</f>
        <v>52779</v>
      </c>
      <c r="C221" s="32">
        <f t="shared" si="53"/>
        <v>14581391</v>
      </c>
      <c r="D221" s="32">
        <f t="shared" si="54"/>
        <v>0</v>
      </c>
      <c r="E221" s="33">
        <f>IF(AND(T220="",A221&lt;=S220),IF(A221&lt;入力!$B$11,入力!$B$10,入力!$B$12),0)</f>
        <v>2.5000000000000001E-2</v>
      </c>
      <c r="F221" s="32">
        <f t="shared" si="55"/>
        <v>30378</v>
      </c>
      <c r="G221" s="32">
        <f>ROUND(IF(NOT(AND(T220="",A221&lt;=S220)),0,IF(FALSE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),0)</f>
        <v>117312</v>
      </c>
      <c r="H221" s="32">
        <f t="shared" si="56"/>
        <v>117312</v>
      </c>
      <c r="I221" s="32">
        <f t="shared" si="57"/>
        <v>30378</v>
      </c>
      <c r="J221" s="32">
        <f t="shared" si="58"/>
        <v>0</v>
      </c>
      <c r="K221" s="32">
        <f t="shared" si="59"/>
        <v>0</v>
      </c>
      <c r="L221" s="32">
        <f t="shared" si="60"/>
        <v>86934</v>
      </c>
      <c r="M221" s="32">
        <f>IF(AND(AND(T220="",A221&lt;=S220),A221=入力!$B$15),ROUND(MIN(入力!$B$16,MAX(0,C221-L221)),0),0)</f>
        <v>0</v>
      </c>
      <c r="N221" s="32">
        <f t="shared" si="61"/>
        <v>14494457</v>
      </c>
      <c r="O221" s="32">
        <f t="shared" si="62"/>
        <v>8444009</v>
      </c>
      <c r="P221" s="34" t="str">
        <f>IF(NOT(AND(T220="",A221&lt;=S220)),"",IF(FALSE,"繰上返済後再計算","")&amp;IF(AND(入力!$B$13="有効",A221&gt;1,MOD(A221-1,60)=0),IF(FALSE,"・","")&amp;"5年見直し","")&amp;IF(AND(A221=入力!$B$11,A221&gt;1),IF(OR(FALSE,AND(入力!$B$13="有効",A221&gt;1,MOD(A221-1,60)=0)),"・","")&amp;"金利変更","")&amp;IF(AND(OR(AND(入力!$B$13="有効",A221&gt;1,MOD(A221-1,60)=0),AND(A221=入力!$B$11,A221&gt;1)),入力!$B$14="有効",IF(E221=0,ROUND(C221/MAX(1,S220-A221+1),0),ROUND(-PMT(E221/12,MAX(1,S220-A221+1),C221),0))&gt;ROUND(G220*1.25,0),NOT(FALSE)),"・上限適用",""))</f>
        <v/>
      </c>
      <c r="Q221" s="35" t="str">
        <f>IF(AND(T220="",A221&lt;=S220),入力!$B$13,"")</f>
        <v>有効</v>
      </c>
      <c r="R221" s="32" t="str">
        <f>IF(AND(AND(T220="",A221&lt;=S220),OR(AND(入力!$B$13="有効",A221&gt;1,MOD(A221-1,60)=0),AND(A221=入力!$B$11,A221&gt;1)),入力!$B$14="有効"),ROUND(G220*1.25,0),"")</f>
        <v/>
      </c>
      <c r="S221" s="36">
        <f>IF(A221&lt;&gt;入力!$B$15,S220,IF(K221&lt;&gt;0,S220,IF(G221&lt;=F221,S220,IF(M221&lt;=0,S220,IF(AND(N221&gt;0,E221&gt;0,G221&lt;=N221*E221/12),S220,IF(A221+IF(N221=0,0,IF(E221=0,ROUNDUP(N221/G221,0),ROUNDUP(NPER(E221/12,-G221,N221),0)))&lt;S220,A221+IF(N221=0,0,IF(E221=0,ROUNDUP(N221/G221,0),ROUNDUP(NPER(E221/12,-G221,N221),0))),S220))))))</f>
        <v>359</v>
      </c>
      <c r="T221" s="35" t="str">
        <f t="shared" si="63"/>
        <v/>
      </c>
      <c r="U221" s="3">
        <f t="shared" si="48"/>
        <v>0</v>
      </c>
      <c r="V221" s="3">
        <f t="shared" si="49"/>
        <v>0</v>
      </c>
      <c r="W221" s="3">
        <f t="shared" si="50"/>
        <v>0</v>
      </c>
      <c r="X221" s="3">
        <f t="shared" si="51"/>
        <v>0</v>
      </c>
      <c r="Y221" s="3">
        <f>0</f>
        <v>0</v>
      </c>
      <c r="Z221" s="3">
        <f t="shared" si="52"/>
        <v>0</v>
      </c>
      <c r="AA221">
        <f>ROUND(IF(FALSE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,0)</f>
        <v>117312</v>
      </c>
    </row>
    <row r="222" spans="1:27">
      <c r="A222" s="30">
        <f>217</f>
        <v>217</v>
      </c>
      <c r="B222" s="31">
        <f>EDATE(入力!$B$6,A222-1)</f>
        <v>52810</v>
      </c>
      <c r="C222" s="32">
        <f t="shared" si="53"/>
        <v>14494457</v>
      </c>
      <c r="D222" s="32">
        <f t="shared" si="54"/>
        <v>0</v>
      </c>
      <c r="E222" s="33">
        <f>IF(AND(T221="",A222&lt;=S221),IF(A222&lt;入力!$B$11,入力!$B$10,入力!$B$12),0)</f>
        <v>2.5000000000000001E-2</v>
      </c>
      <c r="F222" s="32">
        <f t="shared" si="55"/>
        <v>30197</v>
      </c>
      <c r="G222" s="32">
        <f>ROUND(IF(NOT(AND(T221="",A222&lt;=S221)),0,IF(FALSE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),0)</f>
        <v>117312</v>
      </c>
      <c r="H222" s="32">
        <f t="shared" si="56"/>
        <v>117312</v>
      </c>
      <c r="I222" s="32">
        <f t="shared" si="57"/>
        <v>30197</v>
      </c>
      <c r="J222" s="32">
        <f t="shared" si="58"/>
        <v>0</v>
      </c>
      <c r="K222" s="32">
        <f t="shared" si="59"/>
        <v>0</v>
      </c>
      <c r="L222" s="32">
        <f t="shared" si="60"/>
        <v>87115</v>
      </c>
      <c r="M222" s="32">
        <f>IF(AND(AND(T221="",A222&lt;=S221),A222=入力!$B$15),ROUND(MIN(入力!$B$16,MAX(0,C222-L222)),0),0)</f>
        <v>0</v>
      </c>
      <c r="N222" s="32">
        <f t="shared" si="61"/>
        <v>14407342</v>
      </c>
      <c r="O222" s="32">
        <f t="shared" si="62"/>
        <v>8474206</v>
      </c>
      <c r="P222" s="34" t="str">
        <f>IF(NOT(AND(T221="",A222&lt;=S221)),"",IF(FALSE,"繰上返済後再計算","")&amp;IF(AND(入力!$B$13="有効",A222&gt;1,MOD(A222-1,60)=0),IF(FALSE,"・","")&amp;"5年見直し","")&amp;IF(AND(A222=入力!$B$11,A222&gt;1),IF(OR(FALSE,AND(入力!$B$13="有効",A222&gt;1,MOD(A222-1,60)=0)),"・","")&amp;"金利変更","")&amp;IF(AND(OR(AND(入力!$B$13="有効",A222&gt;1,MOD(A222-1,60)=0),AND(A222=入力!$B$11,A222&gt;1)),入力!$B$14="有効",IF(E222=0,ROUND(C222/MAX(1,S221-A222+1),0),ROUND(-PMT(E222/12,MAX(1,S221-A222+1),C222),0))&gt;ROUND(G221*1.25,0),NOT(FALSE)),"・上限適用",""))</f>
        <v/>
      </c>
      <c r="Q222" s="35" t="str">
        <f>IF(AND(T221="",A222&lt;=S221),入力!$B$13,"")</f>
        <v>有効</v>
      </c>
      <c r="R222" s="32" t="str">
        <f>IF(AND(AND(T221="",A222&lt;=S221),OR(AND(入力!$B$13="有効",A222&gt;1,MOD(A222-1,60)=0),AND(A222=入力!$B$11,A222&gt;1)),入力!$B$14="有効"),ROUND(G221*1.25,0),"")</f>
        <v/>
      </c>
      <c r="S222" s="36">
        <f>IF(A222&lt;&gt;入力!$B$15,S221,IF(K222&lt;&gt;0,S221,IF(G222&lt;=F222,S221,IF(M222&lt;=0,S221,IF(AND(N222&gt;0,E222&gt;0,G222&lt;=N222*E222/12),S221,IF(A222+IF(N222=0,0,IF(E222=0,ROUNDUP(N222/G222,0),ROUNDUP(NPER(E222/12,-G222,N222),0)))&lt;S221,A222+IF(N222=0,0,IF(E222=0,ROUNDUP(N222/G222,0),ROUNDUP(NPER(E222/12,-G222,N222),0))),S221))))))</f>
        <v>359</v>
      </c>
      <c r="T222" s="35" t="str">
        <f t="shared" si="63"/>
        <v/>
      </c>
      <c r="U222" s="3">
        <f t="shared" si="48"/>
        <v>0</v>
      </c>
      <c r="V222" s="3">
        <f t="shared" si="49"/>
        <v>0</v>
      </c>
      <c r="W222" s="3">
        <f t="shared" si="50"/>
        <v>0</v>
      </c>
      <c r="X222" s="3">
        <f t="shared" si="51"/>
        <v>0</v>
      </c>
      <c r="Y222" s="3">
        <f>0</f>
        <v>0</v>
      </c>
      <c r="Z222" s="3">
        <f t="shared" si="52"/>
        <v>0</v>
      </c>
      <c r="AA222">
        <f>ROUND(IF(FALSE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,0)</f>
        <v>117312</v>
      </c>
    </row>
    <row r="223" spans="1:27">
      <c r="A223" s="30">
        <f>218</f>
        <v>218</v>
      </c>
      <c r="B223" s="31">
        <f>EDATE(入力!$B$6,A223-1)</f>
        <v>52841</v>
      </c>
      <c r="C223" s="32">
        <f t="shared" si="53"/>
        <v>14407342</v>
      </c>
      <c r="D223" s="32">
        <f t="shared" si="54"/>
        <v>0</v>
      </c>
      <c r="E223" s="33">
        <f>IF(AND(T222="",A223&lt;=S222),IF(A223&lt;入力!$B$11,入力!$B$10,入力!$B$12),0)</f>
        <v>2.5000000000000001E-2</v>
      </c>
      <c r="F223" s="32">
        <f t="shared" si="55"/>
        <v>30015</v>
      </c>
      <c r="G223" s="32">
        <f>ROUND(IF(NOT(AND(T222="",A223&lt;=S222)),0,IF(FALSE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),0)</f>
        <v>117312</v>
      </c>
      <c r="H223" s="32">
        <f t="shared" si="56"/>
        <v>117312</v>
      </c>
      <c r="I223" s="32">
        <f t="shared" si="57"/>
        <v>30015</v>
      </c>
      <c r="J223" s="32">
        <f t="shared" si="58"/>
        <v>0</v>
      </c>
      <c r="K223" s="32">
        <f t="shared" si="59"/>
        <v>0</v>
      </c>
      <c r="L223" s="32">
        <f t="shared" si="60"/>
        <v>87297</v>
      </c>
      <c r="M223" s="32">
        <f>IF(AND(AND(T222="",A223&lt;=S222),A223=入力!$B$15),ROUND(MIN(入力!$B$16,MAX(0,C223-L223)),0),0)</f>
        <v>0</v>
      </c>
      <c r="N223" s="32">
        <f t="shared" si="61"/>
        <v>14320045</v>
      </c>
      <c r="O223" s="32">
        <f t="shared" si="62"/>
        <v>8504221</v>
      </c>
      <c r="P223" s="34" t="str">
        <f>IF(NOT(AND(T222="",A223&lt;=S222)),"",IF(FALSE,"繰上返済後再計算","")&amp;IF(AND(入力!$B$13="有効",A223&gt;1,MOD(A223-1,60)=0),IF(FALSE,"・","")&amp;"5年見直し","")&amp;IF(AND(A223=入力!$B$11,A223&gt;1),IF(OR(FALSE,AND(入力!$B$13="有効",A223&gt;1,MOD(A223-1,60)=0)),"・","")&amp;"金利変更","")&amp;IF(AND(OR(AND(入力!$B$13="有効",A223&gt;1,MOD(A223-1,60)=0),AND(A223=入力!$B$11,A223&gt;1)),入力!$B$14="有効",IF(E223=0,ROUND(C223/MAX(1,S222-A223+1),0),ROUND(-PMT(E223/12,MAX(1,S222-A223+1),C223),0))&gt;ROUND(G222*1.25,0),NOT(FALSE)),"・上限適用",""))</f>
        <v/>
      </c>
      <c r="Q223" s="35" t="str">
        <f>IF(AND(T222="",A223&lt;=S222),入力!$B$13,"")</f>
        <v>有効</v>
      </c>
      <c r="R223" s="32" t="str">
        <f>IF(AND(AND(T222="",A223&lt;=S222),OR(AND(入力!$B$13="有効",A223&gt;1,MOD(A223-1,60)=0),AND(A223=入力!$B$11,A223&gt;1)),入力!$B$14="有効"),ROUND(G222*1.25,0),"")</f>
        <v/>
      </c>
      <c r="S223" s="36">
        <f>IF(A223&lt;&gt;入力!$B$15,S222,IF(K223&lt;&gt;0,S222,IF(G223&lt;=F223,S222,IF(M223&lt;=0,S222,IF(AND(N223&gt;0,E223&gt;0,G223&lt;=N223*E223/12),S222,IF(A223+IF(N223=0,0,IF(E223=0,ROUNDUP(N223/G223,0),ROUNDUP(NPER(E223/12,-G223,N223),0)))&lt;S222,A223+IF(N223=0,0,IF(E223=0,ROUNDUP(N223/G223,0),ROUNDUP(NPER(E223/12,-G223,N223),0))),S222))))))</f>
        <v>359</v>
      </c>
      <c r="T223" s="35" t="str">
        <f t="shared" si="63"/>
        <v/>
      </c>
      <c r="U223" s="3">
        <f t="shared" si="48"/>
        <v>0</v>
      </c>
      <c r="V223" s="3">
        <f t="shared" si="49"/>
        <v>0</v>
      </c>
      <c r="W223" s="3">
        <f t="shared" si="50"/>
        <v>0</v>
      </c>
      <c r="X223" s="3">
        <f t="shared" si="51"/>
        <v>0</v>
      </c>
      <c r="Y223" s="3">
        <f>0</f>
        <v>0</v>
      </c>
      <c r="Z223" s="3">
        <f t="shared" si="52"/>
        <v>0</v>
      </c>
      <c r="AA223">
        <f>ROUND(IF(FALSE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,0)</f>
        <v>117312</v>
      </c>
    </row>
    <row r="224" spans="1:27">
      <c r="A224" s="30">
        <f>219</f>
        <v>219</v>
      </c>
      <c r="B224" s="31">
        <f>EDATE(入力!$B$6,A224-1)</f>
        <v>52871</v>
      </c>
      <c r="C224" s="32">
        <f t="shared" si="53"/>
        <v>14320045</v>
      </c>
      <c r="D224" s="32">
        <f t="shared" si="54"/>
        <v>0</v>
      </c>
      <c r="E224" s="33">
        <f>IF(AND(T223="",A224&lt;=S223),IF(A224&lt;入力!$B$11,入力!$B$10,入力!$B$12),0)</f>
        <v>2.5000000000000001E-2</v>
      </c>
      <c r="F224" s="32">
        <f t="shared" si="55"/>
        <v>29833</v>
      </c>
      <c r="G224" s="32">
        <f>ROUND(IF(NOT(AND(T223="",A224&lt;=S223)),0,IF(FALSE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),0)</f>
        <v>117312</v>
      </c>
      <c r="H224" s="32">
        <f t="shared" si="56"/>
        <v>117312</v>
      </c>
      <c r="I224" s="32">
        <f t="shared" si="57"/>
        <v>29833</v>
      </c>
      <c r="J224" s="32">
        <f t="shared" si="58"/>
        <v>0</v>
      </c>
      <c r="K224" s="32">
        <f t="shared" si="59"/>
        <v>0</v>
      </c>
      <c r="L224" s="32">
        <f t="shared" si="60"/>
        <v>87479</v>
      </c>
      <c r="M224" s="32">
        <f>IF(AND(AND(T223="",A224&lt;=S223),A224=入力!$B$15),ROUND(MIN(入力!$B$16,MAX(0,C224-L224)),0),0)</f>
        <v>0</v>
      </c>
      <c r="N224" s="32">
        <f t="shared" si="61"/>
        <v>14232566</v>
      </c>
      <c r="O224" s="32">
        <f t="shared" si="62"/>
        <v>8534054</v>
      </c>
      <c r="P224" s="34" t="str">
        <f>IF(NOT(AND(T223="",A224&lt;=S223)),"",IF(FALSE,"繰上返済後再計算","")&amp;IF(AND(入力!$B$13="有効",A224&gt;1,MOD(A224-1,60)=0),IF(FALSE,"・","")&amp;"5年見直し","")&amp;IF(AND(A224=入力!$B$11,A224&gt;1),IF(OR(FALSE,AND(入力!$B$13="有効",A224&gt;1,MOD(A224-1,60)=0)),"・","")&amp;"金利変更","")&amp;IF(AND(OR(AND(入力!$B$13="有効",A224&gt;1,MOD(A224-1,60)=0),AND(A224=入力!$B$11,A224&gt;1)),入力!$B$14="有効",IF(E224=0,ROUND(C224/MAX(1,S223-A224+1),0),ROUND(-PMT(E224/12,MAX(1,S223-A224+1),C224),0))&gt;ROUND(G223*1.25,0),NOT(FALSE)),"・上限適用",""))</f>
        <v/>
      </c>
      <c r="Q224" s="35" t="str">
        <f>IF(AND(T223="",A224&lt;=S223),入力!$B$13,"")</f>
        <v>有効</v>
      </c>
      <c r="R224" s="32" t="str">
        <f>IF(AND(AND(T223="",A224&lt;=S223),OR(AND(入力!$B$13="有効",A224&gt;1,MOD(A224-1,60)=0),AND(A224=入力!$B$11,A224&gt;1)),入力!$B$14="有効"),ROUND(G223*1.25,0),"")</f>
        <v/>
      </c>
      <c r="S224" s="36">
        <f>IF(A224&lt;&gt;入力!$B$15,S223,IF(K224&lt;&gt;0,S223,IF(G224&lt;=F224,S223,IF(M224&lt;=0,S223,IF(AND(N224&gt;0,E224&gt;0,G224&lt;=N224*E224/12),S223,IF(A224+IF(N224=0,0,IF(E224=0,ROUNDUP(N224/G224,0),ROUNDUP(NPER(E224/12,-G224,N224),0)))&lt;S223,A224+IF(N224=0,0,IF(E224=0,ROUNDUP(N224/G224,0),ROUNDUP(NPER(E224/12,-G224,N224),0))),S223))))))</f>
        <v>359</v>
      </c>
      <c r="T224" s="35" t="str">
        <f t="shared" si="63"/>
        <v/>
      </c>
      <c r="U224" s="3">
        <f t="shared" si="48"/>
        <v>0</v>
      </c>
      <c r="V224" s="3">
        <f t="shared" si="49"/>
        <v>0</v>
      </c>
      <c r="W224" s="3">
        <f t="shared" si="50"/>
        <v>0</v>
      </c>
      <c r="X224" s="3">
        <f t="shared" si="51"/>
        <v>0</v>
      </c>
      <c r="Y224" s="3">
        <f>0</f>
        <v>0</v>
      </c>
      <c r="Z224" s="3">
        <f t="shared" si="52"/>
        <v>0</v>
      </c>
      <c r="AA224">
        <f>ROUND(IF(FALSE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,0)</f>
        <v>117312</v>
      </c>
    </row>
    <row r="225" spans="1:27">
      <c r="A225" s="30">
        <f>220</f>
        <v>220</v>
      </c>
      <c r="B225" s="31">
        <f>EDATE(入力!$B$6,A225-1)</f>
        <v>52902</v>
      </c>
      <c r="C225" s="32">
        <f t="shared" si="53"/>
        <v>14232566</v>
      </c>
      <c r="D225" s="32">
        <f t="shared" si="54"/>
        <v>0</v>
      </c>
      <c r="E225" s="33">
        <f>IF(AND(T224="",A225&lt;=S224),IF(A225&lt;入力!$B$11,入力!$B$10,入力!$B$12),0)</f>
        <v>2.5000000000000001E-2</v>
      </c>
      <c r="F225" s="32">
        <f t="shared" si="55"/>
        <v>29651</v>
      </c>
      <c r="G225" s="32">
        <f>ROUND(IF(NOT(AND(T224="",A225&lt;=S224)),0,IF(FALSE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),0)</f>
        <v>117312</v>
      </c>
      <c r="H225" s="32">
        <f t="shared" si="56"/>
        <v>117312</v>
      </c>
      <c r="I225" s="32">
        <f t="shared" si="57"/>
        <v>29651</v>
      </c>
      <c r="J225" s="32">
        <f t="shared" si="58"/>
        <v>0</v>
      </c>
      <c r="K225" s="32">
        <f t="shared" si="59"/>
        <v>0</v>
      </c>
      <c r="L225" s="32">
        <f t="shared" si="60"/>
        <v>87661</v>
      </c>
      <c r="M225" s="32">
        <f>IF(AND(AND(T224="",A225&lt;=S224),A225=入力!$B$15),ROUND(MIN(入力!$B$16,MAX(0,C225-L225)),0),0)</f>
        <v>0</v>
      </c>
      <c r="N225" s="32">
        <f t="shared" si="61"/>
        <v>14144905</v>
      </c>
      <c r="O225" s="32">
        <f t="shared" si="62"/>
        <v>8563705</v>
      </c>
      <c r="P225" s="34" t="str">
        <f>IF(NOT(AND(T224="",A225&lt;=S224)),"",IF(FALSE,"繰上返済後再計算","")&amp;IF(AND(入力!$B$13="有効",A225&gt;1,MOD(A225-1,60)=0),IF(FALSE,"・","")&amp;"5年見直し","")&amp;IF(AND(A225=入力!$B$11,A225&gt;1),IF(OR(FALSE,AND(入力!$B$13="有効",A225&gt;1,MOD(A225-1,60)=0)),"・","")&amp;"金利変更","")&amp;IF(AND(OR(AND(入力!$B$13="有効",A225&gt;1,MOD(A225-1,60)=0),AND(A225=入力!$B$11,A225&gt;1)),入力!$B$14="有効",IF(E225=0,ROUND(C225/MAX(1,S224-A225+1),0),ROUND(-PMT(E225/12,MAX(1,S224-A225+1),C225),0))&gt;ROUND(G224*1.25,0),NOT(FALSE)),"・上限適用",""))</f>
        <v/>
      </c>
      <c r="Q225" s="35" t="str">
        <f>IF(AND(T224="",A225&lt;=S224),入力!$B$13,"")</f>
        <v>有効</v>
      </c>
      <c r="R225" s="32" t="str">
        <f>IF(AND(AND(T224="",A225&lt;=S224),OR(AND(入力!$B$13="有効",A225&gt;1,MOD(A225-1,60)=0),AND(A225=入力!$B$11,A225&gt;1)),入力!$B$14="有効"),ROUND(G224*1.25,0),"")</f>
        <v/>
      </c>
      <c r="S225" s="36">
        <f>IF(A225&lt;&gt;入力!$B$15,S224,IF(K225&lt;&gt;0,S224,IF(G225&lt;=F225,S224,IF(M225&lt;=0,S224,IF(AND(N225&gt;0,E225&gt;0,G225&lt;=N225*E225/12),S224,IF(A225+IF(N225=0,0,IF(E225=0,ROUNDUP(N225/G225,0),ROUNDUP(NPER(E225/12,-G225,N225),0)))&lt;S224,A225+IF(N225=0,0,IF(E225=0,ROUNDUP(N225/G225,0),ROUNDUP(NPER(E225/12,-G225,N225),0))),S224))))))</f>
        <v>359</v>
      </c>
      <c r="T225" s="35" t="str">
        <f t="shared" si="63"/>
        <v/>
      </c>
      <c r="U225" s="3">
        <f t="shared" si="48"/>
        <v>0</v>
      </c>
      <c r="V225" s="3">
        <f t="shared" si="49"/>
        <v>0</v>
      </c>
      <c r="W225" s="3">
        <f t="shared" si="50"/>
        <v>0</v>
      </c>
      <c r="X225" s="3">
        <f t="shared" si="51"/>
        <v>0</v>
      </c>
      <c r="Y225" s="3">
        <f>0</f>
        <v>0</v>
      </c>
      <c r="Z225" s="3">
        <f t="shared" si="52"/>
        <v>0</v>
      </c>
      <c r="AA225">
        <f>ROUND(IF(FALSE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,0)</f>
        <v>117312</v>
      </c>
    </row>
    <row r="226" spans="1:27">
      <c r="A226" s="30">
        <f>221</f>
        <v>221</v>
      </c>
      <c r="B226" s="31">
        <f>EDATE(入力!$B$6,A226-1)</f>
        <v>52932</v>
      </c>
      <c r="C226" s="32">
        <f t="shared" si="53"/>
        <v>14144905</v>
      </c>
      <c r="D226" s="32">
        <f t="shared" si="54"/>
        <v>0</v>
      </c>
      <c r="E226" s="33">
        <f>IF(AND(T225="",A226&lt;=S225),IF(A226&lt;入力!$B$11,入力!$B$10,入力!$B$12),0)</f>
        <v>2.5000000000000001E-2</v>
      </c>
      <c r="F226" s="32">
        <f t="shared" si="55"/>
        <v>29469</v>
      </c>
      <c r="G226" s="32">
        <f>ROUND(IF(NOT(AND(T225="",A226&lt;=S225)),0,IF(FALSE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),0)</f>
        <v>117312</v>
      </c>
      <c r="H226" s="32">
        <f t="shared" si="56"/>
        <v>117312</v>
      </c>
      <c r="I226" s="32">
        <f t="shared" si="57"/>
        <v>29469</v>
      </c>
      <c r="J226" s="32">
        <f t="shared" si="58"/>
        <v>0</v>
      </c>
      <c r="K226" s="32">
        <f t="shared" si="59"/>
        <v>0</v>
      </c>
      <c r="L226" s="32">
        <f t="shared" si="60"/>
        <v>87843</v>
      </c>
      <c r="M226" s="32">
        <f>IF(AND(AND(T225="",A226&lt;=S225),A226=入力!$B$15),ROUND(MIN(入力!$B$16,MAX(0,C226-L226)),0),0)</f>
        <v>0</v>
      </c>
      <c r="N226" s="32">
        <f t="shared" si="61"/>
        <v>14057062</v>
      </c>
      <c r="O226" s="32">
        <f t="shared" si="62"/>
        <v>8593174</v>
      </c>
      <c r="P226" s="34" t="str">
        <f>IF(NOT(AND(T225="",A226&lt;=S225)),"",IF(FALSE,"繰上返済後再計算","")&amp;IF(AND(入力!$B$13="有効",A226&gt;1,MOD(A226-1,60)=0),IF(FALSE,"・","")&amp;"5年見直し","")&amp;IF(AND(A226=入力!$B$11,A226&gt;1),IF(OR(FALSE,AND(入力!$B$13="有効",A226&gt;1,MOD(A226-1,60)=0)),"・","")&amp;"金利変更","")&amp;IF(AND(OR(AND(入力!$B$13="有効",A226&gt;1,MOD(A226-1,60)=0),AND(A226=入力!$B$11,A226&gt;1)),入力!$B$14="有効",IF(E226=0,ROUND(C226/MAX(1,S225-A226+1),0),ROUND(-PMT(E226/12,MAX(1,S225-A226+1),C226),0))&gt;ROUND(G225*1.25,0),NOT(FALSE)),"・上限適用",""))</f>
        <v/>
      </c>
      <c r="Q226" s="35" t="str">
        <f>IF(AND(T225="",A226&lt;=S225),入力!$B$13,"")</f>
        <v>有効</v>
      </c>
      <c r="R226" s="32" t="str">
        <f>IF(AND(AND(T225="",A226&lt;=S225),OR(AND(入力!$B$13="有効",A226&gt;1,MOD(A226-1,60)=0),AND(A226=入力!$B$11,A226&gt;1)),入力!$B$14="有効"),ROUND(G225*1.25,0),"")</f>
        <v/>
      </c>
      <c r="S226" s="36">
        <f>IF(A226&lt;&gt;入力!$B$15,S225,IF(K226&lt;&gt;0,S225,IF(G226&lt;=F226,S225,IF(M226&lt;=0,S225,IF(AND(N226&gt;0,E226&gt;0,G226&lt;=N226*E226/12),S225,IF(A226+IF(N226=0,0,IF(E226=0,ROUNDUP(N226/G226,0),ROUNDUP(NPER(E226/12,-G226,N226),0)))&lt;S225,A226+IF(N226=0,0,IF(E226=0,ROUNDUP(N226/G226,0),ROUNDUP(NPER(E226/12,-G226,N226),0))),S225))))))</f>
        <v>359</v>
      </c>
      <c r="T226" s="35" t="str">
        <f t="shared" si="63"/>
        <v/>
      </c>
      <c r="U226" s="3">
        <f t="shared" si="48"/>
        <v>0</v>
      </c>
      <c r="V226" s="3">
        <f t="shared" si="49"/>
        <v>0</v>
      </c>
      <c r="W226" s="3">
        <f t="shared" si="50"/>
        <v>0</v>
      </c>
      <c r="X226" s="3">
        <f t="shared" si="51"/>
        <v>0</v>
      </c>
      <c r="Y226" s="3">
        <f>0</f>
        <v>0</v>
      </c>
      <c r="Z226" s="3">
        <f t="shared" si="52"/>
        <v>0</v>
      </c>
      <c r="AA226">
        <f>ROUND(IF(FALSE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,0)</f>
        <v>117312</v>
      </c>
    </row>
    <row r="227" spans="1:27">
      <c r="A227" s="30">
        <f>222</f>
        <v>222</v>
      </c>
      <c r="B227" s="31">
        <f>EDATE(入力!$B$6,A227-1)</f>
        <v>52963</v>
      </c>
      <c r="C227" s="32">
        <f t="shared" si="53"/>
        <v>14057062</v>
      </c>
      <c r="D227" s="32">
        <f t="shared" si="54"/>
        <v>0</v>
      </c>
      <c r="E227" s="33">
        <f>IF(AND(T226="",A227&lt;=S226),IF(A227&lt;入力!$B$11,入力!$B$10,入力!$B$12),0)</f>
        <v>2.5000000000000001E-2</v>
      </c>
      <c r="F227" s="32">
        <f t="shared" si="55"/>
        <v>29286</v>
      </c>
      <c r="G227" s="32">
        <f>ROUND(IF(NOT(AND(T226="",A227&lt;=S226)),0,IF(FALSE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),0)</f>
        <v>117312</v>
      </c>
      <c r="H227" s="32">
        <f t="shared" si="56"/>
        <v>117312</v>
      </c>
      <c r="I227" s="32">
        <f t="shared" si="57"/>
        <v>29286</v>
      </c>
      <c r="J227" s="32">
        <f t="shared" si="58"/>
        <v>0</v>
      </c>
      <c r="K227" s="32">
        <f t="shared" si="59"/>
        <v>0</v>
      </c>
      <c r="L227" s="32">
        <f t="shared" si="60"/>
        <v>88026</v>
      </c>
      <c r="M227" s="32">
        <f>IF(AND(AND(T226="",A227&lt;=S226),A227=入力!$B$15),ROUND(MIN(入力!$B$16,MAX(0,C227-L227)),0),0)</f>
        <v>0</v>
      </c>
      <c r="N227" s="32">
        <f t="shared" si="61"/>
        <v>13969036</v>
      </c>
      <c r="O227" s="32">
        <f t="shared" si="62"/>
        <v>8622460</v>
      </c>
      <c r="P227" s="34" t="str">
        <f>IF(NOT(AND(T226="",A227&lt;=S226)),"",IF(FALSE,"繰上返済後再計算","")&amp;IF(AND(入力!$B$13="有効",A227&gt;1,MOD(A227-1,60)=0),IF(FALSE,"・","")&amp;"5年見直し","")&amp;IF(AND(A227=入力!$B$11,A227&gt;1),IF(OR(FALSE,AND(入力!$B$13="有効",A227&gt;1,MOD(A227-1,60)=0)),"・","")&amp;"金利変更","")&amp;IF(AND(OR(AND(入力!$B$13="有効",A227&gt;1,MOD(A227-1,60)=0),AND(A227=入力!$B$11,A227&gt;1)),入力!$B$14="有効",IF(E227=0,ROUND(C227/MAX(1,S226-A227+1),0),ROUND(-PMT(E227/12,MAX(1,S226-A227+1),C227),0))&gt;ROUND(G226*1.25,0),NOT(FALSE)),"・上限適用",""))</f>
        <v/>
      </c>
      <c r="Q227" s="35" t="str">
        <f>IF(AND(T226="",A227&lt;=S226),入力!$B$13,"")</f>
        <v>有効</v>
      </c>
      <c r="R227" s="32" t="str">
        <f>IF(AND(AND(T226="",A227&lt;=S226),OR(AND(入力!$B$13="有効",A227&gt;1,MOD(A227-1,60)=0),AND(A227=入力!$B$11,A227&gt;1)),入力!$B$14="有効"),ROUND(G226*1.25,0),"")</f>
        <v/>
      </c>
      <c r="S227" s="36">
        <f>IF(A227&lt;&gt;入力!$B$15,S226,IF(K227&lt;&gt;0,S226,IF(G227&lt;=F227,S226,IF(M227&lt;=0,S226,IF(AND(N227&gt;0,E227&gt;0,G227&lt;=N227*E227/12),S226,IF(A227+IF(N227=0,0,IF(E227=0,ROUNDUP(N227/G227,0),ROUNDUP(NPER(E227/12,-G227,N227),0)))&lt;S226,A227+IF(N227=0,0,IF(E227=0,ROUNDUP(N227/G227,0),ROUNDUP(NPER(E227/12,-G227,N227),0))),S226))))))</f>
        <v>359</v>
      </c>
      <c r="T227" s="35" t="str">
        <f t="shared" si="63"/>
        <v/>
      </c>
      <c r="U227" s="3">
        <f t="shared" si="48"/>
        <v>0</v>
      </c>
      <c r="V227" s="3">
        <f t="shared" si="49"/>
        <v>0</v>
      </c>
      <c r="W227" s="3">
        <f t="shared" si="50"/>
        <v>0</v>
      </c>
      <c r="X227" s="3">
        <f t="shared" si="51"/>
        <v>0</v>
      </c>
      <c r="Y227" s="3">
        <f>0</f>
        <v>0</v>
      </c>
      <c r="Z227" s="3">
        <f t="shared" si="52"/>
        <v>0</v>
      </c>
      <c r="AA227">
        <f>ROUND(IF(FALSE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,0)</f>
        <v>117312</v>
      </c>
    </row>
    <row r="228" spans="1:27">
      <c r="A228" s="30">
        <f>223</f>
        <v>223</v>
      </c>
      <c r="B228" s="31">
        <f>EDATE(入力!$B$6,A228-1)</f>
        <v>52994</v>
      </c>
      <c r="C228" s="32">
        <f t="shared" si="53"/>
        <v>13969036</v>
      </c>
      <c r="D228" s="32">
        <f t="shared" si="54"/>
        <v>0</v>
      </c>
      <c r="E228" s="33">
        <f>IF(AND(T227="",A228&lt;=S227),IF(A228&lt;入力!$B$11,入力!$B$10,入力!$B$12),0)</f>
        <v>2.5000000000000001E-2</v>
      </c>
      <c r="F228" s="32">
        <f t="shared" si="55"/>
        <v>29102</v>
      </c>
      <c r="G228" s="32">
        <f>ROUND(IF(NOT(AND(T227="",A228&lt;=S227)),0,IF(FALSE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),0)</f>
        <v>117312</v>
      </c>
      <c r="H228" s="32">
        <f t="shared" si="56"/>
        <v>117312</v>
      </c>
      <c r="I228" s="32">
        <f t="shared" si="57"/>
        <v>29102</v>
      </c>
      <c r="J228" s="32">
        <f t="shared" si="58"/>
        <v>0</v>
      </c>
      <c r="K228" s="32">
        <f t="shared" si="59"/>
        <v>0</v>
      </c>
      <c r="L228" s="32">
        <f t="shared" si="60"/>
        <v>88210</v>
      </c>
      <c r="M228" s="32">
        <f>IF(AND(AND(T227="",A228&lt;=S227),A228=入力!$B$15),ROUND(MIN(入力!$B$16,MAX(0,C228-L228)),0),0)</f>
        <v>0</v>
      </c>
      <c r="N228" s="32">
        <f t="shared" si="61"/>
        <v>13880826</v>
      </c>
      <c r="O228" s="32">
        <f t="shared" si="62"/>
        <v>8651562</v>
      </c>
      <c r="P228" s="34" t="str">
        <f>IF(NOT(AND(T227="",A228&lt;=S227)),"",IF(FALSE,"繰上返済後再計算","")&amp;IF(AND(入力!$B$13="有効",A228&gt;1,MOD(A228-1,60)=0),IF(FALSE,"・","")&amp;"5年見直し","")&amp;IF(AND(A228=入力!$B$11,A228&gt;1),IF(OR(FALSE,AND(入力!$B$13="有効",A228&gt;1,MOD(A228-1,60)=0)),"・","")&amp;"金利変更","")&amp;IF(AND(OR(AND(入力!$B$13="有効",A228&gt;1,MOD(A228-1,60)=0),AND(A228=入力!$B$11,A228&gt;1)),入力!$B$14="有効",IF(E228=0,ROUND(C228/MAX(1,S227-A228+1),0),ROUND(-PMT(E228/12,MAX(1,S227-A228+1),C228),0))&gt;ROUND(G227*1.25,0),NOT(FALSE)),"・上限適用",""))</f>
        <v/>
      </c>
      <c r="Q228" s="35" t="str">
        <f>IF(AND(T227="",A228&lt;=S227),入力!$B$13,"")</f>
        <v>有効</v>
      </c>
      <c r="R228" s="32" t="str">
        <f>IF(AND(AND(T227="",A228&lt;=S227),OR(AND(入力!$B$13="有効",A228&gt;1,MOD(A228-1,60)=0),AND(A228=入力!$B$11,A228&gt;1)),入力!$B$14="有効"),ROUND(G227*1.25,0),"")</f>
        <v/>
      </c>
      <c r="S228" s="36">
        <f>IF(A228&lt;&gt;入力!$B$15,S227,IF(K228&lt;&gt;0,S227,IF(G228&lt;=F228,S227,IF(M228&lt;=0,S227,IF(AND(N228&gt;0,E228&gt;0,G228&lt;=N228*E228/12),S227,IF(A228+IF(N228=0,0,IF(E228=0,ROUNDUP(N228/G228,0),ROUNDUP(NPER(E228/12,-G228,N228),0)))&lt;S227,A228+IF(N228=0,0,IF(E228=0,ROUNDUP(N228/G228,0),ROUNDUP(NPER(E228/12,-G228,N228),0))),S227))))))</f>
        <v>359</v>
      </c>
      <c r="T228" s="35" t="str">
        <f t="shared" si="63"/>
        <v/>
      </c>
      <c r="U228" s="3">
        <f t="shared" si="48"/>
        <v>0</v>
      </c>
      <c r="V228" s="3">
        <f t="shared" si="49"/>
        <v>0</v>
      </c>
      <c r="W228" s="3">
        <f t="shared" si="50"/>
        <v>0</v>
      </c>
      <c r="X228" s="3">
        <f t="shared" si="51"/>
        <v>0</v>
      </c>
      <c r="Y228" s="3">
        <f>0</f>
        <v>0</v>
      </c>
      <c r="Z228" s="3">
        <f t="shared" si="52"/>
        <v>0</v>
      </c>
      <c r="AA228">
        <f>ROUND(IF(FALSE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,0)</f>
        <v>117312</v>
      </c>
    </row>
    <row r="229" spans="1:27">
      <c r="A229" s="30">
        <f>224</f>
        <v>224</v>
      </c>
      <c r="B229" s="31">
        <f>EDATE(入力!$B$6,A229-1)</f>
        <v>53022</v>
      </c>
      <c r="C229" s="32">
        <f t="shared" si="53"/>
        <v>13880826</v>
      </c>
      <c r="D229" s="32">
        <f t="shared" si="54"/>
        <v>0</v>
      </c>
      <c r="E229" s="33">
        <f>IF(AND(T228="",A229&lt;=S228),IF(A229&lt;入力!$B$11,入力!$B$10,入力!$B$12),0)</f>
        <v>2.5000000000000001E-2</v>
      </c>
      <c r="F229" s="32">
        <f t="shared" si="55"/>
        <v>28918</v>
      </c>
      <c r="G229" s="32">
        <f>ROUND(IF(NOT(AND(T228="",A229&lt;=S228)),0,IF(FALSE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),0)</f>
        <v>117312</v>
      </c>
      <c r="H229" s="32">
        <f t="shared" si="56"/>
        <v>117312</v>
      </c>
      <c r="I229" s="32">
        <f t="shared" si="57"/>
        <v>28918</v>
      </c>
      <c r="J229" s="32">
        <f t="shared" si="58"/>
        <v>0</v>
      </c>
      <c r="K229" s="32">
        <f t="shared" si="59"/>
        <v>0</v>
      </c>
      <c r="L229" s="32">
        <f t="shared" si="60"/>
        <v>88394</v>
      </c>
      <c r="M229" s="32">
        <f>IF(AND(AND(T228="",A229&lt;=S228),A229=入力!$B$15),ROUND(MIN(入力!$B$16,MAX(0,C229-L229)),0),0)</f>
        <v>0</v>
      </c>
      <c r="N229" s="32">
        <f t="shared" si="61"/>
        <v>13792432</v>
      </c>
      <c r="O229" s="32">
        <f t="shared" si="62"/>
        <v>8680480</v>
      </c>
      <c r="P229" s="34" t="str">
        <f>IF(NOT(AND(T228="",A229&lt;=S228)),"",IF(FALSE,"繰上返済後再計算","")&amp;IF(AND(入力!$B$13="有効",A229&gt;1,MOD(A229-1,60)=0),IF(FALSE,"・","")&amp;"5年見直し","")&amp;IF(AND(A229=入力!$B$11,A229&gt;1),IF(OR(FALSE,AND(入力!$B$13="有効",A229&gt;1,MOD(A229-1,60)=0)),"・","")&amp;"金利変更","")&amp;IF(AND(OR(AND(入力!$B$13="有効",A229&gt;1,MOD(A229-1,60)=0),AND(A229=入力!$B$11,A229&gt;1)),入力!$B$14="有効",IF(E229=0,ROUND(C229/MAX(1,S228-A229+1),0),ROUND(-PMT(E229/12,MAX(1,S228-A229+1),C229),0))&gt;ROUND(G228*1.25,0),NOT(FALSE)),"・上限適用",""))</f>
        <v/>
      </c>
      <c r="Q229" s="35" t="str">
        <f>IF(AND(T228="",A229&lt;=S228),入力!$B$13,"")</f>
        <v>有効</v>
      </c>
      <c r="R229" s="32" t="str">
        <f>IF(AND(AND(T228="",A229&lt;=S228),OR(AND(入力!$B$13="有効",A229&gt;1,MOD(A229-1,60)=0),AND(A229=入力!$B$11,A229&gt;1)),入力!$B$14="有効"),ROUND(G228*1.25,0),"")</f>
        <v/>
      </c>
      <c r="S229" s="36">
        <f>IF(A229&lt;&gt;入力!$B$15,S228,IF(K229&lt;&gt;0,S228,IF(G229&lt;=F229,S228,IF(M229&lt;=0,S228,IF(AND(N229&gt;0,E229&gt;0,G229&lt;=N229*E229/12),S228,IF(A229+IF(N229=0,0,IF(E229=0,ROUNDUP(N229/G229,0),ROUNDUP(NPER(E229/12,-G229,N229),0)))&lt;S228,A229+IF(N229=0,0,IF(E229=0,ROUNDUP(N229/G229,0),ROUNDUP(NPER(E229/12,-G229,N229),0))),S228))))))</f>
        <v>359</v>
      </c>
      <c r="T229" s="35" t="str">
        <f t="shared" si="63"/>
        <v/>
      </c>
      <c r="U229" s="3">
        <f t="shared" si="48"/>
        <v>0</v>
      </c>
      <c r="V229" s="3">
        <f t="shared" si="49"/>
        <v>0</v>
      </c>
      <c r="W229" s="3">
        <f t="shared" si="50"/>
        <v>0</v>
      </c>
      <c r="X229" s="3">
        <f t="shared" si="51"/>
        <v>0</v>
      </c>
      <c r="Y229" s="3">
        <f>0</f>
        <v>0</v>
      </c>
      <c r="Z229" s="3">
        <f t="shared" si="52"/>
        <v>0</v>
      </c>
      <c r="AA229">
        <f>ROUND(IF(FALSE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,0)</f>
        <v>117312</v>
      </c>
    </row>
    <row r="230" spans="1:27">
      <c r="A230" s="30">
        <f>225</f>
        <v>225</v>
      </c>
      <c r="B230" s="31">
        <f>EDATE(入力!$B$6,A230-1)</f>
        <v>53053</v>
      </c>
      <c r="C230" s="32">
        <f t="shared" si="53"/>
        <v>13792432</v>
      </c>
      <c r="D230" s="32">
        <f t="shared" si="54"/>
        <v>0</v>
      </c>
      <c r="E230" s="33">
        <f>IF(AND(T229="",A230&lt;=S229),IF(A230&lt;入力!$B$11,入力!$B$10,入力!$B$12),0)</f>
        <v>2.5000000000000001E-2</v>
      </c>
      <c r="F230" s="32">
        <f t="shared" si="55"/>
        <v>28734</v>
      </c>
      <c r="G230" s="32">
        <f>ROUND(IF(NOT(AND(T229="",A230&lt;=S229)),0,IF(FALSE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),0)</f>
        <v>117312</v>
      </c>
      <c r="H230" s="32">
        <f t="shared" si="56"/>
        <v>117312</v>
      </c>
      <c r="I230" s="32">
        <f t="shared" si="57"/>
        <v>28734</v>
      </c>
      <c r="J230" s="32">
        <f t="shared" si="58"/>
        <v>0</v>
      </c>
      <c r="K230" s="32">
        <f t="shared" si="59"/>
        <v>0</v>
      </c>
      <c r="L230" s="32">
        <f t="shared" si="60"/>
        <v>88578</v>
      </c>
      <c r="M230" s="32">
        <f>IF(AND(AND(T229="",A230&lt;=S229),A230=入力!$B$15),ROUND(MIN(入力!$B$16,MAX(0,C230-L230)),0),0)</f>
        <v>0</v>
      </c>
      <c r="N230" s="32">
        <f t="shared" si="61"/>
        <v>13703854</v>
      </c>
      <c r="O230" s="32">
        <f t="shared" si="62"/>
        <v>8709214</v>
      </c>
      <c r="P230" s="34" t="str">
        <f>IF(NOT(AND(T229="",A230&lt;=S229)),"",IF(FALSE,"繰上返済後再計算","")&amp;IF(AND(入力!$B$13="有効",A230&gt;1,MOD(A230-1,60)=0),IF(FALSE,"・","")&amp;"5年見直し","")&amp;IF(AND(A230=入力!$B$11,A230&gt;1),IF(OR(FALSE,AND(入力!$B$13="有効",A230&gt;1,MOD(A230-1,60)=0)),"・","")&amp;"金利変更","")&amp;IF(AND(OR(AND(入力!$B$13="有効",A230&gt;1,MOD(A230-1,60)=0),AND(A230=入力!$B$11,A230&gt;1)),入力!$B$14="有効",IF(E230=0,ROUND(C230/MAX(1,S229-A230+1),0),ROUND(-PMT(E230/12,MAX(1,S229-A230+1),C230),0))&gt;ROUND(G229*1.25,0),NOT(FALSE)),"・上限適用",""))</f>
        <v/>
      </c>
      <c r="Q230" s="35" t="str">
        <f>IF(AND(T229="",A230&lt;=S229),入力!$B$13,"")</f>
        <v>有効</v>
      </c>
      <c r="R230" s="32" t="str">
        <f>IF(AND(AND(T229="",A230&lt;=S229),OR(AND(入力!$B$13="有効",A230&gt;1,MOD(A230-1,60)=0),AND(A230=入力!$B$11,A230&gt;1)),入力!$B$14="有効"),ROUND(G229*1.25,0),"")</f>
        <v/>
      </c>
      <c r="S230" s="36">
        <f>IF(A230&lt;&gt;入力!$B$15,S229,IF(K230&lt;&gt;0,S229,IF(G230&lt;=F230,S229,IF(M230&lt;=0,S229,IF(AND(N230&gt;0,E230&gt;0,G230&lt;=N230*E230/12),S229,IF(A230+IF(N230=0,0,IF(E230=0,ROUNDUP(N230/G230,0),ROUNDUP(NPER(E230/12,-G230,N230),0)))&lt;S229,A230+IF(N230=0,0,IF(E230=0,ROUNDUP(N230/G230,0),ROUNDUP(NPER(E230/12,-G230,N230),0))),S229))))))</f>
        <v>359</v>
      </c>
      <c r="T230" s="35" t="str">
        <f t="shared" si="63"/>
        <v/>
      </c>
      <c r="U230" s="3">
        <f t="shared" si="48"/>
        <v>0</v>
      </c>
      <c r="V230" s="3">
        <f t="shared" si="49"/>
        <v>0</v>
      </c>
      <c r="W230" s="3">
        <f t="shared" si="50"/>
        <v>0</v>
      </c>
      <c r="X230" s="3">
        <f t="shared" si="51"/>
        <v>0</v>
      </c>
      <c r="Y230" s="3">
        <f>0</f>
        <v>0</v>
      </c>
      <c r="Z230" s="3">
        <f t="shared" si="52"/>
        <v>0</v>
      </c>
      <c r="AA230">
        <f>ROUND(IF(FALSE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,0)</f>
        <v>117312</v>
      </c>
    </row>
    <row r="231" spans="1:27">
      <c r="A231" s="30">
        <f>226</f>
        <v>226</v>
      </c>
      <c r="B231" s="31">
        <f>EDATE(入力!$B$6,A231-1)</f>
        <v>53083</v>
      </c>
      <c r="C231" s="32">
        <f t="shared" si="53"/>
        <v>13703854</v>
      </c>
      <c r="D231" s="32">
        <f t="shared" si="54"/>
        <v>0</v>
      </c>
      <c r="E231" s="33">
        <f>IF(AND(T230="",A231&lt;=S230),IF(A231&lt;入力!$B$11,入力!$B$10,入力!$B$12),0)</f>
        <v>2.5000000000000001E-2</v>
      </c>
      <c r="F231" s="32">
        <f t="shared" si="55"/>
        <v>28550</v>
      </c>
      <c r="G231" s="32">
        <f>ROUND(IF(NOT(AND(T230="",A231&lt;=S230)),0,IF(FALSE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),0)</f>
        <v>117312</v>
      </c>
      <c r="H231" s="32">
        <f t="shared" si="56"/>
        <v>117312</v>
      </c>
      <c r="I231" s="32">
        <f t="shared" si="57"/>
        <v>28550</v>
      </c>
      <c r="J231" s="32">
        <f t="shared" si="58"/>
        <v>0</v>
      </c>
      <c r="K231" s="32">
        <f t="shared" si="59"/>
        <v>0</v>
      </c>
      <c r="L231" s="32">
        <f t="shared" si="60"/>
        <v>88762</v>
      </c>
      <c r="M231" s="32">
        <f>IF(AND(AND(T230="",A231&lt;=S230),A231=入力!$B$15),ROUND(MIN(入力!$B$16,MAX(0,C231-L231)),0),0)</f>
        <v>0</v>
      </c>
      <c r="N231" s="32">
        <f t="shared" si="61"/>
        <v>13615092</v>
      </c>
      <c r="O231" s="32">
        <f t="shared" si="62"/>
        <v>8737764</v>
      </c>
      <c r="P231" s="34" t="str">
        <f>IF(NOT(AND(T230="",A231&lt;=S230)),"",IF(FALSE,"繰上返済後再計算","")&amp;IF(AND(入力!$B$13="有効",A231&gt;1,MOD(A231-1,60)=0),IF(FALSE,"・","")&amp;"5年見直し","")&amp;IF(AND(A231=入力!$B$11,A231&gt;1),IF(OR(FALSE,AND(入力!$B$13="有効",A231&gt;1,MOD(A231-1,60)=0)),"・","")&amp;"金利変更","")&amp;IF(AND(OR(AND(入力!$B$13="有効",A231&gt;1,MOD(A231-1,60)=0),AND(A231=入力!$B$11,A231&gt;1)),入力!$B$14="有効",IF(E231=0,ROUND(C231/MAX(1,S230-A231+1),0),ROUND(-PMT(E231/12,MAX(1,S230-A231+1),C231),0))&gt;ROUND(G230*1.25,0),NOT(FALSE)),"・上限適用",""))</f>
        <v/>
      </c>
      <c r="Q231" s="35" t="str">
        <f>IF(AND(T230="",A231&lt;=S230),入力!$B$13,"")</f>
        <v>有効</v>
      </c>
      <c r="R231" s="32" t="str">
        <f>IF(AND(AND(T230="",A231&lt;=S230),OR(AND(入力!$B$13="有効",A231&gt;1,MOD(A231-1,60)=0),AND(A231=入力!$B$11,A231&gt;1)),入力!$B$14="有効"),ROUND(G230*1.25,0),"")</f>
        <v/>
      </c>
      <c r="S231" s="36">
        <f>IF(A231&lt;&gt;入力!$B$15,S230,IF(K231&lt;&gt;0,S230,IF(G231&lt;=F231,S230,IF(M231&lt;=0,S230,IF(AND(N231&gt;0,E231&gt;0,G231&lt;=N231*E231/12),S230,IF(A231+IF(N231=0,0,IF(E231=0,ROUNDUP(N231/G231,0),ROUNDUP(NPER(E231/12,-G231,N231),0)))&lt;S230,A231+IF(N231=0,0,IF(E231=0,ROUNDUP(N231/G231,0),ROUNDUP(NPER(E231/12,-G231,N231),0))),S230))))))</f>
        <v>359</v>
      </c>
      <c r="T231" s="35" t="str">
        <f t="shared" si="63"/>
        <v/>
      </c>
      <c r="U231" s="3">
        <f t="shared" si="48"/>
        <v>0</v>
      </c>
      <c r="V231" s="3">
        <f t="shared" si="49"/>
        <v>0</v>
      </c>
      <c r="W231" s="3">
        <f t="shared" si="50"/>
        <v>0</v>
      </c>
      <c r="X231" s="3">
        <f t="shared" si="51"/>
        <v>0</v>
      </c>
      <c r="Y231" s="3">
        <f>0</f>
        <v>0</v>
      </c>
      <c r="Z231" s="3">
        <f t="shared" si="52"/>
        <v>0</v>
      </c>
      <c r="AA231">
        <f>ROUND(IF(FALSE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,0)</f>
        <v>117312</v>
      </c>
    </row>
    <row r="232" spans="1:27">
      <c r="A232" s="30">
        <f>227</f>
        <v>227</v>
      </c>
      <c r="B232" s="31">
        <f>EDATE(入力!$B$6,A232-1)</f>
        <v>53114</v>
      </c>
      <c r="C232" s="32">
        <f t="shared" si="53"/>
        <v>13615092</v>
      </c>
      <c r="D232" s="32">
        <f t="shared" si="54"/>
        <v>0</v>
      </c>
      <c r="E232" s="33">
        <f>IF(AND(T231="",A232&lt;=S231),IF(A232&lt;入力!$B$11,入力!$B$10,入力!$B$12),0)</f>
        <v>2.5000000000000001E-2</v>
      </c>
      <c r="F232" s="32">
        <f t="shared" si="55"/>
        <v>28365</v>
      </c>
      <c r="G232" s="32">
        <f>ROUND(IF(NOT(AND(T231="",A232&lt;=S231)),0,IF(FALSE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),0)</f>
        <v>117312</v>
      </c>
      <c r="H232" s="32">
        <f t="shared" si="56"/>
        <v>117312</v>
      </c>
      <c r="I232" s="32">
        <f t="shared" si="57"/>
        <v>28365</v>
      </c>
      <c r="J232" s="32">
        <f t="shared" si="58"/>
        <v>0</v>
      </c>
      <c r="K232" s="32">
        <f t="shared" si="59"/>
        <v>0</v>
      </c>
      <c r="L232" s="32">
        <f t="shared" si="60"/>
        <v>88947</v>
      </c>
      <c r="M232" s="32">
        <f>IF(AND(AND(T231="",A232&lt;=S231),A232=入力!$B$15),ROUND(MIN(入力!$B$16,MAX(0,C232-L232)),0),0)</f>
        <v>0</v>
      </c>
      <c r="N232" s="32">
        <f t="shared" si="61"/>
        <v>13526145</v>
      </c>
      <c r="O232" s="32">
        <f t="shared" si="62"/>
        <v>8766129</v>
      </c>
      <c r="P232" s="34" t="str">
        <f>IF(NOT(AND(T231="",A232&lt;=S231)),"",IF(FALSE,"繰上返済後再計算","")&amp;IF(AND(入力!$B$13="有効",A232&gt;1,MOD(A232-1,60)=0),IF(FALSE,"・","")&amp;"5年見直し","")&amp;IF(AND(A232=入力!$B$11,A232&gt;1),IF(OR(FALSE,AND(入力!$B$13="有効",A232&gt;1,MOD(A232-1,60)=0)),"・","")&amp;"金利変更","")&amp;IF(AND(OR(AND(入力!$B$13="有効",A232&gt;1,MOD(A232-1,60)=0),AND(A232=入力!$B$11,A232&gt;1)),入力!$B$14="有効",IF(E232=0,ROUND(C232/MAX(1,S231-A232+1),0),ROUND(-PMT(E232/12,MAX(1,S231-A232+1),C232),0))&gt;ROUND(G231*1.25,0),NOT(FALSE)),"・上限適用",""))</f>
        <v/>
      </c>
      <c r="Q232" s="35" t="str">
        <f>IF(AND(T231="",A232&lt;=S231),入力!$B$13,"")</f>
        <v>有効</v>
      </c>
      <c r="R232" s="32" t="str">
        <f>IF(AND(AND(T231="",A232&lt;=S231),OR(AND(入力!$B$13="有効",A232&gt;1,MOD(A232-1,60)=0),AND(A232=入力!$B$11,A232&gt;1)),入力!$B$14="有効"),ROUND(G231*1.25,0),"")</f>
        <v/>
      </c>
      <c r="S232" s="36">
        <f>IF(A232&lt;&gt;入力!$B$15,S231,IF(K232&lt;&gt;0,S231,IF(G232&lt;=F232,S231,IF(M232&lt;=0,S231,IF(AND(N232&gt;0,E232&gt;0,G232&lt;=N232*E232/12),S231,IF(A232+IF(N232=0,0,IF(E232=0,ROUNDUP(N232/G232,0),ROUNDUP(NPER(E232/12,-G232,N232),0)))&lt;S231,A232+IF(N232=0,0,IF(E232=0,ROUNDUP(N232/G232,0),ROUNDUP(NPER(E232/12,-G232,N232),0))),S231))))))</f>
        <v>359</v>
      </c>
      <c r="T232" s="35" t="str">
        <f t="shared" si="63"/>
        <v/>
      </c>
      <c r="U232" s="3">
        <f t="shared" si="48"/>
        <v>0</v>
      </c>
      <c r="V232" s="3">
        <f t="shared" si="49"/>
        <v>0</v>
      </c>
      <c r="W232" s="3">
        <f t="shared" si="50"/>
        <v>0</v>
      </c>
      <c r="X232" s="3">
        <f t="shared" si="51"/>
        <v>0</v>
      </c>
      <c r="Y232" s="3">
        <f>0</f>
        <v>0</v>
      </c>
      <c r="Z232" s="3">
        <f t="shared" si="52"/>
        <v>0</v>
      </c>
      <c r="AA232">
        <f>ROUND(IF(FALSE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,0)</f>
        <v>117312</v>
      </c>
    </row>
    <row r="233" spans="1:27">
      <c r="A233" s="30">
        <f>228</f>
        <v>228</v>
      </c>
      <c r="B233" s="31">
        <f>EDATE(入力!$B$6,A233-1)</f>
        <v>53144</v>
      </c>
      <c r="C233" s="32">
        <f t="shared" si="53"/>
        <v>13526145</v>
      </c>
      <c r="D233" s="32">
        <f t="shared" si="54"/>
        <v>0</v>
      </c>
      <c r="E233" s="33">
        <f>IF(AND(T232="",A233&lt;=S232),IF(A233&lt;入力!$B$11,入力!$B$10,入力!$B$12),0)</f>
        <v>2.5000000000000001E-2</v>
      </c>
      <c r="F233" s="32">
        <f t="shared" si="55"/>
        <v>28179</v>
      </c>
      <c r="G233" s="32">
        <f>ROUND(IF(NOT(AND(T232="",A233&lt;=S232)),0,IF(FALSE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),0)</f>
        <v>117312</v>
      </c>
      <c r="H233" s="32">
        <f t="shared" si="56"/>
        <v>117312</v>
      </c>
      <c r="I233" s="32">
        <f t="shared" si="57"/>
        <v>28179</v>
      </c>
      <c r="J233" s="32">
        <f t="shared" si="58"/>
        <v>0</v>
      </c>
      <c r="K233" s="32">
        <f t="shared" si="59"/>
        <v>0</v>
      </c>
      <c r="L233" s="32">
        <f t="shared" si="60"/>
        <v>89133</v>
      </c>
      <c r="M233" s="32">
        <f>IF(AND(AND(T232="",A233&lt;=S232),A233=入力!$B$15),ROUND(MIN(入力!$B$16,MAX(0,C233-L233)),0),0)</f>
        <v>0</v>
      </c>
      <c r="N233" s="32">
        <f t="shared" si="61"/>
        <v>13437012</v>
      </c>
      <c r="O233" s="32">
        <f t="shared" si="62"/>
        <v>8794308</v>
      </c>
      <c r="P233" s="34" t="str">
        <f>IF(NOT(AND(T232="",A233&lt;=S232)),"",IF(FALSE,"繰上返済後再計算","")&amp;IF(AND(入力!$B$13="有効",A233&gt;1,MOD(A233-1,60)=0),IF(FALSE,"・","")&amp;"5年見直し","")&amp;IF(AND(A233=入力!$B$11,A233&gt;1),IF(OR(FALSE,AND(入力!$B$13="有効",A233&gt;1,MOD(A233-1,60)=0)),"・","")&amp;"金利変更","")&amp;IF(AND(OR(AND(入力!$B$13="有効",A233&gt;1,MOD(A233-1,60)=0),AND(A233=入力!$B$11,A233&gt;1)),入力!$B$14="有効",IF(E233=0,ROUND(C233/MAX(1,S232-A233+1),0),ROUND(-PMT(E233/12,MAX(1,S232-A233+1),C233),0))&gt;ROUND(G232*1.25,0),NOT(FALSE)),"・上限適用",""))</f>
        <v/>
      </c>
      <c r="Q233" s="35" t="str">
        <f>IF(AND(T232="",A233&lt;=S232),入力!$B$13,"")</f>
        <v>有効</v>
      </c>
      <c r="R233" s="32" t="str">
        <f>IF(AND(AND(T232="",A233&lt;=S232),OR(AND(入力!$B$13="有効",A233&gt;1,MOD(A233-1,60)=0),AND(A233=入力!$B$11,A233&gt;1)),入力!$B$14="有効"),ROUND(G232*1.25,0),"")</f>
        <v/>
      </c>
      <c r="S233" s="36">
        <f>IF(A233&lt;&gt;入力!$B$15,S232,IF(K233&lt;&gt;0,S232,IF(G233&lt;=F233,S232,IF(M233&lt;=0,S232,IF(AND(N233&gt;0,E233&gt;0,G233&lt;=N233*E233/12),S232,IF(A233+IF(N233=0,0,IF(E233=0,ROUNDUP(N233/G233,0),ROUNDUP(NPER(E233/12,-G233,N233),0)))&lt;S232,A233+IF(N233=0,0,IF(E233=0,ROUNDUP(N233/G233,0),ROUNDUP(NPER(E233/12,-G233,N233),0))),S232))))))</f>
        <v>359</v>
      </c>
      <c r="T233" s="35" t="str">
        <f t="shared" si="63"/>
        <v/>
      </c>
      <c r="U233" s="3">
        <f t="shared" si="48"/>
        <v>0</v>
      </c>
      <c r="V233" s="3">
        <f t="shared" si="49"/>
        <v>0</v>
      </c>
      <c r="W233" s="3">
        <f t="shared" si="50"/>
        <v>0</v>
      </c>
      <c r="X233" s="3">
        <f t="shared" si="51"/>
        <v>0</v>
      </c>
      <c r="Y233" s="3">
        <f>0</f>
        <v>0</v>
      </c>
      <c r="Z233" s="3">
        <f t="shared" si="52"/>
        <v>0</v>
      </c>
      <c r="AA233">
        <f>ROUND(IF(FALSE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,0)</f>
        <v>117312</v>
      </c>
    </row>
    <row r="234" spans="1:27">
      <c r="A234" s="30">
        <f>229</f>
        <v>229</v>
      </c>
      <c r="B234" s="31">
        <f>EDATE(入力!$B$6,A234-1)</f>
        <v>53175</v>
      </c>
      <c r="C234" s="32">
        <f t="shared" si="53"/>
        <v>13437012</v>
      </c>
      <c r="D234" s="32">
        <f t="shared" si="54"/>
        <v>0</v>
      </c>
      <c r="E234" s="33">
        <f>IF(AND(T233="",A234&lt;=S233),IF(A234&lt;入力!$B$11,入力!$B$10,入力!$B$12),0)</f>
        <v>2.5000000000000001E-2</v>
      </c>
      <c r="F234" s="32">
        <f t="shared" si="55"/>
        <v>27994</v>
      </c>
      <c r="G234" s="32">
        <f>ROUND(IF(NOT(AND(T233="",A234&lt;=S233)),0,IF(FALSE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),0)</f>
        <v>117312</v>
      </c>
      <c r="H234" s="32">
        <f t="shared" si="56"/>
        <v>117312</v>
      </c>
      <c r="I234" s="32">
        <f t="shared" si="57"/>
        <v>27994</v>
      </c>
      <c r="J234" s="32">
        <f t="shared" si="58"/>
        <v>0</v>
      </c>
      <c r="K234" s="32">
        <f t="shared" si="59"/>
        <v>0</v>
      </c>
      <c r="L234" s="32">
        <f t="shared" si="60"/>
        <v>89318</v>
      </c>
      <c r="M234" s="32">
        <f>IF(AND(AND(T233="",A234&lt;=S233),A234=入力!$B$15),ROUND(MIN(入力!$B$16,MAX(0,C234-L234)),0),0)</f>
        <v>0</v>
      </c>
      <c r="N234" s="32">
        <f t="shared" si="61"/>
        <v>13347694</v>
      </c>
      <c r="O234" s="32">
        <f t="shared" si="62"/>
        <v>8822302</v>
      </c>
      <c r="P234" s="34" t="str">
        <f>IF(NOT(AND(T233="",A234&lt;=S233)),"",IF(FALSE,"繰上返済後再計算","")&amp;IF(AND(入力!$B$13="有効",A234&gt;1,MOD(A234-1,60)=0),IF(FALSE,"・","")&amp;"5年見直し","")&amp;IF(AND(A234=入力!$B$11,A234&gt;1),IF(OR(FALSE,AND(入力!$B$13="有効",A234&gt;1,MOD(A234-1,60)=0)),"・","")&amp;"金利変更","")&amp;IF(AND(OR(AND(入力!$B$13="有効",A234&gt;1,MOD(A234-1,60)=0),AND(A234=入力!$B$11,A234&gt;1)),入力!$B$14="有効",IF(E234=0,ROUND(C234/MAX(1,S233-A234+1),0),ROUND(-PMT(E234/12,MAX(1,S233-A234+1),C234),0))&gt;ROUND(G233*1.25,0),NOT(FALSE)),"・上限適用",""))</f>
        <v/>
      </c>
      <c r="Q234" s="35" t="str">
        <f>IF(AND(T233="",A234&lt;=S233),入力!$B$13,"")</f>
        <v>有効</v>
      </c>
      <c r="R234" s="32" t="str">
        <f>IF(AND(AND(T233="",A234&lt;=S233),OR(AND(入力!$B$13="有効",A234&gt;1,MOD(A234-1,60)=0),AND(A234=入力!$B$11,A234&gt;1)),入力!$B$14="有効"),ROUND(G233*1.25,0),"")</f>
        <v/>
      </c>
      <c r="S234" s="36">
        <f>IF(A234&lt;&gt;入力!$B$15,S233,IF(K234&lt;&gt;0,S233,IF(G234&lt;=F234,S233,IF(M234&lt;=0,S233,IF(AND(N234&gt;0,E234&gt;0,G234&lt;=N234*E234/12),S233,IF(A234+IF(N234=0,0,IF(E234=0,ROUNDUP(N234/G234,0),ROUNDUP(NPER(E234/12,-G234,N234),0)))&lt;S233,A234+IF(N234=0,0,IF(E234=0,ROUNDUP(N234/G234,0),ROUNDUP(NPER(E234/12,-G234,N234),0))),S233))))))</f>
        <v>359</v>
      </c>
      <c r="T234" s="35" t="str">
        <f t="shared" si="63"/>
        <v/>
      </c>
      <c r="U234" s="3">
        <f t="shared" si="48"/>
        <v>0</v>
      </c>
      <c r="V234" s="3">
        <f t="shared" si="49"/>
        <v>0</v>
      </c>
      <c r="W234" s="3">
        <f t="shared" si="50"/>
        <v>0</v>
      </c>
      <c r="X234" s="3">
        <f t="shared" si="51"/>
        <v>0</v>
      </c>
      <c r="Y234" s="3">
        <f>0</f>
        <v>0</v>
      </c>
      <c r="Z234" s="3">
        <f t="shared" si="52"/>
        <v>0</v>
      </c>
      <c r="AA234">
        <f>ROUND(IF(FALSE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,0)</f>
        <v>117312</v>
      </c>
    </row>
    <row r="235" spans="1:27">
      <c r="A235" s="30">
        <f>230</f>
        <v>230</v>
      </c>
      <c r="B235" s="31">
        <f>EDATE(入力!$B$6,A235-1)</f>
        <v>53206</v>
      </c>
      <c r="C235" s="32">
        <f t="shared" si="53"/>
        <v>13347694</v>
      </c>
      <c r="D235" s="32">
        <f t="shared" si="54"/>
        <v>0</v>
      </c>
      <c r="E235" s="33">
        <f>IF(AND(T234="",A235&lt;=S234),IF(A235&lt;入力!$B$11,入力!$B$10,入力!$B$12),0)</f>
        <v>2.5000000000000001E-2</v>
      </c>
      <c r="F235" s="32">
        <f t="shared" si="55"/>
        <v>27808</v>
      </c>
      <c r="G235" s="32">
        <f>ROUND(IF(NOT(AND(T234="",A235&lt;=S234)),0,IF(FALSE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),0)</f>
        <v>117312</v>
      </c>
      <c r="H235" s="32">
        <f t="shared" si="56"/>
        <v>117312</v>
      </c>
      <c r="I235" s="32">
        <f t="shared" si="57"/>
        <v>27808</v>
      </c>
      <c r="J235" s="32">
        <f t="shared" si="58"/>
        <v>0</v>
      </c>
      <c r="K235" s="32">
        <f t="shared" si="59"/>
        <v>0</v>
      </c>
      <c r="L235" s="32">
        <f t="shared" si="60"/>
        <v>89504</v>
      </c>
      <c r="M235" s="32">
        <f>IF(AND(AND(T234="",A235&lt;=S234),A235=入力!$B$15),ROUND(MIN(入力!$B$16,MAX(0,C235-L235)),0),0)</f>
        <v>0</v>
      </c>
      <c r="N235" s="32">
        <f t="shared" si="61"/>
        <v>13258190</v>
      </c>
      <c r="O235" s="32">
        <f t="shared" si="62"/>
        <v>8850110</v>
      </c>
      <c r="P235" s="34" t="str">
        <f>IF(NOT(AND(T234="",A235&lt;=S234)),"",IF(FALSE,"繰上返済後再計算","")&amp;IF(AND(入力!$B$13="有効",A235&gt;1,MOD(A235-1,60)=0),IF(FALSE,"・","")&amp;"5年見直し","")&amp;IF(AND(A235=入力!$B$11,A235&gt;1),IF(OR(FALSE,AND(入力!$B$13="有効",A235&gt;1,MOD(A235-1,60)=0)),"・","")&amp;"金利変更","")&amp;IF(AND(OR(AND(入力!$B$13="有効",A235&gt;1,MOD(A235-1,60)=0),AND(A235=入力!$B$11,A235&gt;1)),入力!$B$14="有効",IF(E235=0,ROUND(C235/MAX(1,S234-A235+1),0),ROUND(-PMT(E235/12,MAX(1,S234-A235+1),C235),0))&gt;ROUND(G234*1.25,0),NOT(FALSE)),"・上限適用",""))</f>
        <v/>
      </c>
      <c r="Q235" s="35" t="str">
        <f>IF(AND(T234="",A235&lt;=S234),入力!$B$13,"")</f>
        <v>有効</v>
      </c>
      <c r="R235" s="32" t="str">
        <f>IF(AND(AND(T234="",A235&lt;=S234),OR(AND(入力!$B$13="有効",A235&gt;1,MOD(A235-1,60)=0),AND(A235=入力!$B$11,A235&gt;1)),入力!$B$14="有効"),ROUND(G234*1.25,0),"")</f>
        <v/>
      </c>
      <c r="S235" s="36">
        <f>IF(A235&lt;&gt;入力!$B$15,S234,IF(K235&lt;&gt;0,S234,IF(G235&lt;=F235,S234,IF(M235&lt;=0,S234,IF(AND(N235&gt;0,E235&gt;0,G235&lt;=N235*E235/12),S234,IF(A235+IF(N235=0,0,IF(E235=0,ROUNDUP(N235/G235,0),ROUNDUP(NPER(E235/12,-G235,N235),0)))&lt;S234,A235+IF(N235=0,0,IF(E235=0,ROUNDUP(N235/G235,0),ROUNDUP(NPER(E235/12,-G235,N235),0))),S234))))))</f>
        <v>359</v>
      </c>
      <c r="T235" s="35" t="str">
        <f t="shared" si="63"/>
        <v/>
      </c>
      <c r="U235" s="3">
        <f t="shared" si="48"/>
        <v>0</v>
      </c>
      <c r="V235" s="3">
        <f t="shared" si="49"/>
        <v>0</v>
      </c>
      <c r="W235" s="3">
        <f t="shared" si="50"/>
        <v>0</v>
      </c>
      <c r="X235" s="3">
        <f t="shared" si="51"/>
        <v>0</v>
      </c>
      <c r="Y235" s="3">
        <f>0</f>
        <v>0</v>
      </c>
      <c r="Z235" s="3">
        <f t="shared" si="52"/>
        <v>0</v>
      </c>
      <c r="AA235">
        <f>ROUND(IF(FALSE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,0)</f>
        <v>117312</v>
      </c>
    </row>
    <row r="236" spans="1:27">
      <c r="A236" s="30">
        <f>231</f>
        <v>231</v>
      </c>
      <c r="B236" s="31">
        <f>EDATE(入力!$B$6,A236-1)</f>
        <v>53236</v>
      </c>
      <c r="C236" s="32">
        <f t="shared" si="53"/>
        <v>13258190</v>
      </c>
      <c r="D236" s="32">
        <f t="shared" si="54"/>
        <v>0</v>
      </c>
      <c r="E236" s="33">
        <f>IF(AND(T235="",A236&lt;=S235),IF(A236&lt;入力!$B$11,入力!$B$10,入力!$B$12),0)</f>
        <v>2.5000000000000001E-2</v>
      </c>
      <c r="F236" s="32">
        <f t="shared" si="55"/>
        <v>27621</v>
      </c>
      <c r="G236" s="32">
        <f>ROUND(IF(NOT(AND(T235="",A236&lt;=S235)),0,IF(FALSE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),0)</f>
        <v>117312</v>
      </c>
      <c r="H236" s="32">
        <f t="shared" si="56"/>
        <v>117312</v>
      </c>
      <c r="I236" s="32">
        <f t="shared" si="57"/>
        <v>27621</v>
      </c>
      <c r="J236" s="32">
        <f t="shared" si="58"/>
        <v>0</v>
      </c>
      <c r="K236" s="32">
        <f t="shared" si="59"/>
        <v>0</v>
      </c>
      <c r="L236" s="32">
        <f t="shared" si="60"/>
        <v>89691</v>
      </c>
      <c r="M236" s="32">
        <f>IF(AND(AND(T235="",A236&lt;=S235),A236=入力!$B$15),ROUND(MIN(入力!$B$16,MAX(0,C236-L236)),0),0)</f>
        <v>0</v>
      </c>
      <c r="N236" s="32">
        <f t="shared" si="61"/>
        <v>13168499</v>
      </c>
      <c r="O236" s="32">
        <f t="shared" si="62"/>
        <v>8877731</v>
      </c>
      <c r="P236" s="34" t="str">
        <f>IF(NOT(AND(T235="",A236&lt;=S235)),"",IF(FALSE,"繰上返済後再計算","")&amp;IF(AND(入力!$B$13="有効",A236&gt;1,MOD(A236-1,60)=0),IF(FALSE,"・","")&amp;"5年見直し","")&amp;IF(AND(A236=入力!$B$11,A236&gt;1),IF(OR(FALSE,AND(入力!$B$13="有効",A236&gt;1,MOD(A236-1,60)=0)),"・","")&amp;"金利変更","")&amp;IF(AND(OR(AND(入力!$B$13="有効",A236&gt;1,MOD(A236-1,60)=0),AND(A236=入力!$B$11,A236&gt;1)),入力!$B$14="有効",IF(E236=0,ROUND(C236/MAX(1,S235-A236+1),0),ROUND(-PMT(E236/12,MAX(1,S235-A236+1),C236),0))&gt;ROUND(G235*1.25,0),NOT(FALSE)),"・上限適用",""))</f>
        <v/>
      </c>
      <c r="Q236" s="35" t="str">
        <f>IF(AND(T235="",A236&lt;=S235),入力!$B$13,"")</f>
        <v>有効</v>
      </c>
      <c r="R236" s="32" t="str">
        <f>IF(AND(AND(T235="",A236&lt;=S235),OR(AND(入力!$B$13="有効",A236&gt;1,MOD(A236-1,60)=0),AND(A236=入力!$B$11,A236&gt;1)),入力!$B$14="有効"),ROUND(G235*1.25,0),"")</f>
        <v/>
      </c>
      <c r="S236" s="36">
        <f>IF(A236&lt;&gt;入力!$B$15,S235,IF(K236&lt;&gt;0,S235,IF(G236&lt;=F236,S235,IF(M236&lt;=0,S235,IF(AND(N236&gt;0,E236&gt;0,G236&lt;=N236*E236/12),S235,IF(A236+IF(N236=0,0,IF(E236=0,ROUNDUP(N236/G236,0),ROUNDUP(NPER(E236/12,-G236,N236),0)))&lt;S235,A236+IF(N236=0,0,IF(E236=0,ROUNDUP(N236/G236,0),ROUNDUP(NPER(E236/12,-G236,N236),0))),S235))))))</f>
        <v>359</v>
      </c>
      <c r="T236" s="35" t="str">
        <f t="shared" si="63"/>
        <v/>
      </c>
      <c r="U236" s="3">
        <f t="shared" si="48"/>
        <v>0</v>
      </c>
      <c r="V236" s="3">
        <f t="shared" si="49"/>
        <v>0</v>
      </c>
      <c r="W236" s="3">
        <f t="shared" si="50"/>
        <v>0</v>
      </c>
      <c r="X236" s="3">
        <f t="shared" si="51"/>
        <v>0</v>
      </c>
      <c r="Y236" s="3">
        <f>0</f>
        <v>0</v>
      </c>
      <c r="Z236" s="3">
        <f t="shared" si="52"/>
        <v>0</v>
      </c>
      <c r="AA236">
        <f>ROUND(IF(FALSE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,0)</f>
        <v>117312</v>
      </c>
    </row>
    <row r="237" spans="1:27">
      <c r="A237" s="30">
        <f>232</f>
        <v>232</v>
      </c>
      <c r="B237" s="31">
        <f>EDATE(入力!$B$6,A237-1)</f>
        <v>53267</v>
      </c>
      <c r="C237" s="32">
        <f t="shared" si="53"/>
        <v>13168499</v>
      </c>
      <c r="D237" s="32">
        <f t="shared" si="54"/>
        <v>0</v>
      </c>
      <c r="E237" s="33">
        <f>IF(AND(T236="",A237&lt;=S236),IF(A237&lt;入力!$B$11,入力!$B$10,入力!$B$12),0)</f>
        <v>2.5000000000000001E-2</v>
      </c>
      <c r="F237" s="32">
        <f t="shared" si="55"/>
        <v>27434</v>
      </c>
      <c r="G237" s="32">
        <f>ROUND(IF(NOT(AND(T236="",A237&lt;=S236)),0,IF(FALSE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),0)</f>
        <v>117312</v>
      </c>
      <c r="H237" s="32">
        <f t="shared" si="56"/>
        <v>117312</v>
      </c>
      <c r="I237" s="32">
        <f t="shared" si="57"/>
        <v>27434</v>
      </c>
      <c r="J237" s="32">
        <f t="shared" si="58"/>
        <v>0</v>
      </c>
      <c r="K237" s="32">
        <f t="shared" si="59"/>
        <v>0</v>
      </c>
      <c r="L237" s="32">
        <f t="shared" si="60"/>
        <v>89878</v>
      </c>
      <c r="M237" s="32">
        <f>IF(AND(AND(T236="",A237&lt;=S236),A237=入力!$B$15),ROUND(MIN(入力!$B$16,MAX(0,C237-L237)),0),0)</f>
        <v>0</v>
      </c>
      <c r="N237" s="32">
        <f t="shared" si="61"/>
        <v>13078621</v>
      </c>
      <c r="O237" s="32">
        <f t="shared" si="62"/>
        <v>8905165</v>
      </c>
      <c r="P237" s="34" t="str">
        <f>IF(NOT(AND(T236="",A237&lt;=S236)),"",IF(FALSE,"繰上返済後再計算","")&amp;IF(AND(入力!$B$13="有効",A237&gt;1,MOD(A237-1,60)=0),IF(FALSE,"・","")&amp;"5年見直し","")&amp;IF(AND(A237=入力!$B$11,A237&gt;1),IF(OR(FALSE,AND(入力!$B$13="有効",A237&gt;1,MOD(A237-1,60)=0)),"・","")&amp;"金利変更","")&amp;IF(AND(OR(AND(入力!$B$13="有効",A237&gt;1,MOD(A237-1,60)=0),AND(A237=入力!$B$11,A237&gt;1)),入力!$B$14="有効",IF(E237=0,ROUND(C237/MAX(1,S236-A237+1),0),ROUND(-PMT(E237/12,MAX(1,S236-A237+1),C237),0))&gt;ROUND(G236*1.25,0),NOT(FALSE)),"・上限適用",""))</f>
        <v/>
      </c>
      <c r="Q237" s="35" t="str">
        <f>IF(AND(T236="",A237&lt;=S236),入力!$B$13,"")</f>
        <v>有効</v>
      </c>
      <c r="R237" s="32" t="str">
        <f>IF(AND(AND(T236="",A237&lt;=S236),OR(AND(入力!$B$13="有効",A237&gt;1,MOD(A237-1,60)=0),AND(A237=入力!$B$11,A237&gt;1)),入力!$B$14="有効"),ROUND(G236*1.25,0),"")</f>
        <v/>
      </c>
      <c r="S237" s="36">
        <f>IF(A237&lt;&gt;入力!$B$15,S236,IF(K237&lt;&gt;0,S236,IF(G237&lt;=F237,S236,IF(M237&lt;=0,S236,IF(AND(N237&gt;0,E237&gt;0,G237&lt;=N237*E237/12),S236,IF(A237+IF(N237=0,0,IF(E237=0,ROUNDUP(N237/G237,0),ROUNDUP(NPER(E237/12,-G237,N237),0)))&lt;S236,A237+IF(N237=0,0,IF(E237=0,ROUNDUP(N237/G237,0),ROUNDUP(NPER(E237/12,-G237,N237),0))),S236))))))</f>
        <v>359</v>
      </c>
      <c r="T237" s="35" t="str">
        <f t="shared" si="63"/>
        <v/>
      </c>
      <c r="U237" s="3">
        <f t="shared" si="48"/>
        <v>0</v>
      </c>
      <c r="V237" s="3">
        <f t="shared" si="49"/>
        <v>0</v>
      </c>
      <c r="W237" s="3">
        <f t="shared" si="50"/>
        <v>0</v>
      </c>
      <c r="X237" s="3">
        <f t="shared" si="51"/>
        <v>0</v>
      </c>
      <c r="Y237" s="3">
        <f>0</f>
        <v>0</v>
      </c>
      <c r="Z237" s="3">
        <f t="shared" si="52"/>
        <v>0</v>
      </c>
      <c r="AA237">
        <f>ROUND(IF(FALSE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,0)</f>
        <v>117312</v>
      </c>
    </row>
    <row r="238" spans="1:27">
      <c r="A238" s="30">
        <f>233</f>
        <v>233</v>
      </c>
      <c r="B238" s="31">
        <f>EDATE(入力!$B$6,A238-1)</f>
        <v>53297</v>
      </c>
      <c r="C238" s="32">
        <f t="shared" si="53"/>
        <v>13078621</v>
      </c>
      <c r="D238" s="32">
        <f t="shared" si="54"/>
        <v>0</v>
      </c>
      <c r="E238" s="33">
        <f>IF(AND(T237="",A238&lt;=S237),IF(A238&lt;入力!$B$11,入力!$B$10,入力!$B$12),0)</f>
        <v>2.5000000000000001E-2</v>
      </c>
      <c r="F238" s="32">
        <f t="shared" si="55"/>
        <v>27247</v>
      </c>
      <c r="G238" s="32">
        <f>ROUND(IF(NOT(AND(T237="",A238&lt;=S237)),0,IF(FALSE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),0)</f>
        <v>117312</v>
      </c>
      <c r="H238" s="32">
        <f t="shared" si="56"/>
        <v>117312</v>
      </c>
      <c r="I238" s="32">
        <f t="shared" si="57"/>
        <v>27247</v>
      </c>
      <c r="J238" s="32">
        <f t="shared" si="58"/>
        <v>0</v>
      </c>
      <c r="K238" s="32">
        <f t="shared" si="59"/>
        <v>0</v>
      </c>
      <c r="L238" s="32">
        <f t="shared" si="60"/>
        <v>90065</v>
      </c>
      <c r="M238" s="32">
        <f>IF(AND(AND(T237="",A238&lt;=S237),A238=入力!$B$15),ROUND(MIN(入力!$B$16,MAX(0,C238-L238)),0),0)</f>
        <v>0</v>
      </c>
      <c r="N238" s="32">
        <f t="shared" si="61"/>
        <v>12988556</v>
      </c>
      <c r="O238" s="32">
        <f t="shared" si="62"/>
        <v>8932412</v>
      </c>
      <c r="P238" s="34" t="str">
        <f>IF(NOT(AND(T237="",A238&lt;=S237)),"",IF(FALSE,"繰上返済後再計算","")&amp;IF(AND(入力!$B$13="有効",A238&gt;1,MOD(A238-1,60)=0),IF(FALSE,"・","")&amp;"5年見直し","")&amp;IF(AND(A238=入力!$B$11,A238&gt;1),IF(OR(FALSE,AND(入力!$B$13="有効",A238&gt;1,MOD(A238-1,60)=0)),"・","")&amp;"金利変更","")&amp;IF(AND(OR(AND(入力!$B$13="有効",A238&gt;1,MOD(A238-1,60)=0),AND(A238=入力!$B$11,A238&gt;1)),入力!$B$14="有効",IF(E238=0,ROUND(C238/MAX(1,S237-A238+1),0),ROUND(-PMT(E238/12,MAX(1,S237-A238+1),C238),0))&gt;ROUND(G237*1.25,0),NOT(FALSE)),"・上限適用",""))</f>
        <v/>
      </c>
      <c r="Q238" s="35" t="str">
        <f>IF(AND(T237="",A238&lt;=S237),入力!$B$13,"")</f>
        <v>有効</v>
      </c>
      <c r="R238" s="32" t="str">
        <f>IF(AND(AND(T237="",A238&lt;=S237),OR(AND(入力!$B$13="有効",A238&gt;1,MOD(A238-1,60)=0),AND(A238=入力!$B$11,A238&gt;1)),入力!$B$14="有効"),ROUND(G237*1.25,0),"")</f>
        <v/>
      </c>
      <c r="S238" s="36">
        <f>IF(A238&lt;&gt;入力!$B$15,S237,IF(K238&lt;&gt;0,S237,IF(G238&lt;=F238,S237,IF(M238&lt;=0,S237,IF(AND(N238&gt;0,E238&gt;0,G238&lt;=N238*E238/12),S237,IF(A238+IF(N238=0,0,IF(E238=0,ROUNDUP(N238/G238,0),ROUNDUP(NPER(E238/12,-G238,N238),0)))&lt;S237,A238+IF(N238=0,0,IF(E238=0,ROUNDUP(N238/G238,0),ROUNDUP(NPER(E238/12,-G238,N238),0))),S237))))))</f>
        <v>359</v>
      </c>
      <c r="T238" s="35" t="str">
        <f t="shared" si="63"/>
        <v/>
      </c>
      <c r="U238" s="3">
        <f t="shared" si="48"/>
        <v>0</v>
      </c>
      <c r="V238" s="3">
        <f t="shared" si="49"/>
        <v>0</v>
      </c>
      <c r="W238" s="3">
        <f t="shared" si="50"/>
        <v>0</v>
      </c>
      <c r="X238" s="3">
        <f t="shared" si="51"/>
        <v>0</v>
      </c>
      <c r="Y238" s="3">
        <f>0</f>
        <v>0</v>
      </c>
      <c r="Z238" s="3">
        <f t="shared" si="52"/>
        <v>0</v>
      </c>
      <c r="AA238">
        <f>ROUND(IF(FALSE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,0)</f>
        <v>117312</v>
      </c>
    </row>
    <row r="239" spans="1:27">
      <c r="A239" s="30">
        <f>234</f>
        <v>234</v>
      </c>
      <c r="B239" s="31">
        <f>EDATE(入力!$B$6,A239-1)</f>
        <v>53328</v>
      </c>
      <c r="C239" s="32">
        <f t="shared" si="53"/>
        <v>12988556</v>
      </c>
      <c r="D239" s="32">
        <f t="shared" si="54"/>
        <v>0</v>
      </c>
      <c r="E239" s="33">
        <f>IF(AND(T238="",A239&lt;=S238),IF(A239&lt;入力!$B$11,入力!$B$10,入力!$B$12),0)</f>
        <v>2.5000000000000001E-2</v>
      </c>
      <c r="F239" s="32">
        <f t="shared" si="55"/>
        <v>27059</v>
      </c>
      <c r="G239" s="32">
        <f>ROUND(IF(NOT(AND(T238="",A239&lt;=S238)),0,IF(FALSE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),0)</f>
        <v>117312</v>
      </c>
      <c r="H239" s="32">
        <f t="shared" si="56"/>
        <v>117312</v>
      </c>
      <c r="I239" s="32">
        <f t="shared" si="57"/>
        <v>27059</v>
      </c>
      <c r="J239" s="32">
        <f t="shared" si="58"/>
        <v>0</v>
      </c>
      <c r="K239" s="32">
        <f t="shared" si="59"/>
        <v>0</v>
      </c>
      <c r="L239" s="32">
        <f t="shared" si="60"/>
        <v>90253</v>
      </c>
      <c r="M239" s="32">
        <f>IF(AND(AND(T238="",A239&lt;=S238),A239=入力!$B$15),ROUND(MIN(入力!$B$16,MAX(0,C239-L239)),0),0)</f>
        <v>0</v>
      </c>
      <c r="N239" s="32">
        <f t="shared" si="61"/>
        <v>12898303</v>
      </c>
      <c r="O239" s="32">
        <f t="shared" si="62"/>
        <v>8959471</v>
      </c>
      <c r="P239" s="34" t="str">
        <f>IF(NOT(AND(T238="",A239&lt;=S238)),"",IF(FALSE,"繰上返済後再計算","")&amp;IF(AND(入力!$B$13="有効",A239&gt;1,MOD(A239-1,60)=0),IF(FALSE,"・","")&amp;"5年見直し","")&amp;IF(AND(A239=入力!$B$11,A239&gt;1),IF(OR(FALSE,AND(入力!$B$13="有効",A239&gt;1,MOD(A239-1,60)=0)),"・","")&amp;"金利変更","")&amp;IF(AND(OR(AND(入力!$B$13="有効",A239&gt;1,MOD(A239-1,60)=0),AND(A239=入力!$B$11,A239&gt;1)),入力!$B$14="有効",IF(E239=0,ROUND(C239/MAX(1,S238-A239+1),0),ROUND(-PMT(E239/12,MAX(1,S238-A239+1),C239),0))&gt;ROUND(G238*1.25,0),NOT(FALSE)),"・上限適用",""))</f>
        <v/>
      </c>
      <c r="Q239" s="35" t="str">
        <f>IF(AND(T238="",A239&lt;=S238),入力!$B$13,"")</f>
        <v>有効</v>
      </c>
      <c r="R239" s="32" t="str">
        <f>IF(AND(AND(T238="",A239&lt;=S238),OR(AND(入力!$B$13="有効",A239&gt;1,MOD(A239-1,60)=0),AND(A239=入力!$B$11,A239&gt;1)),入力!$B$14="有効"),ROUND(G238*1.25,0),"")</f>
        <v/>
      </c>
      <c r="S239" s="36">
        <f>IF(A239&lt;&gt;入力!$B$15,S238,IF(K239&lt;&gt;0,S238,IF(G239&lt;=F239,S238,IF(M239&lt;=0,S238,IF(AND(N239&gt;0,E239&gt;0,G239&lt;=N239*E239/12),S238,IF(A239+IF(N239=0,0,IF(E239=0,ROUNDUP(N239/G239,0),ROUNDUP(NPER(E239/12,-G239,N239),0)))&lt;S238,A239+IF(N239=0,0,IF(E239=0,ROUNDUP(N239/G239,0),ROUNDUP(NPER(E239/12,-G239,N239),0))),S238))))))</f>
        <v>359</v>
      </c>
      <c r="T239" s="35" t="str">
        <f t="shared" si="63"/>
        <v/>
      </c>
      <c r="U239" s="3">
        <f t="shared" si="48"/>
        <v>0</v>
      </c>
      <c r="V239" s="3">
        <f t="shared" si="49"/>
        <v>0</v>
      </c>
      <c r="W239" s="3">
        <f t="shared" si="50"/>
        <v>0</v>
      </c>
      <c r="X239" s="3">
        <f t="shared" si="51"/>
        <v>0</v>
      </c>
      <c r="Y239" s="3">
        <f>0</f>
        <v>0</v>
      </c>
      <c r="Z239" s="3">
        <f t="shared" si="52"/>
        <v>0</v>
      </c>
      <c r="AA239">
        <f>ROUND(IF(FALSE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,0)</f>
        <v>117312</v>
      </c>
    </row>
    <row r="240" spans="1:27">
      <c r="A240" s="30">
        <f>235</f>
        <v>235</v>
      </c>
      <c r="B240" s="31">
        <f>EDATE(入力!$B$6,A240-1)</f>
        <v>53359</v>
      </c>
      <c r="C240" s="32">
        <f t="shared" si="53"/>
        <v>12898303</v>
      </c>
      <c r="D240" s="32">
        <f t="shared" si="54"/>
        <v>0</v>
      </c>
      <c r="E240" s="33">
        <f>IF(AND(T239="",A240&lt;=S239),IF(A240&lt;入力!$B$11,入力!$B$10,入力!$B$12),0)</f>
        <v>2.5000000000000001E-2</v>
      </c>
      <c r="F240" s="32">
        <f t="shared" si="55"/>
        <v>26871</v>
      </c>
      <c r="G240" s="32">
        <f>ROUND(IF(NOT(AND(T239="",A240&lt;=S239)),0,IF(FALSE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),0)</f>
        <v>117312</v>
      </c>
      <c r="H240" s="32">
        <f t="shared" si="56"/>
        <v>117312</v>
      </c>
      <c r="I240" s="32">
        <f t="shared" si="57"/>
        <v>26871</v>
      </c>
      <c r="J240" s="32">
        <f t="shared" si="58"/>
        <v>0</v>
      </c>
      <c r="K240" s="32">
        <f t="shared" si="59"/>
        <v>0</v>
      </c>
      <c r="L240" s="32">
        <f t="shared" si="60"/>
        <v>90441</v>
      </c>
      <c r="M240" s="32">
        <f>IF(AND(AND(T239="",A240&lt;=S239),A240=入力!$B$15),ROUND(MIN(入力!$B$16,MAX(0,C240-L240)),0),0)</f>
        <v>0</v>
      </c>
      <c r="N240" s="32">
        <f t="shared" si="61"/>
        <v>12807862</v>
      </c>
      <c r="O240" s="32">
        <f t="shared" si="62"/>
        <v>8986342</v>
      </c>
      <c r="P240" s="34" t="str">
        <f>IF(NOT(AND(T239="",A240&lt;=S239)),"",IF(FALSE,"繰上返済後再計算","")&amp;IF(AND(入力!$B$13="有効",A240&gt;1,MOD(A240-1,60)=0),IF(FALSE,"・","")&amp;"5年見直し","")&amp;IF(AND(A240=入力!$B$11,A240&gt;1),IF(OR(FALSE,AND(入力!$B$13="有効",A240&gt;1,MOD(A240-1,60)=0)),"・","")&amp;"金利変更","")&amp;IF(AND(OR(AND(入力!$B$13="有効",A240&gt;1,MOD(A240-1,60)=0),AND(A240=入力!$B$11,A240&gt;1)),入力!$B$14="有効",IF(E240=0,ROUND(C240/MAX(1,S239-A240+1),0),ROUND(-PMT(E240/12,MAX(1,S239-A240+1),C240),0))&gt;ROUND(G239*1.25,0),NOT(FALSE)),"・上限適用",""))</f>
        <v/>
      </c>
      <c r="Q240" s="35" t="str">
        <f>IF(AND(T239="",A240&lt;=S239),入力!$B$13,"")</f>
        <v>有効</v>
      </c>
      <c r="R240" s="32" t="str">
        <f>IF(AND(AND(T239="",A240&lt;=S239),OR(AND(入力!$B$13="有効",A240&gt;1,MOD(A240-1,60)=0),AND(A240=入力!$B$11,A240&gt;1)),入力!$B$14="有効"),ROUND(G239*1.25,0),"")</f>
        <v/>
      </c>
      <c r="S240" s="36">
        <f>IF(A240&lt;&gt;入力!$B$15,S239,IF(K240&lt;&gt;0,S239,IF(G240&lt;=F240,S239,IF(M240&lt;=0,S239,IF(AND(N240&gt;0,E240&gt;0,G240&lt;=N240*E240/12),S239,IF(A240+IF(N240=0,0,IF(E240=0,ROUNDUP(N240/G240,0),ROUNDUP(NPER(E240/12,-G240,N240),0)))&lt;S239,A240+IF(N240=0,0,IF(E240=0,ROUNDUP(N240/G240,0),ROUNDUP(NPER(E240/12,-G240,N240),0))),S239))))))</f>
        <v>359</v>
      </c>
      <c r="T240" s="35" t="str">
        <f t="shared" si="63"/>
        <v/>
      </c>
      <c r="U240" s="3">
        <f t="shared" si="48"/>
        <v>0</v>
      </c>
      <c r="V240" s="3">
        <f t="shared" si="49"/>
        <v>0</v>
      </c>
      <c r="W240" s="3">
        <f t="shared" si="50"/>
        <v>0</v>
      </c>
      <c r="X240" s="3">
        <f t="shared" si="51"/>
        <v>0</v>
      </c>
      <c r="Y240" s="3">
        <f>0</f>
        <v>0</v>
      </c>
      <c r="Z240" s="3">
        <f t="shared" si="52"/>
        <v>0</v>
      </c>
      <c r="AA240">
        <f>ROUND(IF(FALSE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,0)</f>
        <v>117312</v>
      </c>
    </row>
    <row r="241" spans="1:27">
      <c r="A241" s="30">
        <f>236</f>
        <v>236</v>
      </c>
      <c r="B241" s="31">
        <f>EDATE(入力!$B$6,A241-1)</f>
        <v>53387</v>
      </c>
      <c r="C241" s="32">
        <f t="shared" si="53"/>
        <v>12807862</v>
      </c>
      <c r="D241" s="32">
        <f t="shared" si="54"/>
        <v>0</v>
      </c>
      <c r="E241" s="33">
        <f>IF(AND(T240="",A241&lt;=S240),IF(A241&lt;入力!$B$11,入力!$B$10,入力!$B$12),0)</f>
        <v>2.5000000000000001E-2</v>
      </c>
      <c r="F241" s="32">
        <f t="shared" si="55"/>
        <v>26683</v>
      </c>
      <c r="G241" s="32">
        <f>ROUND(IF(NOT(AND(T240="",A241&lt;=S240)),0,IF(FALSE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),0)</f>
        <v>117312</v>
      </c>
      <c r="H241" s="32">
        <f t="shared" si="56"/>
        <v>117312</v>
      </c>
      <c r="I241" s="32">
        <f t="shared" si="57"/>
        <v>26683</v>
      </c>
      <c r="J241" s="32">
        <f t="shared" si="58"/>
        <v>0</v>
      </c>
      <c r="K241" s="32">
        <f t="shared" si="59"/>
        <v>0</v>
      </c>
      <c r="L241" s="32">
        <f t="shared" si="60"/>
        <v>90629</v>
      </c>
      <c r="M241" s="32">
        <f>IF(AND(AND(T240="",A241&lt;=S240),A241=入力!$B$15),ROUND(MIN(入力!$B$16,MAX(0,C241-L241)),0),0)</f>
        <v>0</v>
      </c>
      <c r="N241" s="32">
        <f t="shared" si="61"/>
        <v>12717233</v>
      </c>
      <c r="O241" s="32">
        <f t="shared" si="62"/>
        <v>9013025</v>
      </c>
      <c r="P241" s="34" t="str">
        <f>IF(NOT(AND(T240="",A241&lt;=S240)),"",IF(FALSE,"繰上返済後再計算","")&amp;IF(AND(入力!$B$13="有効",A241&gt;1,MOD(A241-1,60)=0),IF(FALSE,"・","")&amp;"5年見直し","")&amp;IF(AND(A241=入力!$B$11,A241&gt;1),IF(OR(FALSE,AND(入力!$B$13="有効",A241&gt;1,MOD(A241-1,60)=0)),"・","")&amp;"金利変更","")&amp;IF(AND(OR(AND(入力!$B$13="有効",A241&gt;1,MOD(A241-1,60)=0),AND(A241=入力!$B$11,A241&gt;1)),入力!$B$14="有効",IF(E241=0,ROUND(C241/MAX(1,S240-A241+1),0),ROUND(-PMT(E241/12,MAX(1,S240-A241+1),C241),0))&gt;ROUND(G240*1.25,0),NOT(FALSE)),"・上限適用",""))</f>
        <v/>
      </c>
      <c r="Q241" s="35" t="str">
        <f>IF(AND(T240="",A241&lt;=S240),入力!$B$13,"")</f>
        <v>有効</v>
      </c>
      <c r="R241" s="32" t="str">
        <f>IF(AND(AND(T240="",A241&lt;=S240),OR(AND(入力!$B$13="有効",A241&gt;1,MOD(A241-1,60)=0),AND(A241=入力!$B$11,A241&gt;1)),入力!$B$14="有効"),ROUND(G240*1.25,0),"")</f>
        <v/>
      </c>
      <c r="S241" s="36">
        <f>IF(A241&lt;&gt;入力!$B$15,S240,IF(K241&lt;&gt;0,S240,IF(G241&lt;=F241,S240,IF(M241&lt;=0,S240,IF(AND(N241&gt;0,E241&gt;0,G241&lt;=N241*E241/12),S240,IF(A241+IF(N241=0,0,IF(E241=0,ROUNDUP(N241/G241,0),ROUNDUP(NPER(E241/12,-G241,N241),0)))&lt;S240,A241+IF(N241=0,0,IF(E241=0,ROUNDUP(N241/G241,0),ROUNDUP(NPER(E241/12,-G241,N241),0))),S240))))))</f>
        <v>359</v>
      </c>
      <c r="T241" s="35" t="str">
        <f t="shared" si="63"/>
        <v/>
      </c>
      <c r="U241" s="3">
        <f t="shared" si="48"/>
        <v>0</v>
      </c>
      <c r="V241" s="3">
        <f t="shared" si="49"/>
        <v>0</v>
      </c>
      <c r="W241" s="3">
        <f t="shared" si="50"/>
        <v>0</v>
      </c>
      <c r="X241" s="3">
        <f t="shared" si="51"/>
        <v>0</v>
      </c>
      <c r="Y241" s="3">
        <f>0</f>
        <v>0</v>
      </c>
      <c r="Z241" s="3">
        <f t="shared" si="52"/>
        <v>0</v>
      </c>
      <c r="AA241">
        <f>ROUND(IF(FALSE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,0)</f>
        <v>117312</v>
      </c>
    </row>
    <row r="242" spans="1:27">
      <c r="A242" s="30">
        <f>237</f>
        <v>237</v>
      </c>
      <c r="B242" s="31">
        <f>EDATE(入力!$B$6,A242-1)</f>
        <v>53418</v>
      </c>
      <c r="C242" s="32">
        <f t="shared" si="53"/>
        <v>12717233</v>
      </c>
      <c r="D242" s="32">
        <f t="shared" si="54"/>
        <v>0</v>
      </c>
      <c r="E242" s="33">
        <f>IF(AND(T241="",A242&lt;=S241),IF(A242&lt;入力!$B$11,入力!$B$10,入力!$B$12),0)</f>
        <v>2.5000000000000001E-2</v>
      </c>
      <c r="F242" s="32">
        <f t="shared" si="55"/>
        <v>26494</v>
      </c>
      <c r="G242" s="32">
        <f>ROUND(IF(NOT(AND(T241="",A242&lt;=S241)),0,IF(FALSE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),0)</f>
        <v>117312</v>
      </c>
      <c r="H242" s="32">
        <f t="shared" si="56"/>
        <v>117312</v>
      </c>
      <c r="I242" s="32">
        <f t="shared" si="57"/>
        <v>26494</v>
      </c>
      <c r="J242" s="32">
        <f t="shared" si="58"/>
        <v>0</v>
      </c>
      <c r="K242" s="32">
        <f t="shared" si="59"/>
        <v>0</v>
      </c>
      <c r="L242" s="32">
        <f t="shared" si="60"/>
        <v>90818</v>
      </c>
      <c r="M242" s="32">
        <f>IF(AND(AND(T241="",A242&lt;=S241),A242=入力!$B$15),ROUND(MIN(入力!$B$16,MAX(0,C242-L242)),0),0)</f>
        <v>0</v>
      </c>
      <c r="N242" s="32">
        <f t="shared" si="61"/>
        <v>12626415</v>
      </c>
      <c r="O242" s="32">
        <f t="shared" si="62"/>
        <v>9039519</v>
      </c>
      <c r="P242" s="34" t="str">
        <f>IF(NOT(AND(T241="",A242&lt;=S241)),"",IF(FALSE,"繰上返済後再計算","")&amp;IF(AND(入力!$B$13="有効",A242&gt;1,MOD(A242-1,60)=0),IF(FALSE,"・","")&amp;"5年見直し","")&amp;IF(AND(A242=入力!$B$11,A242&gt;1),IF(OR(FALSE,AND(入力!$B$13="有効",A242&gt;1,MOD(A242-1,60)=0)),"・","")&amp;"金利変更","")&amp;IF(AND(OR(AND(入力!$B$13="有効",A242&gt;1,MOD(A242-1,60)=0),AND(A242=入力!$B$11,A242&gt;1)),入力!$B$14="有効",IF(E242=0,ROUND(C242/MAX(1,S241-A242+1),0),ROUND(-PMT(E242/12,MAX(1,S241-A242+1),C242),0))&gt;ROUND(G241*1.25,0),NOT(FALSE)),"・上限適用",""))</f>
        <v/>
      </c>
      <c r="Q242" s="35" t="str">
        <f>IF(AND(T241="",A242&lt;=S241),入力!$B$13,"")</f>
        <v>有効</v>
      </c>
      <c r="R242" s="32" t="str">
        <f>IF(AND(AND(T241="",A242&lt;=S241),OR(AND(入力!$B$13="有効",A242&gt;1,MOD(A242-1,60)=0),AND(A242=入力!$B$11,A242&gt;1)),入力!$B$14="有効"),ROUND(G241*1.25,0),"")</f>
        <v/>
      </c>
      <c r="S242" s="36">
        <f>IF(A242&lt;&gt;入力!$B$15,S241,IF(K242&lt;&gt;0,S241,IF(G242&lt;=F242,S241,IF(M242&lt;=0,S241,IF(AND(N242&gt;0,E242&gt;0,G242&lt;=N242*E242/12),S241,IF(A242+IF(N242=0,0,IF(E242=0,ROUNDUP(N242/G242,0),ROUNDUP(NPER(E242/12,-G242,N242),0)))&lt;S241,A242+IF(N242=0,0,IF(E242=0,ROUNDUP(N242/G242,0),ROUNDUP(NPER(E242/12,-G242,N242),0))),S241))))))</f>
        <v>359</v>
      </c>
      <c r="T242" s="35" t="str">
        <f t="shared" si="63"/>
        <v/>
      </c>
      <c r="U242" s="3">
        <f t="shared" si="48"/>
        <v>0</v>
      </c>
      <c r="V242" s="3">
        <f t="shared" si="49"/>
        <v>0</v>
      </c>
      <c r="W242" s="3">
        <f t="shared" si="50"/>
        <v>0</v>
      </c>
      <c r="X242" s="3">
        <f t="shared" si="51"/>
        <v>0</v>
      </c>
      <c r="Y242" s="3">
        <f>0</f>
        <v>0</v>
      </c>
      <c r="Z242" s="3">
        <f t="shared" si="52"/>
        <v>0</v>
      </c>
      <c r="AA242">
        <f>ROUND(IF(FALSE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,0)</f>
        <v>117312</v>
      </c>
    </row>
    <row r="243" spans="1:27">
      <c r="A243" s="30">
        <f>238</f>
        <v>238</v>
      </c>
      <c r="B243" s="31">
        <f>EDATE(入力!$B$6,A243-1)</f>
        <v>53448</v>
      </c>
      <c r="C243" s="32">
        <f t="shared" si="53"/>
        <v>12626415</v>
      </c>
      <c r="D243" s="32">
        <f t="shared" si="54"/>
        <v>0</v>
      </c>
      <c r="E243" s="33">
        <f>IF(AND(T242="",A243&lt;=S242),IF(A243&lt;入力!$B$11,入力!$B$10,入力!$B$12),0)</f>
        <v>2.5000000000000001E-2</v>
      </c>
      <c r="F243" s="32">
        <f t="shared" si="55"/>
        <v>26305</v>
      </c>
      <c r="G243" s="32">
        <f>ROUND(IF(NOT(AND(T242="",A243&lt;=S242)),0,IF(FALSE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),0)</f>
        <v>117312</v>
      </c>
      <c r="H243" s="32">
        <f t="shared" si="56"/>
        <v>117312</v>
      </c>
      <c r="I243" s="32">
        <f t="shared" si="57"/>
        <v>26305</v>
      </c>
      <c r="J243" s="32">
        <f t="shared" si="58"/>
        <v>0</v>
      </c>
      <c r="K243" s="32">
        <f t="shared" si="59"/>
        <v>0</v>
      </c>
      <c r="L243" s="32">
        <f t="shared" si="60"/>
        <v>91007</v>
      </c>
      <c r="M243" s="32">
        <f>IF(AND(AND(T242="",A243&lt;=S242),A243=入力!$B$15),ROUND(MIN(入力!$B$16,MAX(0,C243-L243)),0),0)</f>
        <v>0</v>
      </c>
      <c r="N243" s="32">
        <f t="shared" si="61"/>
        <v>12535408</v>
      </c>
      <c r="O243" s="32">
        <f t="shared" si="62"/>
        <v>9065824</v>
      </c>
      <c r="P243" s="34" t="str">
        <f>IF(NOT(AND(T242="",A243&lt;=S242)),"",IF(FALSE,"繰上返済後再計算","")&amp;IF(AND(入力!$B$13="有効",A243&gt;1,MOD(A243-1,60)=0),IF(FALSE,"・","")&amp;"5年見直し","")&amp;IF(AND(A243=入力!$B$11,A243&gt;1),IF(OR(FALSE,AND(入力!$B$13="有効",A243&gt;1,MOD(A243-1,60)=0)),"・","")&amp;"金利変更","")&amp;IF(AND(OR(AND(入力!$B$13="有効",A243&gt;1,MOD(A243-1,60)=0),AND(A243=入力!$B$11,A243&gt;1)),入力!$B$14="有効",IF(E243=0,ROUND(C243/MAX(1,S242-A243+1),0),ROUND(-PMT(E243/12,MAX(1,S242-A243+1),C243),0))&gt;ROUND(G242*1.25,0),NOT(FALSE)),"・上限適用",""))</f>
        <v/>
      </c>
      <c r="Q243" s="35" t="str">
        <f>IF(AND(T242="",A243&lt;=S242),入力!$B$13,"")</f>
        <v>有効</v>
      </c>
      <c r="R243" s="32" t="str">
        <f>IF(AND(AND(T242="",A243&lt;=S242),OR(AND(入力!$B$13="有効",A243&gt;1,MOD(A243-1,60)=0),AND(A243=入力!$B$11,A243&gt;1)),入力!$B$14="有効"),ROUND(G242*1.25,0),"")</f>
        <v/>
      </c>
      <c r="S243" s="36">
        <f>IF(A243&lt;&gt;入力!$B$15,S242,IF(K243&lt;&gt;0,S242,IF(G243&lt;=F243,S242,IF(M243&lt;=0,S242,IF(AND(N243&gt;0,E243&gt;0,G243&lt;=N243*E243/12),S242,IF(A243+IF(N243=0,0,IF(E243=0,ROUNDUP(N243/G243,0),ROUNDUP(NPER(E243/12,-G243,N243),0)))&lt;S242,A243+IF(N243=0,0,IF(E243=0,ROUNDUP(N243/G243,0),ROUNDUP(NPER(E243/12,-G243,N243),0))),S242))))))</f>
        <v>359</v>
      </c>
      <c r="T243" s="35" t="str">
        <f t="shared" si="63"/>
        <v/>
      </c>
      <c r="U243" s="3">
        <f t="shared" si="48"/>
        <v>0</v>
      </c>
      <c r="V243" s="3">
        <f t="shared" si="49"/>
        <v>0</v>
      </c>
      <c r="W243" s="3">
        <f t="shared" si="50"/>
        <v>0</v>
      </c>
      <c r="X243" s="3">
        <f t="shared" si="51"/>
        <v>0</v>
      </c>
      <c r="Y243" s="3">
        <f>0</f>
        <v>0</v>
      </c>
      <c r="Z243" s="3">
        <f t="shared" si="52"/>
        <v>0</v>
      </c>
      <c r="AA243">
        <f>ROUND(IF(FALSE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,0)</f>
        <v>117312</v>
      </c>
    </row>
    <row r="244" spans="1:27">
      <c r="A244" s="30">
        <f>239</f>
        <v>239</v>
      </c>
      <c r="B244" s="31">
        <f>EDATE(入力!$B$6,A244-1)</f>
        <v>53479</v>
      </c>
      <c r="C244" s="32">
        <f t="shared" si="53"/>
        <v>12535408</v>
      </c>
      <c r="D244" s="32">
        <f t="shared" si="54"/>
        <v>0</v>
      </c>
      <c r="E244" s="33">
        <f>IF(AND(T243="",A244&lt;=S243),IF(A244&lt;入力!$B$11,入力!$B$10,入力!$B$12),0)</f>
        <v>2.5000000000000001E-2</v>
      </c>
      <c r="F244" s="32">
        <f t="shared" si="55"/>
        <v>26115</v>
      </c>
      <c r="G244" s="32">
        <f>ROUND(IF(NOT(AND(T243="",A244&lt;=S243)),0,IF(FALSE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),0)</f>
        <v>117312</v>
      </c>
      <c r="H244" s="32">
        <f t="shared" si="56"/>
        <v>117312</v>
      </c>
      <c r="I244" s="32">
        <f t="shared" si="57"/>
        <v>26115</v>
      </c>
      <c r="J244" s="32">
        <f t="shared" si="58"/>
        <v>0</v>
      </c>
      <c r="K244" s="32">
        <f t="shared" si="59"/>
        <v>0</v>
      </c>
      <c r="L244" s="32">
        <f t="shared" si="60"/>
        <v>91197</v>
      </c>
      <c r="M244" s="32">
        <f>IF(AND(AND(T243="",A244&lt;=S243),A244=入力!$B$15),ROUND(MIN(入力!$B$16,MAX(0,C244-L244)),0),0)</f>
        <v>0</v>
      </c>
      <c r="N244" s="32">
        <f t="shared" si="61"/>
        <v>12444211</v>
      </c>
      <c r="O244" s="32">
        <f t="shared" si="62"/>
        <v>9091939</v>
      </c>
      <c r="P244" s="34" t="str">
        <f>IF(NOT(AND(T243="",A244&lt;=S243)),"",IF(FALSE,"繰上返済後再計算","")&amp;IF(AND(入力!$B$13="有効",A244&gt;1,MOD(A244-1,60)=0),IF(FALSE,"・","")&amp;"5年見直し","")&amp;IF(AND(A244=入力!$B$11,A244&gt;1),IF(OR(FALSE,AND(入力!$B$13="有効",A244&gt;1,MOD(A244-1,60)=0)),"・","")&amp;"金利変更","")&amp;IF(AND(OR(AND(入力!$B$13="有効",A244&gt;1,MOD(A244-1,60)=0),AND(A244=入力!$B$11,A244&gt;1)),入力!$B$14="有効",IF(E244=0,ROUND(C244/MAX(1,S243-A244+1),0),ROUND(-PMT(E244/12,MAX(1,S243-A244+1),C244),0))&gt;ROUND(G243*1.25,0),NOT(FALSE)),"・上限適用",""))</f>
        <v/>
      </c>
      <c r="Q244" s="35" t="str">
        <f>IF(AND(T243="",A244&lt;=S243),入力!$B$13,"")</f>
        <v>有効</v>
      </c>
      <c r="R244" s="32" t="str">
        <f>IF(AND(AND(T243="",A244&lt;=S243),OR(AND(入力!$B$13="有効",A244&gt;1,MOD(A244-1,60)=0),AND(A244=入力!$B$11,A244&gt;1)),入力!$B$14="有効"),ROUND(G243*1.25,0),"")</f>
        <v/>
      </c>
      <c r="S244" s="36">
        <f>IF(A244&lt;&gt;入力!$B$15,S243,IF(K244&lt;&gt;0,S243,IF(G244&lt;=F244,S243,IF(M244&lt;=0,S243,IF(AND(N244&gt;0,E244&gt;0,G244&lt;=N244*E244/12),S243,IF(A244+IF(N244=0,0,IF(E244=0,ROUNDUP(N244/G244,0),ROUNDUP(NPER(E244/12,-G244,N244),0)))&lt;S243,A244+IF(N244=0,0,IF(E244=0,ROUNDUP(N244/G244,0),ROUNDUP(NPER(E244/12,-G244,N244),0))),S243))))))</f>
        <v>359</v>
      </c>
      <c r="T244" s="35" t="str">
        <f t="shared" si="63"/>
        <v/>
      </c>
      <c r="U244" s="3">
        <f t="shared" si="48"/>
        <v>0</v>
      </c>
      <c r="V244" s="3">
        <f t="shared" si="49"/>
        <v>0</v>
      </c>
      <c r="W244" s="3">
        <f t="shared" si="50"/>
        <v>0</v>
      </c>
      <c r="X244" s="3">
        <f t="shared" si="51"/>
        <v>0</v>
      </c>
      <c r="Y244" s="3">
        <f>0</f>
        <v>0</v>
      </c>
      <c r="Z244" s="3">
        <f t="shared" si="52"/>
        <v>0</v>
      </c>
      <c r="AA244">
        <f>ROUND(IF(FALSE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,0)</f>
        <v>117312</v>
      </c>
    </row>
    <row r="245" spans="1:27">
      <c r="A245" s="30">
        <f>240</f>
        <v>240</v>
      </c>
      <c r="B245" s="31">
        <f>EDATE(入力!$B$6,A245-1)</f>
        <v>53509</v>
      </c>
      <c r="C245" s="32">
        <f t="shared" si="53"/>
        <v>12444211</v>
      </c>
      <c r="D245" s="32">
        <f t="shared" si="54"/>
        <v>0</v>
      </c>
      <c r="E245" s="33">
        <f>IF(AND(T244="",A245&lt;=S244),IF(A245&lt;入力!$B$11,入力!$B$10,入力!$B$12),0)</f>
        <v>2.5000000000000001E-2</v>
      </c>
      <c r="F245" s="32">
        <f t="shared" si="55"/>
        <v>25925</v>
      </c>
      <c r="G245" s="32">
        <f>ROUND(IF(NOT(AND(T244="",A245&lt;=S244)),0,IF(FALSE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),0)</f>
        <v>117312</v>
      </c>
      <c r="H245" s="32">
        <f t="shared" si="56"/>
        <v>117312</v>
      </c>
      <c r="I245" s="32">
        <f t="shared" si="57"/>
        <v>25925</v>
      </c>
      <c r="J245" s="32">
        <f t="shared" si="58"/>
        <v>0</v>
      </c>
      <c r="K245" s="32">
        <f t="shared" si="59"/>
        <v>0</v>
      </c>
      <c r="L245" s="32">
        <f t="shared" si="60"/>
        <v>91387</v>
      </c>
      <c r="M245" s="32">
        <f>IF(AND(AND(T244="",A245&lt;=S244),A245=入力!$B$15),ROUND(MIN(入力!$B$16,MAX(0,C245-L245)),0),0)</f>
        <v>0</v>
      </c>
      <c r="N245" s="32">
        <f t="shared" si="61"/>
        <v>12352824</v>
      </c>
      <c r="O245" s="32">
        <f t="shared" si="62"/>
        <v>9117864</v>
      </c>
      <c r="P245" s="34" t="str">
        <f>IF(NOT(AND(T244="",A245&lt;=S244)),"",IF(FALSE,"繰上返済後再計算","")&amp;IF(AND(入力!$B$13="有効",A245&gt;1,MOD(A245-1,60)=0),IF(FALSE,"・","")&amp;"5年見直し","")&amp;IF(AND(A245=入力!$B$11,A245&gt;1),IF(OR(FALSE,AND(入力!$B$13="有効",A245&gt;1,MOD(A245-1,60)=0)),"・","")&amp;"金利変更","")&amp;IF(AND(OR(AND(入力!$B$13="有効",A245&gt;1,MOD(A245-1,60)=0),AND(A245=入力!$B$11,A245&gt;1)),入力!$B$14="有効",IF(E245=0,ROUND(C245/MAX(1,S244-A245+1),0),ROUND(-PMT(E245/12,MAX(1,S244-A245+1),C245),0))&gt;ROUND(G244*1.25,0),NOT(FALSE)),"・上限適用",""))</f>
        <v/>
      </c>
      <c r="Q245" s="35" t="str">
        <f>IF(AND(T244="",A245&lt;=S244),入力!$B$13,"")</f>
        <v>有効</v>
      </c>
      <c r="R245" s="32" t="str">
        <f>IF(AND(AND(T244="",A245&lt;=S244),OR(AND(入力!$B$13="有効",A245&gt;1,MOD(A245-1,60)=0),AND(A245=入力!$B$11,A245&gt;1)),入力!$B$14="有効"),ROUND(G244*1.25,0),"")</f>
        <v/>
      </c>
      <c r="S245" s="36">
        <f>IF(A245&lt;&gt;入力!$B$15,S244,IF(K245&lt;&gt;0,S244,IF(G245&lt;=F245,S244,IF(M245&lt;=0,S244,IF(AND(N245&gt;0,E245&gt;0,G245&lt;=N245*E245/12),S244,IF(A245+IF(N245=0,0,IF(E245=0,ROUNDUP(N245/G245,0),ROUNDUP(NPER(E245/12,-G245,N245),0)))&lt;S244,A245+IF(N245=0,0,IF(E245=0,ROUNDUP(N245/G245,0),ROUNDUP(NPER(E245/12,-G245,N245),0))),S244))))))</f>
        <v>359</v>
      </c>
      <c r="T245" s="35" t="str">
        <f t="shared" si="63"/>
        <v/>
      </c>
      <c r="U245" s="3">
        <f t="shared" si="48"/>
        <v>0</v>
      </c>
      <c r="V245" s="3">
        <f t="shared" si="49"/>
        <v>0</v>
      </c>
      <c r="W245" s="3">
        <f t="shared" si="50"/>
        <v>0</v>
      </c>
      <c r="X245" s="3">
        <f t="shared" si="51"/>
        <v>0</v>
      </c>
      <c r="Y245" s="3">
        <f>0</f>
        <v>0</v>
      </c>
      <c r="Z245" s="3">
        <f t="shared" si="52"/>
        <v>0</v>
      </c>
      <c r="AA245">
        <f>ROUND(IF(FALSE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,0)</f>
        <v>117312</v>
      </c>
    </row>
    <row r="246" spans="1:27">
      <c r="A246" s="30">
        <f>241</f>
        <v>241</v>
      </c>
      <c r="B246" s="31">
        <f>EDATE(入力!$B$6,A246-1)</f>
        <v>53540</v>
      </c>
      <c r="C246" s="32">
        <f t="shared" si="53"/>
        <v>12352824</v>
      </c>
      <c r="D246" s="32">
        <f t="shared" si="54"/>
        <v>0</v>
      </c>
      <c r="E246" s="33">
        <f>IF(AND(T245="",A246&lt;=S245),IF(A246&lt;入力!$B$11,入力!$B$10,入力!$B$12),0)</f>
        <v>2.5000000000000001E-2</v>
      </c>
      <c r="F246" s="32">
        <f t="shared" si="55"/>
        <v>25735</v>
      </c>
      <c r="G246" s="32">
        <f>ROUND(IF(NOT(AND(T245="",A246&lt;=S245)),0,IF(FALSE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),0)</f>
        <v>117311</v>
      </c>
      <c r="H246" s="32">
        <f t="shared" si="56"/>
        <v>117311</v>
      </c>
      <c r="I246" s="32">
        <f t="shared" si="57"/>
        <v>25735</v>
      </c>
      <c r="J246" s="32">
        <f t="shared" si="58"/>
        <v>0</v>
      </c>
      <c r="K246" s="32">
        <f t="shared" si="59"/>
        <v>0</v>
      </c>
      <c r="L246" s="32">
        <f t="shared" si="60"/>
        <v>91576</v>
      </c>
      <c r="M246" s="32">
        <f>IF(AND(AND(T245="",A246&lt;=S245),A246=入力!$B$15),ROUND(MIN(入力!$B$16,MAX(0,C246-L246)),0),0)</f>
        <v>0</v>
      </c>
      <c r="N246" s="32">
        <f t="shared" si="61"/>
        <v>12261248</v>
      </c>
      <c r="O246" s="32">
        <f t="shared" si="62"/>
        <v>9143599</v>
      </c>
      <c r="P246" s="34" t="str">
        <f>IF(NOT(AND(T245="",A246&lt;=S245)),"",IF(FALSE,"繰上返済後再計算","")&amp;IF(AND(入力!$B$13="有効",A246&gt;1,MOD(A246-1,60)=0),IF(FALSE,"・","")&amp;"5年見直し","")&amp;IF(AND(A246=入力!$B$11,A246&gt;1),IF(OR(FALSE,AND(入力!$B$13="有効",A246&gt;1,MOD(A246-1,60)=0)),"・","")&amp;"金利変更","")&amp;IF(AND(OR(AND(入力!$B$13="有効",A246&gt;1,MOD(A246-1,60)=0),AND(A246=入力!$B$11,A246&gt;1)),入力!$B$14="有効",IF(E246=0,ROUND(C246/MAX(1,S245-A246+1),0),ROUND(-PMT(E246/12,MAX(1,S245-A246+1),C246),0))&gt;ROUND(G245*1.25,0),NOT(FALSE)),"・上限適用",""))</f>
        <v>5年見直し</v>
      </c>
      <c r="Q246" s="35" t="str">
        <f>IF(AND(T245="",A246&lt;=S245),入力!$B$13,"")</f>
        <v>有効</v>
      </c>
      <c r="R246" s="32">
        <f>IF(AND(AND(T245="",A246&lt;=S245),OR(AND(入力!$B$13="有効",A246&gt;1,MOD(A246-1,60)=0),AND(A246=入力!$B$11,A246&gt;1)),入力!$B$14="有効"),ROUND(G245*1.25,0),"")</f>
        <v>146640</v>
      </c>
      <c r="S246" s="36">
        <f>IF(A246&lt;&gt;入力!$B$15,S245,IF(K246&lt;&gt;0,S245,IF(G246&lt;=F246,S245,IF(M246&lt;=0,S245,IF(AND(N246&gt;0,E246&gt;0,G246&lt;=N246*E246/12),S245,IF(A246+IF(N246=0,0,IF(E246=0,ROUNDUP(N246/G246,0),ROUNDUP(NPER(E246/12,-G246,N246),0)))&lt;S245,A246+IF(N246=0,0,IF(E246=0,ROUNDUP(N246/G246,0),ROUNDUP(NPER(E246/12,-G246,N246),0))),S245))))))</f>
        <v>359</v>
      </c>
      <c r="T246" s="35" t="str">
        <f t="shared" si="63"/>
        <v/>
      </c>
      <c r="U246" s="3">
        <f t="shared" si="48"/>
        <v>0</v>
      </c>
      <c r="V246" s="3">
        <f t="shared" si="49"/>
        <v>0</v>
      </c>
      <c r="W246" s="3">
        <f t="shared" si="50"/>
        <v>0</v>
      </c>
      <c r="X246" s="3">
        <f t="shared" si="51"/>
        <v>0</v>
      </c>
      <c r="Y246" s="3">
        <f>0</f>
        <v>0</v>
      </c>
      <c r="Z246" s="3">
        <f t="shared" si="52"/>
        <v>0</v>
      </c>
      <c r="AA246">
        <f>ROUND(IF(FALSE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,0)</f>
        <v>117311</v>
      </c>
    </row>
    <row r="247" spans="1:27">
      <c r="A247" s="30">
        <f>242</f>
        <v>242</v>
      </c>
      <c r="B247" s="31">
        <f>EDATE(入力!$B$6,A247-1)</f>
        <v>53571</v>
      </c>
      <c r="C247" s="32">
        <f t="shared" si="53"/>
        <v>12261248</v>
      </c>
      <c r="D247" s="32">
        <f t="shared" si="54"/>
        <v>0</v>
      </c>
      <c r="E247" s="33">
        <f>IF(AND(T246="",A247&lt;=S246),IF(A247&lt;入力!$B$11,入力!$B$10,入力!$B$12),0)</f>
        <v>2.5000000000000001E-2</v>
      </c>
      <c r="F247" s="32">
        <f t="shared" si="55"/>
        <v>25544</v>
      </c>
      <c r="G247" s="32">
        <f>ROUND(IF(NOT(AND(T246="",A247&lt;=S246)),0,IF(FALSE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),0)</f>
        <v>117311</v>
      </c>
      <c r="H247" s="32">
        <f t="shared" si="56"/>
        <v>117311</v>
      </c>
      <c r="I247" s="32">
        <f t="shared" si="57"/>
        <v>25544</v>
      </c>
      <c r="J247" s="32">
        <f t="shared" si="58"/>
        <v>0</v>
      </c>
      <c r="K247" s="32">
        <f t="shared" si="59"/>
        <v>0</v>
      </c>
      <c r="L247" s="32">
        <f t="shared" si="60"/>
        <v>91767</v>
      </c>
      <c r="M247" s="32">
        <f>IF(AND(AND(T246="",A247&lt;=S246),A247=入力!$B$15),ROUND(MIN(入力!$B$16,MAX(0,C247-L247)),0),0)</f>
        <v>0</v>
      </c>
      <c r="N247" s="32">
        <f t="shared" si="61"/>
        <v>12169481</v>
      </c>
      <c r="O247" s="32">
        <f t="shared" si="62"/>
        <v>9169143</v>
      </c>
      <c r="P247" s="34" t="str">
        <f>IF(NOT(AND(T246="",A247&lt;=S246)),"",IF(FALSE,"繰上返済後再計算","")&amp;IF(AND(入力!$B$13="有効",A247&gt;1,MOD(A247-1,60)=0),IF(FALSE,"・","")&amp;"5年見直し","")&amp;IF(AND(A247=入力!$B$11,A247&gt;1),IF(OR(FALSE,AND(入力!$B$13="有効",A247&gt;1,MOD(A247-1,60)=0)),"・","")&amp;"金利変更","")&amp;IF(AND(OR(AND(入力!$B$13="有効",A247&gt;1,MOD(A247-1,60)=0),AND(A247=入力!$B$11,A247&gt;1)),入力!$B$14="有効",IF(E247=0,ROUND(C247/MAX(1,S246-A247+1),0),ROUND(-PMT(E247/12,MAX(1,S246-A247+1),C247),0))&gt;ROUND(G246*1.25,0),NOT(FALSE)),"・上限適用",""))</f>
        <v/>
      </c>
      <c r="Q247" s="35" t="str">
        <f>IF(AND(T246="",A247&lt;=S246),入力!$B$13,"")</f>
        <v>有効</v>
      </c>
      <c r="R247" s="32" t="str">
        <f>IF(AND(AND(T246="",A247&lt;=S246),OR(AND(入力!$B$13="有効",A247&gt;1,MOD(A247-1,60)=0),AND(A247=入力!$B$11,A247&gt;1)),入力!$B$14="有効"),ROUND(G246*1.25,0),"")</f>
        <v/>
      </c>
      <c r="S247" s="36">
        <f>IF(A247&lt;&gt;入力!$B$15,S246,IF(K247&lt;&gt;0,S246,IF(G247&lt;=F247,S246,IF(M247&lt;=0,S246,IF(AND(N247&gt;0,E247&gt;0,G247&lt;=N247*E247/12),S246,IF(A247+IF(N247=0,0,IF(E247=0,ROUNDUP(N247/G247,0),ROUNDUP(NPER(E247/12,-G247,N247),0)))&lt;S246,A247+IF(N247=0,0,IF(E247=0,ROUNDUP(N247/G247,0),ROUNDUP(NPER(E247/12,-G247,N247),0))),S246))))))</f>
        <v>359</v>
      </c>
      <c r="T247" s="35" t="str">
        <f t="shared" si="63"/>
        <v/>
      </c>
      <c r="U247" s="3">
        <f t="shared" si="48"/>
        <v>0</v>
      </c>
      <c r="V247" s="3">
        <f t="shared" si="49"/>
        <v>0</v>
      </c>
      <c r="W247" s="3">
        <f t="shared" si="50"/>
        <v>0</v>
      </c>
      <c r="X247" s="3">
        <f t="shared" si="51"/>
        <v>0</v>
      </c>
      <c r="Y247" s="3">
        <f>0</f>
        <v>0</v>
      </c>
      <c r="Z247" s="3">
        <f t="shared" si="52"/>
        <v>0</v>
      </c>
      <c r="AA247">
        <f>ROUND(IF(FALSE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,0)</f>
        <v>117311</v>
      </c>
    </row>
    <row r="248" spans="1:27">
      <c r="A248" s="30">
        <f>243</f>
        <v>243</v>
      </c>
      <c r="B248" s="31">
        <f>EDATE(入力!$B$6,A248-1)</f>
        <v>53601</v>
      </c>
      <c r="C248" s="32">
        <f t="shared" si="53"/>
        <v>12169481</v>
      </c>
      <c r="D248" s="32">
        <f t="shared" si="54"/>
        <v>0</v>
      </c>
      <c r="E248" s="33">
        <f>IF(AND(T247="",A248&lt;=S247),IF(A248&lt;入力!$B$11,入力!$B$10,入力!$B$12),0)</f>
        <v>2.5000000000000001E-2</v>
      </c>
      <c r="F248" s="32">
        <f t="shared" si="55"/>
        <v>25353</v>
      </c>
      <c r="G248" s="32">
        <f>ROUND(IF(NOT(AND(T247="",A248&lt;=S247)),0,IF(FALSE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),0)</f>
        <v>117311</v>
      </c>
      <c r="H248" s="32">
        <f t="shared" si="56"/>
        <v>117311</v>
      </c>
      <c r="I248" s="32">
        <f t="shared" si="57"/>
        <v>25353</v>
      </c>
      <c r="J248" s="32">
        <f t="shared" si="58"/>
        <v>0</v>
      </c>
      <c r="K248" s="32">
        <f t="shared" si="59"/>
        <v>0</v>
      </c>
      <c r="L248" s="32">
        <f t="shared" si="60"/>
        <v>91958</v>
      </c>
      <c r="M248" s="32">
        <f>IF(AND(AND(T247="",A248&lt;=S247),A248=入力!$B$15),ROUND(MIN(入力!$B$16,MAX(0,C248-L248)),0),0)</f>
        <v>0</v>
      </c>
      <c r="N248" s="32">
        <f t="shared" si="61"/>
        <v>12077523</v>
      </c>
      <c r="O248" s="32">
        <f t="shared" si="62"/>
        <v>9194496</v>
      </c>
      <c r="P248" s="34" t="str">
        <f>IF(NOT(AND(T247="",A248&lt;=S247)),"",IF(FALSE,"繰上返済後再計算","")&amp;IF(AND(入力!$B$13="有効",A248&gt;1,MOD(A248-1,60)=0),IF(FALSE,"・","")&amp;"5年見直し","")&amp;IF(AND(A248=入力!$B$11,A248&gt;1),IF(OR(FALSE,AND(入力!$B$13="有効",A248&gt;1,MOD(A248-1,60)=0)),"・","")&amp;"金利変更","")&amp;IF(AND(OR(AND(入力!$B$13="有効",A248&gt;1,MOD(A248-1,60)=0),AND(A248=入力!$B$11,A248&gt;1)),入力!$B$14="有効",IF(E248=0,ROUND(C248/MAX(1,S247-A248+1),0),ROUND(-PMT(E248/12,MAX(1,S247-A248+1),C248),0))&gt;ROUND(G247*1.25,0),NOT(FALSE)),"・上限適用",""))</f>
        <v/>
      </c>
      <c r="Q248" s="35" t="str">
        <f>IF(AND(T247="",A248&lt;=S247),入力!$B$13,"")</f>
        <v>有効</v>
      </c>
      <c r="R248" s="32" t="str">
        <f>IF(AND(AND(T247="",A248&lt;=S247),OR(AND(入力!$B$13="有効",A248&gt;1,MOD(A248-1,60)=0),AND(A248=入力!$B$11,A248&gt;1)),入力!$B$14="有効"),ROUND(G247*1.25,0),"")</f>
        <v/>
      </c>
      <c r="S248" s="36">
        <f>IF(A248&lt;&gt;入力!$B$15,S247,IF(K248&lt;&gt;0,S247,IF(G248&lt;=F248,S247,IF(M248&lt;=0,S247,IF(AND(N248&gt;0,E248&gt;0,G248&lt;=N248*E248/12),S247,IF(A248+IF(N248=0,0,IF(E248=0,ROUNDUP(N248/G248,0),ROUNDUP(NPER(E248/12,-G248,N248),0)))&lt;S247,A248+IF(N248=0,0,IF(E248=0,ROUNDUP(N248/G248,0),ROUNDUP(NPER(E248/12,-G248,N248),0))),S247))))))</f>
        <v>359</v>
      </c>
      <c r="T248" s="35" t="str">
        <f t="shared" si="63"/>
        <v/>
      </c>
      <c r="U248" s="3">
        <f t="shared" si="48"/>
        <v>0</v>
      </c>
      <c r="V248" s="3">
        <f t="shared" si="49"/>
        <v>0</v>
      </c>
      <c r="W248" s="3">
        <f t="shared" si="50"/>
        <v>0</v>
      </c>
      <c r="X248" s="3">
        <f t="shared" si="51"/>
        <v>0</v>
      </c>
      <c r="Y248" s="3">
        <f>0</f>
        <v>0</v>
      </c>
      <c r="Z248" s="3">
        <f t="shared" si="52"/>
        <v>0</v>
      </c>
      <c r="AA248">
        <f>ROUND(IF(FALSE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,0)</f>
        <v>117311</v>
      </c>
    </row>
    <row r="249" spans="1:27">
      <c r="A249" s="30">
        <f>244</f>
        <v>244</v>
      </c>
      <c r="B249" s="31">
        <f>EDATE(入力!$B$6,A249-1)</f>
        <v>53632</v>
      </c>
      <c r="C249" s="32">
        <f t="shared" si="53"/>
        <v>12077523</v>
      </c>
      <c r="D249" s="32">
        <f t="shared" si="54"/>
        <v>0</v>
      </c>
      <c r="E249" s="33">
        <f>IF(AND(T248="",A249&lt;=S248),IF(A249&lt;入力!$B$11,入力!$B$10,入力!$B$12),0)</f>
        <v>2.5000000000000001E-2</v>
      </c>
      <c r="F249" s="32">
        <f t="shared" si="55"/>
        <v>25162</v>
      </c>
      <c r="G249" s="32">
        <f>ROUND(IF(NOT(AND(T248="",A249&lt;=S248)),0,IF(FALSE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),0)</f>
        <v>117311</v>
      </c>
      <c r="H249" s="32">
        <f t="shared" si="56"/>
        <v>117311</v>
      </c>
      <c r="I249" s="32">
        <f t="shared" si="57"/>
        <v>25162</v>
      </c>
      <c r="J249" s="32">
        <f t="shared" si="58"/>
        <v>0</v>
      </c>
      <c r="K249" s="32">
        <f t="shared" si="59"/>
        <v>0</v>
      </c>
      <c r="L249" s="32">
        <f t="shared" si="60"/>
        <v>92149</v>
      </c>
      <c r="M249" s="32">
        <f>IF(AND(AND(T248="",A249&lt;=S248),A249=入力!$B$15),ROUND(MIN(入力!$B$16,MAX(0,C249-L249)),0),0)</f>
        <v>0</v>
      </c>
      <c r="N249" s="32">
        <f t="shared" si="61"/>
        <v>11985374</v>
      </c>
      <c r="O249" s="32">
        <f t="shared" si="62"/>
        <v>9219658</v>
      </c>
      <c r="P249" s="34" t="str">
        <f>IF(NOT(AND(T248="",A249&lt;=S248)),"",IF(FALSE,"繰上返済後再計算","")&amp;IF(AND(入力!$B$13="有効",A249&gt;1,MOD(A249-1,60)=0),IF(FALSE,"・","")&amp;"5年見直し","")&amp;IF(AND(A249=入力!$B$11,A249&gt;1),IF(OR(FALSE,AND(入力!$B$13="有効",A249&gt;1,MOD(A249-1,60)=0)),"・","")&amp;"金利変更","")&amp;IF(AND(OR(AND(入力!$B$13="有効",A249&gt;1,MOD(A249-1,60)=0),AND(A249=入力!$B$11,A249&gt;1)),入力!$B$14="有効",IF(E249=0,ROUND(C249/MAX(1,S248-A249+1),0),ROUND(-PMT(E249/12,MAX(1,S248-A249+1),C249),0))&gt;ROUND(G248*1.25,0),NOT(FALSE)),"・上限適用",""))</f>
        <v/>
      </c>
      <c r="Q249" s="35" t="str">
        <f>IF(AND(T248="",A249&lt;=S248),入力!$B$13,"")</f>
        <v>有効</v>
      </c>
      <c r="R249" s="32" t="str">
        <f>IF(AND(AND(T248="",A249&lt;=S248),OR(AND(入力!$B$13="有効",A249&gt;1,MOD(A249-1,60)=0),AND(A249=入力!$B$11,A249&gt;1)),入力!$B$14="有効"),ROUND(G248*1.25,0),"")</f>
        <v/>
      </c>
      <c r="S249" s="36">
        <f>IF(A249&lt;&gt;入力!$B$15,S248,IF(K249&lt;&gt;0,S248,IF(G249&lt;=F249,S248,IF(M249&lt;=0,S248,IF(AND(N249&gt;0,E249&gt;0,G249&lt;=N249*E249/12),S248,IF(A249+IF(N249=0,0,IF(E249=0,ROUNDUP(N249/G249,0),ROUNDUP(NPER(E249/12,-G249,N249),0)))&lt;S248,A249+IF(N249=0,0,IF(E249=0,ROUNDUP(N249/G249,0),ROUNDUP(NPER(E249/12,-G249,N249),0))),S248))))))</f>
        <v>359</v>
      </c>
      <c r="T249" s="35" t="str">
        <f t="shared" si="63"/>
        <v/>
      </c>
      <c r="U249" s="3">
        <f t="shared" si="48"/>
        <v>0</v>
      </c>
      <c r="V249" s="3">
        <f t="shared" si="49"/>
        <v>0</v>
      </c>
      <c r="W249" s="3">
        <f t="shared" si="50"/>
        <v>0</v>
      </c>
      <c r="X249" s="3">
        <f t="shared" si="51"/>
        <v>0</v>
      </c>
      <c r="Y249" s="3">
        <f>0</f>
        <v>0</v>
      </c>
      <c r="Z249" s="3">
        <f t="shared" si="52"/>
        <v>0</v>
      </c>
      <c r="AA249">
        <f>ROUND(IF(FALSE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,0)</f>
        <v>117311</v>
      </c>
    </row>
    <row r="250" spans="1:27">
      <c r="A250" s="30">
        <f>245</f>
        <v>245</v>
      </c>
      <c r="B250" s="31">
        <f>EDATE(入力!$B$6,A250-1)</f>
        <v>53662</v>
      </c>
      <c r="C250" s="32">
        <f t="shared" si="53"/>
        <v>11985374</v>
      </c>
      <c r="D250" s="32">
        <f t="shared" si="54"/>
        <v>0</v>
      </c>
      <c r="E250" s="33">
        <f>IF(AND(T249="",A250&lt;=S249),IF(A250&lt;入力!$B$11,入力!$B$10,入力!$B$12),0)</f>
        <v>2.5000000000000001E-2</v>
      </c>
      <c r="F250" s="32">
        <f t="shared" si="55"/>
        <v>24970</v>
      </c>
      <c r="G250" s="32">
        <f>ROUND(IF(NOT(AND(T249="",A250&lt;=S249)),0,IF(FALSE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),0)</f>
        <v>117311</v>
      </c>
      <c r="H250" s="32">
        <f t="shared" si="56"/>
        <v>117311</v>
      </c>
      <c r="I250" s="32">
        <f t="shared" si="57"/>
        <v>24970</v>
      </c>
      <c r="J250" s="32">
        <f t="shared" si="58"/>
        <v>0</v>
      </c>
      <c r="K250" s="32">
        <f t="shared" si="59"/>
        <v>0</v>
      </c>
      <c r="L250" s="32">
        <f t="shared" si="60"/>
        <v>92341</v>
      </c>
      <c r="M250" s="32">
        <f>IF(AND(AND(T249="",A250&lt;=S249),A250=入力!$B$15),ROUND(MIN(入力!$B$16,MAX(0,C250-L250)),0),0)</f>
        <v>0</v>
      </c>
      <c r="N250" s="32">
        <f t="shared" si="61"/>
        <v>11893033</v>
      </c>
      <c r="O250" s="32">
        <f t="shared" si="62"/>
        <v>9244628</v>
      </c>
      <c r="P250" s="34" t="str">
        <f>IF(NOT(AND(T249="",A250&lt;=S249)),"",IF(FALSE,"繰上返済後再計算","")&amp;IF(AND(入力!$B$13="有効",A250&gt;1,MOD(A250-1,60)=0),IF(FALSE,"・","")&amp;"5年見直し","")&amp;IF(AND(A250=入力!$B$11,A250&gt;1),IF(OR(FALSE,AND(入力!$B$13="有効",A250&gt;1,MOD(A250-1,60)=0)),"・","")&amp;"金利変更","")&amp;IF(AND(OR(AND(入力!$B$13="有効",A250&gt;1,MOD(A250-1,60)=0),AND(A250=入力!$B$11,A250&gt;1)),入力!$B$14="有効",IF(E250=0,ROUND(C250/MAX(1,S249-A250+1),0),ROUND(-PMT(E250/12,MAX(1,S249-A250+1),C250),0))&gt;ROUND(G249*1.25,0),NOT(FALSE)),"・上限適用",""))</f>
        <v/>
      </c>
      <c r="Q250" s="35" t="str">
        <f>IF(AND(T249="",A250&lt;=S249),入力!$B$13,"")</f>
        <v>有効</v>
      </c>
      <c r="R250" s="32" t="str">
        <f>IF(AND(AND(T249="",A250&lt;=S249),OR(AND(入力!$B$13="有効",A250&gt;1,MOD(A250-1,60)=0),AND(A250=入力!$B$11,A250&gt;1)),入力!$B$14="有効"),ROUND(G249*1.25,0),"")</f>
        <v/>
      </c>
      <c r="S250" s="36">
        <f>IF(A250&lt;&gt;入力!$B$15,S249,IF(K250&lt;&gt;0,S249,IF(G250&lt;=F250,S249,IF(M250&lt;=0,S249,IF(AND(N250&gt;0,E250&gt;0,G250&lt;=N250*E250/12),S249,IF(A250+IF(N250=0,0,IF(E250=0,ROUNDUP(N250/G250,0),ROUNDUP(NPER(E250/12,-G250,N250),0)))&lt;S249,A250+IF(N250=0,0,IF(E250=0,ROUNDUP(N250/G250,0),ROUNDUP(NPER(E250/12,-G250,N250),0))),S249))))))</f>
        <v>359</v>
      </c>
      <c r="T250" s="35" t="str">
        <f t="shared" si="63"/>
        <v/>
      </c>
      <c r="U250" s="3">
        <f t="shared" si="48"/>
        <v>0</v>
      </c>
      <c r="V250" s="3">
        <f t="shared" si="49"/>
        <v>0</v>
      </c>
      <c r="W250" s="3">
        <f t="shared" si="50"/>
        <v>0</v>
      </c>
      <c r="X250" s="3">
        <f t="shared" si="51"/>
        <v>0</v>
      </c>
      <c r="Y250" s="3">
        <f>0</f>
        <v>0</v>
      </c>
      <c r="Z250" s="3">
        <f t="shared" si="52"/>
        <v>0</v>
      </c>
      <c r="AA250">
        <f>ROUND(IF(FALSE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,0)</f>
        <v>117311</v>
      </c>
    </row>
    <row r="251" spans="1:27">
      <c r="A251" s="30">
        <f>246</f>
        <v>246</v>
      </c>
      <c r="B251" s="31">
        <f>EDATE(入力!$B$6,A251-1)</f>
        <v>53693</v>
      </c>
      <c r="C251" s="32">
        <f t="shared" si="53"/>
        <v>11893033</v>
      </c>
      <c r="D251" s="32">
        <f t="shared" si="54"/>
        <v>0</v>
      </c>
      <c r="E251" s="33">
        <f>IF(AND(T250="",A251&lt;=S250),IF(A251&lt;入力!$B$11,入力!$B$10,入力!$B$12),0)</f>
        <v>2.5000000000000001E-2</v>
      </c>
      <c r="F251" s="32">
        <f t="shared" si="55"/>
        <v>24777</v>
      </c>
      <c r="G251" s="32">
        <f>ROUND(IF(NOT(AND(T250="",A251&lt;=S250)),0,IF(FALSE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),0)</f>
        <v>117311</v>
      </c>
      <c r="H251" s="32">
        <f t="shared" si="56"/>
        <v>117311</v>
      </c>
      <c r="I251" s="32">
        <f t="shared" si="57"/>
        <v>24777</v>
      </c>
      <c r="J251" s="32">
        <f t="shared" si="58"/>
        <v>0</v>
      </c>
      <c r="K251" s="32">
        <f t="shared" si="59"/>
        <v>0</v>
      </c>
      <c r="L251" s="32">
        <f t="shared" si="60"/>
        <v>92534</v>
      </c>
      <c r="M251" s="32">
        <f>IF(AND(AND(T250="",A251&lt;=S250),A251=入力!$B$15),ROUND(MIN(入力!$B$16,MAX(0,C251-L251)),0),0)</f>
        <v>0</v>
      </c>
      <c r="N251" s="32">
        <f t="shared" si="61"/>
        <v>11800499</v>
      </c>
      <c r="O251" s="32">
        <f t="shared" si="62"/>
        <v>9269405</v>
      </c>
      <c r="P251" s="34" t="str">
        <f>IF(NOT(AND(T250="",A251&lt;=S250)),"",IF(FALSE,"繰上返済後再計算","")&amp;IF(AND(入力!$B$13="有効",A251&gt;1,MOD(A251-1,60)=0),IF(FALSE,"・","")&amp;"5年見直し","")&amp;IF(AND(A251=入力!$B$11,A251&gt;1),IF(OR(FALSE,AND(入力!$B$13="有効",A251&gt;1,MOD(A251-1,60)=0)),"・","")&amp;"金利変更","")&amp;IF(AND(OR(AND(入力!$B$13="有効",A251&gt;1,MOD(A251-1,60)=0),AND(A251=入力!$B$11,A251&gt;1)),入力!$B$14="有効",IF(E251=0,ROUND(C251/MAX(1,S250-A251+1),0),ROUND(-PMT(E251/12,MAX(1,S250-A251+1),C251),0))&gt;ROUND(G250*1.25,0),NOT(FALSE)),"・上限適用",""))</f>
        <v/>
      </c>
      <c r="Q251" s="35" t="str">
        <f>IF(AND(T250="",A251&lt;=S250),入力!$B$13,"")</f>
        <v>有効</v>
      </c>
      <c r="R251" s="32" t="str">
        <f>IF(AND(AND(T250="",A251&lt;=S250),OR(AND(入力!$B$13="有効",A251&gt;1,MOD(A251-1,60)=0),AND(A251=入力!$B$11,A251&gt;1)),入力!$B$14="有効"),ROUND(G250*1.25,0),"")</f>
        <v/>
      </c>
      <c r="S251" s="36">
        <f>IF(A251&lt;&gt;入力!$B$15,S250,IF(K251&lt;&gt;0,S250,IF(G251&lt;=F251,S250,IF(M251&lt;=0,S250,IF(AND(N251&gt;0,E251&gt;0,G251&lt;=N251*E251/12),S250,IF(A251+IF(N251=0,0,IF(E251=0,ROUNDUP(N251/G251,0),ROUNDUP(NPER(E251/12,-G251,N251),0)))&lt;S250,A251+IF(N251=0,0,IF(E251=0,ROUNDUP(N251/G251,0),ROUNDUP(NPER(E251/12,-G251,N251),0))),S250))))))</f>
        <v>359</v>
      </c>
      <c r="T251" s="35" t="str">
        <f t="shared" si="63"/>
        <v/>
      </c>
      <c r="U251" s="3">
        <f t="shared" si="48"/>
        <v>0</v>
      </c>
      <c r="V251" s="3">
        <f t="shared" si="49"/>
        <v>0</v>
      </c>
      <c r="W251" s="3">
        <f t="shared" si="50"/>
        <v>0</v>
      </c>
      <c r="X251" s="3">
        <f t="shared" si="51"/>
        <v>0</v>
      </c>
      <c r="Y251" s="3">
        <f>0</f>
        <v>0</v>
      </c>
      <c r="Z251" s="3">
        <f t="shared" si="52"/>
        <v>0</v>
      </c>
      <c r="AA251">
        <f>ROUND(IF(FALSE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,0)</f>
        <v>117311</v>
      </c>
    </row>
    <row r="252" spans="1:27">
      <c r="A252" s="30">
        <f>247</f>
        <v>247</v>
      </c>
      <c r="B252" s="31">
        <f>EDATE(入力!$B$6,A252-1)</f>
        <v>53724</v>
      </c>
      <c r="C252" s="32">
        <f t="shared" si="53"/>
        <v>11800499</v>
      </c>
      <c r="D252" s="32">
        <f t="shared" si="54"/>
        <v>0</v>
      </c>
      <c r="E252" s="33">
        <f>IF(AND(T251="",A252&lt;=S251),IF(A252&lt;入力!$B$11,入力!$B$10,入力!$B$12),0)</f>
        <v>2.5000000000000001E-2</v>
      </c>
      <c r="F252" s="32">
        <f t="shared" si="55"/>
        <v>24584</v>
      </c>
      <c r="G252" s="32">
        <f>ROUND(IF(NOT(AND(T251="",A252&lt;=S251)),0,IF(FALSE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),0)</f>
        <v>117311</v>
      </c>
      <c r="H252" s="32">
        <f t="shared" si="56"/>
        <v>117311</v>
      </c>
      <c r="I252" s="32">
        <f t="shared" si="57"/>
        <v>24584</v>
      </c>
      <c r="J252" s="32">
        <f t="shared" si="58"/>
        <v>0</v>
      </c>
      <c r="K252" s="32">
        <f t="shared" si="59"/>
        <v>0</v>
      </c>
      <c r="L252" s="32">
        <f t="shared" si="60"/>
        <v>92727</v>
      </c>
      <c r="M252" s="32">
        <f>IF(AND(AND(T251="",A252&lt;=S251),A252=入力!$B$15),ROUND(MIN(入力!$B$16,MAX(0,C252-L252)),0),0)</f>
        <v>0</v>
      </c>
      <c r="N252" s="32">
        <f t="shared" si="61"/>
        <v>11707772</v>
      </c>
      <c r="O252" s="32">
        <f t="shared" si="62"/>
        <v>9293989</v>
      </c>
      <c r="P252" s="34" t="str">
        <f>IF(NOT(AND(T251="",A252&lt;=S251)),"",IF(FALSE,"繰上返済後再計算","")&amp;IF(AND(入力!$B$13="有効",A252&gt;1,MOD(A252-1,60)=0),IF(FALSE,"・","")&amp;"5年見直し","")&amp;IF(AND(A252=入力!$B$11,A252&gt;1),IF(OR(FALSE,AND(入力!$B$13="有効",A252&gt;1,MOD(A252-1,60)=0)),"・","")&amp;"金利変更","")&amp;IF(AND(OR(AND(入力!$B$13="有効",A252&gt;1,MOD(A252-1,60)=0),AND(A252=入力!$B$11,A252&gt;1)),入力!$B$14="有効",IF(E252=0,ROUND(C252/MAX(1,S251-A252+1),0),ROUND(-PMT(E252/12,MAX(1,S251-A252+1),C252),0))&gt;ROUND(G251*1.25,0),NOT(FALSE)),"・上限適用",""))</f>
        <v/>
      </c>
      <c r="Q252" s="35" t="str">
        <f>IF(AND(T251="",A252&lt;=S251),入力!$B$13,"")</f>
        <v>有効</v>
      </c>
      <c r="R252" s="32" t="str">
        <f>IF(AND(AND(T251="",A252&lt;=S251),OR(AND(入力!$B$13="有効",A252&gt;1,MOD(A252-1,60)=0),AND(A252=入力!$B$11,A252&gt;1)),入力!$B$14="有効"),ROUND(G251*1.25,0),"")</f>
        <v/>
      </c>
      <c r="S252" s="36">
        <f>IF(A252&lt;&gt;入力!$B$15,S251,IF(K252&lt;&gt;0,S251,IF(G252&lt;=F252,S251,IF(M252&lt;=0,S251,IF(AND(N252&gt;0,E252&gt;0,G252&lt;=N252*E252/12),S251,IF(A252+IF(N252=0,0,IF(E252=0,ROUNDUP(N252/G252,0),ROUNDUP(NPER(E252/12,-G252,N252),0)))&lt;S251,A252+IF(N252=0,0,IF(E252=0,ROUNDUP(N252/G252,0),ROUNDUP(NPER(E252/12,-G252,N252),0))),S251))))))</f>
        <v>359</v>
      </c>
      <c r="T252" s="35" t="str">
        <f t="shared" si="63"/>
        <v/>
      </c>
      <c r="U252" s="3">
        <f t="shared" si="48"/>
        <v>0</v>
      </c>
      <c r="V252" s="3">
        <f t="shared" si="49"/>
        <v>0</v>
      </c>
      <c r="W252" s="3">
        <f t="shared" si="50"/>
        <v>0</v>
      </c>
      <c r="X252" s="3">
        <f t="shared" si="51"/>
        <v>0</v>
      </c>
      <c r="Y252" s="3">
        <f>0</f>
        <v>0</v>
      </c>
      <c r="Z252" s="3">
        <f t="shared" si="52"/>
        <v>0</v>
      </c>
      <c r="AA252">
        <f>ROUND(IF(FALSE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,0)</f>
        <v>117311</v>
      </c>
    </row>
    <row r="253" spans="1:27">
      <c r="A253" s="30">
        <f>248</f>
        <v>248</v>
      </c>
      <c r="B253" s="31">
        <f>EDATE(入力!$B$6,A253-1)</f>
        <v>53752</v>
      </c>
      <c r="C253" s="32">
        <f t="shared" si="53"/>
        <v>11707772</v>
      </c>
      <c r="D253" s="32">
        <f t="shared" si="54"/>
        <v>0</v>
      </c>
      <c r="E253" s="33">
        <f>IF(AND(T252="",A253&lt;=S252),IF(A253&lt;入力!$B$11,入力!$B$10,入力!$B$12),0)</f>
        <v>2.5000000000000001E-2</v>
      </c>
      <c r="F253" s="32">
        <f t="shared" si="55"/>
        <v>24391</v>
      </c>
      <c r="G253" s="32">
        <f>ROUND(IF(NOT(AND(T252="",A253&lt;=S252)),0,IF(FALSE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),0)</f>
        <v>117311</v>
      </c>
      <c r="H253" s="32">
        <f t="shared" si="56"/>
        <v>117311</v>
      </c>
      <c r="I253" s="32">
        <f t="shared" si="57"/>
        <v>24391</v>
      </c>
      <c r="J253" s="32">
        <f t="shared" si="58"/>
        <v>0</v>
      </c>
      <c r="K253" s="32">
        <f t="shared" si="59"/>
        <v>0</v>
      </c>
      <c r="L253" s="32">
        <f t="shared" si="60"/>
        <v>92920</v>
      </c>
      <c r="M253" s="32">
        <f>IF(AND(AND(T252="",A253&lt;=S252),A253=入力!$B$15),ROUND(MIN(入力!$B$16,MAX(0,C253-L253)),0),0)</f>
        <v>0</v>
      </c>
      <c r="N253" s="32">
        <f t="shared" si="61"/>
        <v>11614852</v>
      </c>
      <c r="O253" s="32">
        <f t="shared" si="62"/>
        <v>9318380</v>
      </c>
      <c r="P253" s="34" t="str">
        <f>IF(NOT(AND(T252="",A253&lt;=S252)),"",IF(FALSE,"繰上返済後再計算","")&amp;IF(AND(入力!$B$13="有効",A253&gt;1,MOD(A253-1,60)=0),IF(FALSE,"・","")&amp;"5年見直し","")&amp;IF(AND(A253=入力!$B$11,A253&gt;1),IF(OR(FALSE,AND(入力!$B$13="有効",A253&gt;1,MOD(A253-1,60)=0)),"・","")&amp;"金利変更","")&amp;IF(AND(OR(AND(入力!$B$13="有効",A253&gt;1,MOD(A253-1,60)=0),AND(A253=入力!$B$11,A253&gt;1)),入力!$B$14="有効",IF(E253=0,ROUND(C253/MAX(1,S252-A253+1),0),ROUND(-PMT(E253/12,MAX(1,S252-A253+1),C253),0))&gt;ROUND(G252*1.25,0),NOT(FALSE)),"・上限適用",""))</f>
        <v/>
      </c>
      <c r="Q253" s="35" t="str">
        <f>IF(AND(T252="",A253&lt;=S252),入力!$B$13,"")</f>
        <v>有効</v>
      </c>
      <c r="R253" s="32" t="str">
        <f>IF(AND(AND(T252="",A253&lt;=S252),OR(AND(入力!$B$13="有効",A253&gt;1,MOD(A253-1,60)=0),AND(A253=入力!$B$11,A253&gt;1)),入力!$B$14="有効"),ROUND(G252*1.25,0),"")</f>
        <v/>
      </c>
      <c r="S253" s="36">
        <f>IF(A253&lt;&gt;入力!$B$15,S252,IF(K253&lt;&gt;0,S252,IF(G253&lt;=F253,S252,IF(M253&lt;=0,S252,IF(AND(N253&gt;0,E253&gt;0,G253&lt;=N253*E253/12),S252,IF(A253+IF(N253=0,0,IF(E253=0,ROUNDUP(N253/G253,0),ROUNDUP(NPER(E253/12,-G253,N253),0)))&lt;S252,A253+IF(N253=0,0,IF(E253=0,ROUNDUP(N253/G253,0),ROUNDUP(NPER(E253/12,-G253,N253),0))),S252))))))</f>
        <v>359</v>
      </c>
      <c r="T253" s="35" t="str">
        <f t="shared" si="63"/>
        <v/>
      </c>
      <c r="U253" s="3">
        <f t="shared" si="48"/>
        <v>0</v>
      </c>
      <c r="V253" s="3">
        <f t="shared" si="49"/>
        <v>0</v>
      </c>
      <c r="W253" s="3">
        <f t="shared" si="50"/>
        <v>0</v>
      </c>
      <c r="X253" s="3">
        <f t="shared" si="51"/>
        <v>0</v>
      </c>
      <c r="Y253" s="3">
        <f>0</f>
        <v>0</v>
      </c>
      <c r="Z253" s="3">
        <f t="shared" si="52"/>
        <v>0</v>
      </c>
      <c r="AA253">
        <f>ROUND(IF(FALSE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,0)</f>
        <v>117311</v>
      </c>
    </row>
    <row r="254" spans="1:27">
      <c r="A254" s="30">
        <f>249</f>
        <v>249</v>
      </c>
      <c r="B254" s="31">
        <f>EDATE(入力!$B$6,A254-1)</f>
        <v>53783</v>
      </c>
      <c r="C254" s="32">
        <f t="shared" si="53"/>
        <v>11614852</v>
      </c>
      <c r="D254" s="32">
        <f t="shared" si="54"/>
        <v>0</v>
      </c>
      <c r="E254" s="33">
        <f>IF(AND(T253="",A254&lt;=S253),IF(A254&lt;入力!$B$11,入力!$B$10,入力!$B$12),0)</f>
        <v>2.5000000000000001E-2</v>
      </c>
      <c r="F254" s="32">
        <f t="shared" si="55"/>
        <v>24198</v>
      </c>
      <c r="G254" s="32">
        <f>ROUND(IF(NOT(AND(T253="",A254&lt;=S253)),0,IF(FALSE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),0)</f>
        <v>117311</v>
      </c>
      <c r="H254" s="32">
        <f t="shared" si="56"/>
        <v>117311</v>
      </c>
      <c r="I254" s="32">
        <f t="shared" si="57"/>
        <v>24198</v>
      </c>
      <c r="J254" s="32">
        <f t="shared" si="58"/>
        <v>0</v>
      </c>
      <c r="K254" s="32">
        <f t="shared" si="59"/>
        <v>0</v>
      </c>
      <c r="L254" s="32">
        <f t="shared" si="60"/>
        <v>93113</v>
      </c>
      <c r="M254" s="32">
        <f>IF(AND(AND(T253="",A254&lt;=S253),A254=入力!$B$15),ROUND(MIN(入力!$B$16,MAX(0,C254-L254)),0),0)</f>
        <v>0</v>
      </c>
      <c r="N254" s="32">
        <f t="shared" si="61"/>
        <v>11521739</v>
      </c>
      <c r="O254" s="32">
        <f t="shared" si="62"/>
        <v>9342578</v>
      </c>
      <c r="P254" s="34" t="str">
        <f>IF(NOT(AND(T253="",A254&lt;=S253)),"",IF(FALSE,"繰上返済後再計算","")&amp;IF(AND(入力!$B$13="有効",A254&gt;1,MOD(A254-1,60)=0),IF(FALSE,"・","")&amp;"5年見直し","")&amp;IF(AND(A254=入力!$B$11,A254&gt;1),IF(OR(FALSE,AND(入力!$B$13="有効",A254&gt;1,MOD(A254-1,60)=0)),"・","")&amp;"金利変更","")&amp;IF(AND(OR(AND(入力!$B$13="有効",A254&gt;1,MOD(A254-1,60)=0),AND(A254=入力!$B$11,A254&gt;1)),入力!$B$14="有効",IF(E254=0,ROUND(C254/MAX(1,S253-A254+1),0),ROUND(-PMT(E254/12,MAX(1,S253-A254+1),C254),0))&gt;ROUND(G253*1.25,0),NOT(FALSE)),"・上限適用",""))</f>
        <v/>
      </c>
      <c r="Q254" s="35" t="str">
        <f>IF(AND(T253="",A254&lt;=S253),入力!$B$13,"")</f>
        <v>有効</v>
      </c>
      <c r="R254" s="32" t="str">
        <f>IF(AND(AND(T253="",A254&lt;=S253),OR(AND(入力!$B$13="有効",A254&gt;1,MOD(A254-1,60)=0),AND(A254=入力!$B$11,A254&gt;1)),入力!$B$14="有効"),ROUND(G253*1.25,0),"")</f>
        <v/>
      </c>
      <c r="S254" s="36">
        <f>IF(A254&lt;&gt;入力!$B$15,S253,IF(K254&lt;&gt;0,S253,IF(G254&lt;=F254,S253,IF(M254&lt;=0,S253,IF(AND(N254&gt;0,E254&gt;0,G254&lt;=N254*E254/12),S253,IF(A254+IF(N254=0,0,IF(E254=0,ROUNDUP(N254/G254,0),ROUNDUP(NPER(E254/12,-G254,N254),0)))&lt;S253,A254+IF(N254=0,0,IF(E254=0,ROUNDUP(N254/G254,0),ROUNDUP(NPER(E254/12,-G254,N254),0))),S253))))))</f>
        <v>359</v>
      </c>
      <c r="T254" s="35" t="str">
        <f t="shared" si="63"/>
        <v/>
      </c>
      <c r="U254" s="3">
        <f t="shared" si="48"/>
        <v>0</v>
      </c>
      <c r="V254" s="3">
        <f t="shared" si="49"/>
        <v>0</v>
      </c>
      <c r="W254" s="3">
        <f t="shared" si="50"/>
        <v>0</v>
      </c>
      <c r="X254" s="3">
        <f t="shared" si="51"/>
        <v>0</v>
      </c>
      <c r="Y254" s="3">
        <f>0</f>
        <v>0</v>
      </c>
      <c r="Z254" s="3">
        <f t="shared" si="52"/>
        <v>0</v>
      </c>
      <c r="AA254">
        <f>ROUND(IF(FALSE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,0)</f>
        <v>117311</v>
      </c>
    </row>
    <row r="255" spans="1:27">
      <c r="A255" s="30">
        <f>250</f>
        <v>250</v>
      </c>
      <c r="B255" s="31">
        <f>EDATE(入力!$B$6,A255-1)</f>
        <v>53813</v>
      </c>
      <c r="C255" s="32">
        <f t="shared" si="53"/>
        <v>11521739</v>
      </c>
      <c r="D255" s="32">
        <f t="shared" si="54"/>
        <v>0</v>
      </c>
      <c r="E255" s="33">
        <f>IF(AND(T254="",A255&lt;=S254),IF(A255&lt;入力!$B$11,入力!$B$10,入力!$B$12),0)</f>
        <v>2.5000000000000001E-2</v>
      </c>
      <c r="F255" s="32">
        <f t="shared" si="55"/>
        <v>24004</v>
      </c>
      <c r="G255" s="32">
        <f>ROUND(IF(NOT(AND(T254="",A255&lt;=S254)),0,IF(FALSE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),0)</f>
        <v>117311</v>
      </c>
      <c r="H255" s="32">
        <f t="shared" si="56"/>
        <v>117311</v>
      </c>
      <c r="I255" s="32">
        <f t="shared" si="57"/>
        <v>24004</v>
      </c>
      <c r="J255" s="32">
        <f t="shared" si="58"/>
        <v>0</v>
      </c>
      <c r="K255" s="32">
        <f t="shared" si="59"/>
        <v>0</v>
      </c>
      <c r="L255" s="32">
        <f t="shared" si="60"/>
        <v>93307</v>
      </c>
      <c r="M255" s="32">
        <f>IF(AND(AND(T254="",A255&lt;=S254),A255=入力!$B$15),ROUND(MIN(入力!$B$16,MAX(0,C255-L255)),0),0)</f>
        <v>0</v>
      </c>
      <c r="N255" s="32">
        <f t="shared" si="61"/>
        <v>11428432</v>
      </c>
      <c r="O255" s="32">
        <f t="shared" si="62"/>
        <v>9366582</v>
      </c>
      <c r="P255" s="34" t="str">
        <f>IF(NOT(AND(T254="",A255&lt;=S254)),"",IF(FALSE,"繰上返済後再計算","")&amp;IF(AND(入力!$B$13="有効",A255&gt;1,MOD(A255-1,60)=0),IF(FALSE,"・","")&amp;"5年見直し","")&amp;IF(AND(A255=入力!$B$11,A255&gt;1),IF(OR(FALSE,AND(入力!$B$13="有効",A255&gt;1,MOD(A255-1,60)=0)),"・","")&amp;"金利変更","")&amp;IF(AND(OR(AND(入力!$B$13="有効",A255&gt;1,MOD(A255-1,60)=0),AND(A255=入力!$B$11,A255&gt;1)),入力!$B$14="有効",IF(E255=0,ROUND(C255/MAX(1,S254-A255+1),0),ROUND(-PMT(E255/12,MAX(1,S254-A255+1),C255),0))&gt;ROUND(G254*1.25,0),NOT(FALSE)),"・上限適用",""))</f>
        <v/>
      </c>
      <c r="Q255" s="35" t="str">
        <f>IF(AND(T254="",A255&lt;=S254),入力!$B$13,"")</f>
        <v>有効</v>
      </c>
      <c r="R255" s="32" t="str">
        <f>IF(AND(AND(T254="",A255&lt;=S254),OR(AND(入力!$B$13="有効",A255&gt;1,MOD(A255-1,60)=0),AND(A255=入力!$B$11,A255&gt;1)),入力!$B$14="有効"),ROUND(G254*1.25,0),"")</f>
        <v/>
      </c>
      <c r="S255" s="36">
        <f>IF(A255&lt;&gt;入力!$B$15,S254,IF(K255&lt;&gt;0,S254,IF(G255&lt;=F255,S254,IF(M255&lt;=0,S254,IF(AND(N255&gt;0,E255&gt;0,G255&lt;=N255*E255/12),S254,IF(A255+IF(N255=0,0,IF(E255=0,ROUNDUP(N255/G255,0),ROUNDUP(NPER(E255/12,-G255,N255),0)))&lt;S254,A255+IF(N255=0,0,IF(E255=0,ROUNDUP(N255/G255,0),ROUNDUP(NPER(E255/12,-G255,N255),0))),S254))))))</f>
        <v>359</v>
      </c>
      <c r="T255" s="35" t="str">
        <f t="shared" si="63"/>
        <v/>
      </c>
      <c r="U255" s="3">
        <f t="shared" si="48"/>
        <v>0</v>
      </c>
      <c r="V255" s="3">
        <f t="shared" si="49"/>
        <v>0</v>
      </c>
      <c r="W255" s="3">
        <f t="shared" si="50"/>
        <v>0</v>
      </c>
      <c r="X255" s="3">
        <f t="shared" si="51"/>
        <v>0</v>
      </c>
      <c r="Y255" s="3">
        <f>0</f>
        <v>0</v>
      </c>
      <c r="Z255" s="3">
        <f t="shared" si="52"/>
        <v>0</v>
      </c>
      <c r="AA255">
        <f>ROUND(IF(FALSE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,0)</f>
        <v>117311</v>
      </c>
    </row>
    <row r="256" spans="1:27">
      <c r="A256" s="30">
        <f>251</f>
        <v>251</v>
      </c>
      <c r="B256" s="31">
        <f>EDATE(入力!$B$6,A256-1)</f>
        <v>53844</v>
      </c>
      <c r="C256" s="32">
        <f t="shared" si="53"/>
        <v>11428432</v>
      </c>
      <c r="D256" s="32">
        <f t="shared" si="54"/>
        <v>0</v>
      </c>
      <c r="E256" s="33">
        <f>IF(AND(T255="",A256&lt;=S255),IF(A256&lt;入力!$B$11,入力!$B$10,入力!$B$12),0)</f>
        <v>2.5000000000000001E-2</v>
      </c>
      <c r="F256" s="32">
        <f t="shared" si="55"/>
        <v>23809</v>
      </c>
      <c r="G256" s="32">
        <f>ROUND(IF(NOT(AND(T255="",A256&lt;=S255)),0,IF(FALSE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),0)</f>
        <v>117311</v>
      </c>
      <c r="H256" s="32">
        <f t="shared" si="56"/>
        <v>117311</v>
      </c>
      <c r="I256" s="32">
        <f t="shared" si="57"/>
        <v>23809</v>
      </c>
      <c r="J256" s="32">
        <f t="shared" si="58"/>
        <v>0</v>
      </c>
      <c r="K256" s="32">
        <f t="shared" si="59"/>
        <v>0</v>
      </c>
      <c r="L256" s="32">
        <f t="shared" si="60"/>
        <v>93502</v>
      </c>
      <c r="M256" s="32">
        <f>IF(AND(AND(T255="",A256&lt;=S255),A256=入力!$B$15),ROUND(MIN(入力!$B$16,MAX(0,C256-L256)),0),0)</f>
        <v>0</v>
      </c>
      <c r="N256" s="32">
        <f t="shared" si="61"/>
        <v>11334930</v>
      </c>
      <c r="O256" s="32">
        <f t="shared" si="62"/>
        <v>9390391</v>
      </c>
      <c r="P256" s="34" t="str">
        <f>IF(NOT(AND(T255="",A256&lt;=S255)),"",IF(FALSE,"繰上返済後再計算","")&amp;IF(AND(入力!$B$13="有効",A256&gt;1,MOD(A256-1,60)=0),IF(FALSE,"・","")&amp;"5年見直し","")&amp;IF(AND(A256=入力!$B$11,A256&gt;1),IF(OR(FALSE,AND(入力!$B$13="有効",A256&gt;1,MOD(A256-1,60)=0)),"・","")&amp;"金利変更","")&amp;IF(AND(OR(AND(入力!$B$13="有効",A256&gt;1,MOD(A256-1,60)=0),AND(A256=入力!$B$11,A256&gt;1)),入力!$B$14="有効",IF(E256=0,ROUND(C256/MAX(1,S255-A256+1),0),ROUND(-PMT(E256/12,MAX(1,S255-A256+1),C256),0))&gt;ROUND(G255*1.25,0),NOT(FALSE)),"・上限適用",""))</f>
        <v/>
      </c>
      <c r="Q256" s="35" t="str">
        <f>IF(AND(T255="",A256&lt;=S255),入力!$B$13,"")</f>
        <v>有効</v>
      </c>
      <c r="R256" s="32" t="str">
        <f>IF(AND(AND(T255="",A256&lt;=S255),OR(AND(入力!$B$13="有効",A256&gt;1,MOD(A256-1,60)=0),AND(A256=入力!$B$11,A256&gt;1)),入力!$B$14="有効"),ROUND(G255*1.25,0),"")</f>
        <v/>
      </c>
      <c r="S256" s="36">
        <f>IF(A256&lt;&gt;入力!$B$15,S255,IF(K256&lt;&gt;0,S255,IF(G256&lt;=F256,S255,IF(M256&lt;=0,S255,IF(AND(N256&gt;0,E256&gt;0,G256&lt;=N256*E256/12),S255,IF(A256+IF(N256=0,0,IF(E256=0,ROUNDUP(N256/G256,0),ROUNDUP(NPER(E256/12,-G256,N256),0)))&lt;S255,A256+IF(N256=0,0,IF(E256=0,ROUNDUP(N256/G256,0),ROUNDUP(NPER(E256/12,-G256,N256),0))),S255))))))</f>
        <v>359</v>
      </c>
      <c r="T256" s="35" t="str">
        <f t="shared" si="63"/>
        <v/>
      </c>
      <c r="U256" s="3">
        <f t="shared" si="48"/>
        <v>0</v>
      </c>
      <c r="V256" s="3">
        <f t="shared" si="49"/>
        <v>0</v>
      </c>
      <c r="W256" s="3">
        <f t="shared" si="50"/>
        <v>0</v>
      </c>
      <c r="X256" s="3">
        <f t="shared" si="51"/>
        <v>0</v>
      </c>
      <c r="Y256" s="3">
        <f>0</f>
        <v>0</v>
      </c>
      <c r="Z256" s="3">
        <f t="shared" si="52"/>
        <v>0</v>
      </c>
      <c r="AA256">
        <f>ROUND(IF(FALSE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,0)</f>
        <v>117311</v>
      </c>
    </row>
    <row r="257" spans="1:27">
      <c r="A257" s="30">
        <f>252</f>
        <v>252</v>
      </c>
      <c r="B257" s="31">
        <f>EDATE(入力!$B$6,A257-1)</f>
        <v>53874</v>
      </c>
      <c r="C257" s="32">
        <f t="shared" si="53"/>
        <v>11334930</v>
      </c>
      <c r="D257" s="32">
        <f t="shared" si="54"/>
        <v>0</v>
      </c>
      <c r="E257" s="33">
        <f>IF(AND(T256="",A257&lt;=S256),IF(A257&lt;入力!$B$11,入力!$B$10,入力!$B$12),0)</f>
        <v>2.5000000000000001E-2</v>
      </c>
      <c r="F257" s="32">
        <f t="shared" si="55"/>
        <v>23614</v>
      </c>
      <c r="G257" s="32">
        <f>ROUND(IF(NOT(AND(T256="",A257&lt;=S256)),0,IF(FALSE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),0)</f>
        <v>117311</v>
      </c>
      <c r="H257" s="32">
        <f t="shared" si="56"/>
        <v>117311</v>
      </c>
      <c r="I257" s="32">
        <f t="shared" si="57"/>
        <v>23614</v>
      </c>
      <c r="J257" s="32">
        <f t="shared" si="58"/>
        <v>0</v>
      </c>
      <c r="K257" s="32">
        <f t="shared" si="59"/>
        <v>0</v>
      </c>
      <c r="L257" s="32">
        <f t="shared" si="60"/>
        <v>93697</v>
      </c>
      <c r="M257" s="32">
        <f>IF(AND(AND(T256="",A257&lt;=S256),A257=入力!$B$15),ROUND(MIN(入力!$B$16,MAX(0,C257-L257)),0),0)</f>
        <v>0</v>
      </c>
      <c r="N257" s="32">
        <f t="shared" si="61"/>
        <v>11241233</v>
      </c>
      <c r="O257" s="32">
        <f t="shared" si="62"/>
        <v>9414005</v>
      </c>
      <c r="P257" s="34" t="str">
        <f>IF(NOT(AND(T256="",A257&lt;=S256)),"",IF(FALSE,"繰上返済後再計算","")&amp;IF(AND(入力!$B$13="有効",A257&gt;1,MOD(A257-1,60)=0),IF(FALSE,"・","")&amp;"5年見直し","")&amp;IF(AND(A257=入力!$B$11,A257&gt;1),IF(OR(FALSE,AND(入力!$B$13="有効",A257&gt;1,MOD(A257-1,60)=0)),"・","")&amp;"金利変更","")&amp;IF(AND(OR(AND(入力!$B$13="有効",A257&gt;1,MOD(A257-1,60)=0),AND(A257=入力!$B$11,A257&gt;1)),入力!$B$14="有効",IF(E257=0,ROUND(C257/MAX(1,S256-A257+1),0),ROUND(-PMT(E257/12,MAX(1,S256-A257+1),C257),0))&gt;ROUND(G256*1.25,0),NOT(FALSE)),"・上限適用",""))</f>
        <v/>
      </c>
      <c r="Q257" s="35" t="str">
        <f>IF(AND(T256="",A257&lt;=S256),入力!$B$13,"")</f>
        <v>有効</v>
      </c>
      <c r="R257" s="32" t="str">
        <f>IF(AND(AND(T256="",A257&lt;=S256),OR(AND(入力!$B$13="有効",A257&gt;1,MOD(A257-1,60)=0),AND(A257=入力!$B$11,A257&gt;1)),入力!$B$14="有効"),ROUND(G256*1.25,0),"")</f>
        <v/>
      </c>
      <c r="S257" s="36">
        <f>IF(A257&lt;&gt;入力!$B$15,S256,IF(K257&lt;&gt;0,S256,IF(G257&lt;=F257,S256,IF(M257&lt;=0,S256,IF(AND(N257&gt;0,E257&gt;0,G257&lt;=N257*E257/12),S256,IF(A257+IF(N257=0,0,IF(E257=0,ROUNDUP(N257/G257,0),ROUNDUP(NPER(E257/12,-G257,N257),0)))&lt;S256,A257+IF(N257=0,0,IF(E257=0,ROUNDUP(N257/G257,0),ROUNDUP(NPER(E257/12,-G257,N257),0))),S256))))))</f>
        <v>359</v>
      </c>
      <c r="T257" s="35" t="str">
        <f t="shared" si="63"/>
        <v/>
      </c>
      <c r="U257" s="3">
        <f t="shared" si="48"/>
        <v>0</v>
      </c>
      <c r="V257" s="3">
        <f t="shared" si="49"/>
        <v>0</v>
      </c>
      <c r="W257" s="3">
        <f t="shared" si="50"/>
        <v>0</v>
      </c>
      <c r="X257" s="3">
        <f t="shared" si="51"/>
        <v>0</v>
      </c>
      <c r="Y257" s="3">
        <f>0</f>
        <v>0</v>
      </c>
      <c r="Z257" s="3">
        <f t="shared" si="52"/>
        <v>0</v>
      </c>
      <c r="AA257">
        <f>ROUND(IF(FALSE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,0)</f>
        <v>117311</v>
      </c>
    </row>
    <row r="258" spans="1:27">
      <c r="A258" s="30">
        <f>253</f>
        <v>253</v>
      </c>
      <c r="B258" s="31">
        <f>EDATE(入力!$B$6,A258-1)</f>
        <v>53905</v>
      </c>
      <c r="C258" s="32">
        <f t="shared" si="53"/>
        <v>11241233</v>
      </c>
      <c r="D258" s="32">
        <f t="shared" si="54"/>
        <v>0</v>
      </c>
      <c r="E258" s="33">
        <f>IF(AND(T257="",A258&lt;=S257),IF(A258&lt;入力!$B$11,入力!$B$10,入力!$B$12),0)</f>
        <v>2.5000000000000001E-2</v>
      </c>
      <c r="F258" s="32">
        <f t="shared" si="55"/>
        <v>23419</v>
      </c>
      <c r="G258" s="32">
        <f>ROUND(IF(NOT(AND(T257="",A258&lt;=S257)),0,IF(FALSE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),0)</f>
        <v>117311</v>
      </c>
      <c r="H258" s="32">
        <f t="shared" si="56"/>
        <v>117311</v>
      </c>
      <c r="I258" s="32">
        <f t="shared" si="57"/>
        <v>23419</v>
      </c>
      <c r="J258" s="32">
        <f t="shared" si="58"/>
        <v>0</v>
      </c>
      <c r="K258" s="32">
        <f t="shared" si="59"/>
        <v>0</v>
      </c>
      <c r="L258" s="32">
        <f t="shared" si="60"/>
        <v>93892</v>
      </c>
      <c r="M258" s="32">
        <f>IF(AND(AND(T257="",A258&lt;=S257),A258=入力!$B$15),ROUND(MIN(入力!$B$16,MAX(0,C258-L258)),0),0)</f>
        <v>0</v>
      </c>
      <c r="N258" s="32">
        <f t="shared" si="61"/>
        <v>11147341</v>
      </c>
      <c r="O258" s="32">
        <f t="shared" si="62"/>
        <v>9437424</v>
      </c>
      <c r="P258" s="34" t="str">
        <f>IF(NOT(AND(T257="",A258&lt;=S257)),"",IF(FALSE,"繰上返済後再計算","")&amp;IF(AND(入力!$B$13="有効",A258&gt;1,MOD(A258-1,60)=0),IF(FALSE,"・","")&amp;"5年見直し","")&amp;IF(AND(A258=入力!$B$11,A258&gt;1),IF(OR(FALSE,AND(入力!$B$13="有効",A258&gt;1,MOD(A258-1,60)=0)),"・","")&amp;"金利変更","")&amp;IF(AND(OR(AND(入力!$B$13="有効",A258&gt;1,MOD(A258-1,60)=0),AND(A258=入力!$B$11,A258&gt;1)),入力!$B$14="有効",IF(E258=0,ROUND(C258/MAX(1,S257-A258+1),0),ROUND(-PMT(E258/12,MAX(1,S257-A258+1),C258),0))&gt;ROUND(G257*1.25,0),NOT(FALSE)),"・上限適用",""))</f>
        <v/>
      </c>
      <c r="Q258" s="35" t="str">
        <f>IF(AND(T257="",A258&lt;=S257),入力!$B$13,"")</f>
        <v>有効</v>
      </c>
      <c r="R258" s="32" t="str">
        <f>IF(AND(AND(T257="",A258&lt;=S257),OR(AND(入力!$B$13="有効",A258&gt;1,MOD(A258-1,60)=0),AND(A258=入力!$B$11,A258&gt;1)),入力!$B$14="有効"),ROUND(G257*1.25,0),"")</f>
        <v/>
      </c>
      <c r="S258" s="36">
        <f>IF(A258&lt;&gt;入力!$B$15,S257,IF(K258&lt;&gt;0,S257,IF(G258&lt;=F258,S257,IF(M258&lt;=0,S257,IF(AND(N258&gt;0,E258&gt;0,G258&lt;=N258*E258/12),S257,IF(A258+IF(N258=0,0,IF(E258=0,ROUNDUP(N258/G258,0),ROUNDUP(NPER(E258/12,-G258,N258),0)))&lt;S257,A258+IF(N258=0,0,IF(E258=0,ROUNDUP(N258/G258,0),ROUNDUP(NPER(E258/12,-G258,N258),0))),S257))))))</f>
        <v>359</v>
      </c>
      <c r="T258" s="35" t="str">
        <f t="shared" si="63"/>
        <v/>
      </c>
      <c r="U258" s="3">
        <f t="shared" si="48"/>
        <v>0</v>
      </c>
      <c r="V258" s="3">
        <f t="shared" si="49"/>
        <v>0</v>
      </c>
      <c r="W258" s="3">
        <f t="shared" si="50"/>
        <v>0</v>
      </c>
      <c r="X258" s="3">
        <f t="shared" si="51"/>
        <v>0</v>
      </c>
      <c r="Y258" s="3">
        <f>0</f>
        <v>0</v>
      </c>
      <c r="Z258" s="3">
        <f t="shared" si="52"/>
        <v>0</v>
      </c>
      <c r="AA258">
        <f>ROUND(IF(FALSE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,0)</f>
        <v>117311</v>
      </c>
    </row>
    <row r="259" spans="1:27">
      <c r="A259" s="30">
        <f>254</f>
        <v>254</v>
      </c>
      <c r="B259" s="31">
        <f>EDATE(入力!$B$6,A259-1)</f>
        <v>53936</v>
      </c>
      <c r="C259" s="32">
        <f t="shared" si="53"/>
        <v>11147341</v>
      </c>
      <c r="D259" s="32">
        <f t="shared" si="54"/>
        <v>0</v>
      </c>
      <c r="E259" s="33">
        <f>IF(AND(T258="",A259&lt;=S258),IF(A259&lt;入力!$B$11,入力!$B$10,入力!$B$12),0)</f>
        <v>2.5000000000000001E-2</v>
      </c>
      <c r="F259" s="32">
        <f t="shared" si="55"/>
        <v>23224</v>
      </c>
      <c r="G259" s="32">
        <f>ROUND(IF(NOT(AND(T258="",A259&lt;=S258)),0,IF(FALSE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),0)</f>
        <v>117311</v>
      </c>
      <c r="H259" s="32">
        <f t="shared" si="56"/>
        <v>117311</v>
      </c>
      <c r="I259" s="32">
        <f t="shared" si="57"/>
        <v>23224</v>
      </c>
      <c r="J259" s="32">
        <f t="shared" si="58"/>
        <v>0</v>
      </c>
      <c r="K259" s="32">
        <f t="shared" si="59"/>
        <v>0</v>
      </c>
      <c r="L259" s="32">
        <f t="shared" si="60"/>
        <v>94087</v>
      </c>
      <c r="M259" s="32">
        <f>IF(AND(AND(T258="",A259&lt;=S258),A259=入力!$B$15),ROUND(MIN(入力!$B$16,MAX(0,C259-L259)),0),0)</f>
        <v>0</v>
      </c>
      <c r="N259" s="32">
        <f t="shared" si="61"/>
        <v>11053254</v>
      </c>
      <c r="O259" s="32">
        <f t="shared" si="62"/>
        <v>9460648</v>
      </c>
      <c r="P259" s="34" t="str">
        <f>IF(NOT(AND(T258="",A259&lt;=S258)),"",IF(FALSE,"繰上返済後再計算","")&amp;IF(AND(入力!$B$13="有効",A259&gt;1,MOD(A259-1,60)=0),IF(FALSE,"・","")&amp;"5年見直し","")&amp;IF(AND(A259=入力!$B$11,A259&gt;1),IF(OR(FALSE,AND(入力!$B$13="有効",A259&gt;1,MOD(A259-1,60)=0)),"・","")&amp;"金利変更","")&amp;IF(AND(OR(AND(入力!$B$13="有効",A259&gt;1,MOD(A259-1,60)=0),AND(A259=入力!$B$11,A259&gt;1)),入力!$B$14="有効",IF(E259=0,ROUND(C259/MAX(1,S258-A259+1),0),ROUND(-PMT(E259/12,MAX(1,S258-A259+1),C259),0))&gt;ROUND(G258*1.25,0),NOT(FALSE)),"・上限適用",""))</f>
        <v/>
      </c>
      <c r="Q259" s="35" t="str">
        <f>IF(AND(T258="",A259&lt;=S258),入力!$B$13,"")</f>
        <v>有効</v>
      </c>
      <c r="R259" s="32" t="str">
        <f>IF(AND(AND(T258="",A259&lt;=S258),OR(AND(入力!$B$13="有効",A259&gt;1,MOD(A259-1,60)=0),AND(A259=入力!$B$11,A259&gt;1)),入力!$B$14="有効"),ROUND(G258*1.25,0),"")</f>
        <v/>
      </c>
      <c r="S259" s="36">
        <f>IF(A259&lt;&gt;入力!$B$15,S258,IF(K259&lt;&gt;0,S258,IF(G259&lt;=F259,S258,IF(M259&lt;=0,S258,IF(AND(N259&gt;0,E259&gt;0,G259&lt;=N259*E259/12),S258,IF(A259+IF(N259=0,0,IF(E259=0,ROUNDUP(N259/G259,0),ROUNDUP(NPER(E259/12,-G259,N259),0)))&lt;S258,A259+IF(N259=0,0,IF(E259=0,ROUNDUP(N259/G259,0),ROUNDUP(NPER(E259/12,-G259,N259),0))),S258))))))</f>
        <v>359</v>
      </c>
      <c r="T259" s="35" t="str">
        <f t="shared" si="63"/>
        <v/>
      </c>
      <c r="U259" s="3">
        <f t="shared" si="48"/>
        <v>0</v>
      </c>
      <c r="V259" s="3">
        <f t="shared" si="49"/>
        <v>0</v>
      </c>
      <c r="W259" s="3">
        <f t="shared" si="50"/>
        <v>0</v>
      </c>
      <c r="X259" s="3">
        <f t="shared" si="51"/>
        <v>0</v>
      </c>
      <c r="Y259" s="3">
        <f>0</f>
        <v>0</v>
      </c>
      <c r="Z259" s="3">
        <f t="shared" si="52"/>
        <v>0</v>
      </c>
      <c r="AA259">
        <f>ROUND(IF(FALSE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,0)</f>
        <v>117311</v>
      </c>
    </row>
    <row r="260" spans="1:27">
      <c r="A260" s="30">
        <f>255</f>
        <v>255</v>
      </c>
      <c r="B260" s="31">
        <f>EDATE(入力!$B$6,A260-1)</f>
        <v>53966</v>
      </c>
      <c r="C260" s="32">
        <f t="shared" si="53"/>
        <v>11053254</v>
      </c>
      <c r="D260" s="32">
        <f t="shared" si="54"/>
        <v>0</v>
      </c>
      <c r="E260" s="33">
        <f>IF(AND(T259="",A260&lt;=S259),IF(A260&lt;入力!$B$11,入力!$B$10,入力!$B$12),0)</f>
        <v>2.5000000000000001E-2</v>
      </c>
      <c r="F260" s="32">
        <f t="shared" si="55"/>
        <v>23028</v>
      </c>
      <c r="G260" s="32">
        <f>ROUND(IF(NOT(AND(T259="",A260&lt;=S259)),0,IF(FALSE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),0)</f>
        <v>117311</v>
      </c>
      <c r="H260" s="32">
        <f t="shared" si="56"/>
        <v>117311</v>
      </c>
      <c r="I260" s="32">
        <f t="shared" si="57"/>
        <v>23028</v>
      </c>
      <c r="J260" s="32">
        <f t="shared" si="58"/>
        <v>0</v>
      </c>
      <c r="K260" s="32">
        <f t="shared" si="59"/>
        <v>0</v>
      </c>
      <c r="L260" s="32">
        <f t="shared" si="60"/>
        <v>94283</v>
      </c>
      <c r="M260" s="32">
        <f>IF(AND(AND(T259="",A260&lt;=S259),A260=入力!$B$15),ROUND(MIN(入力!$B$16,MAX(0,C260-L260)),0),0)</f>
        <v>0</v>
      </c>
      <c r="N260" s="32">
        <f t="shared" si="61"/>
        <v>10958971</v>
      </c>
      <c r="O260" s="32">
        <f t="shared" si="62"/>
        <v>9483676</v>
      </c>
      <c r="P260" s="34" t="str">
        <f>IF(NOT(AND(T259="",A260&lt;=S259)),"",IF(FALSE,"繰上返済後再計算","")&amp;IF(AND(入力!$B$13="有効",A260&gt;1,MOD(A260-1,60)=0),IF(FALSE,"・","")&amp;"5年見直し","")&amp;IF(AND(A260=入力!$B$11,A260&gt;1),IF(OR(FALSE,AND(入力!$B$13="有効",A260&gt;1,MOD(A260-1,60)=0)),"・","")&amp;"金利変更","")&amp;IF(AND(OR(AND(入力!$B$13="有効",A260&gt;1,MOD(A260-1,60)=0),AND(A260=入力!$B$11,A260&gt;1)),入力!$B$14="有効",IF(E260=0,ROUND(C260/MAX(1,S259-A260+1),0),ROUND(-PMT(E260/12,MAX(1,S259-A260+1),C260),0))&gt;ROUND(G259*1.25,0),NOT(FALSE)),"・上限適用",""))</f>
        <v/>
      </c>
      <c r="Q260" s="35" t="str">
        <f>IF(AND(T259="",A260&lt;=S259),入力!$B$13,"")</f>
        <v>有効</v>
      </c>
      <c r="R260" s="32" t="str">
        <f>IF(AND(AND(T259="",A260&lt;=S259),OR(AND(入力!$B$13="有効",A260&gt;1,MOD(A260-1,60)=0),AND(A260=入力!$B$11,A260&gt;1)),入力!$B$14="有効"),ROUND(G259*1.25,0),"")</f>
        <v/>
      </c>
      <c r="S260" s="36">
        <f>IF(A260&lt;&gt;入力!$B$15,S259,IF(K260&lt;&gt;0,S259,IF(G260&lt;=F260,S259,IF(M260&lt;=0,S259,IF(AND(N260&gt;0,E260&gt;0,G260&lt;=N260*E260/12),S259,IF(A260+IF(N260=0,0,IF(E260=0,ROUNDUP(N260/G260,0),ROUNDUP(NPER(E260/12,-G260,N260),0)))&lt;S259,A260+IF(N260=0,0,IF(E260=0,ROUNDUP(N260/G260,0),ROUNDUP(NPER(E260/12,-G260,N260),0))),S259))))))</f>
        <v>359</v>
      </c>
      <c r="T260" s="35" t="str">
        <f t="shared" si="63"/>
        <v/>
      </c>
      <c r="U260" s="3">
        <f t="shared" si="48"/>
        <v>0</v>
      </c>
      <c r="V260" s="3">
        <f t="shared" si="49"/>
        <v>0</v>
      </c>
      <c r="W260" s="3">
        <f t="shared" si="50"/>
        <v>0</v>
      </c>
      <c r="X260" s="3">
        <f t="shared" si="51"/>
        <v>0</v>
      </c>
      <c r="Y260" s="3">
        <f>0</f>
        <v>0</v>
      </c>
      <c r="Z260" s="3">
        <f t="shared" si="52"/>
        <v>0</v>
      </c>
      <c r="AA260">
        <f>ROUND(IF(FALSE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,0)</f>
        <v>117311</v>
      </c>
    </row>
    <row r="261" spans="1:27">
      <c r="A261" s="30">
        <f>256</f>
        <v>256</v>
      </c>
      <c r="B261" s="31">
        <f>EDATE(入力!$B$6,A261-1)</f>
        <v>53997</v>
      </c>
      <c r="C261" s="32">
        <f t="shared" si="53"/>
        <v>10958971</v>
      </c>
      <c r="D261" s="32">
        <f t="shared" si="54"/>
        <v>0</v>
      </c>
      <c r="E261" s="33">
        <f>IF(AND(T260="",A261&lt;=S260),IF(A261&lt;入力!$B$11,入力!$B$10,入力!$B$12),0)</f>
        <v>2.5000000000000001E-2</v>
      </c>
      <c r="F261" s="32">
        <f t="shared" si="55"/>
        <v>22831</v>
      </c>
      <c r="G261" s="32">
        <f>ROUND(IF(NOT(AND(T260="",A261&lt;=S260)),0,IF(FALSE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),0)</f>
        <v>117311</v>
      </c>
      <c r="H261" s="32">
        <f t="shared" si="56"/>
        <v>117311</v>
      </c>
      <c r="I261" s="32">
        <f t="shared" si="57"/>
        <v>22831</v>
      </c>
      <c r="J261" s="32">
        <f t="shared" si="58"/>
        <v>0</v>
      </c>
      <c r="K261" s="32">
        <f t="shared" si="59"/>
        <v>0</v>
      </c>
      <c r="L261" s="32">
        <f t="shared" si="60"/>
        <v>94480</v>
      </c>
      <c r="M261" s="32">
        <f>IF(AND(AND(T260="",A261&lt;=S260),A261=入力!$B$15),ROUND(MIN(入力!$B$16,MAX(0,C261-L261)),0),0)</f>
        <v>0</v>
      </c>
      <c r="N261" s="32">
        <f t="shared" si="61"/>
        <v>10864491</v>
      </c>
      <c r="O261" s="32">
        <f t="shared" si="62"/>
        <v>9506507</v>
      </c>
      <c r="P261" s="34" t="str">
        <f>IF(NOT(AND(T260="",A261&lt;=S260)),"",IF(FALSE,"繰上返済後再計算","")&amp;IF(AND(入力!$B$13="有効",A261&gt;1,MOD(A261-1,60)=0),IF(FALSE,"・","")&amp;"5年見直し","")&amp;IF(AND(A261=入力!$B$11,A261&gt;1),IF(OR(FALSE,AND(入力!$B$13="有効",A261&gt;1,MOD(A261-1,60)=0)),"・","")&amp;"金利変更","")&amp;IF(AND(OR(AND(入力!$B$13="有効",A261&gt;1,MOD(A261-1,60)=0),AND(A261=入力!$B$11,A261&gt;1)),入力!$B$14="有効",IF(E261=0,ROUND(C261/MAX(1,S260-A261+1),0),ROUND(-PMT(E261/12,MAX(1,S260-A261+1),C261),0))&gt;ROUND(G260*1.25,0),NOT(FALSE)),"・上限適用",""))</f>
        <v/>
      </c>
      <c r="Q261" s="35" t="str">
        <f>IF(AND(T260="",A261&lt;=S260),入力!$B$13,"")</f>
        <v>有効</v>
      </c>
      <c r="R261" s="32" t="str">
        <f>IF(AND(AND(T260="",A261&lt;=S260),OR(AND(入力!$B$13="有効",A261&gt;1,MOD(A261-1,60)=0),AND(A261=入力!$B$11,A261&gt;1)),入力!$B$14="有効"),ROUND(G260*1.25,0),"")</f>
        <v/>
      </c>
      <c r="S261" s="36">
        <f>IF(A261&lt;&gt;入力!$B$15,S260,IF(K261&lt;&gt;0,S260,IF(G261&lt;=F261,S260,IF(M261&lt;=0,S260,IF(AND(N261&gt;0,E261&gt;0,G261&lt;=N261*E261/12),S260,IF(A261+IF(N261=0,0,IF(E261=0,ROUNDUP(N261/G261,0),ROUNDUP(NPER(E261/12,-G261,N261),0)))&lt;S260,A261+IF(N261=0,0,IF(E261=0,ROUNDUP(N261/G261,0),ROUNDUP(NPER(E261/12,-G261,N261),0))),S260))))))</f>
        <v>359</v>
      </c>
      <c r="T261" s="35" t="str">
        <f t="shared" si="63"/>
        <v/>
      </c>
      <c r="U261" s="3">
        <f t="shared" si="48"/>
        <v>0</v>
      </c>
      <c r="V261" s="3">
        <f t="shared" si="49"/>
        <v>0</v>
      </c>
      <c r="W261" s="3">
        <f t="shared" si="50"/>
        <v>0</v>
      </c>
      <c r="X261" s="3">
        <f t="shared" si="51"/>
        <v>0</v>
      </c>
      <c r="Y261" s="3">
        <f>0</f>
        <v>0</v>
      </c>
      <c r="Z261" s="3">
        <f t="shared" si="52"/>
        <v>0</v>
      </c>
      <c r="AA261">
        <f>ROUND(IF(FALSE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,0)</f>
        <v>117311</v>
      </c>
    </row>
    <row r="262" spans="1:27">
      <c r="A262" s="30">
        <f>257</f>
        <v>257</v>
      </c>
      <c r="B262" s="31">
        <f>EDATE(入力!$B$6,A262-1)</f>
        <v>54027</v>
      </c>
      <c r="C262" s="32">
        <f t="shared" si="53"/>
        <v>10864491</v>
      </c>
      <c r="D262" s="32">
        <f t="shared" si="54"/>
        <v>0</v>
      </c>
      <c r="E262" s="33">
        <f>IF(AND(T261="",A262&lt;=S261),IF(A262&lt;入力!$B$11,入力!$B$10,入力!$B$12),0)</f>
        <v>2.5000000000000001E-2</v>
      </c>
      <c r="F262" s="32">
        <f t="shared" si="55"/>
        <v>22634</v>
      </c>
      <c r="G262" s="32">
        <f>ROUND(IF(NOT(AND(T261="",A262&lt;=S261)),0,IF(FALSE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),0)</f>
        <v>117311</v>
      </c>
      <c r="H262" s="32">
        <f t="shared" si="56"/>
        <v>117311</v>
      </c>
      <c r="I262" s="32">
        <f t="shared" si="57"/>
        <v>22634</v>
      </c>
      <c r="J262" s="32">
        <f t="shared" si="58"/>
        <v>0</v>
      </c>
      <c r="K262" s="32">
        <f t="shared" si="59"/>
        <v>0</v>
      </c>
      <c r="L262" s="32">
        <f t="shared" si="60"/>
        <v>94677</v>
      </c>
      <c r="M262" s="32">
        <f>IF(AND(AND(T261="",A262&lt;=S261),A262=入力!$B$15),ROUND(MIN(入力!$B$16,MAX(0,C262-L262)),0),0)</f>
        <v>0</v>
      </c>
      <c r="N262" s="32">
        <f t="shared" si="61"/>
        <v>10769814</v>
      </c>
      <c r="O262" s="32">
        <f t="shared" si="62"/>
        <v>9529141</v>
      </c>
      <c r="P262" s="34" t="str">
        <f>IF(NOT(AND(T261="",A262&lt;=S261)),"",IF(FALSE,"繰上返済後再計算","")&amp;IF(AND(入力!$B$13="有効",A262&gt;1,MOD(A262-1,60)=0),IF(FALSE,"・","")&amp;"5年見直し","")&amp;IF(AND(A262=入力!$B$11,A262&gt;1),IF(OR(FALSE,AND(入力!$B$13="有効",A262&gt;1,MOD(A262-1,60)=0)),"・","")&amp;"金利変更","")&amp;IF(AND(OR(AND(入力!$B$13="有効",A262&gt;1,MOD(A262-1,60)=0),AND(A262=入力!$B$11,A262&gt;1)),入力!$B$14="有効",IF(E262=0,ROUND(C262/MAX(1,S261-A262+1),0),ROUND(-PMT(E262/12,MAX(1,S261-A262+1),C262),0))&gt;ROUND(G261*1.25,0),NOT(FALSE)),"・上限適用",""))</f>
        <v/>
      </c>
      <c r="Q262" s="35" t="str">
        <f>IF(AND(T261="",A262&lt;=S261),入力!$B$13,"")</f>
        <v>有効</v>
      </c>
      <c r="R262" s="32" t="str">
        <f>IF(AND(AND(T261="",A262&lt;=S261),OR(AND(入力!$B$13="有効",A262&gt;1,MOD(A262-1,60)=0),AND(A262=入力!$B$11,A262&gt;1)),入力!$B$14="有効"),ROUND(G261*1.25,0),"")</f>
        <v/>
      </c>
      <c r="S262" s="36">
        <f>IF(A262&lt;&gt;入力!$B$15,S261,IF(K262&lt;&gt;0,S261,IF(G262&lt;=F262,S261,IF(M262&lt;=0,S261,IF(AND(N262&gt;0,E262&gt;0,G262&lt;=N262*E262/12),S261,IF(A262+IF(N262=0,0,IF(E262=0,ROUNDUP(N262/G262,0),ROUNDUP(NPER(E262/12,-G262,N262),0)))&lt;S261,A262+IF(N262=0,0,IF(E262=0,ROUNDUP(N262/G262,0),ROUNDUP(NPER(E262/12,-G262,N262),0))),S261))))))</f>
        <v>359</v>
      </c>
      <c r="T262" s="35" t="str">
        <f t="shared" si="63"/>
        <v/>
      </c>
      <c r="U262" s="3">
        <f t="shared" ref="U262:U325" si="64">ABS(I262-MIN(H262,D262+F262))</f>
        <v>0</v>
      </c>
      <c r="V262" s="3">
        <f t="shared" ref="V262:V325" si="65">ABS(L262-(H262-I262))</f>
        <v>0</v>
      </c>
      <c r="W262" s="3">
        <f t="shared" ref="W262:W325" si="66">ABS(K262-(D262+J262))</f>
        <v>0</v>
      </c>
      <c r="X262" s="3">
        <f t="shared" ref="X262:X325" si="67">ABS(F262-ROUND(F262,0))+ABS(G262-ROUND(G262,0))+ABS(H262-ROUND(H262,0))+ABS(I262-ROUND(I262,0))+ABS(J262-ROUND(J262,0))+ABS(K262-ROUND(K262,0))+ABS(L262-ROUND(L262,0))+ABS(M262-ROUND(M262,0))+ABS(N262-ROUND(N262,0))+ABS(O262-ROUND(O262,0))</f>
        <v>0</v>
      </c>
      <c r="Y262" s="3">
        <f>0</f>
        <v>0</v>
      </c>
      <c r="Z262" s="3">
        <f t="shared" ref="Z262:Z325" si="68">SUM(--ISERROR(A262),--ISERROR(B262),--ISERROR(C262),--ISERROR(D262),--ISERROR(E262),--ISERROR(F262),--ISERROR(G262),--ISERROR(H262),--ISERROR(I262),--ISERROR(J262),--ISERROR(K262),--ISERROR(L262),--ISERROR(M262),--ISERROR(N262),--ISERROR(O262),--ISERROR(P262),--ISERROR(Q262),--ISERROR(R262),--ISERROR(S262),--ISERROR(T262))</f>
        <v>0</v>
      </c>
      <c r="AA262">
        <f>ROUND(IF(FALSE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,0)</f>
        <v>117311</v>
      </c>
    </row>
    <row r="263" spans="1:27">
      <c r="A263" s="30">
        <f>258</f>
        <v>258</v>
      </c>
      <c r="B263" s="31">
        <f>EDATE(入力!$B$6,A263-1)</f>
        <v>54058</v>
      </c>
      <c r="C263" s="32">
        <f t="shared" ref="C263:C326" si="69">IF(AND(T262="",A263&lt;=S262),N262,0)</f>
        <v>10769814</v>
      </c>
      <c r="D263" s="32">
        <f t="shared" ref="D263:D326" si="70">IF(AND(T262="",A263&lt;=S262),K262,0)</f>
        <v>0</v>
      </c>
      <c r="E263" s="33">
        <f>IF(AND(T262="",A263&lt;=S262),IF(A263&lt;入力!$B$11,入力!$B$10,入力!$B$12),0)</f>
        <v>2.5000000000000001E-2</v>
      </c>
      <c r="F263" s="32">
        <f t="shared" ref="F263:F326" si="71">IF(AND(T262="",A263&lt;=S262),ROUND(C263*E263/12,0),0)</f>
        <v>22437</v>
      </c>
      <c r="G263" s="32">
        <f>ROUND(IF(NOT(AND(T262="",A263&lt;=S262)),0,IF(FALSE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),0)</f>
        <v>117311</v>
      </c>
      <c r="H263" s="32">
        <f t="shared" ref="H263:H326" si="72">IF(AND(T262="",A263&lt;=S262),ROUND(MIN(G263,C263+D263+F263),0),0)</f>
        <v>117311</v>
      </c>
      <c r="I263" s="32">
        <f t="shared" ref="I263:I326" si="73">IF(AND(T262="",A263&lt;=S262),ROUND(MIN(H263,D263+F263),0),0)</f>
        <v>22437</v>
      </c>
      <c r="J263" s="32">
        <f t="shared" ref="J263:J326" si="74">IF(AND(T262="",A263&lt;=S262),ROUND(F263-I263,0),0)</f>
        <v>0</v>
      </c>
      <c r="K263" s="32">
        <f t="shared" ref="K263:K326" si="75">IF(AND(T262="",A263&lt;=S262),ROUND(D263+J263,0),0)</f>
        <v>0</v>
      </c>
      <c r="L263" s="32">
        <f t="shared" ref="L263:L326" si="76">IF(AND(T262="",A263&lt;=S262),ROUND(H263-I263,0),0)</f>
        <v>94874</v>
      </c>
      <c r="M263" s="32">
        <f>IF(AND(AND(T262="",A263&lt;=S262),A263=入力!$B$15),ROUND(MIN(入力!$B$16,MAX(0,C263-L263)),0),0)</f>
        <v>0</v>
      </c>
      <c r="N263" s="32">
        <f t="shared" ref="N263:N326" si="77">IF(AND(T262="",A263&lt;=S262),ROUND(MAX(0,C263-L263-M263),0),0)</f>
        <v>10674940</v>
      </c>
      <c r="O263" s="32">
        <f t="shared" ref="O263:O326" si="78">IF(AND(T262="",A263&lt;=S262),ROUND(O262+F263,0),O262)</f>
        <v>9551578</v>
      </c>
      <c r="P263" s="34" t="str">
        <f>IF(NOT(AND(T262="",A263&lt;=S262)),"",IF(FALSE,"繰上返済後再計算","")&amp;IF(AND(入力!$B$13="有効",A263&gt;1,MOD(A263-1,60)=0),IF(FALSE,"・","")&amp;"5年見直し","")&amp;IF(AND(A263=入力!$B$11,A263&gt;1),IF(OR(FALSE,AND(入力!$B$13="有効",A263&gt;1,MOD(A263-1,60)=0)),"・","")&amp;"金利変更","")&amp;IF(AND(OR(AND(入力!$B$13="有効",A263&gt;1,MOD(A263-1,60)=0),AND(A263=入力!$B$11,A263&gt;1)),入力!$B$14="有効",IF(E263=0,ROUND(C263/MAX(1,S262-A263+1),0),ROUND(-PMT(E263/12,MAX(1,S262-A263+1),C263),0))&gt;ROUND(G262*1.25,0),NOT(FALSE)),"・上限適用",""))</f>
        <v/>
      </c>
      <c r="Q263" s="35" t="str">
        <f>IF(AND(T262="",A263&lt;=S262),入力!$B$13,"")</f>
        <v>有効</v>
      </c>
      <c r="R263" s="32" t="str">
        <f>IF(AND(AND(T262="",A263&lt;=S262),OR(AND(入力!$B$13="有効",A263&gt;1,MOD(A263-1,60)=0),AND(A263=入力!$B$11,A263&gt;1)),入力!$B$14="有効"),ROUND(G262*1.25,0),"")</f>
        <v/>
      </c>
      <c r="S263" s="36">
        <f>IF(A263&lt;&gt;入力!$B$15,S262,IF(K263&lt;&gt;0,S262,IF(G263&lt;=F263,S262,IF(M263&lt;=0,S262,IF(AND(N263&gt;0,E263&gt;0,G263&lt;=N263*E263/12),S262,IF(A263+IF(N263=0,0,IF(E263=0,ROUNDUP(N263/G263,0),ROUNDUP(NPER(E263/12,-G263,N263),0)))&lt;S262,A263+IF(N263=0,0,IF(E263=0,ROUNDUP(N263/G263,0),ROUNDUP(NPER(E263/12,-G263,N263),0))),S262))))))</f>
        <v>359</v>
      </c>
      <c r="T263" s="35" t="str">
        <f t="shared" ref="T263:T326" si="79">IF(NOT(AND(T262="",A263&lt;=S262)),"",IF(AND(N263=0,K263=0),"完済",IF(A263=S263,"最終回清算","")))</f>
        <v/>
      </c>
      <c r="U263" s="3">
        <f t="shared" si="64"/>
        <v>0</v>
      </c>
      <c r="V263" s="3">
        <f t="shared" si="65"/>
        <v>0</v>
      </c>
      <c r="W263" s="3">
        <f t="shared" si="66"/>
        <v>0</v>
      </c>
      <c r="X263" s="3">
        <f t="shared" si="67"/>
        <v>0</v>
      </c>
      <c r="Y263" s="3">
        <f>0</f>
        <v>0</v>
      </c>
      <c r="Z263" s="3">
        <f t="shared" si="68"/>
        <v>0</v>
      </c>
      <c r="AA263">
        <f>ROUND(IF(FALSE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,0)</f>
        <v>117311</v>
      </c>
    </row>
    <row r="264" spans="1:27">
      <c r="A264" s="30">
        <f>259</f>
        <v>259</v>
      </c>
      <c r="B264" s="31">
        <f>EDATE(入力!$B$6,A264-1)</f>
        <v>54089</v>
      </c>
      <c r="C264" s="32">
        <f t="shared" si="69"/>
        <v>10674940</v>
      </c>
      <c r="D264" s="32">
        <f t="shared" si="70"/>
        <v>0</v>
      </c>
      <c r="E264" s="33">
        <f>IF(AND(T263="",A264&lt;=S263),IF(A264&lt;入力!$B$11,入力!$B$10,入力!$B$12),0)</f>
        <v>2.5000000000000001E-2</v>
      </c>
      <c r="F264" s="32">
        <f t="shared" si="71"/>
        <v>22239</v>
      </c>
      <c r="G264" s="32">
        <f>ROUND(IF(NOT(AND(T263="",A264&lt;=S263)),0,IF(FALSE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),0)</f>
        <v>117311</v>
      </c>
      <c r="H264" s="32">
        <f t="shared" si="72"/>
        <v>117311</v>
      </c>
      <c r="I264" s="32">
        <f t="shared" si="73"/>
        <v>22239</v>
      </c>
      <c r="J264" s="32">
        <f t="shared" si="74"/>
        <v>0</v>
      </c>
      <c r="K264" s="32">
        <f t="shared" si="75"/>
        <v>0</v>
      </c>
      <c r="L264" s="32">
        <f t="shared" si="76"/>
        <v>95072</v>
      </c>
      <c r="M264" s="32">
        <f>IF(AND(AND(T263="",A264&lt;=S263),A264=入力!$B$15),ROUND(MIN(入力!$B$16,MAX(0,C264-L264)),0),0)</f>
        <v>0</v>
      </c>
      <c r="N264" s="32">
        <f t="shared" si="77"/>
        <v>10579868</v>
      </c>
      <c r="O264" s="32">
        <f t="shared" si="78"/>
        <v>9573817</v>
      </c>
      <c r="P264" s="34" t="str">
        <f>IF(NOT(AND(T263="",A264&lt;=S263)),"",IF(FALSE,"繰上返済後再計算","")&amp;IF(AND(入力!$B$13="有効",A264&gt;1,MOD(A264-1,60)=0),IF(FALSE,"・","")&amp;"5年見直し","")&amp;IF(AND(A264=入力!$B$11,A264&gt;1),IF(OR(FALSE,AND(入力!$B$13="有効",A264&gt;1,MOD(A264-1,60)=0)),"・","")&amp;"金利変更","")&amp;IF(AND(OR(AND(入力!$B$13="有効",A264&gt;1,MOD(A264-1,60)=0),AND(A264=入力!$B$11,A264&gt;1)),入力!$B$14="有効",IF(E264=0,ROUND(C264/MAX(1,S263-A264+1),0),ROUND(-PMT(E264/12,MAX(1,S263-A264+1),C264),0))&gt;ROUND(G263*1.25,0),NOT(FALSE)),"・上限適用",""))</f>
        <v/>
      </c>
      <c r="Q264" s="35" t="str">
        <f>IF(AND(T263="",A264&lt;=S263),入力!$B$13,"")</f>
        <v>有効</v>
      </c>
      <c r="R264" s="32" t="str">
        <f>IF(AND(AND(T263="",A264&lt;=S263),OR(AND(入力!$B$13="有効",A264&gt;1,MOD(A264-1,60)=0),AND(A264=入力!$B$11,A264&gt;1)),入力!$B$14="有効"),ROUND(G263*1.25,0),"")</f>
        <v/>
      </c>
      <c r="S264" s="36">
        <f>IF(A264&lt;&gt;入力!$B$15,S263,IF(K264&lt;&gt;0,S263,IF(G264&lt;=F264,S263,IF(M264&lt;=0,S263,IF(AND(N264&gt;0,E264&gt;0,G264&lt;=N264*E264/12),S263,IF(A264+IF(N264=0,0,IF(E264=0,ROUNDUP(N264/G264,0),ROUNDUP(NPER(E264/12,-G264,N264),0)))&lt;S263,A264+IF(N264=0,0,IF(E264=0,ROUNDUP(N264/G264,0),ROUNDUP(NPER(E264/12,-G264,N264),0))),S263))))))</f>
        <v>359</v>
      </c>
      <c r="T264" s="35" t="str">
        <f t="shared" si="79"/>
        <v/>
      </c>
      <c r="U264" s="3">
        <f t="shared" si="64"/>
        <v>0</v>
      </c>
      <c r="V264" s="3">
        <f t="shared" si="65"/>
        <v>0</v>
      </c>
      <c r="W264" s="3">
        <f t="shared" si="66"/>
        <v>0</v>
      </c>
      <c r="X264" s="3">
        <f t="shared" si="67"/>
        <v>0</v>
      </c>
      <c r="Y264" s="3">
        <f>0</f>
        <v>0</v>
      </c>
      <c r="Z264" s="3">
        <f t="shared" si="68"/>
        <v>0</v>
      </c>
      <c r="AA264">
        <f>ROUND(IF(FALSE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,0)</f>
        <v>117311</v>
      </c>
    </row>
    <row r="265" spans="1:27">
      <c r="A265" s="30">
        <f>260</f>
        <v>260</v>
      </c>
      <c r="B265" s="31">
        <f>EDATE(入力!$B$6,A265-1)</f>
        <v>54118</v>
      </c>
      <c r="C265" s="32">
        <f t="shared" si="69"/>
        <v>10579868</v>
      </c>
      <c r="D265" s="32">
        <f t="shared" si="70"/>
        <v>0</v>
      </c>
      <c r="E265" s="33">
        <f>IF(AND(T264="",A265&lt;=S264),IF(A265&lt;入力!$B$11,入力!$B$10,入力!$B$12),0)</f>
        <v>2.5000000000000001E-2</v>
      </c>
      <c r="F265" s="32">
        <f t="shared" si="71"/>
        <v>22041</v>
      </c>
      <c r="G265" s="32">
        <f>ROUND(IF(NOT(AND(T264="",A265&lt;=S264)),0,IF(FALSE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),0)</f>
        <v>117311</v>
      </c>
      <c r="H265" s="32">
        <f t="shared" si="72"/>
        <v>117311</v>
      </c>
      <c r="I265" s="32">
        <f t="shared" si="73"/>
        <v>22041</v>
      </c>
      <c r="J265" s="32">
        <f t="shared" si="74"/>
        <v>0</v>
      </c>
      <c r="K265" s="32">
        <f t="shared" si="75"/>
        <v>0</v>
      </c>
      <c r="L265" s="32">
        <f t="shared" si="76"/>
        <v>95270</v>
      </c>
      <c r="M265" s="32">
        <f>IF(AND(AND(T264="",A265&lt;=S264),A265=入力!$B$15),ROUND(MIN(入力!$B$16,MAX(0,C265-L265)),0),0)</f>
        <v>0</v>
      </c>
      <c r="N265" s="32">
        <f t="shared" si="77"/>
        <v>10484598</v>
      </c>
      <c r="O265" s="32">
        <f t="shared" si="78"/>
        <v>9595858</v>
      </c>
      <c r="P265" s="34" t="str">
        <f>IF(NOT(AND(T264="",A265&lt;=S264)),"",IF(FALSE,"繰上返済後再計算","")&amp;IF(AND(入力!$B$13="有効",A265&gt;1,MOD(A265-1,60)=0),IF(FALSE,"・","")&amp;"5年見直し","")&amp;IF(AND(A265=入力!$B$11,A265&gt;1),IF(OR(FALSE,AND(入力!$B$13="有効",A265&gt;1,MOD(A265-1,60)=0)),"・","")&amp;"金利変更","")&amp;IF(AND(OR(AND(入力!$B$13="有効",A265&gt;1,MOD(A265-1,60)=0),AND(A265=入力!$B$11,A265&gt;1)),入力!$B$14="有効",IF(E265=0,ROUND(C265/MAX(1,S264-A265+1),0),ROUND(-PMT(E265/12,MAX(1,S264-A265+1),C265),0))&gt;ROUND(G264*1.25,0),NOT(FALSE)),"・上限適用",""))</f>
        <v/>
      </c>
      <c r="Q265" s="35" t="str">
        <f>IF(AND(T264="",A265&lt;=S264),入力!$B$13,"")</f>
        <v>有効</v>
      </c>
      <c r="R265" s="32" t="str">
        <f>IF(AND(AND(T264="",A265&lt;=S264),OR(AND(入力!$B$13="有効",A265&gt;1,MOD(A265-1,60)=0),AND(A265=入力!$B$11,A265&gt;1)),入力!$B$14="有効"),ROUND(G264*1.25,0),"")</f>
        <v/>
      </c>
      <c r="S265" s="36">
        <f>IF(A265&lt;&gt;入力!$B$15,S264,IF(K265&lt;&gt;0,S264,IF(G265&lt;=F265,S264,IF(M265&lt;=0,S264,IF(AND(N265&gt;0,E265&gt;0,G265&lt;=N265*E265/12),S264,IF(A265+IF(N265=0,0,IF(E265=0,ROUNDUP(N265/G265,0),ROUNDUP(NPER(E265/12,-G265,N265),0)))&lt;S264,A265+IF(N265=0,0,IF(E265=0,ROUNDUP(N265/G265,0),ROUNDUP(NPER(E265/12,-G265,N265),0))),S264))))))</f>
        <v>359</v>
      </c>
      <c r="T265" s="35" t="str">
        <f t="shared" si="79"/>
        <v/>
      </c>
      <c r="U265" s="3">
        <f t="shared" si="64"/>
        <v>0</v>
      </c>
      <c r="V265" s="3">
        <f t="shared" si="65"/>
        <v>0</v>
      </c>
      <c r="W265" s="3">
        <f t="shared" si="66"/>
        <v>0</v>
      </c>
      <c r="X265" s="3">
        <f t="shared" si="67"/>
        <v>0</v>
      </c>
      <c r="Y265" s="3">
        <f>0</f>
        <v>0</v>
      </c>
      <c r="Z265" s="3">
        <f t="shared" si="68"/>
        <v>0</v>
      </c>
      <c r="AA265">
        <f>ROUND(IF(FALSE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,0)</f>
        <v>117311</v>
      </c>
    </row>
    <row r="266" spans="1:27">
      <c r="A266" s="30">
        <f>261</f>
        <v>261</v>
      </c>
      <c r="B266" s="31">
        <f>EDATE(入力!$B$6,A266-1)</f>
        <v>54149</v>
      </c>
      <c r="C266" s="32">
        <f t="shared" si="69"/>
        <v>10484598</v>
      </c>
      <c r="D266" s="32">
        <f t="shared" si="70"/>
        <v>0</v>
      </c>
      <c r="E266" s="33">
        <f>IF(AND(T265="",A266&lt;=S265),IF(A266&lt;入力!$B$11,入力!$B$10,入力!$B$12),0)</f>
        <v>2.5000000000000001E-2</v>
      </c>
      <c r="F266" s="32">
        <f t="shared" si="71"/>
        <v>21843</v>
      </c>
      <c r="G266" s="32">
        <f>ROUND(IF(NOT(AND(T265="",A266&lt;=S265)),0,IF(FALSE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),0)</f>
        <v>117311</v>
      </c>
      <c r="H266" s="32">
        <f t="shared" si="72"/>
        <v>117311</v>
      </c>
      <c r="I266" s="32">
        <f t="shared" si="73"/>
        <v>21843</v>
      </c>
      <c r="J266" s="32">
        <f t="shared" si="74"/>
        <v>0</v>
      </c>
      <c r="K266" s="32">
        <f t="shared" si="75"/>
        <v>0</v>
      </c>
      <c r="L266" s="32">
        <f t="shared" si="76"/>
        <v>95468</v>
      </c>
      <c r="M266" s="32">
        <f>IF(AND(AND(T265="",A266&lt;=S265),A266=入力!$B$15),ROUND(MIN(入力!$B$16,MAX(0,C266-L266)),0),0)</f>
        <v>0</v>
      </c>
      <c r="N266" s="32">
        <f t="shared" si="77"/>
        <v>10389130</v>
      </c>
      <c r="O266" s="32">
        <f t="shared" si="78"/>
        <v>9617701</v>
      </c>
      <c r="P266" s="34" t="str">
        <f>IF(NOT(AND(T265="",A266&lt;=S265)),"",IF(FALSE,"繰上返済後再計算","")&amp;IF(AND(入力!$B$13="有効",A266&gt;1,MOD(A266-1,60)=0),IF(FALSE,"・","")&amp;"5年見直し","")&amp;IF(AND(A266=入力!$B$11,A266&gt;1),IF(OR(FALSE,AND(入力!$B$13="有効",A266&gt;1,MOD(A266-1,60)=0)),"・","")&amp;"金利変更","")&amp;IF(AND(OR(AND(入力!$B$13="有効",A266&gt;1,MOD(A266-1,60)=0),AND(A266=入力!$B$11,A266&gt;1)),入力!$B$14="有効",IF(E266=0,ROUND(C266/MAX(1,S265-A266+1),0),ROUND(-PMT(E266/12,MAX(1,S265-A266+1),C266),0))&gt;ROUND(G265*1.25,0),NOT(FALSE)),"・上限適用",""))</f>
        <v/>
      </c>
      <c r="Q266" s="35" t="str">
        <f>IF(AND(T265="",A266&lt;=S265),入力!$B$13,"")</f>
        <v>有効</v>
      </c>
      <c r="R266" s="32" t="str">
        <f>IF(AND(AND(T265="",A266&lt;=S265),OR(AND(入力!$B$13="有効",A266&gt;1,MOD(A266-1,60)=0),AND(A266=入力!$B$11,A266&gt;1)),入力!$B$14="有効"),ROUND(G265*1.25,0),"")</f>
        <v/>
      </c>
      <c r="S266" s="36">
        <f>IF(A266&lt;&gt;入力!$B$15,S265,IF(K266&lt;&gt;0,S265,IF(G266&lt;=F266,S265,IF(M266&lt;=0,S265,IF(AND(N266&gt;0,E266&gt;0,G266&lt;=N266*E266/12),S265,IF(A266+IF(N266=0,0,IF(E266=0,ROUNDUP(N266/G266,0),ROUNDUP(NPER(E266/12,-G266,N266),0)))&lt;S265,A266+IF(N266=0,0,IF(E266=0,ROUNDUP(N266/G266,0),ROUNDUP(NPER(E266/12,-G266,N266),0))),S265))))))</f>
        <v>359</v>
      </c>
      <c r="T266" s="35" t="str">
        <f t="shared" si="79"/>
        <v/>
      </c>
      <c r="U266" s="3">
        <f t="shared" si="64"/>
        <v>0</v>
      </c>
      <c r="V266" s="3">
        <f t="shared" si="65"/>
        <v>0</v>
      </c>
      <c r="W266" s="3">
        <f t="shared" si="66"/>
        <v>0</v>
      </c>
      <c r="X266" s="3">
        <f t="shared" si="67"/>
        <v>0</v>
      </c>
      <c r="Y266" s="3">
        <f>0</f>
        <v>0</v>
      </c>
      <c r="Z266" s="3">
        <f t="shared" si="68"/>
        <v>0</v>
      </c>
      <c r="AA266">
        <f>ROUND(IF(FALSE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,0)</f>
        <v>117311</v>
      </c>
    </row>
    <row r="267" spans="1:27">
      <c r="A267" s="30">
        <f>262</f>
        <v>262</v>
      </c>
      <c r="B267" s="31">
        <f>EDATE(入力!$B$6,A267-1)</f>
        <v>54179</v>
      </c>
      <c r="C267" s="32">
        <f t="shared" si="69"/>
        <v>10389130</v>
      </c>
      <c r="D267" s="32">
        <f t="shared" si="70"/>
        <v>0</v>
      </c>
      <c r="E267" s="33">
        <f>IF(AND(T266="",A267&lt;=S266),IF(A267&lt;入力!$B$11,入力!$B$10,入力!$B$12),0)</f>
        <v>2.5000000000000001E-2</v>
      </c>
      <c r="F267" s="32">
        <f t="shared" si="71"/>
        <v>21644</v>
      </c>
      <c r="G267" s="32">
        <f>ROUND(IF(NOT(AND(T266="",A267&lt;=S266)),0,IF(FALSE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),0)</f>
        <v>117311</v>
      </c>
      <c r="H267" s="32">
        <f t="shared" si="72"/>
        <v>117311</v>
      </c>
      <c r="I267" s="32">
        <f t="shared" si="73"/>
        <v>21644</v>
      </c>
      <c r="J267" s="32">
        <f t="shared" si="74"/>
        <v>0</v>
      </c>
      <c r="K267" s="32">
        <f t="shared" si="75"/>
        <v>0</v>
      </c>
      <c r="L267" s="32">
        <f t="shared" si="76"/>
        <v>95667</v>
      </c>
      <c r="M267" s="32">
        <f>IF(AND(AND(T266="",A267&lt;=S266),A267=入力!$B$15),ROUND(MIN(入力!$B$16,MAX(0,C267-L267)),0),0)</f>
        <v>0</v>
      </c>
      <c r="N267" s="32">
        <f t="shared" si="77"/>
        <v>10293463</v>
      </c>
      <c r="O267" s="32">
        <f t="shared" si="78"/>
        <v>9639345</v>
      </c>
      <c r="P267" s="34" t="str">
        <f>IF(NOT(AND(T266="",A267&lt;=S266)),"",IF(FALSE,"繰上返済後再計算","")&amp;IF(AND(入力!$B$13="有効",A267&gt;1,MOD(A267-1,60)=0),IF(FALSE,"・","")&amp;"5年見直し","")&amp;IF(AND(A267=入力!$B$11,A267&gt;1),IF(OR(FALSE,AND(入力!$B$13="有効",A267&gt;1,MOD(A267-1,60)=0)),"・","")&amp;"金利変更","")&amp;IF(AND(OR(AND(入力!$B$13="有効",A267&gt;1,MOD(A267-1,60)=0),AND(A267=入力!$B$11,A267&gt;1)),入力!$B$14="有効",IF(E267=0,ROUND(C267/MAX(1,S266-A267+1),0),ROUND(-PMT(E267/12,MAX(1,S266-A267+1),C267),0))&gt;ROUND(G266*1.25,0),NOT(FALSE)),"・上限適用",""))</f>
        <v/>
      </c>
      <c r="Q267" s="35" t="str">
        <f>IF(AND(T266="",A267&lt;=S266),入力!$B$13,"")</f>
        <v>有効</v>
      </c>
      <c r="R267" s="32" t="str">
        <f>IF(AND(AND(T266="",A267&lt;=S266),OR(AND(入力!$B$13="有効",A267&gt;1,MOD(A267-1,60)=0),AND(A267=入力!$B$11,A267&gt;1)),入力!$B$14="有効"),ROUND(G266*1.25,0),"")</f>
        <v/>
      </c>
      <c r="S267" s="36">
        <f>IF(A267&lt;&gt;入力!$B$15,S266,IF(K267&lt;&gt;0,S266,IF(G267&lt;=F267,S266,IF(M267&lt;=0,S266,IF(AND(N267&gt;0,E267&gt;0,G267&lt;=N267*E267/12),S266,IF(A267+IF(N267=0,0,IF(E267=0,ROUNDUP(N267/G267,0),ROUNDUP(NPER(E267/12,-G267,N267),0)))&lt;S266,A267+IF(N267=0,0,IF(E267=0,ROUNDUP(N267/G267,0),ROUNDUP(NPER(E267/12,-G267,N267),0))),S266))))))</f>
        <v>359</v>
      </c>
      <c r="T267" s="35" t="str">
        <f t="shared" si="79"/>
        <v/>
      </c>
      <c r="U267" s="3">
        <f t="shared" si="64"/>
        <v>0</v>
      </c>
      <c r="V267" s="3">
        <f t="shared" si="65"/>
        <v>0</v>
      </c>
      <c r="W267" s="3">
        <f t="shared" si="66"/>
        <v>0</v>
      </c>
      <c r="X267" s="3">
        <f t="shared" si="67"/>
        <v>0</v>
      </c>
      <c r="Y267" s="3">
        <f>0</f>
        <v>0</v>
      </c>
      <c r="Z267" s="3">
        <f t="shared" si="68"/>
        <v>0</v>
      </c>
      <c r="AA267">
        <f>ROUND(IF(FALSE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,0)</f>
        <v>117311</v>
      </c>
    </row>
    <row r="268" spans="1:27">
      <c r="A268" s="30">
        <f>263</f>
        <v>263</v>
      </c>
      <c r="B268" s="31">
        <f>EDATE(入力!$B$6,A268-1)</f>
        <v>54210</v>
      </c>
      <c r="C268" s="32">
        <f t="shared" si="69"/>
        <v>10293463</v>
      </c>
      <c r="D268" s="32">
        <f t="shared" si="70"/>
        <v>0</v>
      </c>
      <c r="E268" s="33">
        <f>IF(AND(T267="",A268&lt;=S267),IF(A268&lt;入力!$B$11,入力!$B$10,入力!$B$12),0)</f>
        <v>2.5000000000000001E-2</v>
      </c>
      <c r="F268" s="32">
        <f t="shared" si="71"/>
        <v>21445</v>
      </c>
      <c r="G268" s="32">
        <f>ROUND(IF(NOT(AND(T267="",A268&lt;=S267)),0,IF(FALSE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),0)</f>
        <v>117311</v>
      </c>
      <c r="H268" s="32">
        <f t="shared" si="72"/>
        <v>117311</v>
      </c>
      <c r="I268" s="32">
        <f t="shared" si="73"/>
        <v>21445</v>
      </c>
      <c r="J268" s="32">
        <f t="shared" si="74"/>
        <v>0</v>
      </c>
      <c r="K268" s="32">
        <f t="shared" si="75"/>
        <v>0</v>
      </c>
      <c r="L268" s="32">
        <f t="shared" si="76"/>
        <v>95866</v>
      </c>
      <c r="M268" s="32">
        <f>IF(AND(AND(T267="",A268&lt;=S267),A268=入力!$B$15),ROUND(MIN(入力!$B$16,MAX(0,C268-L268)),0),0)</f>
        <v>0</v>
      </c>
      <c r="N268" s="32">
        <f t="shared" si="77"/>
        <v>10197597</v>
      </c>
      <c r="O268" s="32">
        <f t="shared" si="78"/>
        <v>9660790</v>
      </c>
      <c r="P268" s="34" t="str">
        <f>IF(NOT(AND(T267="",A268&lt;=S267)),"",IF(FALSE,"繰上返済後再計算","")&amp;IF(AND(入力!$B$13="有効",A268&gt;1,MOD(A268-1,60)=0),IF(FALSE,"・","")&amp;"5年見直し","")&amp;IF(AND(A268=入力!$B$11,A268&gt;1),IF(OR(FALSE,AND(入力!$B$13="有効",A268&gt;1,MOD(A268-1,60)=0)),"・","")&amp;"金利変更","")&amp;IF(AND(OR(AND(入力!$B$13="有効",A268&gt;1,MOD(A268-1,60)=0),AND(A268=入力!$B$11,A268&gt;1)),入力!$B$14="有効",IF(E268=0,ROUND(C268/MAX(1,S267-A268+1),0),ROUND(-PMT(E268/12,MAX(1,S267-A268+1),C268),0))&gt;ROUND(G267*1.25,0),NOT(FALSE)),"・上限適用",""))</f>
        <v/>
      </c>
      <c r="Q268" s="35" t="str">
        <f>IF(AND(T267="",A268&lt;=S267),入力!$B$13,"")</f>
        <v>有効</v>
      </c>
      <c r="R268" s="32" t="str">
        <f>IF(AND(AND(T267="",A268&lt;=S267),OR(AND(入力!$B$13="有効",A268&gt;1,MOD(A268-1,60)=0),AND(A268=入力!$B$11,A268&gt;1)),入力!$B$14="有効"),ROUND(G267*1.25,0),"")</f>
        <v/>
      </c>
      <c r="S268" s="36">
        <f>IF(A268&lt;&gt;入力!$B$15,S267,IF(K268&lt;&gt;0,S267,IF(G268&lt;=F268,S267,IF(M268&lt;=0,S267,IF(AND(N268&gt;0,E268&gt;0,G268&lt;=N268*E268/12),S267,IF(A268+IF(N268=0,0,IF(E268=0,ROUNDUP(N268/G268,0),ROUNDUP(NPER(E268/12,-G268,N268),0)))&lt;S267,A268+IF(N268=0,0,IF(E268=0,ROUNDUP(N268/G268,0),ROUNDUP(NPER(E268/12,-G268,N268),0))),S267))))))</f>
        <v>359</v>
      </c>
      <c r="T268" s="35" t="str">
        <f t="shared" si="79"/>
        <v/>
      </c>
      <c r="U268" s="3">
        <f t="shared" si="64"/>
        <v>0</v>
      </c>
      <c r="V268" s="3">
        <f t="shared" si="65"/>
        <v>0</v>
      </c>
      <c r="W268" s="3">
        <f t="shared" si="66"/>
        <v>0</v>
      </c>
      <c r="X268" s="3">
        <f t="shared" si="67"/>
        <v>0</v>
      </c>
      <c r="Y268" s="3">
        <f>0</f>
        <v>0</v>
      </c>
      <c r="Z268" s="3">
        <f t="shared" si="68"/>
        <v>0</v>
      </c>
      <c r="AA268">
        <f>ROUND(IF(FALSE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,0)</f>
        <v>117311</v>
      </c>
    </row>
    <row r="269" spans="1:27">
      <c r="A269" s="30">
        <f>264</f>
        <v>264</v>
      </c>
      <c r="B269" s="31">
        <f>EDATE(入力!$B$6,A269-1)</f>
        <v>54240</v>
      </c>
      <c r="C269" s="32">
        <f t="shared" si="69"/>
        <v>10197597</v>
      </c>
      <c r="D269" s="32">
        <f t="shared" si="70"/>
        <v>0</v>
      </c>
      <c r="E269" s="33">
        <f>IF(AND(T268="",A269&lt;=S268),IF(A269&lt;入力!$B$11,入力!$B$10,入力!$B$12),0)</f>
        <v>2.5000000000000001E-2</v>
      </c>
      <c r="F269" s="32">
        <f t="shared" si="71"/>
        <v>21245</v>
      </c>
      <c r="G269" s="32">
        <f>ROUND(IF(NOT(AND(T268="",A269&lt;=S268)),0,IF(FALSE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),0)</f>
        <v>117311</v>
      </c>
      <c r="H269" s="32">
        <f t="shared" si="72"/>
        <v>117311</v>
      </c>
      <c r="I269" s="32">
        <f t="shared" si="73"/>
        <v>21245</v>
      </c>
      <c r="J269" s="32">
        <f t="shared" si="74"/>
        <v>0</v>
      </c>
      <c r="K269" s="32">
        <f t="shared" si="75"/>
        <v>0</v>
      </c>
      <c r="L269" s="32">
        <f t="shared" si="76"/>
        <v>96066</v>
      </c>
      <c r="M269" s="32">
        <f>IF(AND(AND(T268="",A269&lt;=S268),A269=入力!$B$15),ROUND(MIN(入力!$B$16,MAX(0,C269-L269)),0),0)</f>
        <v>0</v>
      </c>
      <c r="N269" s="32">
        <f t="shared" si="77"/>
        <v>10101531</v>
      </c>
      <c r="O269" s="32">
        <f t="shared" si="78"/>
        <v>9682035</v>
      </c>
      <c r="P269" s="34" t="str">
        <f>IF(NOT(AND(T268="",A269&lt;=S268)),"",IF(FALSE,"繰上返済後再計算","")&amp;IF(AND(入力!$B$13="有効",A269&gt;1,MOD(A269-1,60)=0),IF(FALSE,"・","")&amp;"5年見直し","")&amp;IF(AND(A269=入力!$B$11,A269&gt;1),IF(OR(FALSE,AND(入力!$B$13="有効",A269&gt;1,MOD(A269-1,60)=0)),"・","")&amp;"金利変更","")&amp;IF(AND(OR(AND(入力!$B$13="有効",A269&gt;1,MOD(A269-1,60)=0),AND(A269=入力!$B$11,A269&gt;1)),入力!$B$14="有効",IF(E269=0,ROUND(C269/MAX(1,S268-A269+1),0),ROUND(-PMT(E269/12,MAX(1,S268-A269+1),C269),0))&gt;ROUND(G268*1.25,0),NOT(FALSE)),"・上限適用",""))</f>
        <v/>
      </c>
      <c r="Q269" s="35" t="str">
        <f>IF(AND(T268="",A269&lt;=S268),入力!$B$13,"")</f>
        <v>有効</v>
      </c>
      <c r="R269" s="32" t="str">
        <f>IF(AND(AND(T268="",A269&lt;=S268),OR(AND(入力!$B$13="有効",A269&gt;1,MOD(A269-1,60)=0),AND(A269=入力!$B$11,A269&gt;1)),入力!$B$14="有効"),ROUND(G268*1.25,0),"")</f>
        <v/>
      </c>
      <c r="S269" s="36">
        <f>IF(A269&lt;&gt;入力!$B$15,S268,IF(K269&lt;&gt;0,S268,IF(G269&lt;=F269,S268,IF(M269&lt;=0,S268,IF(AND(N269&gt;0,E269&gt;0,G269&lt;=N269*E269/12),S268,IF(A269+IF(N269=0,0,IF(E269=0,ROUNDUP(N269/G269,0),ROUNDUP(NPER(E269/12,-G269,N269),0)))&lt;S268,A269+IF(N269=0,0,IF(E269=0,ROUNDUP(N269/G269,0),ROUNDUP(NPER(E269/12,-G269,N269),0))),S268))))))</f>
        <v>359</v>
      </c>
      <c r="T269" s="35" t="str">
        <f t="shared" si="79"/>
        <v/>
      </c>
      <c r="U269" s="3">
        <f t="shared" si="64"/>
        <v>0</v>
      </c>
      <c r="V269" s="3">
        <f t="shared" si="65"/>
        <v>0</v>
      </c>
      <c r="W269" s="3">
        <f t="shared" si="66"/>
        <v>0</v>
      </c>
      <c r="X269" s="3">
        <f t="shared" si="67"/>
        <v>0</v>
      </c>
      <c r="Y269" s="3">
        <f>0</f>
        <v>0</v>
      </c>
      <c r="Z269" s="3">
        <f t="shared" si="68"/>
        <v>0</v>
      </c>
      <c r="AA269">
        <f>ROUND(IF(FALSE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,0)</f>
        <v>117311</v>
      </c>
    </row>
    <row r="270" spans="1:27">
      <c r="A270" s="30">
        <f>265</f>
        <v>265</v>
      </c>
      <c r="B270" s="31">
        <f>EDATE(入力!$B$6,A270-1)</f>
        <v>54271</v>
      </c>
      <c r="C270" s="32">
        <f t="shared" si="69"/>
        <v>10101531</v>
      </c>
      <c r="D270" s="32">
        <f t="shared" si="70"/>
        <v>0</v>
      </c>
      <c r="E270" s="33">
        <f>IF(AND(T269="",A270&lt;=S269),IF(A270&lt;入力!$B$11,入力!$B$10,入力!$B$12),0)</f>
        <v>2.5000000000000001E-2</v>
      </c>
      <c r="F270" s="32">
        <f t="shared" si="71"/>
        <v>21045</v>
      </c>
      <c r="G270" s="32">
        <f>ROUND(IF(NOT(AND(T269="",A270&lt;=S269)),0,IF(FALSE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),0)</f>
        <v>117311</v>
      </c>
      <c r="H270" s="32">
        <f t="shared" si="72"/>
        <v>117311</v>
      </c>
      <c r="I270" s="32">
        <f t="shared" si="73"/>
        <v>21045</v>
      </c>
      <c r="J270" s="32">
        <f t="shared" si="74"/>
        <v>0</v>
      </c>
      <c r="K270" s="32">
        <f t="shared" si="75"/>
        <v>0</v>
      </c>
      <c r="L270" s="32">
        <f t="shared" si="76"/>
        <v>96266</v>
      </c>
      <c r="M270" s="32">
        <f>IF(AND(AND(T269="",A270&lt;=S269),A270=入力!$B$15),ROUND(MIN(入力!$B$16,MAX(0,C270-L270)),0),0)</f>
        <v>0</v>
      </c>
      <c r="N270" s="32">
        <f t="shared" si="77"/>
        <v>10005265</v>
      </c>
      <c r="O270" s="32">
        <f t="shared" si="78"/>
        <v>9703080</v>
      </c>
      <c r="P270" s="34" t="str">
        <f>IF(NOT(AND(T269="",A270&lt;=S269)),"",IF(FALSE,"繰上返済後再計算","")&amp;IF(AND(入力!$B$13="有効",A270&gt;1,MOD(A270-1,60)=0),IF(FALSE,"・","")&amp;"5年見直し","")&amp;IF(AND(A270=入力!$B$11,A270&gt;1),IF(OR(FALSE,AND(入力!$B$13="有効",A270&gt;1,MOD(A270-1,60)=0)),"・","")&amp;"金利変更","")&amp;IF(AND(OR(AND(入力!$B$13="有効",A270&gt;1,MOD(A270-1,60)=0),AND(A270=入力!$B$11,A270&gt;1)),入力!$B$14="有効",IF(E270=0,ROUND(C270/MAX(1,S269-A270+1),0),ROUND(-PMT(E270/12,MAX(1,S269-A270+1),C270),0))&gt;ROUND(G269*1.25,0),NOT(FALSE)),"・上限適用",""))</f>
        <v/>
      </c>
      <c r="Q270" s="35" t="str">
        <f>IF(AND(T269="",A270&lt;=S269),入力!$B$13,"")</f>
        <v>有効</v>
      </c>
      <c r="R270" s="32" t="str">
        <f>IF(AND(AND(T269="",A270&lt;=S269),OR(AND(入力!$B$13="有効",A270&gt;1,MOD(A270-1,60)=0),AND(A270=入力!$B$11,A270&gt;1)),入力!$B$14="有効"),ROUND(G269*1.25,0),"")</f>
        <v/>
      </c>
      <c r="S270" s="36">
        <f>IF(A270&lt;&gt;入力!$B$15,S269,IF(K270&lt;&gt;0,S269,IF(G270&lt;=F270,S269,IF(M270&lt;=0,S269,IF(AND(N270&gt;0,E270&gt;0,G270&lt;=N270*E270/12),S269,IF(A270+IF(N270=0,0,IF(E270=0,ROUNDUP(N270/G270,0),ROUNDUP(NPER(E270/12,-G270,N270),0)))&lt;S269,A270+IF(N270=0,0,IF(E270=0,ROUNDUP(N270/G270,0),ROUNDUP(NPER(E270/12,-G270,N270),0))),S269))))))</f>
        <v>359</v>
      </c>
      <c r="T270" s="35" t="str">
        <f t="shared" si="79"/>
        <v/>
      </c>
      <c r="U270" s="3">
        <f t="shared" si="64"/>
        <v>0</v>
      </c>
      <c r="V270" s="3">
        <f t="shared" si="65"/>
        <v>0</v>
      </c>
      <c r="W270" s="3">
        <f t="shared" si="66"/>
        <v>0</v>
      </c>
      <c r="X270" s="3">
        <f t="shared" si="67"/>
        <v>0</v>
      </c>
      <c r="Y270" s="3">
        <f>0</f>
        <v>0</v>
      </c>
      <c r="Z270" s="3">
        <f t="shared" si="68"/>
        <v>0</v>
      </c>
      <c r="AA270">
        <f>ROUND(IF(FALSE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,0)</f>
        <v>117311</v>
      </c>
    </row>
    <row r="271" spans="1:27">
      <c r="A271" s="30">
        <f>266</f>
        <v>266</v>
      </c>
      <c r="B271" s="31">
        <f>EDATE(入力!$B$6,A271-1)</f>
        <v>54302</v>
      </c>
      <c r="C271" s="32">
        <f t="shared" si="69"/>
        <v>10005265</v>
      </c>
      <c r="D271" s="32">
        <f t="shared" si="70"/>
        <v>0</v>
      </c>
      <c r="E271" s="33">
        <f>IF(AND(T270="",A271&lt;=S270),IF(A271&lt;入力!$B$11,入力!$B$10,入力!$B$12),0)</f>
        <v>2.5000000000000001E-2</v>
      </c>
      <c r="F271" s="32">
        <f t="shared" si="71"/>
        <v>20844</v>
      </c>
      <c r="G271" s="32">
        <f>ROUND(IF(NOT(AND(T270="",A271&lt;=S270)),0,IF(FALSE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),0)</f>
        <v>117311</v>
      </c>
      <c r="H271" s="32">
        <f t="shared" si="72"/>
        <v>117311</v>
      </c>
      <c r="I271" s="32">
        <f t="shared" si="73"/>
        <v>20844</v>
      </c>
      <c r="J271" s="32">
        <f t="shared" si="74"/>
        <v>0</v>
      </c>
      <c r="K271" s="32">
        <f t="shared" si="75"/>
        <v>0</v>
      </c>
      <c r="L271" s="32">
        <f t="shared" si="76"/>
        <v>96467</v>
      </c>
      <c r="M271" s="32">
        <f>IF(AND(AND(T270="",A271&lt;=S270),A271=入力!$B$15),ROUND(MIN(入力!$B$16,MAX(0,C271-L271)),0),0)</f>
        <v>0</v>
      </c>
      <c r="N271" s="32">
        <f t="shared" si="77"/>
        <v>9908798</v>
      </c>
      <c r="O271" s="32">
        <f t="shared" si="78"/>
        <v>9723924</v>
      </c>
      <c r="P271" s="34" t="str">
        <f>IF(NOT(AND(T270="",A271&lt;=S270)),"",IF(FALSE,"繰上返済後再計算","")&amp;IF(AND(入力!$B$13="有効",A271&gt;1,MOD(A271-1,60)=0),IF(FALSE,"・","")&amp;"5年見直し","")&amp;IF(AND(A271=入力!$B$11,A271&gt;1),IF(OR(FALSE,AND(入力!$B$13="有効",A271&gt;1,MOD(A271-1,60)=0)),"・","")&amp;"金利変更","")&amp;IF(AND(OR(AND(入力!$B$13="有効",A271&gt;1,MOD(A271-1,60)=0),AND(A271=入力!$B$11,A271&gt;1)),入力!$B$14="有効",IF(E271=0,ROUND(C271/MAX(1,S270-A271+1),0),ROUND(-PMT(E271/12,MAX(1,S270-A271+1),C271),0))&gt;ROUND(G270*1.25,0),NOT(FALSE)),"・上限適用",""))</f>
        <v/>
      </c>
      <c r="Q271" s="35" t="str">
        <f>IF(AND(T270="",A271&lt;=S270),入力!$B$13,"")</f>
        <v>有効</v>
      </c>
      <c r="R271" s="32" t="str">
        <f>IF(AND(AND(T270="",A271&lt;=S270),OR(AND(入力!$B$13="有効",A271&gt;1,MOD(A271-1,60)=0),AND(A271=入力!$B$11,A271&gt;1)),入力!$B$14="有効"),ROUND(G270*1.25,0),"")</f>
        <v/>
      </c>
      <c r="S271" s="36">
        <f>IF(A271&lt;&gt;入力!$B$15,S270,IF(K271&lt;&gt;0,S270,IF(G271&lt;=F271,S270,IF(M271&lt;=0,S270,IF(AND(N271&gt;0,E271&gt;0,G271&lt;=N271*E271/12),S270,IF(A271+IF(N271=0,0,IF(E271=0,ROUNDUP(N271/G271,0),ROUNDUP(NPER(E271/12,-G271,N271),0)))&lt;S270,A271+IF(N271=0,0,IF(E271=0,ROUNDUP(N271/G271,0),ROUNDUP(NPER(E271/12,-G271,N271),0))),S270))))))</f>
        <v>359</v>
      </c>
      <c r="T271" s="35" t="str">
        <f t="shared" si="79"/>
        <v/>
      </c>
      <c r="U271" s="3">
        <f t="shared" si="64"/>
        <v>0</v>
      </c>
      <c r="V271" s="3">
        <f t="shared" si="65"/>
        <v>0</v>
      </c>
      <c r="W271" s="3">
        <f t="shared" si="66"/>
        <v>0</v>
      </c>
      <c r="X271" s="3">
        <f t="shared" si="67"/>
        <v>0</v>
      </c>
      <c r="Y271" s="3">
        <f>0</f>
        <v>0</v>
      </c>
      <c r="Z271" s="3">
        <f t="shared" si="68"/>
        <v>0</v>
      </c>
      <c r="AA271">
        <f>ROUND(IF(FALSE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,0)</f>
        <v>117311</v>
      </c>
    </row>
    <row r="272" spans="1:27">
      <c r="A272" s="30">
        <f>267</f>
        <v>267</v>
      </c>
      <c r="B272" s="31">
        <f>EDATE(入力!$B$6,A272-1)</f>
        <v>54332</v>
      </c>
      <c r="C272" s="32">
        <f t="shared" si="69"/>
        <v>9908798</v>
      </c>
      <c r="D272" s="32">
        <f t="shared" si="70"/>
        <v>0</v>
      </c>
      <c r="E272" s="33">
        <f>IF(AND(T271="",A272&lt;=S271),IF(A272&lt;入力!$B$11,入力!$B$10,入力!$B$12),0)</f>
        <v>2.5000000000000001E-2</v>
      </c>
      <c r="F272" s="32">
        <f t="shared" si="71"/>
        <v>20643</v>
      </c>
      <c r="G272" s="32">
        <f>ROUND(IF(NOT(AND(T271="",A272&lt;=S271)),0,IF(FALSE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),0)</f>
        <v>117311</v>
      </c>
      <c r="H272" s="32">
        <f t="shared" si="72"/>
        <v>117311</v>
      </c>
      <c r="I272" s="32">
        <f t="shared" si="73"/>
        <v>20643</v>
      </c>
      <c r="J272" s="32">
        <f t="shared" si="74"/>
        <v>0</v>
      </c>
      <c r="K272" s="32">
        <f t="shared" si="75"/>
        <v>0</v>
      </c>
      <c r="L272" s="32">
        <f t="shared" si="76"/>
        <v>96668</v>
      </c>
      <c r="M272" s="32">
        <f>IF(AND(AND(T271="",A272&lt;=S271),A272=入力!$B$15),ROUND(MIN(入力!$B$16,MAX(0,C272-L272)),0),0)</f>
        <v>0</v>
      </c>
      <c r="N272" s="32">
        <f t="shared" si="77"/>
        <v>9812130</v>
      </c>
      <c r="O272" s="32">
        <f t="shared" si="78"/>
        <v>9744567</v>
      </c>
      <c r="P272" s="34" t="str">
        <f>IF(NOT(AND(T271="",A272&lt;=S271)),"",IF(FALSE,"繰上返済後再計算","")&amp;IF(AND(入力!$B$13="有効",A272&gt;1,MOD(A272-1,60)=0),IF(FALSE,"・","")&amp;"5年見直し","")&amp;IF(AND(A272=入力!$B$11,A272&gt;1),IF(OR(FALSE,AND(入力!$B$13="有効",A272&gt;1,MOD(A272-1,60)=0)),"・","")&amp;"金利変更","")&amp;IF(AND(OR(AND(入力!$B$13="有効",A272&gt;1,MOD(A272-1,60)=0),AND(A272=入力!$B$11,A272&gt;1)),入力!$B$14="有効",IF(E272=0,ROUND(C272/MAX(1,S271-A272+1),0),ROUND(-PMT(E272/12,MAX(1,S271-A272+1),C272),0))&gt;ROUND(G271*1.25,0),NOT(FALSE)),"・上限適用",""))</f>
        <v/>
      </c>
      <c r="Q272" s="35" t="str">
        <f>IF(AND(T271="",A272&lt;=S271),入力!$B$13,"")</f>
        <v>有効</v>
      </c>
      <c r="R272" s="32" t="str">
        <f>IF(AND(AND(T271="",A272&lt;=S271),OR(AND(入力!$B$13="有効",A272&gt;1,MOD(A272-1,60)=0),AND(A272=入力!$B$11,A272&gt;1)),入力!$B$14="有効"),ROUND(G271*1.25,0),"")</f>
        <v/>
      </c>
      <c r="S272" s="36">
        <f>IF(A272&lt;&gt;入力!$B$15,S271,IF(K272&lt;&gt;0,S271,IF(G272&lt;=F272,S271,IF(M272&lt;=0,S271,IF(AND(N272&gt;0,E272&gt;0,G272&lt;=N272*E272/12),S271,IF(A272+IF(N272=0,0,IF(E272=0,ROUNDUP(N272/G272,0),ROUNDUP(NPER(E272/12,-G272,N272),0)))&lt;S271,A272+IF(N272=0,0,IF(E272=0,ROUNDUP(N272/G272,0),ROUNDUP(NPER(E272/12,-G272,N272),0))),S271))))))</f>
        <v>359</v>
      </c>
      <c r="T272" s="35" t="str">
        <f t="shared" si="79"/>
        <v/>
      </c>
      <c r="U272" s="3">
        <f t="shared" si="64"/>
        <v>0</v>
      </c>
      <c r="V272" s="3">
        <f t="shared" si="65"/>
        <v>0</v>
      </c>
      <c r="W272" s="3">
        <f t="shared" si="66"/>
        <v>0</v>
      </c>
      <c r="X272" s="3">
        <f t="shared" si="67"/>
        <v>0</v>
      </c>
      <c r="Y272" s="3">
        <f>0</f>
        <v>0</v>
      </c>
      <c r="Z272" s="3">
        <f t="shared" si="68"/>
        <v>0</v>
      </c>
      <c r="AA272">
        <f>ROUND(IF(FALSE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,0)</f>
        <v>117311</v>
      </c>
    </row>
    <row r="273" spans="1:27">
      <c r="A273" s="30">
        <f>268</f>
        <v>268</v>
      </c>
      <c r="B273" s="31">
        <f>EDATE(入力!$B$6,A273-1)</f>
        <v>54363</v>
      </c>
      <c r="C273" s="32">
        <f t="shared" si="69"/>
        <v>9812130</v>
      </c>
      <c r="D273" s="32">
        <f t="shared" si="70"/>
        <v>0</v>
      </c>
      <c r="E273" s="33">
        <f>IF(AND(T272="",A273&lt;=S272),IF(A273&lt;入力!$B$11,入力!$B$10,入力!$B$12),0)</f>
        <v>2.5000000000000001E-2</v>
      </c>
      <c r="F273" s="32">
        <f t="shared" si="71"/>
        <v>20442</v>
      </c>
      <c r="G273" s="32">
        <f>ROUND(IF(NOT(AND(T272="",A273&lt;=S272)),0,IF(FALSE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),0)</f>
        <v>117311</v>
      </c>
      <c r="H273" s="32">
        <f t="shared" si="72"/>
        <v>117311</v>
      </c>
      <c r="I273" s="32">
        <f t="shared" si="73"/>
        <v>20442</v>
      </c>
      <c r="J273" s="32">
        <f t="shared" si="74"/>
        <v>0</v>
      </c>
      <c r="K273" s="32">
        <f t="shared" si="75"/>
        <v>0</v>
      </c>
      <c r="L273" s="32">
        <f t="shared" si="76"/>
        <v>96869</v>
      </c>
      <c r="M273" s="32">
        <f>IF(AND(AND(T272="",A273&lt;=S272),A273=入力!$B$15),ROUND(MIN(入力!$B$16,MAX(0,C273-L273)),0),0)</f>
        <v>0</v>
      </c>
      <c r="N273" s="32">
        <f t="shared" si="77"/>
        <v>9715261</v>
      </c>
      <c r="O273" s="32">
        <f t="shared" si="78"/>
        <v>9765009</v>
      </c>
      <c r="P273" s="34" t="str">
        <f>IF(NOT(AND(T272="",A273&lt;=S272)),"",IF(FALSE,"繰上返済後再計算","")&amp;IF(AND(入力!$B$13="有効",A273&gt;1,MOD(A273-1,60)=0),IF(FALSE,"・","")&amp;"5年見直し","")&amp;IF(AND(A273=入力!$B$11,A273&gt;1),IF(OR(FALSE,AND(入力!$B$13="有効",A273&gt;1,MOD(A273-1,60)=0)),"・","")&amp;"金利変更","")&amp;IF(AND(OR(AND(入力!$B$13="有効",A273&gt;1,MOD(A273-1,60)=0),AND(A273=入力!$B$11,A273&gt;1)),入力!$B$14="有効",IF(E273=0,ROUND(C273/MAX(1,S272-A273+1),0),ROUND(-PMT(E273/12,MAX(1,S272-A273+1),C273),0))&gt;ROUND(G272*1.25,0),NOT(FALSE)),"・上限適用",""))</f>
        <v/>
      </c>
      <c r="Q273" s="35" t="str">
        <f>IF(AND(T272="",A273&lt;=S272),入力!$B$13,"")</f>
        <v>有効</v>
      </c>
      <c r="R273" s="32" t="str">
        <f>IF(AND(AND(T272="",A273&lt;=S272),OR(AND(入力!$B$13="有効",A273&gt;1,MOD(A273-1,60)=0),AND(A273=入力!$B$11,A273&gt;1)),入力!$B$14="有効"),ROUND(G272*1.25,0),"")</f>
        <v/>
      </c>
      <c r="S273" s="36">
        <f>IF(A273&lt;&gt;入力!$B$15,S272,IF(K273&lt;&gt;0,S272,IF(G273&lt;=F273,S272,IF(M273&lt;=0,S272,IF(AND(N273&gt;0,E273&gt;0,G273&lt;=N273*E273/12),S272,IF(A273+IF(N273=0,0,IF(E273=0,ROUNDUP(N273/G273,0),ROUNDUP(NPER(E273/12,-G273,N273),0)))&lt;S272,A273+IF(N273=0,0,IF(E273=0,ROUNDUP(N273/G273,0),ROUNDUP(NPER(E273/12,-G273,N273),0))),S272))))))</f>
        <v>359</v>
      </c>
      <c r="T273" s="35" t="str">
        <f t="shared" si="79"/>
        <v/>
      </c>
      <c r="U273" s="3">
        <f t="shared" si="64"/>
        <v>0</v>
      </c>
      <c r="V273" s="3">
        <f t="shared" si="65"/>
        <v>0</v>
      </c>
      <c r="W273" s="3">
        <f t="shared" si="66"/>
        <v>0</v>
      </c>
      <c r="X273" s="3">
        <f t="shared" si="67"/>
        <v>0</v>
      </c>
      <c r="Y273" s="3">
        <f>0</f>
        <v>0</v>
      </c>
      <c r="Z273" s="3">
        <f t="shared" si="68"/>
        <v>0</v>
      </c>
      <c r="AA273">
        <f>ROUND(IF(FALSE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,0)</f>
        <v>117311</v>
      </c>
    </row>
    <row r="274" spans="1:27">
      <c r="A274" s="30">
        <f>269</f>
        <v>269</v>
      </c>
      <c r="B274" s="31">
        <f>EDATE(入力!$B$6,A274-1)</f>
        <v>54393</v>
      </c>
      <c r="C274" s="32">
        <f t="shared" si="69"/>
        <v>9715261</v>
      </c>
      <c r="D274" s="32">
        <f t="shared" si="70"/>
        <v>0</v>
      </c>
      <c r="E274" s="33">
        <f>IF(AND(T273="",A274&lt;=S273),IF(A274&lt;入力!$B$11,入力!$B$10,入力!$B$12),0)</f>
        <v>2.5000000000000001E-2</v>
      </c>
      <c r="F274" s="32">
        <f t="shared" si="71"/>
        <v>20240</v>
      </c>
      <c r="G274" s="32">
        <f>ROUND(IF(NOT(AND(T273="",A274&lt;=S273)),0,IF(FALSE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),0)</f>
        <v>117311</v>
      </c>
      <c r="H274" s="32">
        <f t="shared" si="72"/>
        <v>117311</v>
      </c>
      <c r="I274" s="32">
        <f t="shared" si="73"/>
        <v>20240</v>
      </c>
      <c r="J274" s="32">
        <f t="shared" si="74"/>
        <v>0</v>
      </c>
      <c r="K274" s="32">
        <f t="shared" si="75"/>
        <v>0</v>
      </c>
      <c r="L274" s="32">
        <f t="shared" si="76"/>
        <v>97071</v>
      </c>
      <c r="M274" s="32">
        <f>IF(AND(AND(T273="",A274&lt;=S273),A274=入力!$B$15),ROUND(MIN(入力!$B$16,MAX(0,C274-L274)),0),0)</f>
        <v>0</v>
      </c>
      <c r="N274" s="32">
        <f t="shared" si="77"/>
        <v>9618190</v>
      </c>
      <c r="O274" s="32">
        <f t="shared" si="78"/>
        <v>9785249</v>
      </c>
      <c r="P274" s="34" t="str">
        <f>IF(NOT(AND(T273="",A274&lt;=S273)),"",IF(FALSE,"繰上返済後再計算","")&amp;IF(AND(入力!$B$13="有効",A274&gt;1,MOD(A274-1,60)=0),IF(FALSE,"・","")&amp;"5年見直し","")&amp;IF(AND(A274=入力!$B$11,A274&gt;1),IF(OR(FALSE,AND(入力!$B$13="有効",A274&gt;1,MOD(A274-1,60)=0)),"・","")&amp;"金利変更","")&amp;IF(AND(OR(AND(入力!$B$13="有効",A274&gt;1,MOD(A274-1,60)=0),AND(A274=入力!$B$11,A274&gt;1)),入力!$B$14="有効",IF(E274=0,ROUND(C274/MAX(1,S273-A274+1),0),ROUND(-PMT(E274/12,MAX(1,S273-A274+1),C274),0))&gt;ROUND(G273*1.25,0),NOT(FALSE)),"・上限適用",""))</f>
        <v/>
      </c>
      <c r="Q274" s="35" t="str">
        <f>IF(AND(T273="",A274&lt;=S273),入力!$B$13,"")</f>
        <v>有効</v>
      </c>
      <c r="R274" s="32" t="str">
        <f>IF(AND(AND(T273="",A274&lt;=S273),OR(AND(入力!$B$13="有効",A274&gt;1,MOD(A274-1,60)=0),AND(A274=入力!$B$11,A274&gt;1)),入力!$B$14="有効"),ROUND(G273*1.25,0),"")</f>
        <v/>
      </c>
      <c r="S274" s="36">
        <f>IF(A274&lt;&gt;入力!$B$15,S273,IF(K274&lt;&gt;0,S273,IF(G274&lt;=F274,S273,IF(M274&lt;=0,S273,IF(AND(N274&gt;0,E274&gt;0,G274&lt;=N274*E274/12),S273,IF(A274+IF(N274=0,0,IF(E274=0,ROUNDUP(N274/G274,0),ROUNDUP(NPER(E274/12,-G274,N274),0)))&lt;S273,A274+IF(N274=0,0,IF(E274=0,ROUNDUP(N274/G274,0),ROUNDUP(NPER(E274/12,-G274,N274),0))),S273))))))</f>
        <v>359</v>
      </c>
      <c r="T274" s="35" t="str">
        <f t="shared" si="79"/>
        <v/>
      </c>
      <c r="U274" s="3">
        <f t="shared" si="64"/>
        <v>0</v>
      </c>
      <c r="V274" s="3">
        <f t="shared" si="65"/>
        <v>0</v>
      </c>
      <c r="W274" s="3">
        <f t="shared" si="66"/>
        <v>0</v>
      </c>
      <c r="X274" s="3">
        <f t="shared" si="67"/>
        <v>0</v>
      </c>
      <c r="Y274" s="3">
        <f>0</f>
        <v>0</v>
      </c>
      <c r="Z274" s="3">
        <f t="shared" si="68"/>
        <v>0</v>
      </c>
      <c r="AA274">
        <f>ROUND(IF(FALSE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,0)</f>
        <v>117311</v>
      </c>
    </row>
    <row r="275" spans="1:27">
      <c r="A275" s="30">
        <f>270</f>
        <v>270</v>
      </c>
      <c r="B275" s="31">
        <f>EDATE(入力!$B$6,A275-1)</f>
        <v>54424</v>
      </c>
      <c r="C275" s="32">
        <f t="shared" si="69"/>
        <v>9618190</v>
      </c>
      <c r="D275" s="32">
        <f t="shared" si="70"/>
        <v>0</v>
      </c>
      <c r="E275" s="33">
        <f>IF(AND(T274="",A275&lt;=S274),IF(A275&lt;入力!$B$11,入力!$B$10,入力!$B$12),0)</f>
        <v>2.5000000000000001E-2</v>
      </c>
      <c r="F275" s="32">
        <f t="shared" si="71"/>
        <v>20038</v>
      </c>
      <c r="G275" s="32">
        <f>ROUND(IF(NOT(AND(T274="",A275&lt;=S274)),0,IF(FALSE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),0)</f>
        <v>117311</v>
      </c>
      <c r="H275" s="32">
        <f t="shared" si="72"/>
        <v>117311</v>
      </c>
      <c r="I275" s="32">
        <f t="shared" si="73"/>
        <v>20038</v>
      </c>
      <c r="J275" s="32">
        <f t="shared" si="74"/>
        <v>0</v>
      </c>
      <c r="K275" s="32">
        <f t="shared" si="75"/>
        <v>0</v>
      </c>
      <c r="L275" s="32">
        <f t="shared" si="76"/>
        <v>97273</v>
      </c>
      <c r="M275" s="32">
        <f>IF(AND(AND(T274="",A275&lt;=S274),A275=入力!$B$15),ROUND(MIN(入力!$B$16,MAX(0,C275-L275)),0),0)</f>
        <v>0</v>
      </c>
      <c r="N275" s="32">
        <f t="shared" si="77"/>
        <v>9520917</v>
      </c>
      <c r="O275" s="32">
        <f t="shared" si="78"/>
        <v>9805287</v>
      </c>
      <c r="P275" s="34" t="str">
        <f>IF(NOT(AND(T274="",A275&lt;=S274)),"",IF(FALSE,"繰上返済後再計算","")&amp;IF(AND(入力!$B$13="有効",A275&gt;1,MOD(A275-1,60)=0),IF(FALSE,"・","")&amp;"5年見直し","")&amp;IF(AND(A275=入力!$B$11,A275&gt;1),IF(OR(FALSE,AND(入力!$B$13="有効",A275&gt;1,MOD(A275-1,60)=0)),"・","")&amp;"金利変更","")&amp;IF(AND(OR(AND(入力!$B$13="有効",A275&gt;1,MOD(A275-1,60)=0),AND(A275=入力!$B$11,A275&gt;1)),入力!$B$14="有効",IF(E275=0,ROUND(C275/MAX(1,S274-A275+1),0),ROUND(-PMT(E275/12,MAX(1,S274-A275+1),C275),0))&gt;ROUND(G274*1.25,0),NOT(FALSE)),"・上限適用",""))</f>
        <v/>
      </c>
      <c r="Q275" s="35" t="str">
        <f>IF(AND(T274="",A275&lt;=S274),入力!$B$13,"")</f>
        <v>有効</v>
      </c>
      <c r="R275" s="32" t="str">
        <f>IF(AND(AND(T274="",A275&lt;=S274),OR(AND(入力!$B$13="有効",A275&gt;1,MOD(A275-1,60)=0),AND(A275=入力!$B$11,A275&gt;1)),入力!$B$14="有効"),ROUND(G274*1.25,0),"")</f>
        <v/>
      </c>
      <c r="S275" s="36">
        <f>IF(A275&lt;&gt;入力!$B$15,S274,IF(K275&lt;&gt;0,S274,IF(G275&lt;=F275,S274,IF(M275&lt;=0,S274,IF(AND(N275&gt;0,E275&gt;0,G275&lt;=N275*E275/12),S274,IF(A275+IF(N275=0,0,IF(E275=0,ROUNDUP(N275/G275,0),ROUNDUP(NPER(E275/12,-G275,N275),0)))&lt;S274,A275+IF(N275=0,0,IF(E275=0,ROUNDUP(N275/G275,0),ROUNDUP(NPER(E275/12,-G275,N275),0))),S274))))))</f>
        <v>359</v>
      </c>
      <c r="T275" s="35" t="str">
        <f t="shared" si="79"/>
        <v/>
      </c>
      <c r="U275" s="3">
        <f t="shared" si="64"/>
        <v>0</v>
      </c>
      <c r="V275" s="3">
        <f t="shared" si="65"/>
        <v>0</v>
      </c>
      <c r="W275" s="3">
        <f t="shared" si="66"/>
        <v>0</v>
      </c>
      <c r="X275" s="3">
        <f t="shared" si="67"/>
        <v>0</v>
      </c>
      <c r="Y275" s="3">
        <f>0</f>
        <v>0</v>
      </c>
      <c r="Z275" s="3">
        <f t="shared" si="68"/>
        <v>0</v>
      </c>
      <c r="AA275">
        <f>ROUND(IF(FALSE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,0)</f>
        <v>117311</v>
      </c>
    </row>
    <row r="276" spans="1:27">
      <c r="A276" s="30">
        <f>271</f>
        <v>271</v>
      </c>
      <c r="B276" s="31">
        <f>EDATE(入力!$B$6,A276-1)</f>
        <v>54455</v>
      </c>
      <c r="C276" s="32">
        <f t="shared" si="69"/>
        <v>9520917</v>
      </c>
      <c r="D276" s="32">
        <f t="shared" si="70"/>
        <v>0</v>
      </c>
      <c r="E276" s="33">
        <f>IF(AND(T275="",A276&lt;=S275),IF(A276&lt;入力!$B$11,入力!$B$10,入力!$B$12),0)</f>
        <v>2.5000000000000001E-2</v>
      </c>
      <c r="F276" s="32">
        <f t="shared" si="71"/>
        <v>19835</v>
      </c>
      <c r="G276" s="32">
        <f>ROUND(IF(NOT(AND(T275="",A276&lt;=S275)),0,IF(FALSE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),0)</f>
        <v>117311</v>
      </c>
      <c r="H276" s="32">
        <f t="shared" si="72"/>
        <v>117311</v>
      </c>
      <c r="I276" s="32">
        <f t="shared" si="73"/>
        <v>19835</v>
      </c>
      <c r="J276" s="32">
        <f t="shared" si="74"/>
        <v>0</v>
      </c>
      <c r="K276" s="32">
        <f t="shared" si="75"/>
        <v>0</v>
      </c>
      <c r="L276" s="32">
        <f t="shared" si="76"/>
        <v>97476</v>
      </c>
      <c r="M276" s="32">
        <f>IF(AND(AND(T275="",A276&lt;=S275),A276=入力!$B$15),ROUND(MIN(入力!$B$16,MAX(0,C276-L276)),0),0)</f>
        <v>0</v>
      </c>
      <c r="N276" s="32">
        <f t="shared" si="77"/>
        <v>9423441</v>
      </c>
      <c r="O276" s="32">
        <f t="shared" si="78"/>
        <v>9825122</v>
      </c>
      <c r="P276" s="34" t="str">
        <f>IF(NOT(AND(T275="",A276&lt;=S275)),"",IF(FALSE,"繰上返済後再計算","")&amp;IF(AND(入力!$B$13="有効",A276&gt;1,MOD(A276-1,60)=0),IF(FALSE,"・","")&amp;"5年見直し","")&amp;IF(AND(A276=入力!$B$11,A276&gt;1),IF(OR(FALSE,AND(入力!$B$13="有効",A276&gt;1,MOD(A276-1,60)=0)),"・","")&amp;"金利変更","")&amp;IF(AND(OR(AND(入力!$B$13="有効",A276&gt;1,MOD(A276-1,60)=0),AND(A276=入力!$B$11,A276&gt;1)),入力!$B$14="有効",IF(E276=0,ROUND(C276/MAX(1,S275-A276+1),0),ROUND(-PMT(E276/12,MAX(1,S275-A276+1),C276),0))&gt;ROUND(G275*1.25,0),NOT(FALSE)),"・上限適用",""))</f>
        <v/>
      </c>
      <c r="Q276" s="35" t="str">
        <f>IF(AND(T275="",A276&lt;=S275),入力!$B$13,"")</f>
        <v>有効</v>
      </c>
      <c r="R276" s="32" t="str">
        <f>IF(AND(AND(T275="",A276&lt;=S275),OR(AND(入力!$B$13="有効",A276&gt;1,MOD(A276-1,60)=0),AND(A276=入力!$B$11,A276&gt;1)),入力!$B$14="有効"),ROUND(G275*1.25,0),"")</f>
        <v/>
      </c>
      <c r="S276" s="36">
        <f>IF(A276&lt;&gt;入力!$B$15,S275,IF(K276&lt;&gt;0,S275,IF(G276&lt;=F276,S275,IF(M276&lt;=0,S275,IF(AND(N276&gt;0,E276&gt;0,G276&lt;=N276*E276/12),S275,IF(A276+IF(N276=0,0,IF(E276=0,ROUNDUP(N276/G276,0),ROUNDUP(NPER(E276/12,-G276,N276),0)))&lt;S275,A276+IF(N276=0,0,IF(E276=0,ROUNDUP(N276/G276,0),ROUNDUP(NPER(E276/12,-G276,N276),0))),S275))))))</f>
        <v>359</v>
      </c>
      <c r="T276" s="35" t="str">
        <f t="shared" si="79"/>
        <v/>
      </c>
      <c r="U276" s="3">
        <f t="shared" si="64"/>
        <v>0</v>
      </c>
      <c r="V276" s="3">
        <f t="shared" si="65"/>
        <v>0</v>
      </c>
      <c r="W276" s="3">
        <f t="shared" si="66"/>
        <v>0</v>
      </c>
      <c r="X276" s="3">
        <f t="shared" si="67"/>
        <v>0</v>
      </c>
      <c r="Y276" s="3">
        <f>0</f>
        <v>0</v>
      </c>
      <c r="Z276" s="3">
        <f t="shared" si="68"/>
        <v>0</v>
      </c>
      <c r="AA276">
        <f>ROUND(IF(FALSE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,0)</f>
        <v>117311</v>
      </c>
    </row>
    <row r="277" spans="1:27">
      <c r="A277" s="30">
        <f>272</f>
        <v>272</v>
      </c>
      <c r="B277" s="31">
        <f>EDATE(入力!$B$6,A277-1)</f>
        <v>54483</v>
      </c>
      <c r="C277" s="32">
        <f t="shared" si="69"/>
        <v>9423441</v>
      </c>
      <c r="D277" s="32">
        <f t="shared" si="70"/>
        <v>0</v>
      </c>
      <c r="E277" s="33">
        <f>IF(AND(T276="",A277&lt;=S276),IF(A277&lt;入力!$B$11,入力!$B$10,入力!$B$12),0)</f>
        <v>2.5000000000000001E-2</v>
      </c>
      <c r="F277" s="32">
        <f t="shared" si="71"/>
        <v>19632</v>
      </c>
      <c r="G277" s="32">
        <f>ROUND(IF(NOT(AND(T276="",A277&lt;=S276)),0,IF(FALSE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),0)</f>
        <v>117311</v>
      </c>
      <c r="H277" s="32">
        <f t="shared" si="72"/>
        <v>117311</v>
      </c>
      <c r="I277" s="32">
        <f t="shared" si="73"/>
        <v>19632</v>
      </c>
      <c r="J277" s="32">
        <f t="shared" si="74"/>
        <v>0</v>
      </c>
      <c r="K277" s="32">
        <f t="shared" si="75"/>
        <v>0</v>
      </c>
      <c r="L277" s="32">
        <f t="shared" si="76"/>
        <v>97679</v>
      </c>
      <c r="M277" s="32">
        <f>IF(AND(AND(T276="",A277&lt;=S276),A277=入力!$B$15),ROUND(MIN(入力!$B$16,MAX(0,C277-L277)),0),0)</f>
        <v>0</v>
      </c>
      <c r="N277" s="32">
        <f t="shared" si="77"/>
        <v>9325762</v>
      </c>
      <c r="O277" s="32">
        <f t="shared" si="78"/>
        <v>9844754</v>
      </c>
      <c r="P277" s="34" t="str">
        <f>IF(NOT(AND(T276="",A277&lt;=S276)),"",IF(FALSE,"繰上返済後再計算","")&amp;IF(AND(入力!$B$13="有効",A277&gt;1,MOD(A277-1,60)=0),IF(FALSE,"・","")&amp;"5年見直し","")&amp;IF(AND(A277=入力!$B$11,A277&gt;1),IF(OR(FALSE,AND(入力!$B$13="有効",A277&gt;1,MOD(A277-1,60)=0)),"・","")&amp;"金利変更","")&amp;IF(AND(OR(AND(入力!$B$13="有効",A277&gt;1,MOD(A277-1,60)=0),AND(A277=入力!$B$11,A277&gt;1)),入力!$B$14="有効",IF(E277=0,ROUND(C277/MAX(1,S276-A277+1),0),ROUND(-PMT(E277/12,MAX(1,S276-A277+1),C277),0))&gt;ROUND(G276*1.25,0),NOT(FALSE)),"・上限適用",""))</f>
        <v/>
      </c>
      <c r="Q277" s="35" t="str">
        <f>IF(AND(T276="",A277&lt;=S276),入力!$B$13,"")</f>
        <v>有効</v>
      </c>
      <c r="R277" s="32" t="str">
        <f>IF(AND(AND(T276="",A277&lt;=S276),OR(AND(入力!$B$13="有効",A277&gt;1,MOD(A277-1,60)=0),AND(A277=入力!$B$11,A277&gt;1)),入力!$B$14="有効"),ROUND(G276*1.25,0),"")</f>
        <v/>
      </c>
      <c r="S277" s="36">
        <f>IF(A277&lt;&gt;入力!$B$15,S276,IF(K277&lt;&gt;0,S276,IF(G277&lt;=F277,S276,IF(M277&lt;=0,S276,IF(AND(N277&gt;0,E277&gt;0,G277&lt;=N277*E277/12),S276,IF(A277+IF(N277=0,0,IF(E277=0,ROUNDUP(N277/G277,0),ROUNDUP(NPER(E277/12,-G277,N277),0)))&lt;S276,A277+IF(N277=0,0,IF(E277=0,ROUNDUP(N277/G277,0),ROUNDUP(NPER(E277/12,-G277,N277),0))),S276))))))</f>
        <v>359</v>
      </c>
      <c r="T277" s="35" t="str">
        <f t="shared" si="79"/>
        <v/>
      </c>
      <c r="U277" s="3">
        <f t="shared" si="64"/>
        <v>0</v>
      </c>
      <c r="V277" s="3">
        <f t="shared" si="65"/>
        <v>0</v>
      </c>
      <c r="W277" s="3">
        <f t="shared" si="66"/>
        <v>0</v>
      </c>
      <c r="X277" s="3">
        <f t="shared" si="67"/>
        <v>0</v>
      </c>
      <c r="Y277" s="3">
        <f>0</f>
        <v>0</v>
      </c>
      <c r="Z277" s="3">
        <f t="shared" si="68"/>
        <v>0</v>
      </c>
      <c r="AA277">
        <f>ROUND(IF(FALSE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,0)</f>
        <v>117311</v>
      </c>
    </row>
    <row r="278" spans="1:27">
      <c r="A278" s="30">
        <f>273</f>
        <v>273</v>
      </c>
      <c r="B278" s="31">
        <f>EDATE(入力!$B$6,A278-1)</f>
        <v>54514</v>
      </c>
      <c r="C278" s="32">
        <f t="shared" si="69"/>
        <v>9325762</v>
      </c>
      <c r="D278" s="32">
        <f t="shared" si="70"/>
        <v>0</v>
      </c>
      <c r="E278" s="33">
        <f>IF(AND(T277="",A278&lt;=S277),IF(A278&lt;入力!$B$11,入力!$B$10,入力!$B$12),0)</f>
        <v>2.5000000000000001E-2</v>
      </c>
      <c r="F278" s="32">
        <f t="shared" si="71"/>
        <v>19429</v>
      </c>
      <c r="G278" s="32">
        <f>ROUND(IF(NOT(AND(T277="",A278&lt;=S277)),0,IF(FALSE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),0)</f>
        <v>117311</v>
      </c>
      <c r="H278" s="32">
        <f t="shared" si="72"/>
        <v>117311</v>
      </c>
      <c r="I278" s="32">
        <f t="shared" si="73"/>
        <v>19429</v>
      </c>
      <c r="J278" s="32">
        <f t="shared" si="74"/>
        <v>0</v>
      </c>
      <c r="K278" s="32">
        <f t="shared" si="75"/>
        <v>0</v>
      </c>
      <c r="L278" s="32">
        <f t="shared" si="76"/>
        <v>97882</v>
      </c>
      <c r="M278" s="32">
        <f>IF(AND(AND(T277="",A278&lt;=S277),A278=入力!$B$15),ROUND(MIN(入力!$B$16,MAX(0,C278-L278)),0),0)</f>
        <v>0</v>
      </c>
      <c r="N278" s="32">
        <f t="shared" si="77"/>
        <v>9227880</v>
      </c>
      <c r="O278" s="32">
        <f t="shared" si="78"/>
        <v>9864183</v>
      </c>
      <c r="P278" s="34" t="str">
        <f>IF(NOT(AND(T277="",A278&lt;=S277)),"",IF(FALSE,"繰上返済後再計算","")&amp;IF(AND(入力!$B$13="有効",A278&gt;1,MOD(A278-1,60)=0),IF(FALSE,"・","")&amp;"5年見直し","")&amp;IF(AND(A278=入力!$B$11,A278&gt;1),IF(OR(FALSE,AND(入力!$B$13="有効",A278&gt;1,MOD(A278-1,60)=0)),"・","")&amp;"金利変更","")&amp;IF(AND(OR(AND(入力!$B$13="有効",A278&gt;1,MOD(A278-1,60)=0),AND(A278=入力!$B$11,A278&gt;1)),入力!$B$14="有効",IF(E278=0,ROUND(C278/MAX(1,S277-A278+1),0),ROUND(-PMT(E278/12,MAX(1,S277-A278+1),C278),0))&gt;ROUND(G277*1.25,0),NOT(FALSE)),"・上限適用",""))</f>
        <v/>
      </c>
      <c r="Q278" s="35" t="str">
        <f>IF(AND(T277="",A278&lt;=S277),入力!$B$13,"")</f>
        <v>有効</v>
      </c>
      <c r="R278" s="32" t="str">
        <f>IF(AND(AND(T277="",A278&lt;=S277),OR(AND(入力!$B$13="有効",A278&gt;1,MOD(A278-1,60)=0),AND(A278=入力!$B$11,A278&gt;1)),入力!$B$14="有効"),ROUND(G277*1.25,0),"")</f>
        <v/>
      </c>
      <c r="S278" s="36">
        <f>IF(A278&lt;&gt;入力!$B$15,S277,IF(K278&lt;&gt;0,S277,IF(G278&lt;=F278,S277,IF(M278&lt;=0,S277,IF(AND(N278&gt;0,E278&gt;0,G278&lt;=N278*E278/12),S277,IF(A278+IF(N278=0,0,IF(E278=0,ROUNDUP(N278/G278,0),ROUNDUP(NPER(E278/12,-G278,N278),0)))&lt;S277,A278+IF(N278=0,0,IF(E278=0,ROUNDUP(N278/G278,0),ROUNDUP(NPER(E278/12,-G278,N278),0))),S277))))))</f>
        <v>359</v>
      </c>
      <c r="T278" s="35" t="str">
        <f t="shared" si="79"/>
        <v/>
      </c>
      <c r="U278" s="3">
        <f t="shared" si="64"/>
        <v>0</v>
      </c>
      <c r="V278" s="3">
        <f t="shared" si="65"/>
        <v>0</v>
      </c>
      <c r="W278" s="3">
        <f t="shared" si="66"/>
        <v>0</v>
      </c>
      <c r="X278" s="3">
        <f t="shared" si="67"/>
        <v>0</v>
      </c>
      <c r="Y278" s="3">
        <f>0</f>
        <v>0</v>
      </c>
      <c r="Z278" s="3">
        <f t="shared" si="68"/>
        <v>0</v>
      </c>
      <c r="AA278">
        <f>ROUND(IF(FALSE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,0)</f>
        <v>117311</v>
      </c>
    </row>
    <row r="279" spans="1:27">
      <c r="A279" s="30">
        <f>274</f>
        <v>274</v>
      </c>
      <c r="B279" s="31">
        <f>EDATE(入力!$B$6,A279-1)</f>
        <v>54544</v>
      </c>
      <c r="C279" s="32">
        <f t="shared" si="69"/>
        <v>9227880</v>
      </c>
      <c r="D279" s="32">
        <f t="shared" si="70"/>
        <v>0</v>
      </c>
      <c r="E279" s="33">
        <f>IF(AND(T278="",A279&lt;=S278),IF(A279&lt;入力!$B$11,入力!$B$10,入力!$B$12),0)</f>
        <v>2.5000000000000001E-2</v>
      </c>
      <c r="F279" s="32">
        <f t="shared" si="71"/>
        <v>19225</v>
      </c>
      <c r="G279" s="32">
        <f>ROUND(IF(NOT(AND(T278="",A279&lt;=S278)),0,IF(FALSE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),0)</f>
        <v>117311</v>
      </c>
      <c r="H279" s="32">
        <f t="shared" si="72"/>
        <v>117311</v>
      </c>
      <c r="I279" s="32">
        <f t="shared" si="73"/>
        <v>19225</v>
      </c>
      <c r="J279" s="32">
        <f t="shared" si="74"/>
        <v>0</v>
      </c>
      <c r="K279" s="32">
        <f t="shared" si="75"/>
        <v>0</v>
      </c>
      <c r="L279" s="32">
        <f t="shared" si="76"/>
        <v>98086</v>
      </c>
      <c r="M279" s="32">
        <f>IF(AND(AND(T278="",A279&lt;=S278),A279=入力!$B$15),ROUND(MIN(入力!$B$16,MAX(0,C279-L279)),0),0)</f>
        <v>0</v>
      </c>
      <c r="N279" s="32">
        <f t="shared" si="77"/>
        <v>9129794</v>
      </c>
      <c r="O279" s="32">
        <f t="shared" si="78"/>
        <v>9883408</v>
      </c>
      <c r="P279" s="34" t="str">
        <f>IF(NOT(AND(T278="",A279&lt;=S278)),"",IF(FALSE,"繰上返済後再計算","")&amp;IF(AND(入力!$B$13="有効",A279&gt;1,MOD(A279-1,60)=0),IF(FALSE,"・","")&amp;"5年見直し","")&amp;IF(AND(A279=入力!$B$11,A279&gt;1),IF(OR(FALSE,AND(入力!$B$13="有効",A279&gt;1,MOD(A279-1,60)=0)),"・","")&amp;"金利変更","")&amp;IF(AND(OR(AND(入力!$B$13="有効",A279&gt;1,MOD(A279-1,60)=0),AND(A279=入力!$B$11,A279&gt;1)),入力!$B$14="有効",IF(E279=0,ROUND(C279/MAX(1,S278-A279+1),0),ROUND(-PMT(E279/12,MAX(1,S278-A279+1),C279),0))&gt;ROUND(G278*1.25,0),NOT(FALSE)),"・上限適用",""))</f>
        <v/>
      </c>
      <c r="Q279" s="35" t="str">
        <f>IF(AND(T278="",A279&lt;=S278),入力!$B$13,"")</f>
        <v>有効</v>
      </c>
      <c r="R279" s="32" t="str">
        <f>IF(AND(AND(T278="",A279&lt;=S278),OR(AND(入力!$B$13="有効",A279&gt;1,MOD(A279-1,60)=0),AND(A279=入力!$B$11,A279&gt;1)),入力!$B$14="有効"),ROUND(G278*1.25,0),"")</f>
        <v/>
      </c>
      <c r="S279" s="36">
        <f>IF(A279&lt;&gt;入力!$B$15,S278,IF(K279&lt;&gt;0,S278,IF(G279&lt;=F279,S278,IF(M279&lt;=0,S278,IF(AND(N279&gt;0,E279&gt;0,G279&lt;=N279*E279/12),S278,IF(A279+IF(N279=0,0,IF(E279=0,ROUNDUP(N279/G279,0),ROUNDUP(NPER(E279/12,-G279,N279),0)))&lt;S278,A279+IF(N279=0,0,IF(E279=0,ROUNDUP(N279/G279,0),ROUNDUP(NPER(E279/12,-G279,N279),0))),S278))))))</f>
        <v>359</v>
      </c>
      <c r="T279" s="35" t="str">
        <f t="shared" si="79"/>
        <v/>
      </c>
      <c r="U279" s="3">
        <f t="shared" si="64"/>
        <v>0</v>
      </c>
      <c r="V279" s="3">
        <f t="shared" si="65"/>
        <v>0</v>
      </c>
      <c r="W279" s="3">
        <f t="shared" si="66"/>
        <v>0</v>
      </c>
      <c r="X279" s="3">
        <f t="shared" si="67"/>
        <v>0</v>
      </c>
      <c r="Y279" s="3">
        <f>0</f>
        <v>0</v>
      </c>
      <c r="Z279" s="3">
        <f t="shared" si="68"/>
        <v>0</v>
      </c>
      <c r="AA279">
        <f>ROUND(IF(FALSE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,0)</f>
        <v>117311</v>
      </c>
    </row>
    <row r="280" spans="1:27">
      <c r="A280" s="30">
        <f>275</f>
        <v>275</v>
      </c>
      <c r="B280" s="31">
        <f>EDATE(入力!$B$6,A280-1)</f>
        <v>54575</v>
      </c>
      <c r="C280" s="32">
        <f t="shared" si="69"/>
        <v>9129794</v>
      </c>
      <c r="D280" s="32">
        <f t="shared" si="70"/>
        <v>0</v>
      </c>
      <c r="E280" s="33">
        <f>IF(AND(T279="",A280&lt;=S279),IF(A280&lt;入力!$B$11,入力!$B$10,入力!$B$12),0)</f>
        <v>2.5000000000000001E-2</v>
      </c>
      <c r="F280" s="32">
        <f t="shared" si="71"/>
        <v>19020</v>
      </c>
      <c r="G280" s="32">
        <f>ROUND(IF(NOT(AND(T279="",A280&lt;=S279)),0,IF(FALSE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),0)</f>
        <v>117311</v>
      </c>
      <c r="H280" s="32">
        <f t="shared" si="72"/>
        <v>117311</v>
      </c>
      <c r="I280" s="32">
        <f t="shared" si="73"/>
        <v>19020</v>
      </c>
      <c r="J280" s="32">
        <f t="shared" si="74"/>
        <v>0</v>
      </c>
      <c r="K280" s="32">
        <f t="shared" si="75"/>
        <v>0</v>
      </c>
      <c r="L280" s="32">
        <f t="shared" si="76"/>
        <v>98291</v>
      </c>
      <c r="M280" s="32">
        <f>IF(AND(AND(T279="",A280&lt;=S279),A280=入力!$B$15),ROUND(MIN(入力!$B$16,MAX(0,C280-L280)),0),0)</f>
        <v>0</v>
      </c>
      <c r="N280" s="32">
        <f t="shared" si="77"/>
        <v>9031503</v>
      </c>
      <c r="O280" s="32">
        <f t="shared" si="78"/>
        <v>9902428</v>
      </c>
      <c r="P280" s="34" t="str">
        <f>IF(NOT(AND(T279="",A280&lt;=S279)),"",IF(FALSE,"繰上返済後再計算","")&amp;IF(AND(入力!$B$13="有効",A280&gt;1,MOD(A280-1,60)=0),IF(FALSE,"・","")&amp;"5年見直し","")&amp;IF(AND(A280=入力!$B$11,A280&gt;1),IF(OR(FALSE,AND(入力!$B$13="有効",A280&gt;1,MOD(A280-1,60)=0)),"・","")&amp;"金利変更","")&amp;IF(AND(OR(AND(入力!$B$13="有効",A280&gt;1,MOD(A280-1,60)=0),AND(A280=入力!$B$11,A280&gt;1)),入力!$B$14="有効",IF(E280=0,ROUND(C280/MAX(1,S279-A280+1),0),ROUND(-PMT(E280/12,MAX(1,S279-A280+1),C280),0))&gt;ROUND(G279*1.25,0),NOT(FALSE)),"・上限適用",""))</f>
        <v/>
      </c>
      <c r="Q280" s="35" t="str">
        <f>IF(AND(T279="",A280&lt;=S279),入力!$B$13,"")</f>
        <v>有効</v>
      </c>
      <c r="R280" s="32" t="str">
        <f>IF(AND(AND(T279="",A280&lt;=S279),OR(AND(入力!$B$13="有効",A280&gt;1,MOD(A280-1,60)=0),AND(A280=入力!$B$11,A280&gt;1)),入力!$B$14="有効"),ROUND(G279*1.25,0),"")</f>
        <v/>
      </c>
      <c r="S280" s="36">
        <f>IF(A280&lt;&gt;入力!$B$15,S279,IF(K280&lt;&gt;0,S279,IF(G280&lt;=F280,S279,IF(M280&lt;=0,S279,IF(AND(N280&gt;0,E280&gt;0,G280&lt;=N280*E280/12),S279,IF(A280+IF(N280=0,0,IF(E280=0,ROUNDUP(N280/G280,0),ROUNDUP(NPER(E280/12,-G280,N280),0)))&lt;S279,A280+IF(N280=0,0,IF(E280=0,ROUNDUP(N280/G280,0),ROUNDUP(NPER(E280/12,-G280,N280),0))),S279))))))</f>
        <v>359</v>
      </c>
      <c r="T280" s="35" t="str">
        <f t="shared" si="79"/>
        <v/>
      </c>
      <c r="U280" s="3">
        <f t="shared" si="64"/>
        <v>0</v>
      </c>
      <c r="V280" s="3">
        <f t="shared" si="65"/>
        <v>0</v>
      </c>
      <c r="W280" s="3">
        <f t="shared" si="66"/>
        <v>0</v>
      </c>
      <c r="X280" s="3">
        <f t="shared" si="67"/>
        <v>0</v>
      </c>
      <c r="Y280" s="3">
        <f>0</f>
        <v>0</v>
      </c>
      <c r="Z280" s="3">
        <f t="shared" si="68"/>
        <v>0</v>
      </c>
      <c r="AA280">
        <f>ROUND(IF(FALSE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,0)</f>
        <v>117311</v>
      </c>
    </row>
    <row r="281" spans="1:27">
      <c r="A281" s="30">
        <f>276</f>
        <v>276</v>
      </c>
      <c r="B281" s="31">
        <f>EDATE(入力!$B$6,A281-1)</f>
        <v>54605</v>
      </c>
      <c r="C281" s="32">
        <f t="shared" si="69"/>
        <v>9031503</v>
      </c>
      <c r="D281" s="32">
        <f t="shared" si="70"/>
        <v>0</v>
      </c>
      <c r="E281" s="33">
        <f>IF(AND(T280="",A281&lt;=S280),IF(A281&lt;入力!$B$11,入力!$B$10,入力!$B$12),0)</f>
        <v>2.5000000000000001E-2</v>
      </c>
      <c r="F281" s="32">
        <f t="shared" si="71"/>
        <v>18816</v>
      </c>
      <c r="G281" s="32">
        <f>ROUND(IF(NOT(AND(T280="",A281&lt;=S280)),0,IF(FALSE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),0)</f>
        <v>117311</v>
      </c>
      <c r="H281" s="32">
        <f t="shared" si="72"/>
        <v>117311</v>
      </c>
      <c r="I281" s="32">
        <f t="shared" si="73"/>
        <v>18816</v>
      </c>
      <c r="J281" s="32">
        <f t="shared" si="74"/>
        <v>0</v>
      </c>
      <c r="K281" s="32">
        <f t="shared" si="75"/>
        <v>0</v>
      </c>
      <c r="L281" s="32">
        <f t="shared" si="76"/>
        <v>98495</v>
      </c>
      <c r="M281" s="32">
        <f>IF(AND(AND(T280="",A281&lt;=S280),A281=入力!$B$15),ROUND(MIN(入力!$B$16,MAX(0,C281-L281)),0),0)</f>
        <v>0</v>
      </c>
      <c r="N281" s="32">
        <f t="shared" si="77"/>
        <v>8933008</v>
      </c>
      <c r="O281" s="32">
        <f t="shared" si="78"/>
        <v>9921244</v>
      </c>
      <c r="P281" s="34" t="str">
        <f>IF(NOT(AND(T280="",A281&lt;=S280)),"",IF(FALSE,"繰上返済後再計算","")&amp;IF(AND(入力!$B$13="有効",A281&gt;1,MOD(A281-1,60)=0),IF(FALSE,"・","")&amp;"5年見直し","")&amp;IF(AND(A281=入力!$B$11,A281&gt;1),IF(OR(FALSE,AND(入力!$B$13="有効",A281&gt;1,MOD(A281-1,60)=0)),"・","")&amp;"金利変更","")&amp;IF(AND(OR(AND(入力!$B$13="有効",A281&gt;1,MOD(A281-1,60)=0),AND(A281=入力!$B$11,A281&gt;1)),入力!$B$14="有効",IF(E281=0,ROUND(C281/MAX(1,S280-A281+1),0),ROUND(-PMT(E281/12,MAX(1,S280-A281+1),C281),0))&gt;ROUND(G280*1.25,0),NOT(FALSE)),"・上限適用",""))</f>
        <v/>
      </c>
      <c r="Q281" s="35" t="str">
        <f>IF(AND(T280="",A281&lt;=S280),入力!$B$13,"")</f>
        <v>有効</v>
      </c>
      <c r="R281" s="32" t="str">
        <f>IF(AND(AND(T280="",A281&lt;=S280),OR(AND(入力!$B$13="有効",A281&gt;1,MOD(A281-1,60)=0),AND(A281=入力!$B$11,A281&gt;1)),入力!$B$14="有効"),ROUND(G280*1.25,0),"")</f>
        <v/>
      </c>
      <c r="S281" s="36">
        <f>IF(A281&lt;&gt;入力!$B$15,S280,IF(K281&lt;&gt;0,S280,IF(G281&lt;=F281,S280,IF(M281&lt;=0,S280,IF(AND(N281&gt;0,E281&gt;0,G281&lt;=N281*E281/12),S280,IF(A281+IF(N281=0,0,IF(E281=0,ROUNDUP(N281/G281,0),ROUNDUP(NPER(E281/12,-G281,N281),0)))&lt;S280,A281+IF(N281=0,0,IF(E281=0,ROUNDUP(N281/G281,0),ROUNDUP(NPER(E281/12,-G281,N281),0))),S280))))))</f>
        <v>359</v>
      </c>
      <c r="T281" s="35" t="str">
        <f t="shared" si="79"/>
        <v/>
      </c>
      <c r="U281" s="3">
        <f t="shared" si="64"/>
        <v>0</v>
      </c>
      <c r="V281" s="3">
        <f t="shared" si="65"/>
        <v>0</v>
      </c>
      <c r="W281" s="3">
        <f t="shared" si="66"/>
        <v>0</v>
      </c>
      <c r="X281" s="3">
        <f t="shared" si="67"/>
        <v>0</v>
      </c>
      <c r="Y281" s="3">
        <f>0</f>
        <v>0</v>
      </c>
      <c r="Z281" s="3">
        <f t="shared" si="68"/>
        <v>0</v>
      </c>
      <c r="AA281">
        <f>ROUND(IF(FALSE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,0)</f>
        <v>117311</v>
      </c>
    </row>
    <row r="282" spans="1:27">
      <c r="A282" s="30">
        <f>277</f>
        <v>277</v>
      </c>
      <c r="B282" s="31">
        <f>EDATE(入力!$B$6,A282-1)</f>
        <v>54636</v>
      </c>
      <c r="C282" s="32">
        <f t="shared" si="69"/>
        <v>8933008</v>
      </c>
      <c r="D282" s="32">
        <f t="shared" si="70"/>
        <v>0</v>
      </c>
      <c r="E282" s="33">
        <f>IF(AND(T281="",A282&lt;=S281),IF(A282&lt;入力!$B$11,入力!$B$10,入力!$B$12),0)</f>
        <v>2.5000000000000001E-2</v>
      </c>
      <c r="F282" s="32">
        <f t="shared" si="71"/>
        <v>18610</v>
      </c>
      <c r="G282" s="32">
        <f>ROUND(IF(NOT(AND(T281="",A282&lt;=S281)),0,IF(FALSE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),0)</f>
        <v>117311</v>
      </c>
      <c r="H282" s="32">
        <f t="shared" si="72"/>
        <v>117311</v>
      </c>
      <c r="I282" s="32">
        <f t="shared" si="73"/>
        <v>18610</v>
      </c>
      <c r="J282" s="32">
        <f t="shared" si="74"/>
        <v>0</v>
      </c>
      <c r="K282" s="32">
        <f t="shared" si="75"/>
        <v>0</v>
      </c>
      <c r="L282" s="32">
        <f t="shared" si="76"/>
        <v>98701</v>
      </c>
      <c r="M282" s="32">
        <f>IF(AND(AND(T281="",A282&lt;=S281),A282=入力!$B$15),ROUND(MIN(入力!$B$16,MAX(0,C282-L282)),0),0)</f>
        <v>0</v>
      </c>
      <c r="N282" s="32">
        <f t="shared" si="77"/>
        <v>8834307</v>
      </c>
      <c r="O282" s="32">
        <f t="shared" si="78"/>
        <v>9939854</v>
      </c>
      <c r="P282" s="34" t="str">
        <f>IF(NOT(AND(T281="",A282&lt;=S281)),"",IF(FALSE,"繰上返済後再計算","")&amp;IF(AND(入力!$B$13="有効",A282&gt;1,MOD(A282-1,60)=0),IF(FALSE,"・","")&amp;"5年見直し","")&amp;IF(AND(A282=入力!$B$11,A282&gt;1),IF(OR(FALSE,AND(入力!$B$13="有効",A282&gt;1,MOD(A282-1,60)=0)),"・","")&amp;"金利変更","")&amp;IF(AND(OR(AND(入力!$B$13="有効",A282&gt;1,MOD(A282-1,60)=0),AND(A282=入力!$B$11,A282&gt;1)),入力!$B$14="有効",IF(E282=0,ROUND(C282/MAX(1,S281-A282+1),0),ROUND(-PMT(E282/12,MAX(1,S281-A282+1),C282),0))&gt;ROUND(G281*1.25,0),NOT(FALSE)),"・上限適用",""))</f>
        <v/>
      </c>
      <c r="Q282" s="35" t="str">
        <f>IF(AND(T281="",A282&lt;=S281),入力!$B$13,"")</f>
        <v>有効</v>
      </c>
      <c r="R282" s="32" t="str">
        <f>IF(AND(AND(T281="",A282&lt;=S281),OR(AND(入力!$B$13="有効",A282&gt;1,MOD(A282-1,60)=0),AND(A282=入力!$B$11,A282&gt;1)),入力!$B$14="有効"),ROUND(G281*1.25,0),"")</f>
        <v/>
      </c>
      <c r="S282" s="36">
        <f>IF(A282&lt;&gt;入力!$B$15,S281,IF(K282&lt;&gt;0,S281,IF(G282&lt;=F282,S281,IF(M282&lt;=0,S281,IF(AND(N282&gt;0,E282&gt;0,G282&lt;=N282*E282/12),S281,IF(A282+IF(N282=0,0,IF(E282=0,ROUNDUP(N282/G282,0),ROUNDUP(NPER(E282/12,-G282,N282),0)))&lt;S281,A282+IF(N282=0,0,IF(E282=0,ROUNDUP(N282/G282,0),ROUNDUP(NPER(E282/12,-G282,N282),0))),S281))))))</f>
        <v>359</v>
      </c>
      <c r="T282" s="35" t="str">
        <f t="shared" si="79"/>
        <v/>
      </c>
      <c r="U282" s="3">
        <f t="shared" si="64"/>
        <v>0</v>
      </c>
      <c r="V282" s="3">
        <f t="shared" si="65"/>
        <v>0</v>
      </c>
      <c r="W282" s="3">
        <f t="shared" si="66"/>
        <v>0</v>
      </c>
      <c r="X282" s="3">
        <f t="shared" si="67"/>
        <v>0</v>
      </c>
      <c r="Y282" s="3">
        <f>0</f>
        <v>0</v>
      </c>
      <c r="Z282" s="3">
        <f t="shared" si="68"/>
        <v>0</v>
      </c>
      <c r="AA282">
        <f>ROUND(IF(FALSE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,0)</f>
        <v>117311</v>
      </c>
    </row>
    <row r="283" spans="1:27">
      <c r="A283" s="30">
        <f>278</f>
        <v>278</v>
      </c>
      <c r="B283" s="31">
        <f>EDATE(入力!$B$6,A283-1)</f>
        <v>54667</v>
      </c>
      <c r="C283" s="32">
        <f t="shared" si="69"/>
        <v>8834307</v>
      </c>
      <c r="D283" s="32">
        <f t="shared" si="70"/>
        <v>0</v>
      </c>
      <c r="E283" s="33">
        <f>IF(AND(T282="",A283&lt;=S282),IF(A283&lt;入力!$B$11,入力!$B$10,入力!$B$12),0)</f>
        <v>2.5000000000000001E-2</v>
      </c>
      <c r="F283" s="32">
        <f t="shared" si="71"/>
        <v>18405</v>
      </c>
      <c r="G283" s="32">
        <f>ROUND(IF(NOT(AND(T282="",A283&lt;=S282)),0,IF(FALSE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),0)</f>
        <v>117311</v>
      </c>
      <c r="H283" s="32">
        <f t="shared" si="72"/>
        <v>117311</v>
      </c>
      <c r="I283" s="32">
        <f t="shared" si="73"/>
        <v>18405</v>
      </c>
      <c r="J283" s="32">
        <f t="shared" si="74"/>
        <v>0</v>
      </c>
      <c r="K283" s="32">
        <f t="shared" si="75"/>
        <v>0</v>
      </c>
      <c r="L283" s="32">
        <f t="shared" si="76"/>
        <v>98906</v>
      </c>
      <c r="M283" s="32">
        <f>IF(AND(AND(T282="",A283&lt;=S282),A283=入力!$B$15),ROUND(MIN(入力!$B$16,MAX(0,C283-L283)),0),0)</f>
        <v>0</v>
      </c>
      <c r="N283" s="32">
        <f t="shared" si="77"/>
        <v>8735401</v>
      </c>
      <c r="O283" s="32">
        <f t="shared" si="78"/>
        <v>9958259</v>
      </c>
      <c r="P283" s="34" t="str">
        <f>IF(NOT(AND(T282="",A283&lt;=S282)),"",IF(FALSE,"繰上返済後再計算","")&amp;IF(AND(入力!$B$13="有効",A283&gt;1,MOD(A283-1,60)=0),IF(FALSE,"・","")&amp;"5年見直し","")&amp;IF(AND(A283=入力!$B$11,A283&gt;1),IF(OR(FALSE,AND(入力!$B$13="有効",A283&gt;1,MOD(A283-1,60)=0)),"・","")&amp;"金利変更","")&amp;IF(AND(OR(AND(入力!$B$13="有効",A283&gt;1,MOD(A283-1,60)=0),AND(A283=入力!$B$11,A283&gt;1)),入力!$B$14="有効",IF(E283=0,ROUND(C283/MAX(1,S282-A283+1),0),ROUND(-PMT(E283/12,MAX(1,S282-A283+1),C283),0))&gt;ROUND(G282*1.25,0),NOT(FALSE)),"・上限適用",""))</f>
        <v/>
      </c>
      <c r="Q283" s="35" t="str">
        <f>IF(AND(T282="",A283&lt;=S282),入力!$B$13,"")</f>
        <v>有効</v>
      </c>
      <c r="R283" s="32" t="str">
        <f>IF(AND(AND(T282="",A283&lt;=S282),OR(AND(入力!$B$13="有効",A283&gt;1,MOD(A283-1,60)=0),AND(A283=入力!$B$11,A283&gt;1)),入力!$B$14="有効"),ROUND(G282*1.25,0),"")</f>
        <v/>
      </c>
      <c r="S283" s="36">
        <f>IF(A283&lt;&gt;入力!$B$15,S282,IF(K283&lt;&gt;0,S282,IF(G283&lt;=F283,S282,IF(M283&lt;=0,S282,IF(AND(N283&gt;0,E283&gt;0,G283&lt;=N283*E283/12),S282,IF(A283+IF(N283=0,0,IF(E283=0,ROUNDUP(N283/G283,0),ROUNDUP(NPER(E283/12,-G283,N283),0)))&lt;S282,A283+IF(N283=0,0,IF(E283=0,ROUNDUP(N283/G283,0),ROUNDUP(NPER(E283/12,-G283,N283),0))),S282))))))</f>
        <v>359</v>
      </c>
      <c r="T283" s="35" t="str">
        <f t="shared" si="79"/>
        <v/>
      </c>
      <c r="U283" s="3">
        <f t="shared" si="64"/>
        <v>0</v>
      </c>
      <c r="V283" s="3">
        <f t="shared" si="65"/>
        <v>0</v>
      </c>
      <c r="W283" s="3">
        <f t="shared" si="66"/>
        <v>0</v>
      </c>
      <c r="X283" s="3">
        <f t="shared" si="67"/>
        <v>0</v>
      </c>
      <c r="Y283" s="3">
        <f>0</f>
        <v>0</v>
      </c>
      <c r="Z283" s="3">
        <f t="shared" si="68"/>
        <v>0</v>
      </c>
      <c r="AA283">
        <f>ROUND(IF(FALSE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,0)</f>
        <v>117311</v>
      </c>
    </row>
    <row r="284" spans="1:27">
      <c r="A284" s="30">
        <f>279</f>
        <v>279</v>
      </c>
      <c r="B284" s="31">
        <f>EDATE(入力!$B$6,A284-1)</f>
        <v>54697</v>
      </c>
      <c r="C284" s="32">
        <f t="shared" si="69"/>
        <v>8735401</v>
      </c>
      <c r="D284" s="32">
        <f t="shared" si="70"/>
        <v>0</v>
      </c>
      <c r="E284" s="33">
        <f>IF(AND(T283="",A284&lt;=S283),IF(A284&lt;入力!$B$11,入力!$B$10,入力!$B$12),0)</f>
        <v>2.5000000000000001E-2</v>
      </c>
      <c r="F284" s="32">
        <f t="shared" si="71"/>
        <v>18199</v>
      </c>
      <c r="G284" s="32">
        <f>ROUND(IF(NOT(AND(T283="",A284&lt;=S283)),0,IF(FALSE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),0)</f>
        <v>117311</v>
      </c>
      <c r="H284" s="32">
        <f t="shared" si="72"/>
        <v>117311</v>
      </c>
      <c r="I284" s="32">
        <f t="shared" si="73"/>
        <v>18199</v>
      </c>
      <c r="J284" s="32">
        <f t="shared" si="74"/>
        <v>0</v>
      </c>
      <c r="K284" s="32">
        <f t="shared" si="75"/>
        <v>0</v>
      </c>
      <c r="L284" s="32">
        <f t="shared" si="76"/>
        <v>99112</v>
      </c>
      <c r="M284" s="32">
        <f>IF(AND(AND(T283="",A284&lt;=S283),A284=入力!$B$15),ROUND(MIN(入力!$B$16,MAX(0,C284-L284)),0),0)</f>
        <v>0</v>
      </c>
      <c r="N284" s="32">
        <f t="shared" si="77"/>
        <v>8636289</v>
      </c>
      <c r="O284" s="32">
        <f t="shared" si="78"/>
        <v>9976458</v>
      </c>
      <c r="P284" s="34" t="str">
        <f>IF(NOT(AND(T283="",A284&lt;=S283)),"",IF(FALSE,"繰上返済後再計算","")&amp;IF(AND(入力!$B$13="有効",A284&gt;1,MOD(A284-1,60)=0),IF(FALSE,"・","")&amp;"5年見直し","")&amp;IF(AND(A284=入力!$B$11,A284&gt;1),IF(OR(FALSE,AND(入力!$B$13="有効",A284&gt;1,MOD(A284-1,60)=0)),"・","")&amp;"金利変更","")&amp;IF(AND(OR(AND(入力!$B$13="有効",A284&gt;1,MOD(A284-1,60)=0),AND(A284=入力!$B$11,A284&gt;1)),入力!$B$14="有効",IF(E284=0,ROUND(C284/MAX(1,S283-A284+1),0),ROUND(-PMT(E284/12,MAX(1,S283-A284+1),C284),0))&gt;ROUND(G283*1.25,0),NOT(FALSE)),"・上限適用",""))</f>
        <v/>
      </c>
      <c r="Q284" s="35" t="str">
        <f>IF(AND(T283="",A284&lt;=S283),入力!$B$13,"")</f>
        <v>有効</v>
      </c>
      <c r="R284" s="32" t="str">
        <f>IF(AND(AND(T283="",A284&lt;=S283),OR(AND(入力!$B$13="有効",A284&gt;1,MOD(A284-1,60)=0),AND(A284=入力!$B$11,A284&gt;1)),入力!$B$14="有効"),ROUND(G283*1.25,0),"")</f>
        <v/>
      </c>
      <c r="S284" s="36">
        <f>IF(A284&lt;&gt;入力!$B$15,S283,IF(K284&lt;&gt;0,S283,IF(G284&lt;=F284,S283,IF(M284&lt;=0,S283,IF(AND(N284&gt;0,E284&gt;0,G284&lt;=N284*E284/12),S283,IF(A284+IF(N284=0,0,IF(E284=0,ROUNDUP(N284/G284,0),ROUNDUP(NPER(E284/12,-G284,N284),0)))&lt;S283,A284+IF(N284=0,0,IF(E284=0,ROUNDUP(N284/G284,0),ROUNDUP(NPER(E284/12,-G284,N284),0))),S283))))))</f>
        <v>359</v>
      </c>
      <c r="T284" s="35" t="str">
        <f t="shared" si="79"/>
        <v/>
      </c>
      <c r="U284" s="3">
        <f t="shared" si="64"/>
        <v>0</v>
      </c>
      <c r="V284" s="3">
        <f t="shared" si="65"/>
        <v>0</v>
      </c>
      <c r="W284" s="3">
        <f t="shared" si="66"/>
        <v>0</v>
      </c>
      <c r="X284" s="3">
        <f t="shared" si="67"/>
        <v>0</v>
      </c>
      <c r="Y284" s="3">
        <f>0</f>
        <v>0</v>
      </c>
      <c r="Z284" s="3">
        <f t="shared" si="68"/>
        <v>0</v>
      </c>
      <c r="AA284">
        <f>ROUND(IF(FALSE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,0)</f>
        <v>117311</v>
      </c>
    </row>
    <row r="285" spans="1:27">
      <c r="A285" s="30">
        <f>280</f>
        <v>280</v>
      </c>
      <c r="B285" s="31">
        <f>EDATE(入力!$B$6,A285-1)</f>
        <v>54728</v>
      </c>
      <c r="C285" s="32">
        <f t="shared" si="69"/>
        <v>8636289</v>
      </c>
      <c r="D285" s="32">
        <f t="shared" si="70"/>
        <v>0</v>
      </c>
      <c r="E285" s="33">
        <f>IF(AND(T284="",A285&lt;=S284),IF(A285&lt;入力!$B$11,入力!$B$10,入力!$B$12),0)</f>
        <v>2.5000000000000001E-2</v>
      </c>
      <c r="F285" s="32">
        <f t="shared" si="71"/>
        <v>17992</v>
      </c>
      <c r="G285" s="32">
        <f>ROUND(IF(NOT(AND(T284="",A285&lt;=S284)),0,IF(FALSE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),0)</f>
        <v>117311</v>
      </c>
      <c r="H285" s="32">
        <f t="shared" si="72"/>
        <v>117311</v>
      </c>
      <c r="I285" s="32">
        <f t="shared" si="73"/>
        <v>17992</v>
      </c>
      <c r="J285" s="32">
        <f t="shared" si="74"/>
        <v>0</v>
      </c>
      <c r="K285" s="32">
        <f t="shared" si="75"/>
        <v>0</v>
      </c>
      <c r="L285" s="32">
        <f t="shared" si="76"/>
        <v>99319</v>
      </c>
      <c r="M285" s="32">
        <f>IF(AND(AND(T284="",A285&lt;=S284),A285=入力!$B$15),ROUND(MIN(入力!$B$16,MAX(0,C285-L285)),0),0)</f>
        <v>0</v>
      </c>
      <c r="N285" s="32">
        <f t="shared" si="77"/>
        <v>8536970</v>
      </c>
      <c r="O285" s="32">
        <f t="shared" si="78"/>
        <v>9994450</v>
      </c>
      <c r="P285" s="34" t="str">
        <f>IF(NOT(AND(T284="",A285&lt;=S284)),"",IF(FALSE,"繰上返済後再計算","")&amp;IF(AND(入力!$B$13="有効",A285&gt;1,MOD(A285-1,60)=0),IF(FALSE,"・","")&amp;"5年見直し","")&amp;IF(AND(A285=入力!$B$11,A285&gt;1),IF(OR(FALSE,AND(入力!$B$13="有効",A285&gt;1,MOD(A285-1,60)=0)),"・","")&amp;"金利変更","")&amp;IF(AND(OR(AND(入力!$B$13="有効",A285&gt;1,MOD(A285-1,60)=0),AND(A285=入力!$B$11,A285&gt;1)),入力!$B$14="有効",IF(E285=0,ROUND(C285/MAX(1,S284-A285+1),0),ROUND(-PMT(E285/12,MAX(1,S284-A285+1),C285),0))&gt;ROUND(G284*1.25,0),NOT(FALSE)),"・上限適用",""))</f>
        <v/>
      </c>
      <c r="Q285" s="35" t="str">
        <f>IF(AND(T284="",A285&lt;=S284),入力!$B$13,"")</f>
        <v>有効</v>
      </c>
      <c r="R285" s="32" t="str">
        <f>IF(AND(AND(T284="",A285&lt;=S284),OR(AND(入力!$B$13="有効",A285&gt;1,MOD(A285-1,60)=0),AND(A285=入力!$B$11,A285&gt;1)),入力!$B$14="有効"),ROUND(G284*1.25,0),"")</f>
        <v/>
      </c>
      <c r="S285" s="36">
        <f>IF(A285&lt;&gt;入力!$B$15,S284,IF(K285&lt;&gt;0,S284,IF(G285&lt;=F285,S284,IF(M285&lt;=0,S284,IF(AND(N285&gt;0,E285&gt;0,G285&lt;=N285*E285/12),S284,IF(A285+IF(N285=0,0,IF(E285=0,ROUNDUP(N285/G285,0),ROUNDUP(NPER(E285/12,-G285,N285),0)))&lt;S284,A285+IF(N285=0,0,IF(E285=0,ROUNDUP(N285/G285,0),ROUNDUP(NPER(E285/12,-G285,N285),0))),S284))))))</f>
        <v>359</v>
      </c>
      <c r="T285" s="35" t="str">
        <f t="shared" si="79"/>
        <v/>
      </c>
      <c r="U285" s="3">
        <f t="shared" si="64"/>
        <v>0</v>
      </c>
      <c r="V285" s="3">
        <f t="shared" si="65"/>
        <v>0</v>
      </c>
      <c r="W285" s="3">
        <f t="shared" si="66"/>
        <v>0</v>
      </c>
      <c r="X285" s="3">
        <f t="shared" si="67"/>
        <v>0</v>
      </c>
      <c r="Y285" s="3">
        <f>0</f>
        <v>0</v>
      </c>
      <c r="Z285" s="3">
        <f t="shared" si="68"/>
        <v>0</v>
      </c>
      <c r="AA285">
        <f>ROUND(IF(FALSE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,0)</f>
        <v>117311</v>
      </c>
    </row>
    <row r="286" spans="1:27">
      <c r="A286" s="30">
        <f>281</f>
        <v>281</v>
      </c>
      <c r="B286" s="31">
        <f>EDATE(入力!$B$6,A286-1)</f>
        <v>54758</v>
      </c>
      <c r="C286" s="32">
        <f t="shared" si="69"/>
        <v>8536970</v>
      </c>
      <c r="D286" s="32">
        <f t="shared" si="70"/>
        <v>0</v>
      </c>
      <c r="E286" s="33">
        <f>IF(AND(T285="",A286&lt;=S285),IF(A286&lt;入力!$B$11,入力!$B$10,入力!$B$12),0)</f>
        <v>2.5000000000000001E-2</v>
      </c>
      <c r="F286" s="32">
        <f t="shared" si="71"/>
        <v>17785</v>
      </c>
      <c r="G286" s="32">
        <f>ROUND(IF(NOT(AND(T285="",A286&lt;=S285)),0,IF(FALSE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),0)</f>
        <v>117311</v>
      </c>
      <c r="H286" s="32">
        <f t="shared" si="72"/>
        <v>117311</v>
      </c>
      <c r="I286" s="32">
        <f t="shared" si="73"/>
        <v>17785</v>
      </c>
      <c r="J286" s="32">
        <f t="shared" si="74"/>
        <v>0</v>
      </c>
      <c r="K286" s="32">
        <f t="shared" si="75"/>
        <v>0</v>
      </c>
      <c r="L286" s="32">
        <f t="shared" si="76"/>
        <v>99526</v>
      </c>
      <c r="M286" s="32">
        <f>IF(AND(AND(T285="",A286&lt;=S285),A286=入力!$B$15),ROUND(MIN(入力!$B$16,MAX(0,C286-L286)),0),0)</f>
        <v>0</v>
      </c>
      <c r="N286" s="32">
        <f t="shared" si="77"/>
        <v>8437444</v>
      </c>
      <c r="O286" s="32">
        <f t="shared" si="78"/>
        <v>10012235</v>
      </c>
      <c r="P286" s="34" t="str">
        <f>IF(NOT(AND(T285="",A286&lt;=S285)),"",IF(FALSE,"繰上返済後再計算","")&amp;IF(AND(入力!$B$13="有効",A286&gt;1,MOD(A286-1,60)=0),IF(FALSE,"・","")&amp;"5年見直し","")&amp;IF(AND(A286=入力!$B$11,A286&gt;1),IF(OR(FALSE,AND(入力!$B$13="有効",A286&gt;1,MOD(A286-1,60)=0)),"・","")&amp;"金利変更","")&amp;IF(AND(OR(AND(入力!$B$13="有効",A286&gt;1,MOD(A286-1,60)=0),AND(A286=入力!$B$11,A286&gt;1)),入力!$B$14="有効",IF(E286=0,ROUND(C286/MAX(1,S285-A286+1),0),ROUND(-PMT(E286/12,MAX(1,S285-A286+1),C286),0))&gt;ROUND(G285*1.25,0),NOT(FALSE)),"・上限適用",""))</f>
        <v/>
      </c>
      <c r="Q286" s="35" t="str">
        <f>IF(AND(T285="",A286&lt;=S285),入力!$B$13,"")</f>
        <v>有効</v>
      </c>
      <c r="R286" s="32" t="str">
        <f>IF(AND(AND(T285="",A286&lt;=S285),OR(AND(入力!$B$13="有効",A286&gt;1,MOD(A286-1,60)=0),AND(A286=入力!$B$11,A286&gt;1)),入力!$B$14="有効"),ROUND(G285*1.25,0),"")</f>
        <v/>
      </c>
      <c r="S286" s="36">
        <f>IF(A286&lt;&gt;入力!$B$15,S285,IF(K286&lt;&gt;0,S285,IF(G286&lt;=F286,S285,IF(M286&lt;=0,S285,IF(AND(N286&gt;0,E286&gt;0,G286&lt;=N286*E286/12),S285,IF(A286+IF(N286=0,0,IF(E286=0,ROUNDUP(N286/G286,0),ROUNDUP(NPER(E286/12,-G286,N286),0)))&lt;S285,A286+IF(N286=0,0,IF(E286=0,ROUNDUP(N286/G286,0),ROUNDUP(NPER(E286/12,-G286,N286),0))),S285))))))</f>
        <v>359</v>
      </c>
      <c r="T286" s="35" t="str">
        <f t="shared" si="79"/>
        <v/>
      </c>
      <c r="U286" s="3">
        <f t="shared" si="64"/>
        <v>0</v>
      </c>
      <c r="V286" s="3">
        <f t="shared" si="65"/>
        <v>0</v>
      </c>
      <c r="W286" s="3">
        <f t="shared" si="66"/>
        <v>0</v>
      </c>
      <c r="X286" s="3">
        <f t="shared" si="67"/>
        <v>0</v>
      </c>
      <c r="Y286" s="3">
        <f>0</f>
        <v>0</v>
      </c>
      <c r="Z286" s="3">
        <f t="shared" si="68"/>
        <v>0</v>
      </c>
      <c r="AA286">
        <f>ROUND(IF(FALSE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,0)</f>
        <v>117311</v>
      </c>
    </row>
    <row r="287" spans="1:27">
      <c r="A287" s="30">
        <f>282</f>
        <v>282</v>
      </c>
      <c r="B287" s="31">
        <f>EDATE(入力!$B$6,A287-1)</f>
        <v>54789</v>
      </c>
      <c r="C287" s="32">
        <f t="shared" si="69"/>
        <v>8437444</v>
      </c>
      <c r="D287" s="32">
        <f t="shared" si="70"/>
        <v>0</v>
      </c>
      <c r="E287" s="33">
        <f>IF(AND(T286="",A287&lt;=S286),IF(A287&lt;入力!$B$11,入力!$B$10,入力!$B$12),0)</f>
        <v>2.5000000000000001E-2</v>
      </c>
      <c r="F287" s="32">
        <f t="shared" si="71"/>
        <v>17578</v>
      </c>
      <c r="G287" s="32">
        <f>ROUND(IF(NOT(AND(T286="",A287&lt;=S286)),0,IF(FALSE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),0)</f>
        <v>117311</v>
      </c>
      <c r="H287" s="32">
        <f t="shared" si="72"/>
        <v>117311</v>
      </c>
      <c r="I287" s="32">
        <f t="shared" si="73"/>
        <v>17578</v>
      </c>
      <c r="J287" s="32">
        <f t="shared" si="74"/>
        <v>0</v>
      </c>
      <c r="K287" s="32">
        <f t="shared" si="75"/>
        <v>0</v>
      </c>
      <c r="L287" s="32">
        <f t="shared" si="76"/>
        <v>99733</v>
      </c>
      <c r="M287" s="32">
        <f>IF(AND(AND(T286="",A287&lt;=S286),A287=入力!$B$15),ROUND(MIN(入力!$B$16,MAX(0,C287-L287)),0),0)</f>
        <v>0</v>
      </c>
      <c r="N287" s="32">
        <f t="shared" si="77"/>
        <v>8337711</v>
      </c>
      <c r="O287" s="32">
        <f t="shared" si="78"/>
        <v>10029813</v>
      </c>
      <c r="P287" s="34" t="str">
        <f>IF(NOT(AND(T286="",A287&lt;=S286)),"",IF(FALSE,"繰上返済後再計算","")&amp;IF(AND(入力!$B$13="有効",A287&gt;1,MOD(A287-1,60)=0),IF(FALSE,"・","")&amp;"5年見直し","")&amp;IF(AND(A287=入力!$B$11,A287&gt;1),IF(OR(FALSE,AND(入力!$B$13="有効",A287&gt;1,MOD(A287-1,60)=0)),"・","")&amp;"金利変更","")&amp;IF(AND(OR(AND(入力!$B$13="有効",A287&gt;1,MOD(A287-1,60)=0),AND(A287=入力!$B$11,A287&gt;1)),入力!$B$14="有効",IF(E287=0,ROUND(C287/MAX(1,S286-A287+1),0),ROUND(-PMT(E287/12,MAX(1,S286-A287+1),C287),0))&gt;ROUND(G286*1.25,0),NOT(FALSE)),"・上限適用",""))</f>
        <v/>
      </c>
      <c r="Q287" s="35" t="str">
        <f>IF(AND(T286="",A287&lt;=S286),入力!$B$13,"")</f>
        <v>有効</v>
      </c>
      <c r="R287" s="32" t="str">
        <f>IF(AND(AND(T286="",A287&lt;=S286),OR(AND(入力!$B$13="有効",A287&gt;1,MOD(A287-1,60)=0),AND(A287=入力!$B$11,A287&gt;1)),入力!$B$14="有効"),ROUND(G286*1.25,0),"")</f>
        <v/>
      </c>
      <c r="S287" s="36">
        <f>IF(A287&lt;&gt;入力!$B$15,S286,IF(K287&lt;&gt;0,S286,IF(G287&lt;=F287,S286,IF(M287&lt;=0,S286,IF(AND(N287&gt;0,E287&gt;0,G287&lt;=N287*E287/12),S286,IF(A287+IF(N287=0,0,IF(E287=0,ROUNDUP(N287/G287,0),ROUNDUP(NPER(E287/12,-G287,N287),0)))&lt;S286,A287+IF(N287=0,0,IF(E287=0,ROUNDUP(N287/G287,0),ROUNDUP(NPER(E287/12,-G287,N287),0))),S286))))))</f>
        <v>359</v>
      </c>
      <c r="T287" s="35" t="str">
        <f t="shared" si="79"/>
        <v/>
      </c>
      <c r="U287" s="3">
        <f t="shared" si="64"/>
        <v>0</v>
      </c>
      <c r="V287" s="3">
        <f t="shared" si="65"/>
        <v>0</v>
      </c>
      <c r="W287" s="3">
        <f t="shared" si="66"/>
        <v>0</v>
      </c>
      <c r="X287" s="3">
        <f t="shared" si="67"/>
        <v>0</v>
      </c>
      <c r="Y287" s="3">
        <f>0</f>
        <v>0</v>
      </c>
      <c r="Z287" s="3">
        <f t="shared" si="68"/>
        <v>0</v>
      </c>
      <c r="AA287">
        <f>ROUND(IF(FALSE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,0)</f>
        <v>117311</v>
      </c>
    </row>
    <row r="288" spans="1:27">
      <c r="A288" s="30">
        <f>283</f>
        <v>283</v>
      </c>
      <c r="B288" s="31">
        <f>EDATE(入力!$B$6,A288-1)</f>
        <v>54820</v>
      </c>
      <c r="C288" s="32">
        <f t="shared" si="69"/>
        <v>8337711</v>
      </c>
      <c r="D288" s="32">
        <f t="shared" si="70"/>
        <v>0</v>
      </c>
      <c r="E288" s="33">
        <f>IF(AND(T287="",A288&lt;=S287),IF(A288&lt;入力!$B$11,入力!$B$10,入力!$B$12),0)</f>
        <v>2.5000000000000001E-2</v>
      </c>
      <c r="F288" s="32">
        <f t="shared" si="71"/>
        <v>17370</v>
      </c>
      <c r="G288" s="32">
        <f>ROUND(IF(NOT(AND(T287="",A288&lt;=S287)),0,IF(FALSE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),0)</f>
        <v>117311</v>
      </c>
      <c r="H288" s="32">
        <f t="shared" si="72"/>
        <v>117311</v>
      </c>
      <c r="I288" s="32">
        <f t="shared" si="73"/>
        <v>17370</v>
      </c>
      <c r="J288" s="32">
        <f t="shared" si="74"/>
        <v>0</v>
      </c>
      <c r="K288" s="32">
        <f t="shared" si="75"/>
        <v>0</v>
      </c>
      <c r="L288" s="32">
        <f t="shared" si="76"/>
        <v>99941</v>
      </c>
      <c r="M288" s="32">
        <f>IF(AND(AND(T287="",A288&lt;=S287),A288=入力!$B$15),ROUND(MIN(入力!$B$16,MAX(0,C288-L288)),0),0)</f>
        <v>0</v>
      </c>
      <c r="N288" s="32">
        <f t="shared" si="77"/>
        <v>8237770</v>
      </c>
      <c r="O288" s="32">
        <f t="shared" si="78"/>
        <v>10047183</v>
      </c>
      <c r="P288" s="34" t="str">
        <f>IF(NOT(AND(T287="",A288&lt;=S287)),"",IF(FALSE,"繰上返済後再計算","")&amp;IF(AND(入力!$B$13="有効",A288&gt;1,MOD(A288-1,60)=0),IF(FALSE,"・","")&amp;"5年見直し","")&amp;IF(AND(A288=入力!$B$11,A288&gt;1),IF(OR(FALSE,AND(入力!$B$13="有効",A288&gt;1,MOD(A288-1,60)=0)),"・","")&amp;"金利変更","")&amp;IF(AND(OR(AND(入力!$B$13="有効",A288&gt;1,MOD(A288-1,60)=0),AND(A288=入力!$B$11,A288&gt;1)),入力!$B$14="有効",IF(E288=0,ROUND(C288/MAX(1,S287-A288+1),0),ROUND(-PMT(E288/12,MAX(1,S287-A288+1),C288),0))&gt;ROUND(G287*1.25,0),NOT(FALSE)),"・上限適用",""))</f>
        <v/>
      </c>
      <c r="Q288" s="35" t="str">
        <f>IF(AND(T287="",A288&lt;=S287),入力!$B$13,"")</f>
        <v>有効</v>
      </c>
      <c r="R288" s="32" t="str">
        <f>IF(AND(AND(T287="",A288&lt;=S287),OR(AND(入力!$B$13="有効",A288&gt;1,MOD(A288-1,60)=0),AND(A288=入力!$B$11,A288&gt;1)),入力!$B$14="有効"),ROUND(G287*1.25,0),"")</f>
        <v/>
      </c>
      <c r="S288" s="36">
        <f>IF(A288&lt;&gt;入力!$B$15,S287,IF(K288&lt;&gt;0,S287,IF(G288&lt;=F288,S287,IF(M288&lt;=0,S287,IF(AND(N288&gt;0,E288&gt;0,G288&lt;=N288*E288/12),S287,IF(A288+IF(N288=0,0,IF(E288=0,ROUNDUP(N288/G288,0),ROUNDUP(NPER(E288/12,-G288,N288),0)))&lt;S287,A288+IF(N288=0,0,IF(E288=0,ROUNDUP(N288/G288,0),ROUNDUP(NPER(E288/12,-G288,N288),0))),S287))))))</f>
        <v>359</v>
      </c>
      <c r="T288" s="35" t="str">
        <f t="shared" si="79"/>
        <v/>
      </c>
      <c r="U288" s="3">
        <f t="shared" si="64"/>
        <v>0</v>
      </c>
      <c r="V288" s="3">
        <f t="shared" si="65"/>
        <v>0</v>
      </c>
      <c r="W288" s="3">
        <f t="shared" si="66"/>
        <v>0</v>
      </c>
      <c r="X288" s="3">
        <f t="shared" si="67"/>
        <v>0</v>
      </c>
      <c r="Y288" s="3">
        <f>0</f>
        <v>0</v>
      </c>
      <c r="Z288" s="3">
        <f t="shared" si="68"/>
        <v>0</v>
      </c>
      <c r="AA288">
        <f>ROUND(IF(FALSE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,0)</f>
        <v>117311</v>
      </c>
    </row>
    <row r="289" spans="1:27">
      <c r="A289" s="30">
        <f>284</f>
        <v>284</v>
      </c>
      <c r="B289" s="31">
        <f>EDATE(入力!$B$6,A289-1)</f>
        <v>54848</v>
      </c>
      <c r="C289" s="32">
        <f t="shared" si="69"/>
        <v>8237770</v>
      </c>
      <c r="D289" s="32">
        <f t="shared" si="70"/>
        <v>0</v>
      </c>
      <c r="E289" s="33">
        <f>IF(AND(T288="",A289&lt;=S288),IF(A289&lt;入力!$B$11,入力!$B$10,入力!$B$12),0)</f>
        <v>2.5000000000000001E-2</v>
      </c>
      <c r="F289" s="32">
        <f t="shared" si="71"/>
        <v>17162</v>
      </c>
      <c r="G289" s="32">
        <f>ROUND(IF(NOT(AND(T288="",A289&lt;=S288)),0,IF(FALSE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),0)</f>
        <v>117311</v>
      </c>
      <c r="H289" s="32">
        <f t="shared" si="72"/>
        <v>117311</v>
      </c>
      <c r="I289" s="32">
        <f t="shared" si="73"/>
        <v>17162</v>
      </c>
      <c r="J289" s="32">
        <f t="shared" si="74"/>
        <v>0</v>
      </c>
      <c r="K289" s="32">
        <f t="shared" si="75"/>
        <v>0</v>
      </c>
      <c r="L289" s="32">
        <f t="shared" si="76"/>
        <v>100149</v>
      </c>
      <c r="M289" s="32">
        <f>IF(AND(AND(T288="",A289&lt;=S288),A289=入力!$B$15),ROUND(MIN(入力!$B$16,MAX(0,C289-L289)),0),0)</f>
        <v>0</v>
      </c>
      <c r="N289" s="32">
        <f t="shared" si="77"/>
        <v>8137621</v>
      </c>
      <c r="O289" s="32">
        <f t="shared" si="78"/>
        <v>10064345</v>
      </c>
      <c r="P289" s="34" t="str">
        <f>IF(NOT(AND(T288="",A289&lt;=S288)),"",IF(FALSE,"繰上返済後再計算","")&amp;IF(AND(入力!$B$13="有効",A289&gt;1,MOD(A289-1,60)=0),IF(FALSE,"・","")&amp;"5年見直し","")&amp;IF(AND(A289=入力!$B$11,A289&gt;1),IF(OR(FALSE,AND(入力!$B$13="有効",A289&gt;1,MOD(A289-1,60)=0)),"・","")&amp;"金利変更","")&amp;IF(AND(OR(AND(入力!$B$13="有効",A289&gt;1,MOD(A289-1,60)=0),AND(A289=入力!$B$11,A289&gt;1)),入力!$B$14="有効",IF(E289=0,ROUND(C289/MAX(1,S288-A289+1),0),ROUND(-PMT(E289/12,MAX(1,S288-A289+1),C289),0))&gt;ROUND(G288*1.25,0),NOT(FALSE)),"・上限適用",""))</f>
        <v/>
      </c>
      <c r="Q289" s="35" t="str">
        <f>IF(AND(T288="",A289&lt;=S288),入力!$B$13,"")</f>
        <v>有効</v>
      </c>
      <c r="R289" s="32" t="str">
        <f>IF(AND(AND(T288="",A289&lt;=S288),OR(AND(入力!$B$13="有効",A289&gt;1,MOD(A289-1,60)=0),AND(A289=入力!$B$11,A289&gt;1)),入力!$B$14="有効"),ROUND(G288*1.25,0),"")</f>
        <v/>
      </c>
      <c r="S289" s="36">
        <f>IF(A289&lt;&gt;入力!$B$15,S288,IF(K289&lt;&gt;0,S288,IF(G289&lt;=F289,S288,IF(M289&lt;=0,S288,IF(AND(N289&gt;0,E289&gt;0,G289&lt;=N289*E289/12),S288,IF(A289+IF(N289=0,0,IF(E289=0,ROUNDUP(N289/G289,0),ROUNDUP(NPER(E289/12,-G289,N289),0)))&lt;S288,A289+IF(N289=0,0,IF(E289=0,ROUNDUP(N289/G289,0),ROUNDUP(NPER(E289/12,-G289,N289),0))),S288))))))</f>
        <v>359</v>
      </c>
      <c r="T289" s="35" t="str">
        <f t="shared" si="79"/>
        <v/>
      </c>
      <c r="U289" s="3">
        <f t="shared" si="64"/>
        <v>0</v>
      </c>
      <c r="V289" s="3">
        <f t="shared" si="65"/>
        <v>0</v>
      </c>
      <c r="W289" s="3">
        <f t="shared" si="66"/>
        <v>0</v>
      </c>
      <c r="X289" s="3">
        <f t="shared" si="67"/>
        <v>0</v>
      </c>
      <c r="Y289" s="3">
        <f>0</f>
        <v>0</v>
      </c>
      <c r="Z289" s="3">
        <f t="shared" si="68"/>
        <v>0</v>
      </c>
      <c r="AA289">
        <f>ROUND(IF(FALSE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,0)</f>
        <v>117311</v>
      </c>
    </row>
    <row r="290" spans="1:27">
      <c r="A290" s="30">
        <f>285</f>
        <v>285</v>
      </c>
      <c r="B290" s="31">
        <f>EDATE(入力!$B$6,A290-1)</f>
        <v>54879</v>
      </c>
      <c r="C290" s="32">
        <f t="shared" si="69"/>
        <v>8137621</v>
      </c>
      <c r="D290" s="32">
        <f t="shared" si="70"/>
        <v>0</v>
      </c>
      <c r="E290" s="33">
        <f>IF(AND(T289="",A290&lt;=S289),IF(A290&lt;入力!$B$11,入力!$B$10,入力!$B$12),0)</f>
        <v>2.5000000000000001E-2</v>
      </c>
      <c r="F290" s="32">
        <f t="shared" si="71"/>
        <v>16953</v>
      </c>
      <c r="G290" s="32">
        <f>ROUND(IF(NOT(AND(T289="",A290&lt;=S289)),0,IF(FALSE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),0)</f>
        <v>117311</v>
      </c>
      <c r="H290" s="32">
        <f t="shared" si="72"/>
        <v>117311</v>
      </c>
      <c r="I290" s="32">
        <f t="shared" si="73"/>
        <v>16953</v>
      </c>
      <c r="J290" s="32">
        <f t="shared" si="74"/>
        <v>0</v>
      </c>
      <c r="K290" s="32">
        <f t="shared" si="75"/>
        <v>0</v>
      </c>
      <c r="L290" s="32">
        <f t="shared" si="76"/>
        <v>100358</v>
      </c>
      <c r="M290" s="32">
        <f>IF(AND(AND(T289="",A290&lt;=S289),A290=入力!$B$15),ROUND(MIN(入力!$B$16,MAX(0,C290-L290)),0),0)</f>
        <v>0</v>
      </c>
      <c r="N290" s="32">
        <f t="shared" si="77"/>
        <v>8037263</v>
      </c>
      <c r="O290" s="32">
        <f t="shared" si="78"/>
        <v>10081298</v>
      </c>
      <c r="P290" s="34" t="str">
        <f>IF(NOT(AND(T289="",A290&lt;=S289)),"",IF(FALSE,"繰上返済後再計算","")&amp;IF(AND(入力!$B$13="有効",A290&gt;1,MOD(A290-1,60)=0),IF(FALSE,"・","")&amp;"5年見直し","")&amp;IF(AND(A290=入力!$B$11,A290&gt;1),IF(OR(FALSE,AND(入力!$B$13="有効",A290&gt;1,MOD(A290-1,60)=0)),"・","")&amp;"金利変更","")&amp;IF(AND(OR(AND(入力!$B$13="有効",A290&gt;1,MOD(A290-1,60)=0),AND(A290=入力!$B$11,A290&gt;1)),入力!$B$14="有効",IF(E290=0,ROUND(C290/MAX(1,S289-A290+1),0),ROUND(-PMT(E290/12,MAX(1,S289-A290+1),C290),0))&gt;ROUND(G289*1.25,0),NOT(FALSE)),"・上限適用",""))</f>
        <v/>
      </c>
      <c r="Q290" s="35" t="str">
        <f>IF(AND(T289="",A290&lt;=S289),入力!$B$13,"")</f>
        <v>有効</v>
      </c>
      <c r="R290" s="32" t="str">
        <f>IF(AND(AND(T289="",A290&lt;=S289),OR(AND(入力!$B$13="有効",A290&gt;1,MOD(A290-1,60)=0),AND(A290=入力!$B$11,A290&gt;1)),入力!$B$14="有効"),ROUND(G289*1.25,0),"")</f>
        <v/>
      </c>
      <c r="S290" s="36">
        <f>IF(A290&lt;&gt;入力!$B$15,S289,IF(K290&lt;&gt;0,S289,IF(G290&lt;=F290,S289,IF(M290&lt;=0,S289,IF(AND(N290&gt;0,E290&gt;0,G290&lt;=N290*E290/12),S289,IF(A290+IF(N290=0,0,IF(E290=0,ROUNDUP(N290/G290,0),ROUNDUP(NPER(E290/12,-G290,N290),0)))&lt;S289,A290+IF(N290=0,0,IF(E290=0,ROUNDUP(N290/G290,0),ROUNDUP(NPER(E290/12,-G290,N290),0))),S289))))))</f>
        <v>359</v>
      </c>
      <c r="T290" s="35" t="str">
        <f t="shared" si="79"/>
        <v/>
      </c>
      <c r="U290" s="3">
        <f t="shared" si="64"/>
        <v>0</v>
      </c>
      <c r="V290" s="3">
        <f t="shared" si="65"/>
        <v>0</v>
      </c>
      <c r="W290" s="3">
        <f t="shared" si="66"/>
        <v>0</v>
      </c>
      <c r="X290" s="3">
        <f t="shared" si="67"/>
        <v>0</v>
      </c>
      <c r="Y290" s="3">
        <f>0</f>
        <v>0</v>
      </c>
      <c r="Z290" s="3">
        <f t="shared" si="68"/>
        <v>0</v>
      </c>
      <c r="AA290">
        <f>ROUND(IF(FALSE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,0)</f>
        <v>117311</v>
      </c>
    </row>
    <row r="291" spans="1:27">
      <c r="A291" s="30">
        <f>286</f>
        <v>286</v>
      </c>
      <c r="B291" s="31">
        <f>EDATE(入力!$B$6,A291-1)</f>
        <v>54909</v>
      </c>
      <c r="C291" s="32">
        <f t="shared" si="69"/>
        <v>8037263</v>
      </c>
      <c r="D291" s="32">
        <f t="shared" si="70"/>
        <v>0</v>
      </c>
      <c r="E291" s="33">
        <f>IF(AND(T290="",A291&lt;=S290),IF(A291&lt;入力!$B$11,入力!$B$10,入力!$B$12),0)</f>
        <v>2.5000000000000001E-2</v>
      </c>
      <c r="F291" s="32">
        <f t="shared" si="71"/>
        <v>16744</v>
      </c>
      <c r="G291" s="32">
        <f>ROUND(IF(NOT(AND(T290="",A291&lt;=S290)),0,IF(FALSE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),0)</f>
        <v>117311</v>
      </c>
      <c r="H291" s="32">
        <f t="shared" si="72"/>
        <v>117311</v>
      </c>
      <c r="I291" s="32">
        <f t="shared" si="73"/>
        <v>16744</v>
      </c>
      <c r="J291" s="32">
        <f t="shared" si="74"/>
        <v>0</v>
      </c>
      <c r="K291" s="32">
        <f t="shared" si="75"/>
        <v>0</v>
      </c>
      <c r="L291" s="32">
        <f t="shared" si="76"/>
        <v>100567</v>
      </c>
      <c r="M291" s="32">
        <f>IF(AND(AND(T290="",A291&lt;=S290),A291=入力!$B$15),ROUND(MIN(入力!$B$16,MAX(0,C291-L291)),0),0)</f>
        <v>0</v>
      </c>
      <c r="N291" s="32">
        <f t="shared" si="77"/>
        <v>7936696</v>
      </c>
      <c r="O291" s="32">
        <f t="shared" si="78"/>
        <v>10098042</v>
      </c>
      <c r="P291" s="34" t="str">
        <f>IF(NOT(AND(T290="",A291&lt;=S290)),"",IF(FALSE,"繰上返済後再計算","")&amp;IF(AND(入力!$B$13="有効",A291&gt;1,MOD(A291-1,60)=0),IF(FALSE,"・","")&amp;"5年見直し","")&amp;IF(AND(A291=入力!$B$11,A291&gt;1),IF(OR(FALSE,AND(入力!$B$13="有効",A291&gt;1,MOD(A291-1,60)=0)),"・","")&amp;"金利変更","")&amp;IF(AND(OR(AND(入力!$B$13="有効",A291&gt;1,MOD(A291-1,60)=0),AND(A291=入力!$B$11,A291&gt;1)),入力!$B$14="有効",IF(E291=0,ROUND(C291/MAX(1,S290-A291+1),0),ROUND(-PMT(E291/12,MAX(1,S290-A291+1),C291),0))&gt;ROUND(G290*1.25,0),NOT(FALSE)),"・上限適用",""))</f>
        <v/>
      </c>
      <c r="Q291" s="35" t="str">
        <f>IF(AND(T290="",A291&lt;=S290),入力!$B$13,"")</f>
        <v>有効</v>
      </c>
      <c r="R291" s="32" t="str">
        <f>IF(AND(AND(T290="",A291&lt;=S290),OR(AND(入力!$B$13="有効",A291&gt;1,MOD(A291-1,60)=0),AND(A291=入力!$B$11,A291&gt;1)),入力!$B$14="有効"),ROUND(G290*1.25,0),"")</f>
        <v/>
      </c>
      <c r="S291" s="36">
        <f>IF(A291&lt;&gt;入力!$B$15,S290,IF(K291&lt;&gt;0,S290,IF(G291&lt;=F291,S290,IF(M291&lt;=0,S290,IF(AND(N291&gt;0,E291&gt;0,G291&lt;=N291*E291/12),S290,IF(A291+IF(N291=0,0,IF(E291=0,ROUNDUP(N291/G291,0),ROUNDUP(NPER(E291/12,-G291,N291),0)))&lt;S290,A291+IF(N291=0,0,IF(E291=0,ROUNDUP(N291/G291,0),ROUNDUP(NPER(E291/12,-G291,N291),0))),S290))))))</f>
        <v>359</v>
      </c>
      <c r="T291" s="35" t="str">
        <f t="shared" si="79"/>
        <v/>
      </c>
      <c r="U291" s="3">
        <f t="shared" si="64"/>
        <v>0</v>
      </c>
      <c r="V291" s="3">
        <f t="shared" si="65"/>
        <v>0</v>
      </c>
      <c r="W291" s="3">
        <f t="shared" si="66"/>
        <v>0</v>
      </c>
      <c r="X291" s="3">
        <f t="shared" si="67"/>
        <v>0</v>
      </c>
      <c r="Y291" s="3">
        <f>0</f>
        <v>0</v>
      </c>
      <c r="Z291" s="3">
        <f t="shared" si="68"/>
        <v>0</v>
      </c>
      <c r="AA291">
        <f>ROUND(IF(FALSE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,0)</f>
        <v>117311</v>
      </c>
    </row>
    <row r="292" spans="1:27">
      <c r="A292" s="30">
        <f>287</f>
        <v>287</v>
      </c>
      <c r="B292" s="31">
        <f>EDATE(入力!$B$6,A292-1)</f>
        <v>54940</v>
      </c>
      <c r="C292" s="32">
        <f t="shared" si="69"/>
        <v>7936696</v>
      </c>
      <c r="D292" s="32">
        <f t="shared" si="70"/>
        <v>0</v>
      </c>
      <c r="E292" s="33">
        <f>IF(AND(T291="",A292&lt;=S291),IF(A292&lt;入力!$B$11,入力!$B$10,入力!$B$12),0)</f>
        <v>2.5000000000000001E-2</v>
      </c>
      <c r="F292" s="32">
        <f t="shared" si="71"/>
        <v>16535</v>
      </c>
      <c r="G292" s="32">
        <f>ROUND(IF(NOT(AND(T291="",A292&lt;=S291)),0,IF(FALSE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),0)</f>
        <v>117311</v>
      </c>
      <c r="H292" s="32">
        <f t="shared" si="72"/>
        <v>117311</v>
      </c>
      <c r="I292" s="32">
        <f t="shared" si="73"/>
        <v>16535</v>
      </c>
      <c r="J292" s="32">
        <f t="shared" si="74"/>
        <v>0</v>
      </c>
      <c r="K292" s="32">
        <f t="shared" si="75"/>
        <v>0</v>
      </c>
      <c r="L292" s="32">
        <f t="shared" si="76"/>
        <v>100776</v>
      </c>
      <c r="M292" s="32">
        <f>IF(AND(AND(T291="",A292&lt;=S291),A292=入力!$B$15),ROUND(MIN(入力!$B$16,MAX(0,C292-L292)),0),0)</f>
        <v>0</v>
      </c>
      <c r="N292" s="32">
        <f t="shared" si="77"/>
        <v>7835920</v>
      </c>
      <c r="O292" s="32">
        <f t="shared" si="78"/>
        <v>10114577</v>
      </c>
      <c r="P292" s="34" t="str">
        <f>IF(NOT(AND(T291="",A292&lt;=S291)),"",IF(FALSE,"繰上返済後再計算","")&amp;IF(AND(入力!$B$13="有効",A292&gt;1,MOD(A292-1,60)=0),IF(FALSE,"・","")&amp;"5年見直し","")&amp;IF(AND(A292=入力!$B$11,A292&gt;1),IF(OR(FALSE,AND(入力!$B$13="有効",A292&gt;1,MOD(A292-1,60)=0)),"・","")&amp;"金利変更","")&amp;IF(AND(OR(AND(入力!$B$13="有効",A292&gt;1,MOD(A292-1,60)=0),AND(A292=入力!$B$11,A292&gt;1)),入力!$B$14="有効",IF(E292=0,ROUND(C292/MAX(1,S291-A292+1),0),ROUND(-PMT(E292/12,MAX(1,S291-A292+1),C292),0))&gt;ROUND(G291*1.25,0),NOT(FALSE)),"・上限適用",""))</f>
        <v/>
      </c>
      <c r="Q292" s="35" t="str">
        <f>IF(AND(T291="",A292&lt;=S291),入力!$B$13,"")</f>
        <v>有効</v>
      </c>
      <c r="R292" s="32" t="str">
        <f>IF(AND(AND(T291="",A292&lt;=S291),OR(AND(入力!$B$13="有効",A292&gt;1,MOD(A292-1,60)=0),AND(A292=入力!$B$11,A292&gt;1)),入力!$B$14="有効"),ROUND(G291*1.25,0),"")</f>
        <v/>
      </c>
      <c r="S292" s="36">
        <f>IF(A292&lt;&gt;入力!$B$15,S291,IF(K292&lt;&gt;0,S291,IF(G292&lt;=F292,S291,IF(M292&lt;=0,S291,IF(AND(N292&gt;0,E292&gt;0,G292&lt;=N292*E292/12),S291,IF(A292+IF(N292=0,0,IF(E292=0,ROUNDUP(N292/G292,0),ROUNDUP(NPER(E292/12,-G292,N292),0)))&lt;S291,A292+IF(N292=0,0,IF(E292=0,ROUNDUP(N292/G292,0),ROUNDUP(NPER(E292/12,-G292,N292),0))),S291))))))</f>
        <v>359</v>
      </c>
      <c r="T292" s="35" t="str">
        <f t="shared" si="79"/>
        <v/>
      </c>
      <c r="U292" s="3">
        <f t="shared" si="64"/>
        <v>0</v>
      </c>
      <c r="V292" s="3">
        <f t="shared" si="65"/>
        <v>0</v>
      </c>
      <c r="W292" s="3">
        <f t="shared" si="66"/>
        <v>0</v>
      </c>
      <c r="X292" s="3">
        <f t="shared" si="67"/>
        <v>0</v>
      </c>
      <c r="Y292" s="3">
        <f>0</f>
        <v>0</v>
      </c>
      <c r="Z292" s="3">
        <f t="shared" si="68"/>
        <v>0</v>
      </c>
      <c r="AA292">
        <f>ROUND(IF(FALSE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,0)</f>
        <v>117311</v>
      </c>
    </row>
    <row r="293" spans="1:27">
      <c r="A293" s="30">
        <f>288</f>
        <v>288</v>
      </c>
      <c r="B293" s="31">
        <f>EDATE(入力!$B$6,A293-1)</f>
        <v>54970</v>
      </c>
      <c r="C293" s="32">
        <f t="shared" si="69"/>
        <v>7835920</v>
      </c>
      <c r="D293" s="32">
        <f t="shared" si="70"/>
        <v>0</v>
      </c>
      <c r="E293" s="33">
        <f>IF(AND(T292="",A293&lt;=S292),IF(A293&lt;入力!$B$11,入力!$B$10,入力!$B$12),0)</f>
        <v>2.5000000000000001E-2</v>
      </c>
      <c r="F293" s="32">
        <f t="shared" si="71"/>
        <v>16325</v>
      </c>
      <c r="G293" s="32">
        <f>ROUND(IF(NOT(AND(T292="",A293&lt;=S292)),0,IF(FALSE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),0)</f>
        <v>117311</v>
      </c>
      <c r="H293" s="32">
        <f t="shared" si="72"/>
        <v>117311</v>
      </c>
      <c r="I293" s="32">
        <f t="shared" si="73"/>
        <v>16325</v>
      </c>
      <c r="J293" s="32">
        <f t="shared" si="74"/>
        <v>0</v>
      </c>
      <c r="K293" s="32">
        <f t="shared" si="75"/>
        <v>0</v>
      </c>
      <c r="L293" s="32">
        <f t="shared" si="76"/>
        <v>100986</v>
      </c>
      <c r="M293" s="32">
        <f>IF(AND(AND(T292="",A293&lt;=S292),A293=入力!$B$15),ROUND(MIN(入力!$B$16,MAX(0,C293-L293)),0),0)</f>
        <v>0</v>
      </c>
      <c r="N293" s="32">
        <f t="shared" si="77"/>
        <v>7734934</v>
      </c>
      <c r="O293" s="32">
        <f t="shared" si="78"/>
        <v>10130902</v>
      </c>
      <c r="P293" s="34" t="str">
        <f>IF(NOT(AND(T292="",A293&lt;=S292)),"",IF(FALSE,"繰上返済後再計算","")&amp;IF(AND(入力!$B$13="有効",A293&gt;1,MOD(A293-1,60)=0),IF(FALSE,"・","")&amp;"5年見直し","")&amp;IF(AND(A293=入力!$B$11,A293&gt;1),IF(OR(FALSE,AND(入力!$B$13="有効",A293&gt;1,MOD(A293-1,60)=0)),"・","")&amp;"金利変更","")&amp;IF(AND(OR(AND(入力!$B$13="有効",A293&gt;1,MOD(A293-1,60)=0),AND(A293=入力!$B$11,A293&gt;1)),入力!$B$14="有効",IF(E293=0,ROUND(C293/MAX(1,S292-A293+1),0),ROUND(-PMT(E293/12,MAX(1,S292-A293+1),C293),0))&gt;ROUND(G292*1.25,0),NOT(FALSE)),"・上限適用",""))</f>
        <v/>
      </c>
      <c r="Q293" s="35" t="str">
        <f>IF(AND(T292="",A293&lt;=S292),入力!$B$13,"")</f>
        <v>有効</v>
      </c>
      <c r="R293" s="32" t="str">
        <f>IF(AND(AND(T292="",A293&lt;=S292),OR(AND(入力!$B$13="有効",A293&gt;1,MOD(A293-1,60)=0),AND(A293=入力!$B$11,A293&gt;1)),入力!$B$14="有効"),ROUND(G292*1.25,0),"")</f>
        <v/>
      </c>
      <c r="S293" s="36">
        <f>IF(A293&lt;&gt;入力!$B$15,S292,IF(K293&lt;&gt;0,S292,IF(G293&lt;=F293,S292,IF(M293&lt;=0,S292,IF(AND(N293&gt;0,E293&gt;0,G293&lt;=N293*E293/12),S292,IF(A293+IF(N293=0,0,IF(E293=0,ROUNDUP(N293/G293,0),ROUNDUP(NPER(E293/12,-G293,N293),0)))&lt;S292,A293+IF(N293=0,0,IF(E293=0,ROUNDUP(N293/G293,0),ROUNDUP(NPER(E293/12,-G293,N293),0))),S292))))))</f>
        <v>359</v>
      </c>
      <c r="T293" s="35" t="str">
        <f t="shared" si="79"/>
        <v/>
      </c>
      <c r="U293" s="3">
        <f t="shared" si="64"/>
        <v>0</v>
      </c>
      <c r="V293" s="3">
        <f t="shared" si="65"/>
        <v>0</v>
      </c>
      <c r="W293" s="3">
        <f t="shared" si="66"/>
        <v>0</v>
      </c>
      <c r="X293" s="3">
        <f t="shared" si="67"/>
        <v>0</v>
      </c>
      <c r="Y293" s="3">
        <f>0</f>
        <v>0</v>
      </c>
      <c r="Z293" s="3">
        <f t="shared" si="68"/>
        <v>0</v>
      </c>
      <c r="AA293">
        <f>ROUND(IF(FALSE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,0)</f>
        <v>117311</v>
      </c>
    </row>
    <row r="294" spans="1:27">
      <c r="A294" s="30">
        <f>289</f>
        <v>289</v>
      </c>
      <c r="B294" s="31">
        <f>EDATE(入力!$B$6,A294-1)</f>
        <v>55001</v>
      </c>
      <c r="C294" s="32">
        <f t="shared" si="69"/>
        <v>7734934</v>
      </c>
      <c r="D294" s="32">
        <f t="shared" si="70"/>
        <v>0</v>
      </c>
      <c r="E294" s="33">
        <f>IF(AND(T293="",A294&lt;=S293),IF(A294&lt;入力!$B$11,入力!$B$10,入力!$B$12),0)</f>
        <v>2.5000000000000001E-2</v>
      </c>
      <c r="F294" s="32">
        <f t="shared" si="71"/>
        <v>16114</v>
      </c>
      <c r="G294" s="32">
        <f>ROUND(IF(NOT(AND(T293="",A294&lt;=S293)),0,IF(FALSE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),0)</f>
        <v>117311</v>
      </c>
      <c r="H294" s="32">
        <f t="shared" si="72"/>
        <v>117311</v>
      </c>
      <c r="I294" s="32">
        <f t="shared" si="73"/>
        <v>16114</v>
      </c>
      <c r="J294" s="32">
        <f t="shared" si="74"/>
        <v>0</v>
      </c>
      <c r="K294" s="32">
        <f t="shared" si="75"/>
        <v>0</v>
      </c>
      <c r="L294" s="32">
        <f t="shared" si="76"/>
        <v>101197</v>
      </c>
      <c r="M294" s="32">
        <f>IF(AND(AND(T293="",A294&lt;=S293),A294=入力!$B$15),ROUND(MIN(入力!$B$16,MAX(0,C294-L294)),0),0)</f>
        <v>0</v>
      </c>
      <c r="N294" s="32">
        <f t="shared" si="77"/>
        <v>7633737</v>
      </c>
      <c r="O294" s="32">
        <f t="shared" si="78"/>
        <v>10147016</v>
      </c>
      <c r="P294" s="34" t="str">
        <f>IF(NOT(AND(T293="",A294&lt;=S293)),"",IF(FALSE,"繰上返済後再計算","")&amp;IF(AND(入力!$B$13="有効",A294&gt;1,MOD(A294-1,60)=0),IF(FALSE,"・","")&amp;"5年見直し","")&amp;IF(AND(A294=入力!$B$11,A294&gt;1),IF(OR(FALSE,AND(入力!$B$13="有効",A294&gt;1,MOD(A294-1,60)=0)),"・","")&amp;"金利変更","")&amp;IF(AND(OR(AND(入力!$B$13="有効",A294&gt;1,MOD(A294-1,60)=0),AND(A294=入力!$B$11,A294&gt;1)),入力!$B$14="有効",IF(E294=0,ROUND(C294/MAX(1,S293-A294+1),0),ROUND(-PMT(E294/12,MAX(1,S293-A294+1),C294),0))&gt;ROUND(G293*1.25,0),NOT(FALSE)),"・上限適用",""))</f>
        <v/>
      </c>
      <c r="Q294" s="35" t="str">
        <f>IF(AND(T293="",A294&lt;=S293),入力!$B$13,"")</f>
        <v>有効</v>
      </c>
      <c r="R294" s="32" t="str">
        <f>IF(AND(AND(T293="",A294&lt;=S293),OR(AND(入力!$B$13="有効",A294&gt;1,MOD(A294-1,60)=0),AND(A294=入力!$B$11,A294&gt;1)),入力!$B$14="有効"),ROUND(G293*1.25,0),"")</f>
        <v/>
      </c>
      <c r="S294" s="36">
        <f>IF(A294&lt;&gt;入力!$B$15,S293,IF(K294&lt;&gt;0,S293,IF(G294&lt;=F294,S293,IF(M294&lt;=0,S293,IF(AND(N294&gt;0,E294&gt;0,G294&lt;=N294*E294/12),S293,IF(A294+IF(N294=0,0,IF(E294=0,ROUNDUP(N294/G294,0),ROUNDUP(NPER(E294/12,-G294,N294),0)))&lt;S293,A294+IF(N294=0,0,IF(E294=0,ROUNDUP(N294/G294,0),ROUNDUP(NPER(E294/12,-G294,N294),0))),S293))))))</f>
        <v>359</v>
      </c>
      <c r="T294" s="35" t="str">
        <f t="shared" si="79"/>
        <v/>
      </c>
      <c r="U294" s="3">
        <f t="shared" si="64"/>
        <v>0</v>
      </c>
      <c r="V294" s="3">
        <f t="shared" si="65"/>
        <v>0</v>
      </c>
      <c r="W294" s="3">
        <f t="shared" si="66"/>
        <v>0</v>
      </c>
      <c r="X294" s="3">
        <f t="shared" si="67"/>
        <v>0</v>
      </c>
      <c r="Y294" s="3">
        <f>0</f>
        <v>0</v>
      </c>
      <c r="Z294" s="3">
        <f t="shared" si="68"/>
        <v>0</v>
      </c>
      <c r="AA294">
        <f>ROUND(IF(FALSE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,0)</f>
        <v>117311</v>
      </c>
    </row>
    <row r="295" spans="1:27">
      <c r="A295" s="30">
        <f>290</f>
        <v>290</v>
      </c>
      <c r="B295" s="31">
        <f>EDATE(入力!$B$6,A295-1)</f>
        <v>55032</v>
      </c>
      <c r="C295" s="32">
        <f t="shared" si="69"/>
        <v>7633737</v>
      </c>
      <c r="D295" s="32">
        <f t="shared" si="70"/>
        <v>0</v>
      </c>
      <c r="E295" s="33">
        <f>IF(AND(T294="",A295&lt;=S294),IF(A295&lt;入力!$B$11,入力!$B$10,入力!$B$12),0)</f>
        <v>2.5000000000000001E-2</v>
      </c>
      <c r="F295" s="32">
        <f t="shared" si="71"/>
        <v>15904</v>
      </c>
      <c r="G295" s="32">
        <f>ROUND(IF(NOT(AND(T294="",A295&lt;=S294)),0,IF(FALSE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),0)</f>
        <v>117311</v>
      </c>
      <c r="H295" s="32">
        <f t="shared" si="72"/>
        <v>117311</v>
      </c>
      <c r="I295" s="32">
        <f t="shared" si="73"/>
        <v>15904</v>
      </c>
      <c r="J295" s="32">
        <f t="shared" si="74"/>
        <v>0</v>
      </c>
      <c r="K295" s="32">
        <f t="shared" si="75"/>
        <v>0</v>
      </c>
      <c r="L295" s="32">
        <f t="shared" si="76"/>
        <v>101407</v>
      </c>
      <c r="M295" s="32">
        <f>IF(AND(AND(T294="",A295&lt;=S294),A295=入力!$B$15),ROUND(MIN(入力!$B$16,MAX(0,C295-L295)),0),0)</f>
        <v>0</v>
      </c>
      <c r="N295" s="32">
        <f t="shared" si="77"/>
        <v>7532330</v>
      </c>
      <c r="O295" s="32">
        <f t="shared" si="78"/>
        <v>10162920</v>
      </c>
      <c r="P295" s="34" t="str">
        <f>IF(NOT(AND(T294="",A295&lt;=S294)),"",IF(FALSE,"繰上返済後再計算","")&amp;IF(AND(入力!$B$13="有効",A295&gt;1,MOD(A295-1,60)=0),IF(FALSE,"・","")&amp;"5年見直し","")&amp;IF(AND(A295=入力!$B$11,A295&gt;1),IF(OR(FALSE,AND(入力!$B$13="有効",A295&gt;1,MOD(A295-1,60)=0)),"・","")&amp;"金利変更","")&amp;IF(AND(OR(AND(入力!$B$13="有効",A295&gt;1,MOD(A295-1,60)=0),AND(A295=入力!$B$11,A295&gt;1)),入力!$B$14="有効",IF(E295=0,ROUND(C295/MAX(1,S294-A295+1),0),ROUND(-PMT(E295/12,MAX(1,S294-A295+1),C295),0))&gt;ROUND(G294*1.25,0),NOT(FALSE)),"・上限適用",""))</f>
        <v/>
      </c>
      <c r="Q295" s="35" t="str">
        <f>IF(AND(T294="",A295&lt;=S294),入力!$B$13,"")</f>
        <v>有効</v>
      </c>
      <c r="R295" s="32" t="str">
        <f>IF(AND(AND(T294="",A295&lt;=S294),OR(AND(入力!$B$13="有効",A295&gt;1,MOD(A295-1,60)=0),AND(A295=入力!$B$11,A295&gt;1)),入力!$B$14="有効"),ROUND(G294*1.25,0),"")</f>
        <v/>
      </c>
      <c r="S295" s="36">
        <f>IF(A295&lt;&gt;入力!$B$15,S294,IF(K295&lt;&gt;0,S294,IF(G295&lt;=F295,S294,IF(M295&lt;=0,S294,IF(AND(N295&gt;0,E295&gt;0,G295&lt;=N295*E295/12),S294,IF(A295+IF(N295=0,0,IF(E295=0,ROUNDUP(N295/G295,0),ROUNDUP(NPER(E295/12,-G295,N295),0)))&lt;S294,A295+IF(N295=0,0,IF(E295=0,ROUNDUP(N295/G295,0),ROUNDUP(NPER(E295/12,-G295,N295),0))),S294))))))</f>
        <v>359</v>
      </c>
      <c r="T295" s="35" t="str">
        <f t="shared" si="79"/>
        <v/>
      </c>
      <c r="U295" s="3">
        <f t="shared" si="64"/>
        <v>0</v>
      </c>
      <c r="V295" s="3">
        <f t="shared" si="65"/>
        <v>0</v>
      </c>
      <c r="W295" s="3">
        <f t="shared" si="66"/>
        <v>0</v>
      </c>
      <c r="X295" s="3">
        <f t="shared" si="67"/>
        <v>0</v>
      </c>
      <c r="Y295" s="3">
        <f>0</f>
        <v>0</v>
      </c>
      <c r="Z295" s="3">
        <f t="shared" si="68"/>
        <v>0</v>
      </c>
      <c r="AA295">
        <f>ROUND(IF(FALSE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,0)</f>
        <v>117311</v>
      </c>
    </row>
    <row r="296" spans="1:27">
      <c r="A296" s="30">
        <f>291</f>
        <v>291</v>
      </c>
      <c r="B296" s="31">
        <f>EDATE(入力!$B$6,A296-1)</f>
        <v>55062</v>
      </c>
      <c r="C296" s="32">
        <f t="shared" si="69"/>
        <v>7532330</v>
      </c>
      <c r="D296" s="32">
        <f t="shared" si="70"/>
        <v>0</v>
      </c>
      <c r="E296" s="33">
        <f>IF(AND(T295="",A296&lt;=S295),IF(A296&lt;入力!$B$11,入力!$B$10,入力!$B$12),0)</f>
        <v>2.5000000000000001E-2</v>
      </c>
      <c r="F296" s="32">
        <f t="shared" si="71"/>
        <v>15692</v>
      </c>
      <c r="G296" s="32">
        <f>ROUND(IF(NOT(AND(T295="",A296&lt;=S295)),0,IF(FALSE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),0)</f>
        <v>117311</v>
      </c>
      <c r="H296" s="32">
        <f t="shared" si="72"/>
        <v>117311</v>
      </c>
      <c r="I296" s="32">
        <f t="shared" si="73"/>
        <v>15692</v>
      </c>
      <c r="J296" s="32">
        <f t="shared" si="74"/>
        <v>0</v>
      </c>
      <c r="K296" s="32">
        <f t="shared" si="75"/>
        <v>0</v>
      </c>
      <c r="L296" s="32">
        <f t="shared" si="76"/>
        <v>101619</v>
      </c>
      <c r="M296" s="32">
        <f>IF(AND(AND(T295="",A296&lt;=S295),A296=入力!$B$15),ROUND(MIN(入力!$B$16,MAX(0,C296-L296)),0),0)</f>
        <v>0</v>
      </c>
      <c r="N296" s="32">
        <f t="shared" si="77"/>
        <v>7430711</v>
      </c>
      <c r="O296" s="32">
        <f t="shared" si="78"/>
        <v>10178612</v>
      </c>
      <c r="P296" s="34" t="str">
        <f>IF(NOT(AND(T295="",A296&lt;=S295)),"",IF(FALSE,"繰上返済後再計算","")&amp;IF(AND(入力!$B$13="有効",A296&gt;1,MOD(A296-1,60)=0),IF(FALSE,"・","")&amp;"5年見直し","")&amp;IF(AND(A296=入力!$B$11,A296&gt;1),IF(OR(FALSE,AND(入力!$B$13="有効",A296&gt;1,MOD(A296-1,60)=0)),"・","")&amp;"金利変更","")&amp;IF(AND(OR(AND(入力!$B$13="有効",A296&gt;1,MOD(A296-1,60)=0),AND(A296=入力!$B$11,A296&gt;1)),入力!$B$14="有効",IF(E296=0,ROUND(C296/MAX(1,S295-A296+1),0),ROUND(-PMT(E296/12,MAX(1,S295-A296+1),C296),0))&gt;ROUND(G295*1.25,0),NOT(FALSE)),"・上限適用",""))</f>
        <v/>
      </c>
      <c r="Q296" s="35" t="str">
        <f>IF(AND(T295="",A296&lt;=S295),入力!$B$13,"")</f>
        <v>有効</v>
      </c>
      <c r="R296" s="32" t="str">
        <f>IF(AND(AND(T295="",A296&lt;=S295),OR(AND(入力!$B$13="有効",A296&gt;1,MOD(A296-1,60)=0),AND(A296=入力!$B$11,A296&gt;1)),入力!$B$14="有効"),ROUND(G295*1.25,0),"")</f>
        <v/>
      </c>
      <c r="S296" s="36">
        <f>IF(A296&lt;&gt;入力!$B$15,S295,IF(K296&lt;&gt;0,S295,IF(G296&lt;=F296,S295,IF(M296&lt;=0,S295,IF(AND(N296&gt;0,E296&gt;0,G296&lt;=N296*E296/12),S295,IF(A296+IF(N296=0,0,IF(E296=0,ROUNDUP(N296/G296,0),ROUNDUP(NPER(E296/12,-G296,N296),0)))&lt;S295,A296+IF(N296=0,0,IF(E296=0,ROUNDUP(N296/G296,0),ROUNDUP(NPER(E296/12,-G296,N296),0))),S295))))))</f>
        <v>359</v>
      </c>
      <c r="T296" s="35" t="str">
        <f t="shared" si="79"/>
        <v/>
      </c>
      <c r="U296" s="3">
        <f t="shared" si="64"/>
        <v>0</v>
      </c>
      <c r="V296" s="3">
        <f t="shared" si="65"/>
        <v>0</v>
      </c>
      <c r="W296" s="3">
        <f t="shared" si="66"/>
        <v>0</v>
      </c>
      <c r="X296" s="3">
        <f t="shared" si="67"/>
        <v>0</v>
      </c>
      <c r="Y296" s="3">
        <f>0</f>
        <v>0</v>
      </c>
      <c r="Z296" s="3">
        <f t="shared" si="68"/>
        <v>0</v>
      </c>
      <c r="AA296">
        <f>ROUND(IF(FALSE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,0)</f>
        <v>117311</v>
      </c>
    </row>
    <row r="297" spans="1:27">
      <c r="A297" s="30">
        <f>292</f>
        <v>292</v>
      </c>
      <c r="B297" s="31">
        <f>EDATE(入力!$B$6,A297-1)</f>
        <v>55093</v>
      </c>
      <c r="C297" s="32">
        <f t="shared" si="69"/>
        <v>7430711</v>
      </c>
      <c r="D297" s="32">
        <f t="shared" si="70"/>
        <v>0</v>
      </c>
      <c r="E297" s="33">
        <f>IF(AND(T296="",A297&lt;=S296),IF(A297&lt;入力!$B$11,入力!$B$10,入力!$B$12),0)</f>
        <v>2.5000000000000001E-2</v>
      </c>
      <c r="F297" s="32">
        <f t="shared" si="71"/>
        <v>15481</v>
      </c>
      <c r="G297" s="32">
        <f>ROUND(IF(NOT(AND(T296="",A297&lt;=S296)),0,IF(FALSE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),0)</f>
        <v>117311</v>
      </c>
      <c r="H297" s="32">
        <f t="shared" si="72"/>
        <v>117311</v>
      </c>
      <c r="I297" s="32">
        <f t="shared" si="73"/>
        <v>15481</v>
      </c>
      <c r="J297" s="32">
        <f t="shared" si="74"/>
        <v>0</v>
      </c>
      <c r="K297" s="32">
        <f t="shared" si="75"/>
        <v>0</v>
      </c>
      <c r="L297" s="32">
        <f t="shared" si="76"/>
        <v>101830</v>
      </c>
      <c r="M297" s="32">
        <f>IF(AND(AND(T296="",A297&lt;=S296),A297=入力!$B$15),ROUND(MIN(入力!$B$16,MAX(0,C297-L297)),0),0)</f>
        <v>0</v>
      </c>
      <c r="N297" s="32">
        <f t="shared" si="77"/>
        <v>7328881</v>
      </c>
      <c r="O297" s="32">
        <f t="shared" si="78"/>
        <v>10194093</v>
      </c>
      <c r="P297" s="34" t="str">
        <f>IF(NOT(AND(T296="",A297&lt;=S296)),"",IF(FALSE,"繰上返済後再計算","")&amp;IF(AND(入力!$B$13="有効",A297&gt;1,MOD(A297-1,60)=0),IF(FALSE,"・","")&amp;"5年見直し","")&amp;IF(AND(A297=入力!$B$11,A297&gt;1),IF(OR(FALSE,AND(入力!$B$13="有効",A297&gt;1,MOD(A297-1,60)=0)),"・","")&amp;"金利変更","")&amp;IF(AND(OR(AND(入力!$B$13="有効",A297&gt;1,MOD(A297-1,60)=0),AND(A297=入力!$B$11,A297&gt;1)),入力!$B$14="有効",IF(E297=0,ROUND(C297/MAX(1,S296-A297+1),0),ROUND(-PMT(E297/12,MAX(1,S296-A297+1),C297),0))&gt;ROUND(G296*1.25,0),NOT(FALSE)),"・上限適用",""))</f>
        <v/>
      </c>
      <c r="Q297" s="35" t="str">
        <f>IF(AND(T296="",A297&lt;=S296),入力!$B$13,"")</f>
        <v>有効</v>
      </c>
      <c r="R297" s="32" t="str">
        <f>IF(AND(AND(T296="",A297&lt;=S296),OR(AND(入力!$B$13="有効",A297&gt;1,MOD(A297-1,60)=0),AND(A297=入力!$B$11,A297&gt;1)),入力!$B$14="有効"),ROUND(G296*1.25,0),"")</f>
        <v/>
      </c>
      <c r="S297" s="36">
        <f>IF(A297&lt;&gt;入力!$B$15,S296,IF(K297&lt;&gt;0,S296,IF(G297&lt;=F297,S296,IF(M297&lt;=0,S296,IF(AND(N297&gt;0,E297&gt;0,G297&lt;=N297*E297/12),S296,IF(A297+IF(N297=0,0,IF(E297=0,ROUNDUP(N297/G297,0),ROUNDUP(NPER(E297/12,-G297,N297),0)))&lt;S296,A297+IF(N297=0,0,IF(E297=0,ROUNDUP(N297/G297,0),ROUNDUP(NPER(E297/12,-G297,N297),0))),S296))))))</f>
        <v>359</v>
      </c>
      <c r="T297" s="35" t="str">
        <f t="shared" si="79"/>
        <v/>
      </c>
      <c r="U297" s="3">
        <f t="shared" si="64"/>
        <v>0</v>
      </c>
      <c r="V297" s="3">
        <f t="shared" si="65"/>
        <v>0</v>
      </c>
      <c r="W297" s="3">
        <f t="shared" si="66"/>
        <v>0</v>
      </c>
      <c r="X297" s="3">
        <f t="shared" si="67"/>
        <v>0</v>
      </c>
      <c r="Y297" s="3">
        <f>0</f>
        <v>0</v>
      </c>
      <c r="Z297" s="3">
        <f t="shared" si="68"/>
        <v>0</v>
      </c>
      <c r="AA297">
        <f>ROUND(IF(FALSE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,0)</f>
        <v>117311</v>
      </c>
    </row>
    <row r="298" spans="1:27">
      <c r="A298" s="30">
        <f>293</f>
        <v>293</v>
      </c>
      <c r="B298" s="31">
        <f>EDATE(入力!$B$6,A298-1)</f>
        <v>55123</v>
      </c>
      <c r="C298" s="32">
        <f t="shared" si="69"/>
        <v>7328881</v>
      </c>
      <c r="D298" s="32">
        <f t="shared" si="70"/>
        <v>0</v>
      </c>
      <c r="E298" s="33">
        <f>IF(AND(T297="",A298&lt;=S297),IF(A298&lt;入力!$B$11,入力!$B$10,入力!$B$12),0)</f>
        <v>2.5000000000000001E-2</v>
      </c>
      <c r="F298" s="32">
        <f t="shared" si="71"/>
        <v>15269</v>
      </c>
      <c r="G298" s="32">
        <f>ROUND(IF(NOT(AND(T297="",A298&lt;=S297)),0,IF(FALSE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),0)</f>
        <v>117311</v>
      </c>
      <c r="H298" s="32">
        <f t="shared" si="72"/>
        <v>117311</v>
      </c>
      <c r="I298" s="32">
        <f t="shared" si="73"/>
        <v>15269</v>
      </c>
      <c r="J298" s="32">
        <f t="shared" si="74"/>
        <v>0</v>
      </c>
      <c r="K298" s="32">
        <f t="shared" si="75"/>
        <v>0</v>
      </c>
      <c r="L298" s="32">
        <f t="shared" si="76"/>
        <v>102042</v>
      </c>
      <c r="M298" s="32">
        <f>IF(AND(AND(T297="",A298&lt;=S297),A298=入力!$B$15),ROUND(MIN(入力!$B$16,MAX(0,C298-L298)),0),0)</f>
        <v>0</v>
      </c>
      <c r="N298" s="32">
        <f t="shared" si="77"/>
        <v>7226839</v>
      </c>
      <c r="O298" s="32">
        <f t="shared" si="78"/>
        <v>10209362</v>
      </c>
      <c r="P298" s="34" t="str">
        <f>IF(NOT(AND(T297="",A298&lt;=S297)),"",IF(FALSE,"繰上返済後再計算","")&amp;IF(AND(入力!$B$13="有効",A298&gt;1,MOD(A298-1,60)=0),IF(FALSE,"・","")&amp;"5年見直し","")&amp;IF(AND(A298=入力!$B$11,A298&gt;1),IF(OR(FALSE,AND(入力!$B$13="有効",A298&gt;1,MOD(A298-1,60)=0)),"・","")&amp;"金利変更","")&amp;IF(AND(OR(AND(入力!$B$13="有効",A298&gt;1,MOD(A298-1,60)=0),AND(A298=入力!$B$11,A298&gt;1)),入力!$B$14="有効",IF(E298=0,ROUND(C298/MAX(1,S297-A298+1),0),ROUND(-PMT(E298/12,MAX(1,S297-A298+1),C298),0))&gt;ROUND(G297*1.25,0),NOT(FALSE)),"・上限適用",""))</f>
        <v/>
      </c>
      <c r="Q298" s="35" t="str">
        <f>IF(AND(T297="",A298&lt;=S297),入力!$B$13,"")</f>
        <v>有効</v>
      </c>
      <c r="R298" s="32" t="str">
        <f>IF(AND(AND(T297="",A298&lt;=S297),OR(AND(入力!$B$13="有効",A298&gt;1,MOD(A298-1,60)=0),AND(A298=入力!$B$11,A298&gt;1)),入力!$B$14="有効"),ROUND(G297*1.25,0),"")</f>
        <v/>
      </c>
      <c r="S298" s="36">
        <f>IF(A298&lt;&gt;入力!$B$15,S297,IF(K298&lt;&gt;0,S297,IF(G298&lt;=F298,S297,IF(M298&lt;=0,S297,IF(AND(N298&gt;0,E298&gt;0,G298&lt;=N298*E298/12),S297,IF(A298+IF(N298=0,0,IF(E298=0,ROUNDUP(N298/G298,0),ROUNDUP(NPER(E298/12,-G298,N298),0)))&lt;S297,A298+IF(N298=0,0,IF(E298=0,ROUNDUP(N298/G298,0),ROUNDUP(NPER(E298/12,-G298,N298),0))),S297))))))</f>
        <v>359</v>
      </c>
      <c r="T298" s="35" t="str">
        <f t="shared" si="79"/>
        <v/>
      </c>
      <c r="U298" s="3">
        <f t="shared" si="64"/>
        <v>0</v>
      </c>
      <c r="V298" s="3">
        <f t="shared" si="65"/>
        <v>0</v>
      </c>
      <c r="W298" s="3">
        <f t="shared" si="66"/>
        <v>0</v>
      </c>
      <c r="X298" s="3">
        <f t="shared" si="67"/>
        <v>0</v>
      </c>
      <c r="Y298" s="3">
        <f>0</f>
        <v>0</v>
      </c>
      <c r="Z298" s="3">
        <f t="shared" si="68"/>
        <v>0</v>
      </c>
      <c r="AA298">
        <f>ROUND(IF(FALSE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,0)</f>
        <v>117311</v>
      </c>
    </row>
    <row r="299" spans="1:27">
      <c r="A299" s="30">
        <f>294</f>
        <v>294</v>
      </c>
      <c r="B299" s="31">
        <f>EDATE(入力!$B$6,A299-1)</f>
        <v>55154</v>
      </c>
      <c r="C299" s="32">
        <f t="shared" si="69"/>
        <v>7226839</v>
      </c>
      <c r="D299" s="32">
        <f t="shared" si="70"/>
        <v>0</v>
      </c>
      <c r="E299" s="33">
        <f>IF(AND(T298="",A299&lt;=S298),IF(A299&lt;入力!$B$11,入力!$B$10,入力!$B$12),0)</f>
        <v>2.5000000000000001E-2</v>
      </c>
      <c r="F299" s="32">
        <f t="shared" si="71"/>
        <v>15056</v>
      </c>
      <c r="G299" s="32">
        <f>ROUND(IF(NOT(AND(T298="",A299&lt;=S298)),0,IF(FALSE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),0)</f>
        <v>117311</v>
      </c>
      <c r="H299" s="32">
        <f t="shared" si="72"/>
        <v>117311</v>
      </c>
      <c r="I299" s="32">
        <f t="shared" si="73"/>
        <v>15056</v>
      </c>
      <c r="J299" s="32">
        <f t="shared" si="74"/>
        <v>0</v>
      </c>
      <c r="K299" s="32">
        <f t="shared" si="75"/>
        <v>0</v>
      </c>
      <c r="L299" s="32">
        <f t="shared" si="76"/>
        <v>102255</v>
      </c>
      <c r="M299" s="32">
        <f>IF(AND(AND(T298="",A299&lt;=S298),A299=入力!$B$15),ROUND(MIN(入力!$B$16,MAX(0,C299-L299)),0),0)</f>
        <v>0</v>
      </c>
      <c r="N299" s="32">
        <f t="shared" si="77"/>
        <v>7124584</v>
      </c>
      <c r="O299" s="32">
        <f t="shared" si="78"/>
        <v>10224418</v>
      </c>
      <c r="P299" s="34" t="str">
        <f>IF(NOT(AND(T298="",A299&lt;=S298)),"",IF(FALSE,"繰上返済後再計算","")&amp;IF(AND(入力!$B$13="有効",A299&gt;1,MOD(A299-1,60)=0),IF(FALSE,"・","")&amp;"5年見直し","")&amp;IF(AND(A299=入力!$B$11,A299&gt;1),IF(OR(FALSE,AND(入力!$B$13="有効",A299&gt;1,MOD(A299-1,60)=0)),"・","")&amp;"金利変更","")&amp;IF(AND(OR(AND(入力!$B$13="有効",A299&gt;1,MOD(A299-1,60)=0),AND(A299=入力!$B$11,A299&gt;1)),入力!$B$14="有効",IF(E299=0,ROUND(C299/MAX(1,S298-A299+1),0),ROUND(-PMT(E299/12,MAX(1,S298-A299+1),C299),0))&gt;ROUND(G298*1.25,0),NOT(FALSE)),"・上限適用",""))</f>
        <v/>
      </c>
      <c r="Q299" s="35" t="str">
        <f>IF(AND(T298="",A299&lt;=S298),入力!$B$13,"")</f>
        <v>有効</v>
      </c>
      <c r="R299" s="32" t="str">
        <f>IF(AND(AND(T298="",A299&lt;=S298),OR(AND(入力!$B$13="有効",A299&gt;1,MOD(A299-1,60)=0),AND(A299=入力!$B$11,A299&gt;1)),入力!$B$14="有効"),ROUND(G298*1.25,0),"")</f>
        <v/>
      </c>
      <c r="S299" s="36">
        <f>IF(A299&lt;&gt;入力!$B$15,S298,IF(K299&lt;&gt;0,S298,IF(G299&lt;=F299,S298,IF(M299&lt;=0,S298,IF(AND(N299&gt;0,E299&gt;0,G299&lt;=N299*E299/12),S298,IF(A299+IF(N299=0,0,IF(E299=0,ROUNDUP(N299/G299,0),ROUNDUP(NPER(E299/12,-G299,N299),0)))&lt;S298,A299+IF(N299=0,0,IF(E299=0,ROUNDUP(N299/G299,0),ROUNDUP(NPER(E299/12,-G299,N299),0))),S298))))))</f>
        <v>359</v>
      </c>
      <c r="T299" s="35" t="str">
        <f t="shared" si="79"/>
        <v/>
      </c>
      <c r="U299" s="3">
        <f t="shared" si="64"/>
        <v>0</v>
      </c>
      <c r="V299" s="3">
        <f t="shared" si="65"/>
        <v>0</v>
      </c>
      <c r="W299" s="3">
        <f t="shared" si="66"/>
        <v>0</v>
      </c>
      <c r="X299" s="3">
        <f t="shared" si="67"/>
        <v>0</v>
      </c>
      <c r="Y299" s="3">
        <f>0</f>
        <v>0</v>
      </c>
      <c r="Z299" s="3">
        <f t="shared" si="68"/>
        <v>0</v>
      </c>
      <c r="AA299">
        <f>ROUND(IF(FALSE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,0)</f>
        <v>117311</v>
      </c>
    </row>
    <row r="300" spans="1:27">
      <c r="A300" s="30">
        <f>295</f>
        <v>295</v>
      </c>
      <c r="B300" s="31">
        <f>EDATE(入力!$B$6,A300-1)</f>
        <v>55185</v>
      </c>
      <c r="C300" s="32">
        <f t="shared" si="69"/>
        <v>7124584</v>
      </c>
      <c r="D300" s="32">
        <f t="shared" si="70"/>
        <v>0</v>
      </c>
      <c r="E300" s="33">
        <f>IF(AND(T299="",A300&lt;=S299),IF(A300&lt;入力!$B$11,入力!$B$10,入力!$B$12),0)</f>
        <v>2.5000000000000001E-2</v>
      </c>
      <c r="F300" s="32">
        <f t="shared" si="71"/>
        <v>14843</v>
      </c>
      <c r="G300" s="32">
        <f>ROUND(IF(NOT(AND(T299="",A300&lt;=S299)),0,IF(FALSE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),0)</f>
        <v>117311</v>
      </c>
      <c r="H300" s="32">
        <f t="shared" si="72"/>
        <v>117311</v>
      </c>
      <c r="I300" s="32">
        <f t="shared" si="73"/>
        <v>14843</v>
      </c>
      <c r="J300" s="32">
        <f t="shared" si="74"/>
        <v>0</v>
      </c>
      <c r="K300" s="32">
        <f t="shared" si="75"/>
        <v>0</v>
      </c>
      <c r="L300" s="32">
        <f t="shared" si="76"/>
        <v>102468</v>
      </c>
      <c r="M300" s="32">
        <f>IF(AND(AND(T299="",A300&lt;=S299),A300=入力!$B$15),ROUND(MIN(入力!$B$16,MAX(0,C300-L300)),0),0)</f>
        <v>0</v>
      </c>
      <c r="N300" s="32">
        <f t="shared" si="77"/>
        <v>7022116</v>
      </c>
      <c r="O300" s="32">
        <f t="shared" si="78"/>
        <v>10239261</v>
      </c>
      <c r="P300" s="34" t="str">
        <f>IF(NOT(AND(T299="",A300&lt;=S299)),"",IF(FALSE,"繰上返済後再計算","")&amp;IF(AND(入力!$B$13="有効",A300&gt;1,MOD(A300-1,60)=0),IF(FALSE,"・","")&amp;"5年見直し","")&amp;IF(AND(A300=入力!$B$11,A300&gt;1),IF(OR(FALSE,AND(入力!$B$13="有効",A300&gt;1,MOD(A300-1,60)=0)),"・","")&amp;"金利変更","")&amp;IF(AND(OR(AND(入力!$B$13="有効",A300&gt;1,MOD(A300-1,60)=0),AND(A300=入力!$B$11,A300&gt;1)),入力!$B$14="有効",IF(E300=0,ROUND(C300/MAX(1,S299-A300+1),0),ROUND(-PMT(E300/12,MAX(1,S299-A300+1),C300),0))&gt;ROUND(G299*1.25,0),NOT(FALSE)),"・上限適用",""))</f>
        <v/>
      </c>
      <c r="Q300" s="35" t="str">
        <f>IF(AND(T299="",A300&lt;=S299),入力!$B$13,"")</f>
        <v>有効</v>
      </c>
      <c r="R300" s="32" t="str">
        <f>IF(AND(AND(T299="",A300&lt;=S299),OR(AND(入力!$B$13="有効",A300&gt;1,MOD(A300-1,60)=0),AND(A300=入力!$B$11,A300&gt;1)),入力!$B$14="有効"),ROUND(G299*1.25,0),"")</f>
        <v/>
      </c>
      <c r="S300" s="36">
        <f>IF(A300&lt;&gt;入力!$B$15,S299,IF(K300&lt;&gt;0,S299,IF(G300&lt;=F300,S299,IF(M300&lt;=0,S299,IF(AND(N300&gt;0,E300&gt;0,G300&lt;=N300*E300/12),S299,IF(A300+IF(N300=0,0,IF(E300=0,ROUNDUP(N300/G300,0),ROUNDUP(NPER(E300/12,-G300,N300),0)))&lt;S299,A300+IF(N300=0,0,IF(E300=0,ROUNDUP(N300/G300,0),ROUNDUP(NPER(E300/12,-G300,N300),0))),S299))))))</f>
        <v>359</v>
      </c>
      <c r="T300" s="35" t="str">
        <f t="shared" si="79"/>
        <v/>
      </c>
      <c r="U300" s="3">
        <f t="shared" si="64"/>
        <v>0</v>
      </c>
      <c r="V300" s="3">
        <f t="shared" si="65"/>
        <v>0</v>
      </c>
      <c r="W300" s="3">
        <f t="shared" si="66"/>
        <v>0</v>
      </c>
      <c r="X300" s="3">
        <f t="shared" si="67"/>
        <v>0</v>
      </c>
      <c r="Y300" s="3">
        <f>0</f>
        <v>0</v>
      </c>
      <c r="Z300" s="3">
        <f t="shared" si="68"/>
        <v>0</v>
      </c>
      <c r="AA300">
        <f>ROUND(IF(FALSE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,0)</f>
        <v>117311</v>
      </c>
    </row>
    <row r="301" spans="1:27">
      <c r="A301" s="30">
        <f>296</f>
        <v>296</v>
      </c>
      <c r="B301" s="31">
        <f>EDATE(入力!$B$6,A301-1)</f>
        <v>55213</v>
      </c>
      <c r="C301" s="32">
        <f t="shared" si="69"/>
        <v>7022116</v>
      </c>
      <c r="D301" s="32">
        <f t="shared" si="70"/>
        <v>0</v>
      </c>
      <c r="E301" s="33">
        <f>IF(AND(T300="",A301&lt;=S300),IF(A301&lt;入力!$B$11,入力!$B$10,入力!$B$12),0)</f>
        <v>2.5000000000000001E-2</v>
      </c>
      <c r="F301" s="32">
        <f t="shared" si="71"/>
        <v>14629</v>
      </c>
      <c r="G301" s="32">
        <f>ROUND(IF(NOT(AND(T300="",A301&lt;=S300)),0,IF(FALSE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),0)</f>
        <v>117311</v>
      </c>
      <c r="H301" s="32">
        <f t="shared" si="72"/>
        <v>117311</v>
      </c>
      <c r="I301" s="32">
        <f t="shared" si="73"/>
        <v>14629</v>
      </c>
      <c r="J301" s="32">
        <f t="shared" si="74"/>
        <v>0</v>
      </c>
      <c r="K301" s="32">
        <f t="shared" si="75"/>
        <v>0</v>
      </c>
      <c r="L301" s="32">
        <f t="shared" si="76"/>
        <v>102682</v>
      </c>
      <c r="M301" s="32">
        <f>IF(AND(AND(T300="",A301&lt;=S300),A301=入力!$B$15),ROUND(MIN(入力!$B$16,MAX(0,C301-L301)),0),0)</f>
        <v>0</v>
      </c>
      <c r="N301" s="32">
        <f t="shared" si="77"/>
        <v>6919434</v>
      </c>
      <c r="O301" s="32">
        <f t="shared" si="78"/>
        <v>10253890</v>
      </c>
      <c r="P301" s="34" t="str">
        <f>IF(NOT(AND(T300="",A301&lt;=S300)),"",IF(FALSE,"繰上返済後再計算","")&amp;IF(AND(入力!$B$13="有効",A301&gt;1,MOD(A301-1,60)=0),IF(FALSE,"・","")&amp;"5年見直し","")&amp;IF(AND(A301=入力!$B$11,A301&gt;1),IF(OR(FALSE,AND(入力!$B$13="有効",A301&gt;1,MOD(A301-1,60)=0)),"・","")&amp;"金利変更","")&amp;IF(AND(OR(AND(入力!$B$13="有効",A301&gt;1,MOD(A301-1,60)=0),AND(A301=入力!$B$11,A301&gt;1)),入力!$B$14="有効",IF(E301=0,ROUND(C301/MAX(1,S300-A301+1),0),ROUND(-PMT(E301/12,MAX(1,S300-A301+1),C301),0))&gt;ROUND(G300*1.25,0),NOT(FALSE)),"・上限適用",""))</f>
        <v/>
      </c>
      <c r="Q301" s="35" t="str">
        <f>IF(AND(T300="",A301&lt;=S300),入力!$B$13,"")</f>
        <v>有効</v>
      </c>
      <c r="R301" s="32" t="str">
        <f>IF(AND(AND(T300="",A301&lt;=S300),OR(AND(入力!$B$13="有効",A301&gt;1,MOD(A301-1,60)=0),AND(A301=入力!$B$11,A301&gt;1)),入力!$B$14="有効"),ROUND(G300*1.25,0),"")</f>
        <v/>
      </c>
      <c r="S301" s="36">
        <f>IF(A301&lt;&gt;入力!$B$15,S300,IF(K301&lt;&gt;0,S300,IF(G301&lt;=F301,S300,IF(M301&lt;=0,S300,IF(AND(N301&gt;0,E301&gt;0,G301&lt;=N301*E301/12),S300,IF(A301+IF(N301=0,0,IF(E301=0,ROUNDUP(N301/G301,0),ROUNDUP(NPER(E301/12,-G301,N301),0)))&lt;S300,A301+IF(N301=0,0,IF(E301=0,ROUNDUP(N301/G301,0),ROUNDUP(NPER(E301/12,-G301,N301),0))),S300))))))</f>
        <v>359</v>
      </c>
      <c r="T301" s="35" t="str">
        <f t="shared" si="79"/>
        <v/>
      </c>
      <c r="U301" s="3">
        <f t="shared" si="64"/>
        <v>0</v>
      </c>
      <c r="V301" s="3">
        <f t="shared" si="65"/>
        <v>0</v>
      </c>
      <c r="W301" s="3">
        <f t="shared" si="66"/>
        <v>0</v>
      </c>
      <c r="X301" s="3">
        <f t="shared" si="67"/>
        <v>0</v>
      </c>
      <c r="Y301" s="3">
        <f>0</f>
        <v>0</v>
      </c>
      <c r="Z301" s="3">
        <f t="shared" si="68"/>
        <v>0</v>
      </c>
      <c r="AA301">
        <f>ROUND(IF(FALSE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,0)</f>
        <v>117311</v>
      </c>
    </row>
    <row r="302" spans="1:27">
      <c r="A302" s="30">
        <f>297</f>
        <v>297</v>
      </c>
      <c r="B302" s="31">
        <f>EDATE(入力!$B$6,A302-1)</f>
        <v>55244</v>
      </c>
      <c r="C302" s="32">
        <f t="shared" si="69"/>
        <v>6919434</v>
      </c>
      <c r="D302" s="32">
        <f t="shared" si="70"/>
        <v>0</v>
      </c>
      <c r="E302" s="33">
        <f>IF(AND(T301="",A302&lt;=S301),IF(A302&lt;入力!$B$11,入力!$B$10,入力!$B$12),0)</f>
        <v>2.5000000000000001E-2</v>
      </c>
      <c r="F302" s="32">
        <f t="shared" si="71"/>
        <v>14415</v>
      </c>
      <c r="G302" s="32">
        <f>ROUND(IF(NOT(AND(T301="",A302&lt;=S301)),0,IF(FALSE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),0)</f>
        <v>117311</v>
      </c>
      <c r="H302" s="32">
        <f t="shared" si="72"/>
        <v>117311</v>
      </c>
      <c r="I302" s="32">
        <f t="shared" si="73"/>
        <v>14415</v>
      </c>
      <c r="J302" s="32">
        <f t="shared" si="74"/>
        <v>0</v>
      </c>
      <c r="K302" s="32">
        <f t="shared" si="75"/>
        <v>0</v>
      </c>
      <c r="L302" s="32">
        <f t="shared" si="76"/>
        <v>102896</v>
      </c>
      <c r="M302" s="32">
        <f>IF(AND(AND(T301="",A302&lt;=S301),A302=入力!$B$15),ROUND(MIN(入力!$B$16,MAX(0,C302-L302)),0),0)</f>
        <v>0</v>
      </c>
      <c r="N302" s="32">
        <f t="shared" si="77"/>
        <v>6816538</v>
      </c>
      <c r="O302" s="32">
        <f t="shared" si="78"/>
        <v>10268305</v>
      </c>
      <c r="P302" s="34" t="str">
        <f>IF(NOT(AND(T301="",A302&lt;=S301)),"",IF(FALSE,"繰上返済後再計算","")&amp;IF(AND(入力!$B$13="有効",A302&gt;1,MOD(A302-1,60)=0),IF(FALSE,"・","")&amp;"5年見直し","")&amp;IF(AND(A302=入力!$B$11,A302&gt;1),IF(OR(FALSE,AND(入力!$B$13="有効",A302&gt;1,MOD(A302-1,60)=0)),"・","")&amp;"金利変更","")&amp;IF(AND(OR(AND(入力!$B$13="有効",A302&gt;1,MOD(A302-1,60)=0),AND(A302=入力!$B$11,A302&gt;1)),入力!$B$14="有効",IF(E302=0,ROUND(C302/MAX(1,S301-A302+1),0),ROUND(-PMT(E302/12,MAX(1,S301-A302+1),C302),0))&gt;ROUND(G301*1.25,0),NOT(FALSE)),"・上限適用",""))</f>
        <v/>
      </c>
      <c r="Q302" s="35" t="str">
        <f>IF(AND(T301="",A302&lt;=S301),入力!$B$13,"")</f>
        <v>有効</v>
      </c>
      <c r="R302" s="32" t="str">
        <f>IF(AND(AND(T301="",A302&lt;=S301),OR(AND(入力!$B$13="有効",A302&gt;1,MOD(A302-1,60)=0),AND(A302=入力!$B$11,A302&gt;1)),入力!$B$14="有効"),ROUND(G301*1.25,0),"")</f>
        <v/>
      </c>
      <c r="S302" s="36">
        <f>IF(A302&lt;&gt;入力!$B$15,S301,IF(K302&lt;&gt;0,S301,IF(G302&lt;=F302,S301,IF(M302&lt;=0,S301,IF(AND(N302&gt;0,E302&gt;0,G302&lt;=N302*E302/12),S301,IF(A302+IF(N302=0,0,IF(E302=0,ROUNDUP(N302/G302,0),ROUNDUP(NPER(E302/12,-G302,N302),0)))&lt;S301,A302+IF(N302=0,0,IF(E302=0,ROUNDUP(N302/G302,0),ROUNDUP(NPER(E302/12,-G302,N302),0))),S301))))))</f>
        <v>359</v>
      </c>
      <c r="T302" s="35" t="str">
        <f t="shared" si="79"/>
        <v/>
      </c>
      <c r="U302" s="3">
        <f t="shared" si="64"/>
        <v>0</v>
      </c>
      <c r="V302" s="3">
        <f t="shared" si="65"/>
        <v>0</v>
      </c>
      <c r="W302" s="3">
        <f t="shared" si="66"/>
        <v>0</v>
      </c>
      <c r="X302" s="3">
        <f t="shared" si="67"/>
        <v>0</v>
      </c>
      <c r="Y302" s="3">
        <f>0</f>
        <v>0</v>
      </c>
      <c r="Z302" s="3">
        <f t="shared" si="68"/>
        <v>0</v>
      </c>
      <c r="AA302">
        <f>ROUND(IF(FALSE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,0)</f>
        <v>117311</v>
      </c>
    </row>
    <row r="303" spans="1:27">
      <c r="A303" s="30">
        <f>298</f>
        <v>298</v>
      </c>
      <c r="B303" s="31">
        <f>EDATE(入力!$B$6,A303-1)</f>
        <v>55274</v>
      </c>
      <c r="C303" s="32">
        <f t="shared" si="69"/>
        <v>6816538</v>
      </c>
      <c r="D303" s="32">
        <f t="shared" si="70"/>
        <v>0</v>
      </c>
      <c r="E303" s="33">
        <f>IF(AND(T302="",A303&lt;=S302),IF(A303&lt;入力!$B$11,入力!$B$10,入力!$B$12),0)</f>
        <v>2.5000000000000001E-2</v>
      </c>
      <c r="F303" s="32">
        <f t="shared" si="71"/>
        <v>14201</v>
      </c>
      <c r="G303" s="32">
        <f>ROUND(IF(NOT(AND(T302="",A303&lt;=S302)),0,IF(FALSE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),0)</f>
        <v>117311</v>
      </c>
      <c r="H303" s="32">
        <f t="shared" si="72"/>
        <v>117311</v>
      </c>
      <c r="I303" s="32">
        <f t="shared" si="73"/>
        <v>14201</v>
      </c>
      <c r="J303" s="32">
        <f t="shared" si="74"/>
        <v>0</v>
      </c>
      <c r="K303" s="32">
        <f t="shared" si="75"/>
        <v>0</v>
      </c>
      <c r="L303" s="32">
        <f t="shared" si="76"/>
        <v>103110</v>
      </c>
      <c r="M303" s="32">
        <f>IF(AND(AND(T302="",A303&lt;=S302),A303=入力!$B$15),ROUND(MIN(入力!$B$16,MAX(0,C303-L303)),0),0)</f>
        <v>0</v>
      </c>
      <c r="N303" s="32">
        <f t="shared" si="77"/>
        <v>6713428</v>
      </c>
      <c r="O303" s="32">
        <f t="shared" si="78"/>
        <v>10282506</v>
      </c>
      <c r="P303" s="34" t="str">
        <f>IF(NOT(AND(T302="",A303&lt;=S302)),"",IF(FALSE,"繰上返済後再計算","")&amp;IF(AND(入力!$B$13="有効",A303&gt;1,MOD(A303-1,60)=0),IF(FALSE,"・","")&amp;"5年見直し","")&amp;IF(AND(A303=入力!$B$11,A303&gt;1),IF(OR(FALSE,AND(入力!$B$13="有効",A303&gt;1,MOD(A303-1,60)=0)),"・","")&amp;"金利変更","")&amp;IF(AND(OR(AND(入力!$B$13="有効",A303&gt;1,MOD(A303-1,60)=0),AND(A303=入力!$B$11,A303&gt;1)),入力!$B$14="有効",IF(E303=0,ROUND(C303/MAX(1,S302-A303+1),0),ROUND(-PMT(E303/12,MAX(1,S302-A303+1),C303),0))&gt;ROUND(G302*1.25,0),NOT(FALSE)),"・上限適用",""))</f>
        <v/>
      </c>
      <c r="Q303" s="35" t="str">
        <f>IF(AND(T302="",A303&lt;=S302),入力!$B$13,"")</f>
        <v>有効</v>
      </c>
      <c r="R303" s="32" t="str">
        <f>IF(AND(AND(T302="",A303&lt;=S302),OR(AND(入力!$B$13="有効",A303&gt;1,MOD(A303-1,60)=0),AND(A303=入力!$B$11,A303&gt;1)),入力!$B$14="有効"),ROUND(G302*1.25,0),"")</f>
        <v/>
      </c>
      <c r="S303" s="36">
        <f>IF(A303&lt;&gt;入力!$B$15,S302,IF(K303&lt;&gt;0,S302,IF(G303&lt;=F303,S302,IF(M303&lt;=0,S302,IF(AND(N303&gt;0,E303&gt;0,G303&lt;=N303*E303/12),S302,IF(A303+IF(N303=0,0,IF(E303=0,ROUNDUP(N303/G303,0),ROUNDUP(NPER(E303/12,-G303,N303),0)))&lt;S302,A303+IF(N303=0,0,IF(E303=0,ROUNDUP(N303/G303,0),ROUNDUP(NPER(E303/12,-G303,N303),0))),S302))))))</f>
        <v>359</v>
      </c>
      <c r="T303" s="35" t="str">
        <f t="shared" si="79"/>
        <v/>
      </c>
      <c r="U303" s="3">
        <f t="shared" si="64"/>
        <v>0</v>
      </c>
      <c r="V303" s="3">
        <f t="shared" si="65"/>
        <v>0</v>
      </c>
      <c r="W303" s="3">
        <f t="shared" si="66"/>
        <v>0</v>
      </c>
      <c r="X303" s="3">
        <f t="shared" si="67"/>
        <v>0</v>
      </c>
      <c r="Y303" s="3">
        <f>0</f>
        <v>0</v>
      </c>
      <c r="Z303" s="3">
        <f t="shared" si="68"/>
        <v>0</v>
      </c>
      <c r="AA303">
        <f>ROUND(IF(FALSE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,0)</f>
        <v>117311</v>
      </c>
    </row>
    <row r="304" spans="1:27">
      <c r="A304" s="30">
        <f>299</f>
        <v>299</v>
      </c>
      <c r="B304" s="31">
        <f>EDATE(入力!$B$6,A304-1)</f>
        <v>55305</v>
      </c>
      <c r="C304" s="32">
        <f t="shared" si="69"/>
        <v>6713428</v>
      </c>
      <c r="D304" s="32">
        <f t="shared" si="70"/>
        <v>0</v>
      </c>
      <c r="E304" s="33">
        <f>IF(AND(T303="",A304&lt;=S303),IF(A304&lt;入力!$B$11,入力!$B$10,入力!$B$12),0)</f>
        <v>2.5000000000000001E-2</v>
      </c>
      <c r="F304" s="32">
        <f t="shared" si="71"/>
        <v>13986</v>
      </c>
      <c r="G304" s="32">
        <f>ROUND(IF(NOT(AND(T303="",A304&lt;=S303)),0,IF(FALSE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),0)</f>
        <v>117311</v>
      </c>
      <c r="H304" s="32">
        <f t="shared" si="72"/>
        <v>117311</v>
      </c>
      <c r="I304" s="32">
        <f t="shared" si="73"/>
        <v>13986</v>
      </c>
      <c r="J304" s="32">
        <f t="shared" si="74"/>
        <v>0</v>
      </c>
      <c r="K304" s="32">
        <f t="shared" si="75"/>
        <v>0</v>
      </c>
      <c r="L304" s="32">
        <f t="shared" si="76"/>
        <v>103325</v>
      </c>
      <c r="M304" s="32">
        <f>IF(AND(AND(T303="",A304&lt;=S303),A304=入力!$B$15),ROUND(MIN(入力!$B$16,MAX(0,C304-L304)),0),0)</f>
        <v>0</v>
      </c>
      <c r="N304" s="32">
        <f t="shared" si="77"/>
        <v>6610103</v>
      </c>
      <c r="O304" s="32">
        <f t="shared" si="78"/>
        <v>10296492</v>
      </c>
      <c r="P304" s="34" t="str">
        <f>IF(NOT(AND(T303="",A304&lt;=S303)),"",IF(FALSE,"繰上返済後再計算","")&amp;IF(AND(入力!$B$13="有効",A304&gt;1,MOD(A304-1,60)=0),IF(FALSE,"・","")&amp;"5年見直し","")&amp;IF(AND(A304=入力!$B$11,A304&gt;1),IF(OR(FALSE,AND(入力!$B$13="有効",A304&gt;1,MOD(A304-1,60)=0)),"・","")&amp;"金利変更","")&amp;IF(AND(OR(AND(入力!$B$13="有効",A304&gt;1,MOD(A304-1,60)=0),AND(A304=入力!$B$11,A304&gt;1)),入力!$B$14="有効",IF(E304=0,ROUND(C304/MAX(1,S303-A304+1),0),ROUND(-PMT(E304/12,MAX(1,S303-A304+1),C304),0))&gt;ROUND(G303*1.25,0),NOT(FALSE)),"・上限適用",""))</f>
        <v/>
      </c>
      <c r="Q304" s="35" t="str">
        <f>IF(AND(T303="",A304&lt;=S303),入力!$B$13,"")</f>
        <v>有効</v>
      </c>
      <c r="R304" s="32" t="str">
        <f>IF(AND(AND(T303="",A304&lt;=S303),OR(AND(入力!$B$13="有効",A304&gt;1,MOD(A304-1,60)=0),AND(A304=入力!$B$11,A304&gt;1)),入力!$B$14="有効"),ROUND(G303*1.25,0),"")</f>
        <v/>
      </c>
      <c r="S304" s="36">
        <f>IF(A304&lt;&gt;入力!$B$15,S303,IF(K304&lt;&gt;0,S303,IF(G304&lt;=F304,S303,IF(M304&lt;=0,S303,IF(AND(N304&gt;0,E304&gt;0,G304&lt;=N304*E304/12),S303,IF(A304+IF(N304=0,0,IF(E304=0,ROUNDUP(N304/G304,0),ROUNDUP(NPER(E304/12,-G304,N304),0)))&lt;S303,A304+IF(N304=0,0,IF(E304=0,ROUNDUP(N304/G304,0),ROUNDUP(NPER(E304/12,-G304,N304),0))),S303))))))</f>
        <v>359</v>
      </c>
      <c r="T304" s="35" t="str">
        <f t="shared" si="79"/>
        <v/>
      </c>
      <c r="U304" s="3">
        <f t="shared" si="64"/>
        <v>0</v>
      </c>
      <c r="V304" s="3">
        <f t="shared" si="65"/>
        <v>0</v>
      </c>
      <c r="W304" s="3">
        <f t="shared" si="66"/>
        <v>0</v>
      </c>
      <c r="X304" s="3">
        <f t="shared" si="67"/>
        <v>0</v>
      </c>
      <c r="Y304" s="3">
        <f>0</f>
        <v>0</v>
      </c>
      <c r="Z304" s="3">
        <f t="shared" si="68"/>
        <v>0</v>
      </c>
      <c r="AA304">
        <f>ROUND(IF(FALSE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,0)</f>
        <v>117311</v>
      </c>
    </row>
    <row r="305" spans="1:27">
      <c r="A305" s="30">
        <f>300</f>
        <v>300</v>
      </c>
      <c r="B305" s="31">
        <f>EDATE(入力!$B$6,A305-1)</f>
        <v>55335</v>
      </c>
      <c r="C305" s="32">
        <f t="shared" si="69"/>
        <v>6610103</v>
      </c>
      <c r="D305" s="32">
        <f t="shared" si="70"/>
        <v>0</v>
      </c>
      <c r="E305" s="33">
        <f>IF(AND(T304="",A305&lt;=S304),IF(A305&lt;入力!$B$11,入力!$B$10,入力!$B$12),0)</f>
        <v>2.5000000000000001E-2</v>
      </c>
      <c r="F305" s="32">
        <f t="shared" si="71"/>
        <v>13771</v>
      </c>
      <c r="G305" s="32">
        <f>ROUND(IF(NOT(AND(T304="",A305&lt;=S304)),0,IF(FALSE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),0)</f>
        <v>117311</v>
      </c>
      <c r="H305" s="32">
        <f t="shared" si="72"/>
        <v>117311</v>
      </c>
      <c r="I305" s="32">
        <f t="shared" si="73"/>
        <v>13771</v>
      </c>
      <c r="J305" s="32">
        <f t="shared" si="74"/>
        <v>0</v>
      </c>
      <c r="K305" s="32">
        <f t="shared" si="75"/>
        <v>0</v>
      </c>
      <c r="L305" s="32">
        <f t="shared" si="76"/>
        <v>103540</v>
      </c>
      <c r="M305" s="32">
        <f>IF(AND(AND(T304="",A305&lt;=S304),A305=入力!$B$15),ROUND(MIN(入力!$B$16,MAX(0,C305-L305)),0),0)</f>
        <v>0</v>
      </c>
      <c r="N305" s="32">
        <f t="shared" si="77"/>
        <v>6506563</v>
      </c>
      <c r="O305" s="32">
        <f t="shared" si="78"/>
        <v>10310263</v>
      </c>
      <c r="P305" s="34" t="str">
        <f>IF(NOT(AND(T304="",A305&lt;=S304)),"",IF(FALSE,"繰上返済後再計算","")&amp;IF(AND(入力!$B$13="有効",A305&gt;1,MOD(A305-1,60)=0),IF(FALSE,"・","")&amp;"5年見直し","")&amp;IF(AND(A305=入力!$B$11,A305&gt;1),IF(OR(FALSE,AND(入力!$B$13="有効",A305&gt;1,MOD(A305-1,60)=0)),"・","")&amp;"金利変更","")&amp;IF(AND(OR(AND(入力!$B$13="有効",A305&gt;1,MOD(A305-1,60)=0),AND(A305=入力!$B$11,A305&gt;1)),入力!$B$14="有効",IF(E305=0,ROUND(C305/MAX(1,S304-A305+1),0),ROUND(-PMT(E305/12,MAX(1,S304-A305+1),C305),0))&gt;ROUND(G304*1.25,0),NOT(FALSE)),"・上限適用",""))</f>
        <v/>
      </c>
      <c r="Q305" s="35" t="str">
        <f>IF(AND(T304="",A305&lt;=S304),入力!$B$13,"")</f>
        <v>有効</v>
      </c>
      <c r="R305" s="32" t="str">
        <f>IF(AND(AND(T304="",A305&lt;=S304),OR(AND(入力!$B$13="有効",A305&gt;1,MOD(A305-1,60)=0),AND(A305=入力!$B$11,A305&gt;1)),入力!$B$14="有効"),ROUND(G304*1.25,0),"")</f>
        <v/>
      </c>
      <c r="S305" s="36">
        <f>IF(A305&lt;&gt;入力!$B$15,S304,IF(K305&lt;&gt;0,S304,IF(G305&lt;=F305,S304,IF(M305&lt;=0,S304,IF(AND(N305&gt;0,E305&gt;0,G305&lt;=N305*E305/12),S304,IF(A305+IF(N305=0,0,IF(E305=0,ROUNDUP(N305/G305,0),ROUNDUP(NPER(E305/12,-G305,N305),0)))&lt;S304,A305+IF(N305=0,0,IF(E305=0,ROUNDUP(N305/G305,0),ROUNDUP(NPER(E305/12,-G305,N305),0))),S304))))))</f>
        <v>359</v>
      </c>
      <c r="T305" s="35" t="str">
        <f t="shared" si="79"/>
        <v/>
      </c>
      <c r="U305" s="3">
        <f t="shared" si="64"/>
        <v>0</v>
      </c>
      <c r="V305" s="3">
        <f t="shared" si="65"/>
        <v>0</v>
      </c>
      <c r="W305" s="3">
        <f t="shared" si="66"/>
        <v>0</v>
      </c>
      <c r="X305" s="3">
        <f t="shared" si="67"/>
        <v>0</v>
      </c>
      <c r="Y305" s="3">
        <f>0</f>
        <v>0</v>
      </c>
      <c r="Z305" s="3">
        <f t="shared" si="68"/>
        <v>0</v>
      </c>
      <c r="AA305">
        <f>ROUND(IF(FALSE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,0)</f>
        <v>117311</v>
      </c>
    </row>
    <row r="306" spans="1:27">
      <c r="A306" s="30">
        <f>301</f>
        <v>301</v>
      </c>
      <c r="B306" s="31">
        <f>EDATE(入力!$B$6,A306-1)</f>
        <v>55366</v>
      </c>
      <c r="C306" s="32">
        <f t="shared" si="69"/>
        <v>6506563</v>
      </c>
      <c r="D306" s="32">
        <f t="shared" si="70"/>
        <v>0</v>
      </c>
      <c r="E306" s="33">
        <f>IF(AND(T305="",A306&lt;=S305),IF(A306&lt;入力!$B$11,入力!$B$10,入力!$B$12),0)</f>
        <v>2.5000000000000001E-2</v>
      </c>
      <c r="F306" s="32">
        <f t="shared" si="71"/>
        <v>13555</v>
      </c>
      <c r="G306" s="32">
        <f>ROUND(IF(NOT(AND(T305="",A306&lt;=S305)),0,IF(FALSE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),0)</f>
        <v>117312</v>
      </c>
      <c r="H306" s="32">
        <f t="shared" si="72"/>
        <v>117312</v>
      </c>
      <c r="I306" s="32">
        <f t="shared" si="73"/>
        <v>13555</v>
      </c>
      <c r="J306" s="32">
        <f t="shared" si="74"/>
        <v>0</v>
      </c>
      <c r="K306" s="32">
        <f t="shared" si="75"/>
        <v>0</v>
      </c>
      <c r="L306" s="32">
        <f t="shared" si="76"/>
        <v>103757</v>
      </c>
      <c r="M306" s="32">
        <f>IF(AND(AND(T305="",A306&lt;=S305),A306=入力!$B$15),ROUND(MIN(入力!$B$16,MAX(0,C306-L306)),0),0)</f>
        <v>0</v>
      </c>
      <c r="N306" s="32">
        <f t="shared" si="77"/>
        <v>6402806</v>
      </c>
      <c r="O306" s="32">
        <f t="shared" si="78"/>
        <v>10323818</v>
      </c>
      <c r="P306" s="34" t="str">
        <f>IF(NOT(AND(T305="",A306&lt;=S305)),"",IF(FALSE,"繰上返済後再計算","")&amp;IF(AND(入力!$B$13="有効",A306&gt;1,MOD(A306-1,60)=0),IF(FALSE,"・","")&amp;"5年見直し","")&amp;IF(AND(A306=入力!$B$11,A306&gt;1),IF(OR(FALSE,AND(入力!$B$13="有効",A306&gt;1,MOD(A306-1,60)=0)),"・","")&amp;"金利変更","")&amp;IF(AND(OR(AND(入力!$B$13="有効",A306&gt;1,MOD(A306-1,60)=0),AND(A306=入力!$B$11,A306&gt;1)),入力!$B$14="有効",IF(E306=0,ROUND(C306/MAX(1,S305-A306+1),0),ROUND(-PMT(E306/12,MAX(1,S305-A306+1),C306),0))&gt;ROUND(G305*1.25,0),NOT(FALSE)),"・上限適用",""))</f>
        <v>5年見直し</v>
      </c>
      <c r="Q306" s="35" t="str">
        <f>IF(AND(T305="",A306&lt;=S305),入力!$B$13,"")</f>
        <v>有効</v>
      </c>
      <c r="R306" s="32">
        <f>IF(AND(AND(T305="",A306&lt;=S305),OR(AND(入力!$B$13="有効",A306&gt;1,MOD(A306-1,60)=0),AND(A306=入力!$B$11,A306&gt;1)),入力!$B$14="有効"),ROUND(G305*1.25,0),"")</f>
        <v>146639</v>
      </c>
      <c r="S306" s="36">
        <f>IF(A306&lt;&gt;入力!$B$15,S305,IF(K306&lt;&gt;0,S305,IF(G306&lt;=F306,S305,IF(M306&lt;=0,S305,IF(AND(N306&gt;0,E306&gt;0,G306&lt;=N306*E306/12),S305,IF(A306+IF(N306=0,0,IF(E306=0,ROUNDUP(N306/G306,0),ROUNDUP(NPER(E306/12,-G306,N306),0)))&lt;S305,A306+IF(N306=0,0,IF(E306=0,ROUNDUP(N306/G306,0),ROUNDUP(NPER(E306/12,-G306,N306),0))),S305))))))</f>
        <v>359</v>
      </c>
      <c r="T306" s="35" t="str">
        <f t="shared" si="79"/>
        <v/>
      </c>
      <c r="U306" s="3">
        <f t="shared" si="64"/>
        <v>0</v>
      </c>
      <c r="V306" s="3">
        <f t="shared" si="65"/>
        <v>0</v>
      </c>
      <c r="W306" s="3">
        <f t="shared" si="66"/>
        <v>0</v>
      </c>
      <c r="X306" s="3">
        <f t="shared" si="67"/>
        <v>0</v>
      </c>
      <c r="Y306" s="3">
        <f>0</f>
        <v>0</v>
      </c>
      <c r="Z306" s="3">
        <f t="shared" si="68"/>
        <v>0</v>
      </c>
      <c r="AA306">
        <f>ROUND(IF(FALSE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,0)</f>
        <v>117312</v>
      </c>
    </row>
    <row r="307" spans="1:27">
      <c r="A307" s="30">
        <f>302</f>
        <v>302</v>
      </c>
      <c r="B307" s="31">
        <f>EDATE(入力!$B$6,A307-1)</f>
        <v>55397</v>
      </c>
      <c r="C307" s="32">
        <f t="shared" si="69"/>
        <v>6402806</v>
      </c>
      <c r="D307" s="32">
        <f t="shared" si="70"/>
        <v>0</v>
      </c>
      <c r="E307" s="33">
        <f>IF(AND(T306="",A307&lt;=S306),IF(A307&lt;入力!$B$11,入力!$B$10,入力!$B$12),0)</f>
        <v>2.5000000000000001E-2</v>
      </c>
      <c r="F307" s="32">
        <f t="shared" si="71"/>
        <v>13339</v>
      </c>
      <c r="G307" s="32">
        <f>ROUND(IF(NOT(AND(T306="",A307&lt;=S306)),0,IF(FALSE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),0)</f>
        <v>117312</v>
      </c>
      <c r="H307" s="32">
        <f t="shared" si="72"/>
        <v>117312</v>
      </c>
      <c r="I307" s="32">
        <f t="shared" si="73"/>
        <v>13339</v>
      </c>
      <c r="J307" s="32">
        <f t="shared" si="74"/>
        <v>0</v>
      </c>
      <c r="K307" s="32">
        <f t="shared" si="75"/>
        <v>0</v>
      </c>
      <c r="L307" s="32">
        <f t="shared" si="76"/>
        <v>103973</v>
      </c>
      <c r="M307" s="32">
        <f>IF(AND(AND(T306="",A307&lt;=S306),A307=入力!$B$15),ROUND(MIN(入力!$B$16,MAX(0,C307-L307)),0),0)</f>
        <v>0</v>
      </c>
      <c r="N307" s="32">
        <f t="shared" si="77"/>
        <v>6298833</v>
      </c>
      <c r="O307" s="32">
        <f t="shared" si="78"/>
        <v>10337157</v>
      </c>
      <c r="P307" s="34" t="str">
        <f>IF(NOT(AND(T306="",A307&lt;=S306)),"",IF(FALSE,"繰上返済後再計算","")&amp;IF(AND(入力!$B$13="有効",A307&gt;1,MOD(A307-1,60)=0),IF(FALSE,"・","")&amp;"5年見直し","")&amp;IF(AND(A307=入力!$B$11,A307&gt;1),IF(OR(FALSE,AND(入力!$B$13="有効",A307&gt;1,MOD(A307-1,60)=0)),"・","")&amp;"金利変更","")&amp;IF(AND(OR(AND(入力!$B$13="有効",A307&gt;1,MOD(A307-1,60)=0),AND(A307=入力!$B$11,A307&gt;1)),入力!$B$14="有効",IF(E307=0,ROUND(C307/MAX(1,S306-A307+1),0),ROUND(-PMT(E307/12,MAX(1,S306-A307+1),C307),0))&gt;ROUND(G306*1.25,0),NOT(FALSE)),"・上限適用",""))</f>
        <v/>
      </c>
      <c r="Q307" s="35" t="str">
        <f>IF(AND(T306="",A307&lt;=S306),入力!$B$13,"")</f>
        <v>有効</v>
      </c>
      <c r="R307" s="32" t="str">
        <f>IF(AND(AND(T306="",A307&lt;=S306),OR(AND(入力!$B$13="有効",A307&gt;1,MOD(A307-1,60)=0),AND(A307=入力!$B$11,A307&gt;1)),入力!$B$14="有効"),ROUND(G306*1.25,0),"")</f>
        <v/>
      </c>
      <c r="S307" s="36">
        <f>IF(A307&lt;&gt;入力!$B$15,S306,IF(K307&lt;&gt;0,S306,IF(G307&lt;=F307,S306,IF(M307&lt;=0,S306,IF(AND(N307&gt;0,E307&gt;0,G307&lt;=N307*E307/12),S306,IF(A307+IF(N307=0,0,IF(E307=0,ROUNDUP(N307/G307,0),ROUNDUP(NPER(E307/12,-G307,N307),0)))&lt;S306,A307+IF(N307=0,0,IF(E307=0,ROUNDUP(N307/G307,0),ROUNDUP(NPER(E307/12,-G307,N307),0))),S306))))))</f>
        <v>359</v>
      </c>
      <c r="T307" s="35" t="str">
        <f t="shared" si="79"/>
        <v/>
      </c>
      <c r="U307" s="3">
        <f t="shared" si="64"/>
        <v>0</v>
      </c>
      <c r="V307" s="3">
        <f t="shared" si="65"/>
        <v>0</v>
      </c>
      <c r="W307" s="3">
        <f t="shared" si="66"/>
        <v>0</v>
      </c>
      <c r="X307" s="3">
        <f t="shared" si="67"/>
        <v>0</v>
      </c>
      <c r="Y307" s="3">
        <f>0</f>
        <v>0</v>
      </c>
      <c r="Z307" s="3">
        <f t="shared" si="68"/>
        <v>0</v>
      </c>
      <c r="AA307">
        <f>ROUND(IF(FALSE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,0)</f>
        <v>117312</v>
      </c>
    </row>
    <row r="308" spans="1:27">
      <c r="A308" s="30">
        <f>303</f>
        <v>303</v>
      </c>
      <c r="B308" s="31">
        <f>EDATE(入力!$B$6,A308-1)</f>
        <v>55427</v>
      </c>
      <c r="C308" s="32">
        <f t="shared" si="69"/>
        <v>6298833</v>
      </c>
      <c r="D308" s="32">
        <f t="shared" si="70"/>
        <v>0</v>
      </c>
      <c r="E308" s="33">
        <f>IF(AND(T307="",A308&lt;=S307),IF(A308&lt;入力!$B$11,入力!$B$10,入力!$B$12),0)</f>
        <v>2.5000000000000001E-2</v>
      </c>
      <c r="F308" s="32">
        <f t="shared" si="71"/>
        <v>13123</v>
      </c>
      <c r="G308" s="32">
        <f>ROUND(IF(NOT(AND(T307="",A308&lt;=S307)),0,IF(FALSE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),0)</f>
        <v>117312</v>
      </c>
      <c r="H308" s="32">
        <f t="shared" si="72"/>
        <v>117312</v>
      </c>
      <c r="I308" s="32">
        <f t="shared" si="73"/>
        <v>13123</v>
      </c>
      <c r="J308" s="32">
        <f t="shared" si="74"/>
        <v>0</v>
      </c>
      <c r="K308" s="32">
        <f t="shared" si="75"/>
        <v>0</v>
      </c>
      <c r="L308" s="32">
        <f t="shared" si="76"/>
        <v>104189</v>
      </c>
      <c r="M308" s="32">
        <f>IF(AND(AND(T307="",A308&lt;=S307),A308=入力!$B$15),ROUND(MIN(入力!$B$16,MAX(0,C308-L308)),0),0)</f>
        <v>0</v>
      </c>
      <c r="N308" s="32">
        <f t="shared" si="77"/>
        <v>6194644</v>
      </c>
      <c r="O308" s="32">
        <f t="shared" si="78"/>
        <v>10350280</v>
      </c>
      <c r="P308" s="34" t="str">
        <f>IF(NOT(AND(T307="",A308&lt;=S307)),"",IF(FALSE,"繰上返済後再計算","")&amp;IF(AND(入力!$B$13="有効",A308&gt;1,MOD(A308-1,60)=0),IF(FALSE,"・","")&amp;"5年見直し","")&amp;IF(AND(A308=入力!$B$11,A308&gt;1),IF(OR(FALSE,AND(入力!$B$13="有効",A308&gt;1,MOD(A308-1,60)=0)),"・","")&amp;"金利変更","")&amp;IF(AND(OR(AND(入力!$B$13="有効",A308&gt;1,MOD(A308-1,60)=0),AND(A308=入力!$B$11,A308&gt;1)),入力!$B$14="有効",IF(E308=0,ROUND(C308/MAX(1,S307-A308+1),0),ROUND(-PMT(E308/12,MAX(1,S307-A308+1),C308),0))&gt;ROUND(G307*1.25,0),NOT(FALSE)),"・上限適用",""))</f>
        <v/>
      </c>
      <c r="Q308" s="35" t="str">
        <f>IF(AND(T307="",A308&lt;=S307),入力!$B$13,"")</f>
        <v>有効</v>
      </c>
      <c r="R308" s="32" t="str">
        <f>IF(AND(AND(T307="",A308&lt;=S307),OR(AND(入力!$B$13="有効",A308&gt;1,MOD(A308-1,60)=0),AND(A308=入力!$B$11,A308&gt;1)),入力!$B$14="有効"),ROUND(G307*1.25,0),"")</f>
        <v/>
      </c>
      <c r="S308" s="36">
        <f>IF(A308&lt;&gt;入力!$B$15,S307,IF(K308&lt;&gt;0,S307,IF(G308&lt;=F308,S307,IF(M308&lt;=0,S307,IF(AND(N308&gt;0,E308&gt;0,G308&lt;=N308*E308/12),S307,IF(A308+IF(N308=0,0,IF(E308=0,ROUNDUP(N308/G308,0),ROUNDUP(NPER(E308/12,-G308,N308),0)))&lt;S307,A308+IF(N308=0,0,IF(E308=0,ROUNDUP(N308/G308,0),ROUNDUP(NPER(E308/12,-G308,N308),0))),S307))))))</f>
        <v>359</v>
      </c>
      <c r="T308" s="35" t="str">
        <f t="shared" si="79"/>
        <v/>
      </c>
      <c r="U308" s="3">
        <f t="shared" si="64"/>
        <v>0</v>
      </c>
      <c r="V308" s="3">
        <f t="shared" si="65"/>
        <v>0</v>
      </c>
      <c r="W308" s="3">
        <f t="shared" si="66"/>
        <v>0</v>
      </c>
      <c r="X308" s="3">
        <f t="shared" si="67"/>
        <v>0</v>
      </c>
      <c r="Y308" s="3">
        <f>0</f>
        <v>0</v>
      </c>
      <c r="Z308" s="3">
        <f t="shared" si="68"/>
        <v>0</v>
      </c>
      <c r="AA308">
        <f>ROUND(IF(FALSE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,0)</f>
        <v>117312</v>
      </c>
    </row>
    <row r="309" spans="1:27">
      <c r="A309" s="30">
        <f>304</f>
        <v>304</v>
      </c>
      <c r="B309" s="31">
        <f>EDATE(入力!$B$6,A309-1)</f>
        <v>55458</v>
      </c>
      <c r="C309" s="32">
        <f t="shared" si="69"/>
        <v>6194644</v>
      </c>
      <c r="D309" s="32">
        <f t="shared" si="70"/>
        <v>0</v>
      </c>
      <c r="E309" s="33">
        <f>IF(AND(T308="",A309&lt;=S308),IF(A309&lt;入力!$B$11,入力!$B$10,入力!$B$12),0)</f>
        <v>2.5000000000000001E-2</v>
      </c>
      <c r="F309" s="32">
        <f t="shared" si="71"/>
        <v>12906</v>
      </c>
      <c r="G309" s="32">
        <f>ROUND(IF(NOT(AND(T308="",A309&lt;=S308)),0,IF(FALSE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),0)</f>
        <v>117312</v>
      </c>
      <c r="H309" s="32">
        <f t="shared" si="72"/>
        <v>117312</v>
      </c>
      <c r="I309" s="32">
        <f t="shared" si="73"/>
        <v>12906</v>
      </c>
      <c r="J309" s="32">
        <f t="shared" si="74"/>
        <v>0</v>
      </c>
      <c r="K309" s="32">
        <f t="shared" si="75"/>
        <v>0</v>
      </c>
      <c r="L309" s="32">
        <f t="shared" si="76"/>
        <v>104406</v>
      </c>
      <c r="M309" s="32">
        <f>IF(AND(AND(T308="",A309&lt;=S308),A309=入力!$B$15),ROUND(MIN(入力!$B$16,MAX(0,C309-L309)),0),0)</f>
        <v>0</v>
      </c>
      <c r="N309" s="32">
        <f t="shared" si="77"/>
        <v>6090238</v>
      </c>
      <c r="O309" s="32">
        <f t="shared" si="78"/>
        <v>10363186</v>
      </c>
      <c r="P309" s="34" t="str">
        <f>IF(NOT(AND(T308="",A309&lt;=S308)),"",IF(FALSE,"繰上返済後再計算","")&amp;IF(AND(入力!$B$13="有効",A309&gt;1,MOD(A309-1,60)=0),IF(FALSE,"・","")&amp;"5年見直し","")&amp;IF(AND(A309=入力!$B$11,A309&gt;1),IF(OR(FALSE,AND(入力!$B$13="有効",A309&gt;1,MOD(A309-1,60)=0)),"・","")&amp;"金利変更","")&amp;IF(AND(OR(AND(入力!$B$13="有効",A309&gt;1,MOD(A309-1,60)=0),AND(A309=入力!$B$11,A309&gt;1)),入力!$B$14="有効",IF(E309=0,ROUND(C309/MAX(1,S308-A309+1),0),ROUND(-PMT(E309/12,MAX(1,S308-A309+1),C309),0))&gt;ROUND(G308*1.25,0),NOT(FALSE)),"・上限適用",""))</f>
        <v/>
      </c>
      <c r="Q309" s="35" t="str">
        <f>IF(AND(T308="",A309&lt;=S308),入力!$B$13,"")</f>
        <v>有効</v>
      </c>
      <c r="R309" s="32" t="str">
        <f>IF(AND(AND(T308="",A309&lt;=S308),OR(AND(入力!$B$13="有効",A309&gt;1,MOD(A309-1,60)=0),AND(A309=入力!$B$11,A309&gt;1)),入力!$B$14="有効"),ROUND(G308*1.25,0),"")</f>
        <v/>
      </c>
      <c r="S309" s="36">
        <f>IF(A309&lt;&gt;入力!$B$15,S308,IF(K309&lt;&gt;0,S308,IF(G309&lt;=F309,S308,IF(M309&lt;=0,S308,IF(AND(N309&gt;0,E309&gt;0,G309&lt;=N309*E309/12),S308,IF(A309+IF(N309=0,0,IF(E309=0,ROUNDUP(N309/G309,0),ROUNDUP(NPER(E309/12,-G309,N309),0)))&lt;S308,A309+IF(N309=0,0,IF(E309=0,ROUNDUP(N309/G309,0),ROUNDUP(NPER(E309/12,-G309,N309),0))),S308))))))</f>
        <v>359</v>
      </c>
      <c r="T309" s="35" t="str">
        <f t="shared" si="79"/>
        <v/>
      </c>
      <c r="U309" s="3">
        <f t="shared" si="64"/>
        <v>0</v>
      </c>
      <c r="V309" s="3">
        <f t="shared" si="65"/>
        <v>0</v>
      </c>
      <c r="W309" s="3">
        <f t="shared" si="66"/>
        <v>0</v>
      </c>
      <c r="X309" s="3">
        <f t="shared" si="67"/>
        <v>0</v>
      </c>
      <c r="Y309" s="3">
        <f>0</f>
        <v>0</v>
      </c>
      <c r="Z309" s="3">
        <f t="shared" si="68"/>
        <v>0</v>
      </c>
      <c r="AA309">
        <f>ROUND(IF(FALSE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,0)</f>
        <v>117312</v>
      </c>
    </row>
    <row r="310" spans="1:27">
      <c r="A310" s="30">
        <f>305</f>
        <v>305</v>
      </c>
      <c r="B310" s="31">
        <f>EDATE(入力!$B$6,A310-1)</f>
        <v>55488</v>
      </c>
      <c r="C310" s="32">
        <f t="shared" si="69"/>
        <v>6090238</v>
      </c>
      <c r="D310" s="32">
        <f t="shared" si="70"/>
        <v>0</v>
      </c>
      <c r="E310" s="33">
        <f>IF(AND(T309="",A310&lt;=S309),IF(A310&lt;入力!$B$11,入力!$B$10,入力!$B$12),0)</f>
        <v>2.5000000000000001E-2</v>
      </c>
      <c r="F310" s="32">
        <f t="shared" si="71"/>
        <v>12688</v>
      </c>
      <c r="G310" s="32">
        <f>ROUND(IF(NOT(AND(T309="",A310&lt;=S309)),0,IF(FALSE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),0)</f>
        <v>117312</v>
      </c>
      <c r="H310" s="32">
        <f t="shared" si="72"/>
        <v>117312</v>
      </c>
      <c r="I310" s="32">
        <f t="shared" si="73"/>
        <v>12688</v>
      </c>
      <c r="J310" s="32">
        <f t="shared" si="74"/>
        <v>0</v>
      </c>
      <c r="K310" s="32">
        <f t="shared" si="75"/>
        <v>0</v>
      </c>
      <c r="L310" s="32">
        <f t="shared" si="76"/>
        <v>104624</v>
      </c>
      <c r="M310" s="32">
        <f>IF(AND(AND(T309="",A310&lt;=S309),A310=入力!$B$15),ROUND(MIN(入力!$B$16,MAX(0,C310-L310)),0),0)</f>
        <v>0</v>
      </c>
      <c r="N310" s="32">
        <f t="shared" si="77"/>
        <v>5985614</v>
      </c>
      <c r="O310" s="32">
        <f t="shared" si="78"/>
        <v>10375874</v>
      </c>
      <c r="P310" s="34" t="str">
        <f>IF(NOT(AND(T309="",A310&lt;=S309)),"",IF(FALSE,"繰上返済後再計算","")&amp;IF(AND(入力!$B$13="有効",A310&gt;1,MOD(A310-1,60)=0),IF(FALSE,"・","")&amp;"5年見直し","")&amp;IF(AND(A310=入力!$B$11,A310&gt;1),IF(OR(FALSE,AND(入力!$B$13="有効",A310&gt;1,MOD(A310-1,60)=0)),"・","")&amp;"金利変更","")&amp;IF(AND(OR(AND(入力!$B$13="有効",A310&gt;1,MOD(A310-1,60)=0),AND(A310=入力!$B$11,A310&gt;1)),入力!$B$14="有効",IF(E310=0,ROUND(C310/MAX(1,S309-A310+1),0),ROUND(-PMT(E310/12,MAX(1,S309-A310+1),C310),0))&gt;ROUND(G309*1.25,0),NOT(FALSE)),"・上限適用",""))</f>
        <v/>
      </c>
      <c r="Q310" s="35" t="str">
        <f>IF(AND(T309="",A310&lt;=S309),入力!$B$13,"")</f>
        <v>有効</v>
      </c>
      <c r="R310" s="32" t="str">
        <f>IF(AND(AND(T309="",A310&lt;=S309),OR(AND(入力!$B$13="有効",A310&gt;1,MOD(A310-1,60)=0),AND(A310=入力!$B$11,A310&gt;1)),入力!$B$14="有効"),ROUND(G309*1.25,0),"")</f>
        <v/>
      </c>
      <c r="S310" s="36">
        <f>IF(A310&lt;&gt;入力!$B$15,S309,IF(K310&lt;&gt;0,S309,IF(G310&lt;=F310,S309,IF(M310&lt;=0,S309,IF(AND(N310&gt;0,E310&gt;0,G310&lt;=N310*E310/12),S309,IF(A310+IF(N310=0,0,IF(E310=0,ROUNDUP(N310/G310,0),ROUNDUP(NPER(E310/12,-G310,N310),0)))&lt;S309,A310+IF(N310=0,0,IF(E310=0,ROUNDUP(N310/G310,0),ROUNDUP(NPER(E310/12,-G310,N310),0))),S309))))))</f>
        <v>359</v>
      </c>
      <c r="T310" s="35" t="str">
        <f t="shared" si="79"/>
        <v/>
      </c>
      <c r="U310" s="3">
        <f t="shared" si="64"/>
        <v>0</v>
      </c>
      <c r="V310" s="3">
        <f t="shared" si="65"/>
        <v>0</v>
      </c>
      <c r="W310" s="3">
        <f t="shared" si="66"/>
        <v>0</v>
      </c>
      <c r="X310" s="3">
        <f t="shared" si="67"/>
        <v>0</v>
      </c>
      <c r="Y310" s="3">
        <f>0</f>
        <v>0</v>
      </c>
      <c r="Z310" s="3">
        <f t="shared" si="68"/>
        <v>0</v>
      </c>
      <c r="AA310">
        <f>ROUND(IF(FALSE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,0)</f>
        <v>117312</v>
      </c>
    </row>
    <row r="311" spans="1:27">
      <c r="A311" s="30">
        <f>306</f>
        <v>306</v>
      </c>
      <c r="B311" s="31">
        <f>EDATE(入力!$B$6,A311-1)</f>
        <v>55519</v>
      </c>
      <c r="C311" s="32">
        <f t="shared" si="69"/>
        <v>5985614</v>
      </c>
      <c r="D311" s="32">
        <f t="shared" si="70"/>
        <v>0</v>
      </c>
      <c r="E311" s="33">
        <f>IF(AND(T310="",A311&lt;=S310),IF(A311&lt;入力!$B$11,入力!$B$10,入力!$B$12),0)</f>
        <v>2.5000000000000001E-2</v>
      </c>
      <c r="F311" s="32">
        <f t="shared" si="71"/>
        <v>12470</v>
      </c>
      <c r="G311" s="32">
        <f>ROUND(IF(NOT(AND(T310="",A311&lt;=S310)),0,IF(FALSE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),0)</f>
        <v>117312</v>
      </c>
      <c r="H311" s="32">
        <f t="shared" si="72"/>
        <v>117312</v>
      </c>
      <c r="I311" s="32">
        <f t="shared" si="73"/>
        <v>12470</v>
      </c>
      <c r="J311" s="32">
        <f t="shared" si="74"/>
        <v>0</v>
      </c>
      <c r="K311" s="32">
        <f t="shared" si="75"/>
        <v>0</v>
      </c>
      <c r="L311" s="32">
        <f t="shared" si="76"/>
        <v>104842</v>
      </c>
      <c r="M311" s="32">
        <f>IF(AND(AND(T310="",A311&lt;=S310),A311=入力!$B$15),ROUND(MIN(入力!$B$16,MAX(0,C311-L311)),0),0)</f>
        <v>0</v>
      </c>
      <c r="N311" s="32">
        <f t="shared" si="77"/>
        <v>5880772</v>
      </c>
      <c r="O311" s="32">
        <f t="shared" si="78"/>
        <v>10388344</v>
      </c>
      <c r="P311" s="34" t="str">
        <f>IF(NOT(AND(T310="",A311&lt;=S310)),"",IF(FALSE,"繰上返済後再計算","")&amp;IF(AND(入力!$B$13="有効",A311&gt;1,MOD(A311-1,60)=0),IF(FALSE,"・","")&amp;"5年見直し","")&amp;IF(AND(A311=入力!$B$11,A311&gt;1),IF(OR(FALSE,AND(入力!$B$13="有効",A311&gt;1,MOD(A311-1,60)=0)),"・","")&amp;"金利変更","")&amp;IF(AND(OR(AND(入力!$B$13="有効",A311&gt;1,MOD(A311-1,60)=0),AND(A311=入力!$B$11,A311&gt;1)),入力!$B$14="有効",IF(E311=0,ROUND(C311/MAX(1,S310-A311+1),0),ROUND(-PMT(E311/12,MAX(1,S310-A311+1),C311),0))&gt;ROUND(G310*1.25,0),NOT(FALSE)),"・上限適用",""))</f>
        <v/>
      </c>
      <c r="Q311" s="35" t="str">
        <f>IF(AND(T310="",A311&lt;=S310),入力!$B$13,"")</f>
        <v>有効</v>
      </c>
      <c r="R311" s="32" t="str">
        <f>IF(AND(AND(T310="",A311&lt;=S310),OR(AND(入力!$B$13="有効",A311&gt;1,MOD(A311-1,60)=0),AND(A311=入力!$B$11,A311&gt;1)),入力!$B$14="有効"),ROUND(G310*1.25,0),"")</f>
        <v/>
      </c>
      <c r="S311" s="36">
        <f>IF(A311&lt;&gt;入力!$B$15,S310,IF(K311&lt;&gt;0,S310,IF(G311&lt;=F311,S310,IF(M311&lt;=0,S310,IF(AND(N311&gt;0,E311&gt;0,G311&lt;=N311*E311/12),S310,IF(A311+IF(N311=0,0,IF(E311=0,ROUNDUP(N311/G311,0),ROUNDUP(NPER(E311/12,-G311,N311),0)))&lt;S310,A311+IF(N311=0,0,IF(E311=0,ROUNDUP(N311/G311,0),ROUNDUP(NPER(E311/12,-G311,N311),0))),S310))))))</f>
        <v>359</v>
      </c>
      <c r="T311" s="35" t="str">
        <f t="shared" si="79"/>
        <v/>
      </c>
      <c r="U311" s="3">
        <f t="shared" si="64"/>
        <v>0</v>
      </c>
      <c r="V311" s="3">
        <f t="shared" si="65"/>
        <v>0</v>
      </c>
      <c r="W311" s="3">
        <f t="shared" si="66"/>
        <v>0</v>
      </c>
      <c r="X311" s="3">
        <f t="shared" si="67"/>
        <v>0</v>
      </c>
      <c r="Y311" s="3">
        <f>0</f>
        <v>0</v>
      </c>
      <c r="Z311" s="3">
        <f t="shared" si="68"/>
        <v>0</v>
      </c>
      <c r="AA311">
        <f>ROUND(IF(FALSE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,0)</f>
        <v>117312</v>
      </c>
    </row>
    <row r="312" spans="1:27">
      <c r="A312" s="30">
        <f>307</f>
        <v>307</v>
      </c>
      <c r="B312" s="31">
        <f>EDATE(入力!$B$6,A312-1)</f>
        <v>55550</v>
      </c>
      <c r="C312" s="32">
        <f t="shared" si="69"/>
        <v>5880772</v>
      </c>
      <c r="D312" s="32">
        <f t="shared" si="70"/>
        <v>0</v>
      </c>
      <c r="E312" s="33">
        <f>IF(AND(T311="",A312&lt;=S311),IF(A312&lt;入力!$B$11,入力!$B$10,入力!$B$12),0)</f>
        <v>2.5000000000000001E-2</v>
      </c>
      <c r="F312" s="32">
        <f t="shared" si="71"/>
        <v>12252</v>
      </c>
      <c r="G312" s="32">
        <f>ROUND(IF(NOT(AND(T311="",A312&lt;=S311)),0,IF(FALSE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),0)</f>
        <v>117312</v>
      </c>
      <c r="H312" s="32">
        <f t="shared" si="72"/>
        <v>117312</v>
      </c>
      <c r="I312" s="32">
        <f t="shared" si="73"/>
        <v>12252</v>
      </c>
      <c r="J312" s="32">
        <f t="shared" si="74"/>
        <v>0</v>
      </c>
      <c r="K312" s="32">
        <f t="shared" si="75"/>
        <v>0</v>
      </c>
      <c r="L312" s="32">
        <f t="shared" si="76"/>
        <v>105060</v>
      </c>
      <c r="M312" s="32">
        <f>IF(AND(AND(T311="",A312&lt;=S311),A312=入力!$B$15),ROUND(MIN(入力!$B$16,MAX(0,C312-L312)),0),0)</f>
        <v>0</v>
      </c>
      <c r="N312" s="32">
        <f t="shared" si="77"/>
        <v>5775712</v>
      </c>
      <c r="O312" s="32">
        <f t="shared" si="78"/>
        <v>10400596</v>
      </c>
      <c r="P312" s="34" t="str">
        <f>IF(NOT(AND(T311="",A312&lt;=S311)),"",IF(FALSE,"繰上返済後再計算","")&amp;IF(AND(入力!$B$13="有効",A312&gt;1,MOD(A312-1,60)=0),IF(FALSE,"・","")&amp;"5年見直し","")&amp;IF(AND(A312=入力!$B$11,A312&gt;1),IF(OR(FALSE,AND(入力!$B$13="有効",A312&gt;1,MOD(A312-1,60)=0)),"・","")&amp;"金利変更","")&amp;IF(AND(OR(AND(入力!$B$13="有効",A312&gt;1,MOD(A312-1,60)=0),AND(A312=入力!$B$11,A312&gt;1)),入力!$B$14="有効",IF(E312=0,ROUND(C312/MAX(1,S311-A312+1),0),ROUND(-PMT(E312/12,MAX(1,S311-A312+1),C312),0))&gt;ROUND(G311*1.25,0),NOT(FALSE)),"・上限適用",""))</f>
        <v/>
      </c>
      <c r="Q312" s="35" t="str">
        <f>IF(AND(T311="",A312&lt;=S311),入力!$B$13,"")</f>
        <v>有効</v>
      </c>
      <c r="R312" s="32" t="str">
        <f>IF(AND(AND(T311="",A312&lt;=S311),OR(AND(入力!$B$13="有効",A312&gt;1,MOD(A312-1,60)=0),AND(A312=入力!$B$11,A312&gt;1)),入力!$B$14="有効"),ROUND(G311*1.25,0),"")</f>
        <v/>
      </c>
      <c r="S312" s="36">
        <f>IF(A312&lt;&gt;入力!$B$15,S311,IF(K312&lt;&gt;0,S311,IF(G312&lt;=F312,S311,IF(M312&lt;=0,S311,IF(AND(N312&gt;0,E312&gt;0,G312&lt;=N312*E312/12),S311,IF(A312+IF(N312=0,0,IF(E312=0,ROUNDUP(N312/G312,0),ROUNDUP(NPER(E312/12,-G312,N312),0)))&lt;S311,A312+IF(N312=0,0,IF(E312=0,ROUNDUP(N312/G312,0),ROUNDUP(NPER(E312/12,-G312,N312),0))),S311))))))</f>
        <v>359</v>
      </c>
      <c r="T312" s="35" t="str">
        <f t="shared" si="79"/>
        <v/>
      </c>
      <c r="U312" s="3">
        <f t="shared" si="64"/>
        <v>0</v>
      </c>
      <c r="V312" s="3">
        <f t="shared" si="65"/>
        <v>0</v>
      </c>
      <c r="W312" s="3">
        <f t="shared" si="66"/>
        <v>0</v>
      </c>
      <c r="X312" s="3">
        <f t="shared" si="67"/>
        <v>0</v>
      </c>
      <c r="Y312" s="3">
        <f>0</f>
        <v>0</v>
      </c>
      <c r="Z312" s="3">
        <f t="shared" si="68"/>
        <v>0</v>
      </c>
      <c r="AA312">
        <f>ROUND(IF(FALSE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,0)</f>
        <v>117312</v>
      </c>
    </row>
    <row r="313" spans="1:27">
      <c r="A313" s="30">
        <f>308</f>
        <v>308</v>
      </c>
      <c r="B313" s="31">
        <f>EDATE(入力!$B$6,A313-1)</f>
        <v>55579</v>
      </c>
      <c r="C313" s="32">
        <f t="shared" si="69"/>
        <v>5775712</v>
      </c>
      <c r="D313" s="32">
        <f t="shared" si="70"/>
        <v>0</v>
      </c>
      <c r="E313" s="33">
        <f>IF(AND(T312="",A313&lt;=S312),IF(A313&lt;入力!$B$11,入力!$B$10,入力!$B$12),0)</f>
        <v>2.5000000000000001E-2</v>
      </c>
      <c r="F313" s="32">
        <f t="shared" si="71"/>
        <v>12033</v>
      </c>
      <c r="G313" s="32">
        <f>ROUND(IF(NOT(AND(T312="",A313&lt;=S312)),0,IF(FALSE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),0)</f>
        <v>117312</v>
      </c>
      <c r="H313" s="32">
        <f t="shared" si="72"/>
        <v>117312</v>
      </c>
      <c r="I313" s="32">
        <f t="shared" si="73"/>
        <v>12033</v>
      </c>
      <c r="J313" s="32">
        <f t="shared" si="74"/>
        <v>0</v>
      </c>
      <c r="K313" s="32">
        <f t="shared" si="75"/>
        <v>0</v>
      </c>
      <c r="L313" s="32">
        <f t="shared" si="76"/>
        <v>105279</v>
      </c>
      <c r="M313" s="32">
        <f>IF(AND(AND(T312="",A313&lt;=S312),A313=入力!$B$15),ROUND(MIN(入力!$B$16,MAX(0,C313-L313)),0),0)</f>
        <v>0</v>
      </c>
      <c r="N313" s="32">
        <f t="shared" si="77"/>
        <v>5670433</v>
      </c>
      <c r="O313" s="32">
        <f t="shared" si="78"/>
        <v>10412629</v>
      </c>
      <c r="P313" s="34" t="str">
        <f>IF(NOT(AND(T312="",A313&lt;=S312)),"",IF(FALSE,"繰上返済後再計算","")&amp;IF(AND(入力!$B$13="有効",A313&gt;1,MOD(A313-1,60)=0),IF(FALSE,"・","")&amp;"5年見直し","")&amp;IF(AND(A313=入力!$B$11,A313&gt;1),IF(OR(FALSE,AND(入力!$B$13="有効",A313&gt;1,MOD(A313-1,60)=0)),"・","")&amp;"金利変更","")&amp;IF(AND(OR(AND(入力!$B$13="有効",A313&gt;1,MOD(A313-1,60)=0),AND(A313=入力!$B$11,A313&gt;1)),入力!$B$14="有効",IF(E313=0,ROUND(C313/MAX(1,S312-A313+1),0),ROUND(-PMT(E313/12,MAX(1,S312-A313+1),C313),0))&gt;ROUND(G312*1.25,0),NOT(FALSE)),"・上限適用",""))</f>
        <v/>
      </c>
      <c r="Q313" s="35" t="str">
        <f>IF(AND(T312="",A313&lt;=S312),入力!$B$13,"")</f>
        <v>有効</v>
      </c>
      <c r="R313" s="32" t="str">
        <f>IF(AND(AND(T312="",A313&lt;=S312),OR(AND(入力!$B$13="有効",A313&gt;1,MOD(A313-1,60)=0),AND(A313=入力!$B$11,A313&gt;1)),入力!$B$14="有効"),ROUND(G312*1.25,0),"")</f>
        <v/>
      </c>
      <c r="S313" s="36">
        <f>IF(A313&lt;&gt;入力!$B$15,S312,IF(K313&lt;&gt;0,S312,IF(G313&lt;=F313,S312,IF(M313&lt;=0,S312,IF(AND(N313&gt;0,E313&gt;0,G313&lt;=N313*E313/12),S312,IF(A313+IF(N313=0,0,IF(E313=0,ROUNDUP(N313/G313,0),ROUNDUP(NPER(E313/12,-G313,N313),0)))&lt;S312,A313+IF(N313=0,0,IF(E313=0,ROUNDUP(N313/G313,0),ROUNDUP(NPER(E313/12,-G313,N313),0))),S312))))))</f>
        <v>359</v>
      </c>
      <c r="T313" s="35" t="str">
        <f t="shared" si="79"/>
        <v/>
      </c>
      <c r="U313" s="3">
        <f t="shared" si="64"/>
        <v>0</v>
      </c>
      <c r="V313" s="3">
        <f t="shared" si="65"/>
        <v>0</v>
      </c>
      <c r="W313" s="3">
        <f t="shared" si="66"/>
        <v>0</v>
      </c>
      <c r="X313" s="3">
        <f t="shared" si="67"/>
        <v>0</v>
      </c>
      <c r="Y313" s="3">
        <f>0</f>
        <v>0</v>
      </c>
      <c r="Z313" s="3">
        <f t="shared" si="68"/>
        <v>0</v>
      </c>
      <c r="AA313">
        <f>ROUND(IF(FALSE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,0)</f>
        <v>117312</v>
      </c>
    </row>
    <row r="314" spans="1:27">
      <c r="A314" s="30">
        <f>309</f>
        <v>309</v>
      </c>
      <c r="B314" s="31">
        <f>EDATE(入力!$B$6,A314-1)</f>
        <v>55610</v>
      </c>
      <c r="C314" s="32">
        <f t="shared" si="69"/>
        <v>5670433</v>
      </c>
      <c r="D314" s="32">
        <f t="shared" si="70"/>
        <v>0</v>
      </c>
      <c r="E314" s="33">
        <f>IF(AND(T313="",A314&lt;=S313),IF(A314&lt;入力!$B$11,入力!$B$10,入力!$B$12),0)</f>
        <v>2.5000000000000001E-2</v>
      </c>
      <c r="F314" s="32">
        <f t="shared" si="71"/>
        <v>11813</v>
      </c>
      <c r="G314" s="32">
        <f>ROUND(IF(NOT(AND(T313="",A314&lt;=S313)),0,IF(FALSE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),0)</f>
        <v>117312</v>
      </c>
      <c r="H314" s="32">
        <f t="shared" si="72"/>
        <v>117312</v>
      </c>
      <c r="I314" s="32">
        <f t="shared" si="73"/>
        <v>11813</v>
      </c>
      <c r="J314" s="32">
        <f t="shared" si="74"/>
        <v>0</v>
      </c>
      <c r="K314" s="32">
        <f t="shared" si="75"/>
        <v>0</v>
      </c>
      <c r="L314" s="32">
        <f t="shared" si="76"/>
        <v>105499</v>
      </c>
      <c r="M314" s="32">
        <f>IF(AND(AND(T313="",A314&lt;=S313),A314=入力!$B$15),ROUND(MIN(入力!$B$16,MAX(0,C314-L314)),0),0)</f>
        <v>0</v>
      </c>
      <c r="N314" s="32">
        <f t="shared" si="77"/>
        <v>5564934</v>
      </c>
      <c r="O314" s="32">
        <f t="shared" si="78"/>
        <v>10424442</v>
      </c>
      <c r="P314" s="34" t="str">
        <f>IF(NOT(AND(T313="",A314&lt;=S313)),"",IF(FALSE,"繰上返済後再計算","")&amp;IF(AND(入力!$B$13="有効",A314&gt;1,MOD(A314-1,60)=0),IF(FALSE,"・","")&amp;"5年見直し","")&amp;IF(AND(A314=入力!$B$11,A314&gt;1),IF(OR(FALSE,AND(入力!$B$13="有効",A314&gt;1,MOD(A314-1,60)=0)),"・","")&amp;"金利変更","")&amp;IF(AND(OR(AND(入力!$B$13="有効",A314&gt;1,MOD(A314-1,60)=0),AND(A314=入力!$B$11,A314&gt;1)),入力!$B$14="有効",IF(E314=0,ROUND(C314/MAX(1,S313-A314+1),0),ROUND(-PMT(E314/12,MAX(1,S313-A314+1),C314),0))&gt;ROUND(G313*1.25,0),NOT(FALSE)),"・上限適用",""))</f>
        <v/>
      </c>
      <c r="Q314" s="35" t="str">
        <f>IF(AND(T313="",A314&lt;=S313),入力!$B$13,"")</f>
        <v>有効</v>
      </c>
      <c r="R314" s="32" t="str">
        <f>IF(AND(AND(T313="",A314&lt;=S313),OR(AND(入力!$B$13="有効",A314&gt;1,MOD(A314-1,60)=0),AND(A314=入力!$B$11,A314&gt;1)),入力!$B$14="有効"),ROUND(G313*1.25,0),"")</f>
        <v/>
      </c>
      <c r="S314" s="36">
        <f>IF(A314&lt;&gt;入力!$B$15,S313,IF(K314&lt;&gt;0,S313,IF(G314&lt;=F314,S313,IF(M314&lt;=0,S313,IF(AND(N314&gt;0,E314&gt;0,G314&lt;=N314*E314/12),S313,IF(A314+IF(N314=0,0,IF(E314=0,ROUNDUP(N314/G314,0),ROUNDUP(NPER(E314/12,-G314,N314),0)))&lt;S313,A314+IF(N314=0,0,IF(E314=0,ROUNDUP(N314/G314,0),ROUNDUP(NPER(E314/12,-G314,N314),0))),S313))))))</f>
        <v>359</v>
      </c>
      <c r="T314" s="35" t="str">
        <f t="shared" si="79"/>
        <v/>
      </c>
      <c r="U314" s="3">
        <f t="shared" si="64"/>
        <v>0</v>
      </c>
      <c r="V314" s="3">
        <f t="shared" si="65"/>
        <v>0</v>
      </c>
      <c r="W314" s="3">
        <f t="shared" si="66"/>
        <v>0</v>
      </c>
      <c r="X314" s="3">
        <f t="shared" si="67"/>
        <v>0</v>
      </c>
      <c r="Y314" s="3">
        <f>0</f>
        <v>0</v>
      </c>
      <c r="Z314" s="3">
        <f t="shared" si="68"/>
        <v>0</v>
      </c>
      <c r="AA314">
        <f>ROUND(IF(FALSE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,0)</f>
        <v>117312</v>
      </c>
    </row>
    <row r="315" spans="1:27">
      <c r="A315" s="30">
        <f>310</f>
        <v>310</v>
      </c>
      <c r="B315" s="31">
        <f>EDATE(入力!$B$6,A315-1)</f>
        <v>55640</v>
      </c>
      <c r="C315" s="32">
        <f t="shared" si="69"/>
        <v>5564934</v>
      </c>
      <c r="D315" s="32">
        <f t="shared" si="70"/>
        <v>0</v>
      </c>
      <c r="E315" s="33">
        <f>IF(AND(T314="",A315&lt;=S314),IF(A315&lt;入力!$B$11,入力!$B$10,入力!$B$12),0)</f>
        <v>2.5000000000000001E-2</v>
      </c>
      <c r="F315" s="32">
        <f t="shared" si="71"/>
        <v>11594</v>
      </c>
      <c r="G315" s="32">
        <f>ROUND(IF(NOT(AND(T314="",A315&lt;=S314)),0,IF(FALSE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),0)</f>
        <v>117312</v>
      </c>
      <c r="H315" s="32">
        <f t="shared" si="72"/>
        <v>117312</v>
      </c>
      <c r="I315" s="32">
        <f t="shared" si="73"/>
        <v>11594</v>
      </c>
      <c r="J315" s="32">
        <f t="shared" si="74"/>
        <v>0</v>
      </c>
      <c r="K315" s="32">
        <f t="shared" si="75"/>
        <v>0</v>
      </c>
      <c r="L315" s="32">
        <f t="shared" si="76"/>
        <v>105718</v>
      </c>
      <c r="M315" s="32">
        <f>IF(AND(AND(T314="",A315&lt;=S314),A315=入力!$B$15),ROUND(MIN(入力!$B$16,MAX(0,C315-L315)),0),0)</f>
        <v>0</v>
      </c>
      <c r="N315" s="32">
        <f t="shared" si="77"/>
        <v>5459216</v>
      </c>
      <c r="O315" s="32">
        <f t="shared" si="78"/>
        <v>10436036</v>
      </c>
      <c r="P315" s="34" t="str">
        <f>IF(NOT(AND(T314="",A315&lt;=S314)),"",IF(FALSE,"繰上返済後再計算","")&amp;IF(AND(入力!$B$13="有効",A315&gt;1,MOD(A315-1,60)=0),IF(FALSE,"・","")&amp;"5年見直し","")&amp;IF(AND(A315=入力!$B$11,A315&gt;1),IF(OR(FALSE,AND(入力!$B$13="有効",A315&gt;1,MOD(A315-1,60)=0)),"・","")&amp;"金利変更","")&amp;IF(AND(OR(AND(入力!$B$13="有効",A315&gt;1,MOD(A315-1,60)=0),AND(A315=入力!$B$11,A315&gt;1)),入力!$B$14="有効",IF(E315=0,ROUND(C315/MAX(1,S314-A315+1),0),ROUND(-PMT(E315/12,MAX(1,S314-A315+1),C315),0))&gt;ROUND(G314*1.25,0),NOT(FALSE)),"・上限適用",""))</f>
        <v/>
      </c>
      <c r="Q315" s="35" t="str">
        <f>IF(AND(T314="",A315&lt;=S314),入力!$B$13,"")</f>
        <v>有効</v>
      </c>
      <c r="R315" s="32" t="str">
        <f>IF(AND(AND(T314="",A315&lt;=S314),OR(AND(入力!$B$13="有効",A315&gt;1,MOD(A315-1,60)=0),AND(A315=入力!$B$11,A315&gt;1)),入力!$B$14="有効"),ROUND(G314*1.25,0),"")</f>
        <v/>
      </c>
      <c r="S315" s="36">
        <f>IF(A315&lt;&gt;入力!$B$15,S314,IF(K315&lt;&gt;0,S314,IF(G315&lt;=F315,S314,IF(M315&lt;=0,S314,IF(AND(N315&gt;0,E315&gt;0,G315&lt;=N315*E315/12),S314,IF(A315+IF(N315=0,0,IF(E315=0,ROUNDUP(N315/G315,0),ROUNDUP(NPER(E315/12,-G315,N315),0)))&lt;S314,A315+IF(N315=0,0,IF(E315=0,ROUNDUP(N315/G315,0),ROUNDUP(NPER(E315/12,-G315,N315),0))),S314))))))</f>
        <v>359</v>
      </c>
      <c r="T315" s="35" t="str">
        <f t="shared" si="79"/>
        <v/>
      </c>
      <c r="U315" s="3">
        <f t="shared" si="64"/>
        <v>0</v>
      </c>
      <c r="V315" s="3">
        <f t="shared" si="65"/>
        <v>0</v>
      </c>
      <c r="W315" s="3">
        <f t="shared" si="66"/>
        <v>0</v>
      </c>
      <c r="X315" s="3">
        <f t="shared" si="67"/>
        <v>0</v>
      </c>
      <c r="Y315" s="3">
        <f>0</f>
        <v>0</v>
      </c>
      <c r="Z315" s="3">
        <f t="shared" si="68"/>
        <v>0</v>
      </c>
      <c r="AA315">
        <f>ROUND(IF(FALSE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,0)</f>
        <v>117312</v>
      </c>
    </row>
    <row r="316" spans="1:27">
      <c r="A316" s="30">
        <f>311</f>
        <v>311</v>
      </c>
      <c r="B316" s="31">
        <f>EDATE(入力!$B$6,A316-1)</f>
        <v>55671</v>
      </c>
      <c r="C316" s="32">
        <f t="shared" si="69"/>
        <v>5459216</v>
      </c>
      <c r="D316" s="32">
        <f t="shared" si="70"/>
        <v>0</v>
      </c>
      <c r="E316" s="33">
        <f>IF(AND(T315="",A316&lt;=S315),IF(A316&lt;入力!$B$11,入力!$B$10,入力!$B$12),0)</f>
        <v>2.5000000000000001E-2</v>
      </c>
      <c r="F316" s="32">
        <f t="shared" si="71"/>
        <v>11373</v>
      </c>
      <c r="G316" s="32">
        <f>ROUND(IF(NOT(AND(T315="",A316&lt;=S315)),0,IF(FALSE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),0)</f>
        <v>117312</v>
      </c>
      <c r="H316" s="32">
        <f t="shared" si="72"/>
        <v>117312</v>
      </c>
      <c r="I316" s="32">
        <f t="shared" si="73"/>
        <v>11373</v>
      </c>
      <c r="J316" s="32">
        <f t="shared" si="74"/>
        <v>0</v>
      </c>
      <c r="K316" s="32">
        <f t="shared" si="75"/>
        <v>0</v>
      </c>
      <c r="L316" s="32">
        <f t="shared" si="76"/>
        <v>105939</v>
      </c>
      <c r="M316" s="32">
        <f>IF(AND(AND(T315="",A316&lt;=S315),A316=入力!$B$15),ROUND(MIN(入力!$B$16,MAX(0,C316-L316)),0),0)</f>
        <v>0</v>
      </c>
      <c r="N316" s="32">
        <f t="shared" si="77"/>
        <v>5353277</v>
      </c>
      <c r="O316" s="32">
        <f t="shared" si="78"/>
        <v>10447409</v>
      </c>
      <c r="P316" s="34" t="str">
        <f>IF(NOT(AND(T315="",A316&lt;=S315)),"",IF(FALSE,"繰上返済後再計算","")&amp;IF(AND(入力!$B$13="有効",A316&gt;1,MOD(A316-1,60)=0),IF(FALSE,"・","")&amp;"5年見直し","")&amp;IF(AND(A316=入力!$B$11,A316&gt;1),IF(OR(FALSE,AND(入力!$B$13="有効",A316&gt;1,MOD(A316-1,60)=0)),"・","")&amp;"金利変更","")&amp;IF(AND(OR(AND(入力!$B$13="有効",A316&gt;1,MOD(A316-1,60)=0),AND(A316=入力!$B$11,A316&gt;1)),入力!$B$14="有効",IF(E316=0,ROUND(C316/MAX(1,S315-A316+1),0),ROUND(-PMT(E316/12,MAX(1,S315-A316+1),C316),0))&gt;ROUND(G315*1.25,0),NOT(FALSE)),"・上限適用",""))</f>
        <v/>
      </c>
      <c r="Q316" s="35" t="str">
        <f>IF(AND(T315="",A316&lt;=S315),入力!$B$13,"")</f>
        <v>有効</v>
      </c>
      <c r="R316" s="32" t="str">
        <f>IF(AND(AND(T315="",A316&lt;=S315),OR(AND(入力!$B$13="有効",A316&gt;1,MOD(A316-1,60)=0),AND(A316=入力!$B$11,A316&gt;1)),入力!$B$14="有効"),ROUND(G315*1.25,0),"")</f>
        <v/>
      </c>
      <c r="S316" s="36">
        <f>IF(A316&lt;&gt;入力!$B$15,S315,IF(K316&lt;&gt;0,S315,IF(G316&lt;=F316,S315,IF(M316&lt;=0,S315,IF(AND(N316&gt;0,E316&gt;0,G316&lt;=N316*E316/12),S315,IF(A316+IF(N316=0,0,IF(E316=0,ROUNDUP(N316/G316,0),ROUNDUP(NPER(E316/12,-G316,N316),0)))&lt;S315,A316+IF(N316=0,0,IF(E316=0,ROUNDUP(N316/G316,0),ROUNDUP(NPER(E316/12,-G316,N316),0))),S315))))))</f>
        <v>359</v>
      </c>
      <c r="T316" s="35" t="str">
        <f t="shared" si="79"/>
        <v/>
      </c>
      <c r="U316" s="3">
        <f t="shared" si="64"/>
        <v>0</v>
      </c>
      <c r="V316" s="3">
        <f t="shared" si="65"/>
        <v>0</v>
      </c>
      <c r="W316" s="3">
        <f t="shared" si="66"/>
        <v>0</v>
      </c>
      <c r="X316" s="3">
        <f t="shared" si="67"/>
        <v>0</v>
      </c>
      <c r="Y316" s="3">
        <f>0</f>
        <v>0</v>
      </c>
      <c r="Z316" s="3">
        <f t="shared" si="68"/>
        <v>0</v>
      </c>
      <c r="AA316">
        <f>ROUND(IF(FALSE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,0)</f>
        <v>117312</v>
      </c>
    </row>
    <row r="317" spans="1:27">
      <c r="A317" s="30">
        <f>312</f>
        <v>312</v>
      </c>
      <c r="B317" s="31">
        <f>EDATE(入力!$B$6,A317-1)</f>
        <v>55701</v>
      </c>
      <c r="C317" s="32">
        <f t="shared" si="69"/>
        <v>5353277</v>
      </c>
      <c r="D317" s="32">
        <f t="shared" si="70"/>
        <v>0</v>
      </c>
      <c r="E317" s="33">
        <f>IF(AND(T316="",A317&lt;=S316),IF(A317&lt;入力!$B$11,入力!$B$10,入力!$B$12),0)</f>
        <v>2.5000000000000001E-2</v>
      </c>
      <c r="F317" s="32">
        <f t="shared" si="71"/>
        <v>11153</v>
      </c>
      <c r="G317" s="32">
        <f>ROUND(IF(NOT(AND(T316="",A317&lt;=S316)),0,IF(FALSE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),0)</f>
        <v>117312</v>
      </c>
      <c r="H317" s="32">
        <f t="shared" si="72"/>
        <v>117312</v>
      </c>
      <c r="I317" s="32">
        <f t="shared" si="73"/>
        <v>11153</v>
      </c>
      <c r="J317" s="32">
        <f t="shared" si="74"/>
        <v>0</v>
      </c>
      <c r="K317" s="32">
        <f t="shared" si="75"/>
        <v>0</v>
      </c>
      <c r="L317" s="32">
        <f t="shared" si="76"/>
        <v>106159</v>
      </c>
      <c r="M317" s="32">
        <f>IF(AND(AND(T316="",A317&lt;=S316),A317=入力!$B$15),ROUND(MIN(入力!$B$16,MAX(0,C317-L317)),0),0)</f>
        <v>0</v>
      </c>
      <c r="N317" s="32">
        <f t="shared" si="77"/>
        <v>5247118</v>
      </c>
      <c r="O317" s="32">
        <f t="shared" si="78"/>
        <v>10458562</v>
      </c>
      <c r="P317" s="34" t="str">
        <f>IF(NOT(AND(T316="",A317&lt;=S316)),"",IF(FALSE,"繰上返済後再計算","")&amp;IF(AND(入力!$B$13="有効",A317&gt;1,MOD(A317-1,60)=0),IF(FALSE,"・","")&amp;"5年見直し","")&amp;IF(AND(A317=入力!$B$11,A317&gt;1),IF(OR(FALSE,AND(入力!$B$13="有効",A317&gt;1,MOD(A317-1,60)=0)),"・","")&amp;"金利変更","")&amp;IF(AND(OR(AND(入力!$B$13="有効",A317&gt;1,MOD(A317-1,60)=0),AND(A317=入力!$B$11,A317&gt;1)),入力!$B$14="有効",IF(E317=0,ROUND(C317/MAX(1,S316-A317+1),0),ROUND(-PMT(E317/12,MAX(1,S316-A317+1),C317),0))&gt;ROUND(G316*1.25,0),NOT(FALSE)),"・上限適用",""))</f>
        <v/>
      </c>
      <c r="Q317" s="35" t="str">
        <f>IF(AND(T316="",A317&lt;=S316),入力!$B$13,"")</f>
        <v>有効</v>
      </c>
      <c r="R317" s="32" t="str">
        <f>IF(AND(AND(T316="",A317&lt;=S316),OR(AND(入力!$B$13="有効",A317&gt;1,MOD(A317-1,60)=0),AND(A317=入力!$B$11,A317&gt;1)),入力!$B$14="有効"),ROUND(G316*1.25,0),"")</f>
        <v/>
      </c>
      <c r="S317" s="36">
        <f>IF(A317&lt;&gt;入力!$B$15,S316,IF(K317&lt;&gt;0,S316,IF(G317&lt;=F317,S316,IF(M317&lt;=0,S316,IF(AND(N317&gt;0,E317&gt;0,G317&lt;=N317*E317/12),S316,IF(A317+IF(N317=0,0,IF(E317=0,ROUNDUP(N317/G317,0),ROUNDUP(NPER(E317/12,-G317,N317),0)))&lt;S316,A317+IF(N317=0,0,IF(E317=0,ROUNDUP(N317/G317,0),ROUNDUP(NPER(E317/12,-G317,N317),0))),S316))))))</f>
        <v>359</v>
      </c>
      <c r="T317" s="35" t="str">
        <f t="shared" si="79"/>
        <v/>
      </c>
      <c r="U317" s="3">
        <f t="shared" si="64"/>
        <v>0</v>
      </c>
      <c r="V317" s="3">
        <f t="shared" si="65"/>
        <v>0</v>
      </c>
      <c r="W317" s="3">
        <f t="shared" si="66"/>
        <v>0</v>
      </c>
      <c r="X317" s="3">
        <f t="shared" si="67"/>
        <v>0</v>
      </c>
      <c r="Y317" s="3">
        <f>0</f>
        <v>0</v>
      </c>
      <c r="Z317" s="3">
        <f t="shared" si="68"/>
        <v>0</v>
      </c>
      <c r="AA317">
        <f>ROUND(IF(FALSE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,0)</f>
        <v>117312</v>
      </c>
    </row>
    <row r="318" spans="1:27">
      <c r="A318" s="30">
        <f>313</f>
        <v>313</v>
      </c>
      <c r="B318" s="31">
        <f>EDATE(入力!$B$6,A318-1)</f>
        <v>55732</v>
      </c>
      <c r="C318" s="32">
        <f t="shared" si="69"/>
        <v>5247118</v>
      </c>
      <c r="D318" s="32">
        <f t="shared" si="70"/>
        <v>0</v>
      </c>
      <c r="E318" s="33">
        <f>IF(AND(T317="",A318&lt;=S317),IF(A318&lt;入力!$B$11,入力!$B$10,入力!$B$12),0)</f>
        <v>2.5000000000000001E-2</v>
      </c>
      <c r="F318" s="32">
        <f t="shared" si="71"/>
        <v>10931</v>
      </c>
      <c r="G318" s="32">
        <f>ROUND(IF(NOT(AND(T317="",A318&lt;=S317)),0,IF(FALSE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),0)</f>
        <v>117312</v>
      </c>
      <c r="H318" s="32">
        <f t="shared" si="72"/>
        <v>117312</v>
      </c>
      <c r="I318" s="32">
        <f t="shared" si="73"/>
        <v>10931</v>
      </c>
      <c r="J318" s="32">
        <f t="shared" si="74"/>
        <v>0</v>
      </c>
      <c r="K318" s="32">
        <f t="shared" si="75"/>
        <v>0</v>
      </c>
      <c r="L318" s="32">
        <f t="shared" si="76"/>
        <v>106381</v>
      </c>
      <c r="M318" s="32">
        <f>IF(AND(AND(T317="",A318&lt;=S317),A318=入力!$B$15),ROUND(MIN(入力!$B$16,MAX(0,C318-L318)),0),0)</f>
        <v>0</v>
      </c>
      <c r="N318" s="32">
        <f t="shared" si="77"/>
        <v>5140737</v>
      </c>
      <c r="O318" s="32">
        <f t="shared" si="78"/>
        <v>10469493</v>
      </c>
      <c r="P318" s="34" t="str">
        <f>IF(NOT(AND(T317="",A318&lt;=S317)),"",IF(FALSE,"繰上返済後再計算","")&amp;IF(AND(入力!$B$13="有効",A318&gt;1,MOD(A318-1,60)=0),IF(FALSE,"・","")&amp;"5年見直し","")&amp;IF(AND(A318=入力!$B$11,A318&gt;1),IF(OR(FALSE,AND(入力!$B$13="有効",A318&gt;1,MOD(A318-1,60)=0)),"・","")&amp;"金利変更","")&amp;IF(AND(OR(AND(入力!$B$13="有効",A318&gt;1,MOD(A318-1,60)=0),AND(A318=入力!$B$11,A318&gt;1)),入力!$B$14="有効",IF(E318=0,ROUND(C318/MAX(1,S317-A318+1),0),ROUND(-PMT(E318/12,MAX(1,S317-A318+1),C318),0))&gt;ROUND(G317*1.25,0),NOT(FALSE)),"・上限適用",""))</f>
        <v/>
      </c>
      <c r="Q318" s="35" t="str">
        <f>IF(AND(T317="",A318&lt;=S317),入力!$B$13,"")</f>
        <v>有効</v>
      </c>
      <c r="R318" s="32" t="str">
        <f>IF(AND(AND(T317="",A318&lt;=S317),OR(AND(入力!$B$13="有効",A318&gt;1,MOD(A318-1,60)=0),AND(A318=入力!$B$11,A318&gt;1)),入力!$B$14="有効"),ROUND(G317*1.25,0),"")</f>
        <v/>
      </c>
      <c r="S318" s="36">
        <f>IF(A318&lt;&gt;入力!$B$15,S317,IF(K318&lt;&gt;0,S317,IF(G318&lt;=F318,S317,IF(M318&lt;=0,S317,IF(AND(N318&gt;0,E318&gt;0,G318&lt;=N318*E318/12),S317,IF(A318+IF(N318=0,0,IF(E318=0,ROUNDUP(N318/G318,0),ROUNDUP(NPER(E318/12,-G318,N318),0)))&lt;S317,A318+IF(N318=0,0,IF(E318=0,ROUNDUP(N318/G318,0),ROUNDUP(NPER(E318/12,-G318,N318),0))),S317))))))</f>
        <v>359</v>
      </c>
      <c r="T318" s="35" t="str">
        <f t="shared" si="79"/>
        <v/>
      </c>
      <c r="U318" s="3">
        <f t="shared" si="64"/>
        <v>0</v>
      </c>
      <c r="V318" s="3">
        <f t="shared" si="65"/>
        <v>0</v>
      </c>
      <c r="W318" s="3">
        <f t="shared" si="66"/>
        <v>0</v>
      </c>
      <c r="X318" s="3">
        <f t="shared" si="67"/>
        <v>0</v>
      </c>
      <c r="Y318" s="3">
        <f>0</f>
        <v>0</v>
      </c>
      <c r="Z318" s="3">
        <f t="shared" si="68"/>
        <v>0</v>
      </c>
      <c r="AA318">
        <f>ROUND(IF(FALSE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,0)</f>
        <v>117312</v>
      </c>
    </row>
    <row r="319" spans="1:27">
      <c r="A319" s="30">
        <f>314</f>
        <v>314</v>
      </c>
      <c r="B319" s="31">
        <f>EDATE(入力!$B$6,A319-1)</f>
        <v>55763</v>
      </c>
      <c r="C319" s="32">
        <f t="shared" si="69"/>
        <v>5140737</v>
      </c>
      <c r="D319" s="32">
        <f t="shared" si="70"/>
        <v>0</v>
      </c>
      <c r="E319" s="33">
        <f>IF(AND(T318="",A319&lt;=S318),IF(A319&lt;入力!$B$11,入力!$B$10,入力!$B$12),0)</f>
        <v>2.5000000000000001E-2</v>
      </c>
      <c r="F319" s="32">
        <f t="shared" si="71"/>
        <v>10710</v>
      </c>
      <c r="G319" s="32">
        <f>ROUND(IF(NOT(AND(T318="",A319&lt;=S318)),0,IF(FALSE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),0)</f>
        <v>117312</v>
      </c>
      <c r="H319" s="32">
        <f t="shared" si="72"/>
        <v>117312</v>
      </c>
      <c r="I319" s="32">
        <f t="shared" si="73"/>
        <v>10710</v>
      </c>
      <c r="J319" s="32">
        <f t="shared" si="74"/>
        <v>0</v>
      </c>
      <c r="K319" s="32">
        <f t="shared" si="75"/>
        <v>0</v>
      </c>
      <c r="L319" s="32">
        <f t="shared" si="76"/>
        <v>106602</v>
      </c>
      <c r="M319" s="32">
        <f>IF(AND(AND(T318="",A319&lt;=S318),A319=入力!$B$15),ROUND(MIN(入力!$B$16,MAX(0,C319-L319)),0),0)</f>
        <v>0</v>
      </c>
      <c r="N319" s="32">
        <f t="shared" si="77"/>
        <v>5034135</v>
      </c>
      <c r="O319" s="32">
        <f t="shared" si="78"/>
        <v>10480203</v>
      </c>
      <c r="P319" s="34" t="str">
        <f>IF(NOT(AND(T318="",A319&lt;=S318)),"",IF(FALSE,"繰上返済後再計算","")&amp;IF(AND(入力!$B$13="有効",A319&gt;1,MOD(A319-1,60)=0),IF(FALSE,"・","")&amp;"5年見直し","")&amp;IF(AND(A319=入力!$B$11,A319&gt;1),IF(OR(FALSE,AND(入力!$B$13="有効",A319&gt;1,MOD(A319-1,60)=0)),"・","")&amp;"金利変更","")&amp;IF(AND(OR(AND(入力!$B$13="有効",A319&gt;1,MOD(A319-1,60)=0),AND(A319=入力!$B$11,A319&gt;1)),入力!$B$14="有効",IF(E319=0,ROUND(C319/MAX(1,S318-A319+1),0),ROUND(-PMT(E319/12,MAX(1,S318-A319+1),C319),0))&gt;ROUND(G318*1.25,0),NOT(FALSE)),"・上限適用",""))</f>
        <v/>
      </c>
      <c r="Q319" s="35" t="str">
        <f>IF(AND(T318="",A319&lt;=S318),入力!$B$13,"")</f>
        <v>有効</v>
      </c>
      <c r="R319" s="32" t="str">
        <f>IF(AND(AND(T318="",A319&lt;=S318),OR(AND(入力!$B$13="有効",A319&gt;1,MOD(A319-1,60)=0),AND(A319=入力!$B$11,A319&gt;1)),入力!$B$14="有効"),ROUND(G318*1.25,0),"")</f>
        <v/>
      </c>
      <c r="S319" s="36">
        <f>IF(A319&lt;&gt;入力!$B$15,S318,IF(K319&lt;&gt;0,S318,IF(G319&lt;=F319,S318,IF(M319&lt;=0,S318,IF(AND(N319&gt;0,E319&gt;0,G319&lt;=N319*E319/12),S318,IF(A319+IF(N319=0,0,IF(E319=0,ROUNDUP(N319/G319,0),ROUNDUP(NPER(E319/12,-G319,N319),0)))&lt;S318,A319+IF(N319=0,0,IF(E319=0,ROUNDUP(N319/G319,0),ROUNDUP(NPER(E319/12,-G319,N319),0))),S318))))))</f>
        <v>359</v>
      </c>
      <c r="T319" s="35" t="str">
        <f t="shared" si="79"/>
        <v/>
      </c>
      <c r="U319" s="3">
        <f t="shared" si="64"/>
        <v>0</v>
      </c>
      <c r="V319" s="3">
        <f t="shared" si="65"/>
        <v>0</v>
      </c>
      <c r="W319" s="3">
        <f t="shared" si="66"/>
        <v>0</v>
      </c>
      <c r="X319" s="3">
        <f t="shared" si="67"/>
        <v>0</v>
      </c>
      <c r="Y319" s="3">
        <f>0</f>
        <v>0</v>
      </c>
      <c r="Z319" s="3">
        <f t="shared" si="68"/>
        <v>0</v>
      </c>
      <c r="AA319">
        <f>ROUND(IF(FALSE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,0)</f>
        <v>117312</v>
      </c>
    </row>
    <row r="320" spans="1:27">
      <c r="A320" s="30">
        <f>315</f>
        <v>315</v>
      </c>
      <c r="B320" s="31">
        <f>EDATE(入力!$B$6,A320-1)</f>
        <v>55793</v>
      </c>
      <c r="C320" s="32">
        <f t="shared" si="69"/>
        <v>5034135</v>
      </c>
      <c r="D320" s="32">
        <f t="shared" si="70"/>
        <v>0</v>
      </c>
      <c r="E320" s="33">
        <f>IF(AND(T319="",A320&lt;=S319),IF(A320&lt;入力!$B$11,入力!$B$10,入力!$B$12),0)</f>
        <v>2.5000000000000001E-2</v>
      </c>
      <c r="F320" s="32">
        <f t="shared" si="71"/>
        <v>10488</v>
      </c>
      <c r="G320" s="32">
        <f>ROUND(IF(NOT(AND(T319="",A320&lt;=S319)),0,IF(FALSE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),0)</f>
        <v>117312</v>
      </c>
      <c r="H320" s="32">
        <f t="shared" si="72"/>
        <v>117312</v>
      </c>
      <c r="I320" s="32">
        <f t="shared" si="73"/>
        <v>10488</v>
      </c>
      <c r="J320" s="32">
        <f t="shared" si="74"/>
        <v>0</v>
      </c>
      <c r="K320" s="32">
        <f t="shared" si="75"/>
        <v>0</v>
      </c>
      <c r="L320" s="32">
        <f t="shared" si="76"/>
        <v>106824</v>
      </c>
      <c r="M320" s="32">
        <f>IF(AND(AND(T319="",A320&lt;=S319),A320=入力!$B$15),ROUND(MIN(入力!$B$16,MAX(0,C320-L320)),0),0)</f>
        <v>0</v>
      </c>
      <c r="N320" s="32">
        <f t="shared" si="77"/>
        <v>4927311</v>
      </c>
      <c r="O320" s="32">
        <f t="shared" si="78"/>
        <v>10490691</v>
      </c>
      <c r="P320" s="34" t="str">
        <f>IF(NOT(AND(T319="",A320&lt;=S319)),"",IF(FALSE,"繰上返済後再計算","")&amp;IF(AND(入力!$B$13="有効",A320&gt;1,MOD(A320-1,60)=0),IF(FALSE,"・","")&amp;"5年見直し","")&amp;IF(AND(A320=入力!$B$11,A320&gt;1),IF(OR(FALSE,AND(入力!$B$13="有効",A320&gt;1,MOD(A320-1,60)=0)),"・","")&amp;"金利変更","")&amp;IF(AND(OR(AND(入力!$B$13="有効",A320&gt;1,MOD(A320-1,60)=0),AND(A320=入力!$B$11,A320&gt;1)),入力!$B$14="有効",IF(E320=0,ROUND(C320/MAX(1,S319-A320+1),0),ROUND(-PMT(E320/12,MAX(1,S319-A320+1),C320),0))&gt;ROUND(G319*1.25,0),NOT(FALSE)),"・上限適用",""))</f>
        <v/>
      </c>
      <c r="Q320" s="35" t="str">
        <f>IF(AND(T319="",A320&lt;=S319),入力!$B$13,"")</f>
        <v>有効</v>
      </c>
      <c r="R320" s="32" t="str">
        <f>IF(AND(AND(T319="",A320&lt;=S319),OR(AND(入力!$B$13="有効",A320&gt;1,MOD(A320-1,60)=0),AND(A320=入力!$B$11,A320&gt;1)),入力!$B$14="有効"),ROUND(G319*1.25,0),"")</f>
        <v/>
      </c>
      <c r="S320" s="36">
        <f>IF(A320&lt;&gt;入力!$B$15,S319,IF(K320&lt;&gt;0,S319,IF(G320&lt;=F320,S319,IF(M320&lt;=0,S319,IF(AND(N320&gt;0,E320&gt;0,G320&lt;=N320*E320/12),S319,IF(A320+IF(N320=0,0,IF(E320=0,ROUNDUP(N320/G320,0),ROUNDUP(NPER(E320/12,-G320,N320),0)))&lt;S319,A320+IF(N320=0,0,IF(E320=0,ROUNDUP(N320/G320,0),ROUNDUP(NPER(E320/12,-G320,N320),0))),S319))))))</f>
        <v>359</v>
      </c>
      <c r="T320" s="35" t="str">
        <f t="shared" si="79"/>
        <v/>
      </c>
      <c r="U320" s="3">
        <f t="shared" si="64"/>
        <v>0</v>
      </c>
      <c r="V320" s="3">
        <f t="shared" si="65"/>
        <v>0</v>
      </c>
      <c r="W320" s="3">
        <f t="shared" si="66"/>
        <v>0</v>
      </c>
      <c r="X320" s="3">
        <f t="shared" si="67"/>
        <v>0</v>
      </c>
      <c r="Y320" s="3">
        <f>0</f>
        <v>0</v>
      </c>
      <c r="Z320" s="3">
        <f t="shared" si="68"/>
        <v>0</v>
      </c>
      <c r="AA320">
        <f>ROUND(IF(FALSE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,0)</f>
        <v>117312</v>
      </c>
    </row>
    <row r="321" spans="1:27">
      <c r="A321" s="30">
        <f>316</f>
        <v>316</v>
      </c>
      <c r="B321" s="31">
        <f>EDATE(入力!$B$6,A321-1)</f>
        <v>55824</v>
      </c>
      <c r="C321" s="32">
        <f t="shared" si="69"/>
        <v>4927311</v>
      </c>
      <c r="D321" s="32">
        <f t="shared" si="70"/>
        <v>0</v>
      </c>
      <c r="E321" s="33">
        <f>IF(AND(T320="",A321&lt;=S320),IF(A321&lt;入力!$B$11,入力!$B$10,入力!$B$12),0)</f>
        <v>2.5000000000000001E-2</v>
      </c>
      <c r="F321" s="32">
        <f t="shared" si="71"/>
        <v>10265</v>
      </c>
      <c r="G321" s="32">
        <f>ROUND(IF(NOT(AND(T320="",A321&lt;=S320)),0,IF(FALSE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),0)</f>
        <v>117312</v>
      </c>
      <c r="H321" s="32">
        <f t="shared" si="72"/>
        <v>117312</v>
      </c>
      <c r="I321" s="32">
        <f t="shared" si="73"/>
        <v>10265</v>
      </c>
      <c r="J321" s="32">
        <f t="shared" si="74"/>
        <v>0</v>
      </c>
      <c r="K321" s="32">
        <f t="shared" si="75"/>
        <v>0</v>
      </c>
      <c r="L321" s="32">
        <f t="shared" si="76"/>
        <v>107047</v>
      </c>
      <c r="M321" s="32">
        <f>IF(AND(AND(T320="",A321&lt;=S320),A321=入力!$B$15),ROUND(MIN(入力!$B$16,MAX(0,C321-L321)),0),0)</f>
        <v>0</v>
      </c>
      <c r="N321" s="32">
        <f t="shared" si="77"/>
        <v>4820264</v>
      </c>
      <c r="O321" s="32">
        <f t="shared" si="78"/>
        <v>10500956</v>
      </c>
      <c r="P321" s="34" t="str">
        <f>IF(NOT(AND(T320="",A321&lt;=S320)),"",IF(FALSE,"繰上返済後再計算","")&amp;IF(AND(入力!$B$13="有効",A321&gt;1,MOD(A321-1,60)=0),IF(FALSE,"・","")&amp;"5年見直し","")&amp;IF(AND(A321=入力!$B$11,A321&gt;1),IF(OR(FALSE,AND(入力!$B$13="有効",A321&gt;1,MOD(A321-1,60)=0)),"・","")&amp;"金利変更","")&amp;IF(AND(OR(AND(入力!$B$13="有効",A321&gt;1,MOD(A321-1,60)=0),AND(A321=入力!$B$11,A321&gt;1)),入力!$B$14="有効",IF(E321=0,ROUND(C321/MAX(1,S320-A321+1),0),ROUND(-PMT(E321/12,MAX(1,S320-A321+1),C321),0))&gt;ROUND(G320*1.25,0),NOT(FALSE)),"・上限適用",""))</f>
        <v/>
      </c>
      <c r="Q321" s="35" t="str">
        <f>IF(AND(T320="",A321&lt;=S320),入力!$B$13,"")</f>
        <v>有効</v>
      </c>
      <c r="R321" s="32" t="str">
        <f>IF(AND(AND(T320="",A321&lt;=S320),OR(AND(入力!$B$13="有効",A321&gt;1,MOD(A321-1,60)=0),AND(A321=入力!$B$11,A321&gt;1)),入力!$B$14="有効"),ROUND(G320*1.25,0),"")</f>
        <v/>
      </c>
      <c r="S321" s="36">
        <f>IF(A321&lt;&gt;入力!$B$15,S320,IF(K321&lt;&gt;0,S320,IF(G321&lt;=F321,S320,IF(M321&lt;=0,S320,IF(AND(N321&gt;0,E321&gt;0,G321&lt;=N321*E321/12),S320,IF(A321+IF(N321=0,0,IF(E321=0,ROUNDUP(N321/G321,0),ROUNDUP(NPER(E321/12,-G321,N321),0)))&lt;S320,A321+IF(N321=0,0,IF(E321=0,ROUNDUP(N321/G321,0),ROUNDUP(NPER(E321/12,-G321,N321),0))),S320))))))</f>
        <v>359</v>
      </c>
      <c r="T321" s="35" t="str">
        <f t="shared" si="79"/>
        <v/>
      </c>
      <c r="U321" s="3">
        <f t="shared" si="64"/>
        <v>0</v>
      </c>
      <c r="V321" s="3">
        <f t="shared" si="65"/>
        <v>0</v>
      </c>
      <c r="W321" s="3">
        <f t="shared" si="66"/>
        <v>0</v>
      </c>
      <c r="X321" s="3">
        <f t="shared" si="67"/>
        <v>0</v>
      </c>
      <c r="Y321" s="3">
        <f>0</f>
        <v>0</v>
      </c>
      <c r="Z321" s="3">
        <f t="shared" si="68"/>
        <v>0</v>
      </c>
      <c r="AA321">
        <f>ROUND(IF(FALSE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,0)</f>
        <v>117312</v>
      </c>
    </row>
    <row r="322" spans="1:27">
      <c r="A322" s="30">
        <f>317</f>
        <v>317</v>
      </c>
      <c r="B322" s="31">
        <f>EDATE(入力!$B$6,A322-1)</f>
        <v>55854</v>
      </c>
      <c r="C322" s="32">
        <f t="shared" si="69"/>
        <v>4820264</v>
      </c>
      <c r="D322" s="32">
        <f t="shared" si="70"/>
        <v>0</v>
      </c>
      <c r="E322" s="33">
        <f>IF(AND(T321="",A322&lt;=S321),IF(A322&lt;入力!$B$11,入力!$B$10,入力!$B$12),0)</f>
        <v>2.5000000000000001E-2</v>
      </c>
      <c r="F322" s="32">
        <f t="shared" si="71"/>
        <v>10042</v>
      </c>
      <c r="G322" s="32">
        <f>ROUND(IF(NOT(AND(T321="",A322&lt;=S321)),0,IF(FALSE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),0)</f>
        <v>117312</v>
      </c>
      <c r="H322" s="32">
        <f t="shared" si="72"/>
        <v>117312</v>
      </c>
      <c r="I322" s="32">
        <f t="shared" si="73"/>
        <v>10042</v>
      </c>
      <c r="J322" s="32">
        <f t="shared" si="74"/>
        <v>0</v>
      </c>
      <c r="K322" s="32">
        <f t="shared" si="75"/>
        <v>0</v>
      </c>
      <c r="L322" s="32">
        <f t="shared" si="76"/>
        <v>107270</v>
      </c>
      <c r="M322" s="32">
        <f>IF(AND(AND(T321="",A322&lt;=S321),A322=入力!$B$15),ROUND(MIN(入力!$B$16,MAX(0,C322-L322)),0),0)</f>
        <v>0</v>
      </c>
      <c r="N322" s="32">
        <f t="shared" si="77"/>
        <v>4712994</v>
      </c>
      <c r="O322" s="32">
        <f t="shared" si="78"/>
        <v>10510998</v>
      </c>
      <c r="P322" s="34" t="str">
        <f>IF(NOT(AND(T321="",A322&lt;=S321)),"",IF(FALSE,"繰上返済後再計算","")&amp;IF(AND(入力!$B$13="有効",A322&gt;1,MOD(A322-1,60)=0),IF(FALSE,"・","")&amp;"5年見直し","")&amp;IF(AND(A322=入力!$B$11,A322&gt;1),IF(OR(FALSE,AND(入力!$B$13="有効",A322&gt;1,MOD(A322-1,60)=0)),"・","")&amp;"金利変更","")&amp;IF(AND(OR(AND(入力!$B$13="有効",A322&gt;1,MOD(A322-1,60)=0),AND(A322=入力!$B$11,A322&gt;1)),入力!$B$14="有効",IF(E322=0,ROUND(C322/MAX(1,S321-A322+1),0),ROUND(-PMT(E322/12,MAX(1,S321-A322+1),C322),0))&gt;ROUND(G321*1.25,0),NOT(FALSE)),"・上限適用",""))</f>
        <v/>
      </c>
      <c r="Q322" s="35" t="str">
        <f>IF(AND(T321="",A322&lt;=S321),入力!$B$13,"")</f>
        <v>有効</v>
      </c>
      <c r="R322" s="32" t="str">
        <f>IF(AND(AND(T321="",A322&lt;=S321),OR(AND(入力!$B$13="有効",A322&gt;1,MOD(A322-1,60)=0),AND(A322=入力!$B$11,A322&gt;1)),入力!$B$14="有効"),ROUND(G321*1.25,0),"")</f>
        <v/>
      </c>
      <c r="S322" s="36">
        <f>IF(A322&lt;&gt;入力!$B$15,S321,IF(K322&lt;&gt;0,S321,IF(G322&lt;=F322,S321,IF(M322&lt;=0,S321,IF(AND(N322&gt;0,E322&gt;0,G322&lt;=N322*E322/12),S321,IF(A322+IF(N322=0,0,IF(E322=0,ROUNDUP(N322/G322,0),ROUNDUP(NPER(E322/12,-G322,N322),0)))&lt;S321,A322+IF(N322=0,0,IF(E322=0,ROUNDUP(N322/G322,0),ROUNDUP(NPER(E322/12,-G322,N322),0))),S321))))))</f>
        <v>359</v>
      </c>
      <c r="T322" s="35" t="str">
        <f t="shared" si="79"/>
        <v/>
      </c>
      <c r="U322" s="3">
        <f t="shared" si="64"/>
        <v>0</v>
      </c>
      <c r="V322" s="3">
        <f t="shared" si="65"/>
        <v>0</v>
      </c>
      <c r="W322" s="3">
        <f t="shared" si="66"/>
        <v>0</v>
      </c>
      <c r="X322" s="3">
        <f t="shared" si="67"/>
        <v>0</v>
      </c>
      <c r="Y322" s="3">
        <f>0</f>
        <v>0</v>
      </c>
      <c r="Z322" s="3">
        <f t="shared" si="68"/>
        <v>0</v>
      </c>
      <c r="AA322">
        <f>ROUND(IF(FALSE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,0)</f>
        <v>117312</v>
      </c>
    </row>
    <row r="323" spans="1:27">
      <c r="A323" s="30">
        <f>318</f>
        <v>318</v>
      </c>
      <c r="B323" s="31">
        <f>EDATE(入力!$B$6,A323-1)</f>
        <v>55885</v>
      </c>
      <c r="C323" s="32">
        <f t="shared" si="69"/>
        <v>4712994</v>
      </c>
      <c r="D323" s="32">
        <f t="shared" si="70"/>
        <v>0</v>
      </c>
      <c r="E323" s="33">
        <f>IF(AND(T322="",A323&lt;=S322),IF(A323&lt;入力!$B$11,入力!$B$10,入力!$B$12),0)</f>
        <v>2.5000000000000001E-2</v>
      </c>
      <c r="F323" s="32">
        <f t="shared" si="71"/>
        <v>9819</v>
      </c>
      <c r="G323" s="32">
        <f>ROUND(IF(NOT(AND(T322="",A323&lt;=S322)),0,IF(FALSE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),0)</f>
        <v>117312</v>
      </c>
      <c r="H323" s="32">
        <f t="shared" si="72"/>
        <v>117312</v>
      </c>
      <c r="I323" s="32">
        <f t="shared" si="73"/>
        <v>9819</v>
      </c>
      <c r="J323" s="32">
        <f t="shared" si="74"/>
        <v>0</v>
      </c>
      <c r="K323" s="32">
        <f t="shared" si="75"/>
        <v>0</v>
      </c>
      <c r="L323" s="32">
        <f t="shared" si="76"/>
        <v>107493</v>
      </c>
      <c r="M323" s="32">
        <f>IF(AND(AND(T322="",A323&lt;=S322),A323=入力!$B$15),ROUND(MIN(入力!$B$16,MAX(0,C323-L323)),0),0)</f>
        <v>0</v>
      </c>
      <c r="N323" s="32">
        <f t="shared" si="77"/>
        <v>4605501</v>
      </c>
      <c r="O323" s="32">
        <f t="shared" si="78"/>
        <v>10520817</v>
      </c>
      <c r="P323" s="34" t="str">
        <f>IF(NOT(AND(T322="",A323&lt;=S322)),"",IF(FALSE,"繰上返済後再計算","")&amp;IF(AND(入力!$B$13="有効",A323&gt;1,MOD(A323-1,60)=0),IF(FALSE,"・","")&amp;"5年見直し","")&amp;IF(AND(A323=入力!$B$11,A323&gt;1),IF(OR(FALSE,AND(入力!$B$13="有効",A323&gt;1,MOD(A323-1,60)=0)),"・","")&amp;"金利変更","")&amp;IF(AND(OR(AND(入力!$B$13="有効",A323&gt;1,MOD(A323-1,60)=0),AND(A323=入力!$B$11,A323&gt;1)),入力!$B$14="有効",IF(E323=0,ROUND(C323/MAX(1,S322-A323+1),0),ROUND(-PMT(E323/12,MAX(1,S322-A323+1),C323),0))&gt;ROUND(G322*1.25,0),NOT(FALSE)),"・上限適用",""))</f>
        <v/>
      </c>
      <c r="Q323" s="35" t="str">
        <f>IF(AND(T322="",A323&lt;=S322),入力!$B$13,"")</f>
        <v>有効</v>
      </c>
      <c r="R323" s="32" t="str">
        <f>IF(AND(AND(T322="",A323&lt;=S322),OR(AND(入力!$B$13="有効",A323&gt;1,MOD(A323-1,60)=0),AND(A323=入力!$B$11,A323&gt;1)),入力!$B$14="有効"),ROUND(G322*1.25,0),"")</f>
        <v/>
      </c>
      <c r="S323" s="36">
        <f>IF(A323&lt;&gt;入力!$B$15,S322,IF(K323&lt;&gt;0,S322,IF(G323&lt;=F323,S322,IF(M323&lt;=0,S322,IF(AND(N323&gt;0,E323&gt;0,G323&lt;=N323*E323/12),S322,IF(A323+IF(N323=0,0,IF(E323=0,ROUNDUP(N323/G323,0),ROUNDUP(NPER(E323/12,-G323,N323),0)))&lt;S322,A323+IF(N323=0,0,IF(E323=0,ROUNDUP(N323/G323,0),ROUNDUP(NPER(E323/12,-G323,N323),0))),S322))))))</f>
        <v>359</v>
      </c>
      <c r="T323" s="35" t="str">
        <f t="shared" si="79"/>
        <v/>
      </c>
      <c r="U323" s="3">
        <f t="shared" si="64"/>
        <v>0</v>
      </c>
      <c r="V323" s="3">
        <f t="shared" si="65"/>
        <v>0</v>
      </c>
      <c r="W323" s="3">
        <f t="shared" si="66"/>
        <v>0</v>
      </c>
      <c r="X323" s="3">
        <f t="shared" si="67"/>
        <v>0</v>
      </c>
      <c r="Y323" s="3">
        <f>0</f>
        <v>0</v>
      </c>
      <c r="Z323" s="3">
        <f t="shared" si="68"/>
        <v>0</v>
      </c>
      <c r="AA323">
        <f>ROUND(IF(FALSE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,0)</f>
        <v>117312</v>
      </c>
    </row>
    <row r="324" spans="1:27">
      <c r="A324" s="30">
        <f>319</f>
        <v>319</v>
      </c>
      <c r="B324" s="31">
        <f>EDATE(入力!$B$6,A324-1)</f>
        <v>55916</v>
      </c>
      <c r="C324" s="32">
        <f t="shared" si="69"/>
        <v>4605501</v>
      </c>
      <c r="D324" s="32">
        <f t="shared" si="70"/>
        <v>0</v>
      </c>
      <c r="E324" s="33">
        <f>IF(AND(T323="",A324&lt;=S323),IF(A324&lt;入力!$B$11,入力!$B$10,入力!$B$12),0)</f>
        <v>2.5000000000000001E-2</v>
      </c>
      <c r="F324" s="32">
        <f t="shared" si="71"/>
        <v>9595</v>
      </c>
      <c r="G324" s="32">
        <f>ROUND(IF(NOT(AND(T323="",A324&lt;=S323)),0,IF(FALSE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),0)</f>
        <v>117312</v>
      </c>
      <c r="H324" s="32">
        <f t="shared" si="72"/>
        <v>117312</v>
      </c>
      <c r="I324" s="32">
        <f t="shared" si="73"/>
        <v>9595</v>
      </c>
      <c r="J324" s="32">
        <f t="shared" si="74"/>
        <v>0</v>
      </c>
      <c r="K324" s="32">
        <f t="shared" si="75"/>
        <v>0</v>
      </c>
      <c r="L324" s="32">
        <f t="shared" si="76"/>
        <v>107717</v>
      </c>
      <c r="M324" s="32">
        <f>IF(AND(AND(T323="",A324&lt;=S323),A324=入力!$B$15),ROUND(MIN(入力!$B$16,MAX(0,C324-L324)),0),0)</f>
        <v>0</v>
      </c>
      <c r="N324" s="32">
        <f t="shared" si="77"/>
        <v>4497784</v>
      </c>
      <c r="O324" s="32">
        <f t="shared" si="78"/>
        <v>10530412</v>
      </c>
      <c r="P324" s="34" t="str">
        <f>IF(NOT(AND(T323="",A324&lt;=S323)),"",IF(FALSE,"繰上返済後再計算","")&amp;IF(AND(入力!$B$13="有効",A324&gt;1,MOD(A324-1,60)=0),IF(FALSE,"・","")&amp;"5年見直し","")&amp;IF(AND(A324=入力!$B$11,A324&gt;1),IF(OR(FALSE,AND(入力!$B$13="有効",A324&gt;1,MOD(A324-1,60)=0)),"・","")&amp;"金利変更","")&amp;IF(AND(OR(AND(入力!$B$13="有効",A324&gt;1,MOD(A324-1,60)=0),AND(A324=入力!$B$11,A324&gt;1)),入力!$B$14="有効",IF(E324=0,ROUND(C324/MAX(1,S323-A324+1),0),ROUND(-PMT(E324/12,MAX(1,S323-A324+1),C324),0))&gt;ROUND(G323*1.25,0),NOT(FALSE)),"・上限適用",""))</f>
        <v/>
      </c>
      <c r="Q324" s="35" t="str">
        <f>IF(AND(T323="",A324&lt;=S323),入力!$B$13,"")</f>
        <v>有効</v>
      </c>
      <c r="R324" s="32" t="str">
        <f>IF(AND(AND(T323="",A324&lt;=S323),OR(AND(入力!$B$13="有効",A324&gt;1,MOD(A324-1,60)=0),AND(A324=入力!$B$11,A324&gt;1)),入力!$B$14="有効"),ROUND(G323*1.25,0),"")</f>
        <v/>
      </c>
      <c r="S324" s="36">
        <f>IF(A324&lt;&gt;入力!$B$15,S323,IF(K324&lt;&gt;0,S323,IF(G324&lt;=F324,S323,IF(M324&lt;=0,S323,IF(AND(N324&gt;0,E324&gt;0,G324&lt;=N324*E324/12),S323,IF(A324+IF(N324=0,0,IF(E324=0,ROUNDUP(N324/G324,0),ROUNDUP(NPER(E324/12,-G324,N324),0)))&lt;S323,A324+IF(N324=0,0,IF(E324=0,ROUNDUP(N324/G324,0),ROUNDUP(NPER(E324/12,-G324,N324),0))),S323))))))</f>
        <v>359</v>
      </c>
      <c r="T324" s="35" t="str">
        <f t="shared" si="79"/>
        <v/>
      </c>
      <c r="U324" s="3">
        <f t="shared" si="64"/>
        <v>0</v>
      </c>
      <c r="V324" s="3">
        <f t="shared" si="65"/>
        <v>0</v>
      </c>
      <c r="W324" s="3">
        <f t="shared" si="66"/>
        <v>0</v>
      </c>
      <c r="X324" s="3">
        <f t="shared" si="67"/>
        <v>0</v>
      </c>
      <c r="Y324" s="3">
        <f>0</f>
        <v>0</v>
      </c>
      <c r="Z324" s="3">
        <f t="shared" si="68"/>
        <v>0</v>
      </c>
      <c r="AA324">
        <f>ROUND(IF(FALSE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,0)</f>
        <v>117312</v>
      </c>
    </row>
    <row r="325" spans="1:27">
      <c r="A325" s="30">
        <f>320</f>
        <v>320</v>
      </c>
      <c r="B325" s="31">
        <f>EDATE(入力!$B$6,A325-1)</f>
        <v>55944</v>
      </c>
      <c r="C325" s="32">
        <f t="shared" si="69"/>
        <v>4497784</v>
      </c>
      <c r="D325" s="32">
        <f t="shared" si="70"/>
        <v>0</v>
      </c>
      <c r="E325" s="33">
        <f>IF(AND(T324="",A325&lt;=S324),IF(A325&lt;入力!$B$11,入力!$B$10,入力!$B$12),0)</f>
        <v>2.5000000000000001E-2</v>
      </c>
      <c r="F325" s="32">
        <f t="shared" si="71"/>
        <v>9370</v>
      </c>
      <c r="G325" s="32">
        <f>ROUND(IF(NOT(AND(T324="",A325&lt;=S324)),0,IF(FALSE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),0)</f>
        <v>117312</v>
      </c>
      <c r="H325" s="32">
        <f t="shared" si="72"/>
        <v>117312</v>
      </c>
      <c r="I325" s="32">
        <f t="shared" si="73"/>
        <v>9370</v>
      </c>
      <c r="J325" s="32">
        <f t="shared" si="74"/>
        <v>0</v>
      </c>
      <c r="K325" s="32">
        <f t="shared" si="75"/>
        <v>0</v>
      </c>
      <c r="L325" s="32">
        <f t="shared" si="76"/>
        <v>107942</v>
      </c>
      <c r="M325" s="32">
        <f>IF(AND(AND(T324="",A325&lt;=S324),A325=入力!$B$15),ROUND(MIN(入力!$B$16,MAX(0,C325-L325)),0),0)</f>
        <v>0</v>
      </c>
      <c r="N325" s="32">
        <f t="shared" si="77"/>
        <v>4389842</v>
      </c>
      <c r="O325" s="32">
        <f t="shared" si="78"/>
        <v>10539782</v>
      </c>
      <c r="P325" s="34" t="str">
        <f>IF(NOT(AND(T324="",A325&lt;=S324)),"",IF(FALSE,"繰上返済後再計算","")&amp;IF(AND(入力!$B$13="有効",A325&gt;1,MOD(A325-1,60)=0),IF(FALSE,"・","")&amp;"5年見直し","")&amp;IF(AND(A325=入力!$B$11,A325&gt;1),IF(OR(FALSE,AND(入力!$B$13="有効",A325&gt;1,MOD(A325-1,60)=0)),"・","")&amp;"金利変更","")&amp;IF(AND(OR(AND(入力!$B$13="有効",A325&gt;1,MOD(A325-1,60)=0),AND(A325=入力!$B$11,A325&gt;1)),入力!$B$14="有効",IF(E325=0,ROUND(C325/MAX(1,S324-A325+1),0),ROUND(-PMT(E325/12,MAX(1,S324-A325+1),C325),0))&gt;ROUND(G324*1.25,0),NOT(FALSE)),"・上限適用",""))</f>
        <v/>
      </c>
      <c r="Q325" s="35" t="str">
        <f>IF(AND(T324="",A325&lt;=S324),入力!$B$13,"")</f>
        <v>有効</v>
      </c>
      <c r="R325" s="32" t="str">
        <f>IF(AND(AND(T324="",A325&lt;=S324),OR(AND(入力!$B$13="有効",A325&gt;1,MOD(A325-1,60)=0),AND(A325=入力!$B$11,A325&gt;1)),入力!$B$14="有効"),ROUND(G324*1.25,0),"")</f>
        <v/>
      </c>
      <c r="S325" s="36">
        <f>IF(A325&lt;&gt;入力!$B$15,S324,IF(K325&lt;&gt;0,S324,IF(G325&lt;=F325,S324,IF(M325&lt;=0,S324,IF(AND(N325&gt;0,E325&gt;0,G325&lt;=N325*E325/12),S324,IF(A325+IF(N325=0,0,IF(E325=0,ROUNDUP(N325/G325,0),ROUNDUP(NPER(E325/12,-G325,N325),0)))&lt;S324,A325+IF(N325=0,0,IF(E325=0,ROUNDUP(N325/G325,0),ROUNDUP(NPER(E325/12,-G325,N325),0))),S324))))))</f>
        <v>359</v>
      </c>
      <c r="T325" s="35" t="str">
        <f t="shared" si="79"/>
        <v/>
      </c>
      <c r="U325" s="3">
        <f t="shared" si="64"/>
        <v>0</v>
      </c>
      <c r="V325" s="3">
        <f t="shared" si="65"/>
        <v>0</v>
      </c>
      <c r="W325" s="3">
        <f t="shared" si="66"/>
        <v>0</v>
      </c>
      <c r="X325" s="3">
        <f t="shared" si="67"/>
        <v>0</v>
      </c>
      <c r="Y325" s="3">
        <f>0</f>
        <v>0</v>
      </c>
      <c r="Z325" s="3">
        <f t="shared" si="68"/>
        <v>0</v>
      </c>
      <c r="AA325">
        <f>ROUND(IF(FALSE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,0)</f>
        <v>117312</v>
      </c>
    </row>
    <row r="326" spans="1:27">
      <c r="A326" s="30">
        <f>321</f>
        <v>321</v>
      </c>
      <c r="B326" s="31">
        <f>EDATE(入力!$B$6,A326-1)</f>
        <v>55975</v>
      </c>
      <c r="C326" s="32">
        <f t="shared" si="69"/>
        <v>4389842</v>
      </c>
      <c r="D326" s="32">
        <f t="shared" si="70"/>
        <v>0</v>
      </c>
      <c r="E326" s="33">
        <f>IF(AND(T325="",A326&lt;=S325),IF(A326&lt;入力!$B$11,入力!$B$10,入力!$B$12),0)</f>
        <v>2.5000000000000001E-2</v>
      </c>
      <c r="F326" s="32">
        <f t="shared" si="71"/>
        <v>9146</v>
      </c>
      <c r="G326" s="32">
        <f>ROUND(IF(NOT(AND(T325="",A326&lt;=S325)),0,IF(FALSE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),0)</f>
        <v>117312</v>
      </c>
      <c r="H326" s="32">
        <f t="shared" si="72"/>
        <v>117312</v>
      </c>
      <c r="I326" s="32">
        <f t="shared" si="73"/>
        <v>9146</v>
      </c>
      <c r="J326" s="32">
        <f t="shared" si="74"/>
        <v>0</v>
      </c>
      <c r="K326" s="32">
        <f t="shared" si="75"/>
        <v>0</v>
      </c>
      <c r="L326" s="32">
        <f t="shared" si="76"/>
        <v>108166</v>
      </c>
      <c r="M326" s="32">
        <f>IF(AND(AND(T325="",A326&lt;=S325),A326=入力!$B$15),ROUND(MIN(入力!$B$16,MAX(0,C326-L326)),0),0)</f>
        <v>0</v>
      </c>
      <c r="N326" s="32">
        <f t="shared" si="77"/>
        <v>4281676</v>
      </c>
      <c r="O326" s="32">
        <f t="shared" si="78"/>
        <v>10548928</v>
      </c>
      <c r="P326" s="34" t="str">
        <f>IF(NOT(AND(T325="",A326&lt;=S325)),"",IF(FALSE,"繰上返済後再計算","")&amp;IF(AND(入力!$B$13="有効",A326&gt;1,MOD(A326-1,60)=0),IF(FALSE,"・","")&amp;"5年見直し","")&amp;IF(AND(A326=入力!$B$11,A326&gt;1),IF(OR(FALSE,AND(入力!$B$13="有効",A326&gt;1,MOD(A326-1,60)=0)),"・","")&amp;"金利変更","")&amp;IF(AND(OR(AND(入力!$B$13="有効",A326&gt;1,MOD(A326-1,60)=0),AND(A326=入力!$B$11,A326&gt;1)),入力!$B$14="有効",IF(E326=0,ROUND(C326/MAX(1,S325-A326+1),0),ROUND(-PMT(E326/12,MAX(1,S325-A326+1),C326),0))&gt;ROUND(G325*1.25,0),NOT(FALSE)),"・上限適用",""))</f>
        <v/>
      </c>
      <c r="Q326" s="35" t="str">
        <f>IF(AND(T325="",A326&lt;=S325),入力!$B$13,"")</f>
        <v>有効</v>
      </c>
      <c r="R326" s="32" t="str">
        <f>IF(AND(AND(T325="",A326&lt;=S325),OR(AND(入力!$B$13="有効",A326&gt;1,MOD(A326-1,60)=0),AND(A326=入力!$B$11,A326&gt;1)),入力!$B$14="有効"),ROUND(G325*1.25,0),"")</f>
        <v/>
      </c>
      <c r="S326" s="36">
        <f>IF(A326&lt;&gt;入力!$B$15,S325,IF(K326&lt;&gt;0,S325,IF(G326&lt;=F326,S325,IF(M326&lt;=0,S325,IF(AND(N326&gt;0,E326&gt;0,G326&lt;=N326*E326/12),S325,IF(A326+IF(N326=0,0,IF(E326=0,ROUNDUP(N326/G326,0),ROUNDUP(NPER(E326/12,-G326,N326),0)))&lt;S325,A326+IF(N326=0,0,IF(E326=0,ROUNDUP(N326/G326,0),ROUNDUP(NPER(E326/12,-G326,N326),0))),S325))))))</f>
        <v>359</v>
      </c>
      <c r="T326" s="35" t="str">
        <f t="shared" si="79"/>
        <v/>
      </c>
      <c r="U326" s="3">
        <f t="shared" ref="U326:U389" si="80">ABS(I326-MIN(H326,D326+F326))</f>
        <v>0</v>
      </c>
      <c r="V326" s="3">
        <f t="shared" ref="V326:V389" si="81">ABS(L326-(H326-I326))</f>
        <v>0</v>
      </c>
      <c r="W326" s="3">
        <f t="shared" ref="W326:W389" si="82">ABS(K326-(D326+J326))</f>
        <v>0</v>
      </c>
      <c r="X326" s="3">
        <f t="shared" ref="X326:X389" si="83">ABS(F326-ROUND(F326,0))+ABS(G326-ROUND(G326,0))+ABS(H326-ROUND(H326,0))+ABS(I326-ROUND(I326,0))+ABS(J326-ROUND(J326,0))+ABS(K326-ROUND(K326,0))+ABS(L326-ROUND(L326,0))+ABS(M326-ROUND(M326,0))+ABS(N326-ROUND(N326,0))+ABS(O326-ROUND(O326,0))</f>
        <v>0</v>
      </c>
      <c r="Y326" s="3">
        <f>0</f>
        <v>0</v>
      </c>
      <c r="Z326" s="3">
        <f t="shared" ref="Z326:Z389" si="84">SUM(--ISERROR(A326),--ISERROR(B326),--ISERROR(C326),--ISERROR(D326),--ISERROR(E326),--ISERROR(F326),--ISERROR(G326),--ISERROR(H326),--ISERROR(I326),--ISERROR(J326),--ISERROR(K326),--ISERROR(L326),--ISERROR(M326),--ISERROR(N326),--ISERROR(O326),--ISERROR(P326),--ISERROR(Q326),--ISERROR(R326),--ISERROR(S326),--ISERROR(T326))</f>
        <v>0</v>
      </c>
      <c r="AA326">
        <f>ROUND(IF(FALSE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,0)</f>
        <v>117312</v>
      </c>
    </row>
    <row r="327" spans="1:27">
      <c r="A327" s="30">
        <f>322</f>
        <v>322</v>
      </c>
      <c r="B327" s="31">
        <f>EDATE(入力!$B$6,A327-1)</f>
        <v>56005</v>
      </c>
      <c r="C327" s="32">
        <f t="shared" ref="C327:C390" si="85">IF(AND(T326="",A327&lt;=S326),N326,0)</f>
        <v>4281676</v>
      </c>
      <c r="D327" s="32">
        <f t="shared" ref="D327:D390" si="86">IF(AND(T326="",A327&lt;=S326),K326,0)</f>
        <v>0</v>
      </c>
      <c r="E327" s="33">
        <f>IF(AND(T326="",A327&lt;=S326),IF(A327&lt;入力!$B$11,入力!$B$10,入力!$B$12),0)</f>
        <v>2.5000000000000001E-2</v>
      </c>
      <c r="F327" s="32">
        <f t="shared" ref="F327:F390" si="87">IF(AND(T326="",A327&lt;=S326),ROUND(C327*E327/12,0),0)</f>
        <v>8920</v>
      </c>
      <c r="G327" s="32">
        <f>ROUND(IF(NOT(AND(T326="",A327&lt;=S326)),0,IF(FALSE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),0)</f>
        <v>117312</v>
      </c>
      <c r="H327" s="32">
        <f t="shared" ref="H327:H390" si="88">IF(AND(T326="",A327&lt;=S326),ROUND(MIN(G327,C327+D327+F327),0),0)</f>
        <v>117312</v>
      </c>
      <c r="I327" s="32">
        <f t="shared" ref="I327:I390" si="89">IF(AND(T326="",A327&lt;=S326),ROUND(MIN(H327,D327+F327),0),0)</f>
        <v>8920</v>
      </c>
      <c r="J327" s="32">
        <f t="shared" ref="J327:J390" si="90">IF(AND(T326="",A327&lt;=S326),ROUND(F327-I327,0),0)</f>
        <v>0</v>
      </c>
      <c r="K327" s="32">
        <f t="shared" ref="K327:K390" si="91">IF(AND(T326="",A327&lt;=S326),ROUND(D327+J327,0),0)</f>
        <v>0</v>
      </c>
      <c r="L327" s="32">
        <f t="shared" ref="L327:L390" si="92">IF(AND(T326="",A327&lt;=S326),ROUND(H327-I327,0),0)</f>
        <v>108392</v>
      </c>
      <c r="M327" s="32">
        <f>IF(AND(AND(T326="",A327&lt;=S326),A327=入力!$B$15),ROUND(MIN(入力!$B$16,MAX(0,C327-L327)),0),0)</f>
        <v>0</v>
      </c>
      <c r="N327" s="32">
        <f t="shared" ref="N327:N390" si="93">IF(AND(T326="",A327&lt;=S326),ROUND(MAX(0,C327-L327-M327),0),0)</f>
        <v>4173284</v>
      </c>
      <c r="O327" s="32">
        <f t="shared" ref="O327:O390" si="94">IF(AND(T326="",A327&lt;=S326),ROUND(O326+F327,0),O326)</f>
        <v>10557848</v>
      </c>
      <c r="P327" s="34" t="str">
        <f>IF(NOT(AND(T326="",A327&lt;=S326)),"",IF(FALSE,"繰上返済後再計算","")&amp;IF(AND(入力!$B$13="有効",A327&gt;1,MOD(A327-1,60)=0),IF(FALSE,"・","")&amp;"5年見直し","")&amp;IF(AND(A327=入力!$B$11,A327&gt;1),IF(OR(FALSE,AND(入力!$B$13="有効",A327&gt;1,MOD(A327-1,60)=0)),"・","")&amp;"金利変更","")&amp;IF(AND(OR(AND(入力!$B$13="有効",A327&gt;1,MOD(A327-1,60)=0),AND(A327=入力!$B$11,A327&gt;1)),入力!$B$14="有効",IF(E327=0,ROUND(C327/MAX(1,S326-A327+1),0),ROUND(-PMT(E327/12,MAX(1,S326-A327+1),C327),0))&gt;ROUND(G326*1.25,0),NOT(FALSE)),"・上限適用",""))</f>
        <v/>
      </c>
      <c r="Q327" s="35" t="str">
        <f>IF(AND(T326="",A327&lt;=S326),入力!$B$13,"")</f>
        <v>有効</v>
      </c>
      <c r="R327" s="32" t="str">
        <f>IF(AND(AND(T326="",A327&lt;=S326),OR(AND(入力!$B$13="有効",A327&gt;1,MOD(A327-1,60)=0),AND(A327=入力!$B$11,A327&gt;1)),入力!$B$14="有効"),ROUND(G326*1.25,0),"")</f>
        <v/>
      </c>
      <c r="S327" s="36">
        <f>IF(A327&lt;&gt;入力!$B$15,S326,IF(K327&lt;&gt;0,S326,IF(G327&lt;=F327,S326,IF(M327&lt;=0,S326,IF(AND(N327&gt;0,E327&gt;0,G327&lt;=N327*E327/12),S326,IF(A327+IF(N327=0,0,IF(E327=0,ROUNDUP(N327/G327,0),ROUNDUP(NPER(E327/12,-G327,N327),0)))&lt;S326,A327+IF(N327=0,0,IF(E327=0,ROUNDUP(N327/G327,0),ROUNDUP(NPER(E327/12,-G327,N327),0))),S326))))))</f>
        <v>359</v>
      </c>
      <c r="T327" s="35" t="str">
        <f t="shared" ref="T327:T390" si="95">IF(NOT(AND(T326="",A327&lt;=S326)),"",IF(AND(N327=0,K327=0),"完済",IF(A327=S327,"最終回清算","")))</f>
        <v/>
      </c>
      <c r="U327" s="3">
        <f t="shared" si="80"/>
        <v>0</v>
      </c>
      <c r="V327" s="3">
        <f t="shared" si="81"/>
        <v>0</v>
      </c>
      <c r="W327" s="3">
        <f t="shared" si="82"/>
        <v>0</v>
      </c>
      <c r="X327" s="3">
        <f t="shared" si="83"/>
        <v>0</v>
      </c>
      <c r="Y327" s="3">
        <f>0</f>
        <v>0</v>
      </c>
      <c r="Z327" s="3">
        <f t="shared" si="84"/>
        <v>0</v>
      </c>
      <c r="AA327">
        <f>ROUND(IF(FALSE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,0)</f>
        <v>117312</v>
      </c>
    </row>
    <row r="328" spans="1:27">
      <c r="A328" s="30">
        <f>323</f>
        <v>323</v>
      </c>
      <c r="B328" s="31">
        <f>EDATE(入力!$B$6,A328-1)</f>
        <v>56036</v>
      </c>
      <c r="C328" s="32">
        <f t="shared" si="85"/>
        <v>4173284</v>
      </c>
      <c r="D328" s="32">
        <f t="shared" si="86"/>
        <v>0</v>
      </c>
      <c r="E328" s="33">
        <f>IF(AND(T327="",A328&lt;=S327),IF(A328&lt;入力!$B$11,入力!$B$10,入力!$B$12),0)</f>
        <v>2.5000000000000001E-2</v>
      </c>
      <c r="F328" s="32">
        <f t="shared" si="87"/>
        <v>8694</v>
      </c>
      <c r="G328" s="32">
        <f>ROUND(IF(NOT(AND(T327="",A328&lt;=S327)),0,IF(FALSE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),0)</f>
        <v>117312</v>
      </c>
      <c r="H328" s="32">
        <f t="shared" si="88"/>
        <v>117312</v>
      </c>
      <c r="I328" s="32">
        <f t="shared" si="89"/>
        <v>8694</v>
      </c>
      <c r="J328" s="32">
        <f t="shared" si="90"/>
        <v>0</v>
      </c>
      <c r="K328" s="32">
        <f t="shared" si="91"/>
        <v>0</v>
      </c>
      <c r="L328" s="32">
        <f t="shared" si="92"/>
        <v>108618</v>
      </c>
      <c r="M328" s="32">
        <f>IF(AND(AND(T327="",A328&lt;=S327),A328=入力!$B$15),ROUND(MIN(入力!$B$16,MAX(0,C328-L328)),0),0)</f>
        <v>0</v>
      </c>
      <c r="N328" s="32">
        <f t="shared" si="93"/>
        <v>4064666</v>
      </c>
      <c r="O328" s="32">
        <f t="shared" si="94"/>
        <v>10566542</v>
      </c>
      <c r="P328" s="34" t="str">
        <f>IF(NOT(AND(T327="",A328&lt;=S327)),"",IF(FALSE,"繰上返済後再計算","")&amp;IF(AND(入力!$B$13="有効",A328&gt;1,MOD(A328-1,60)=0),IF(FALSE,"・","")&amp;"5年見直し","")&amp;IF(AND(A328=入力!$B$11,A328&gt;1),IF(OR(FALSE,AND(入力!$B$13="有効",A328&gt;1,MOD(A328-1,60)=0)),"・","")&amp;"金利変更","")&amp;IF(AND(OR(AND(入力!$B$13="有効",A328&gt;1,MOD(A328-1,60)=0),AND(A328=入力!$B$11,A328&gt;1)),入力!$B$14="有効",IF(E328=0,ROUND(C328/MAX(1,S327-A328+1),0),ROUND(-PMT(E328/12,MAX(1,S327-A328+1),C328),0))&gt;ROUND(G327*1.25,0),NOT(FALSE)),"・上限適用",""))</f>
        <v/>
      </c>
      <c r="Q328" s="35" t="str">
        <f>IF(AND(T327="",A328&lt;=S327),入力!$B$13,"")</f>
        <v>有効</v>
      </c>
      <c r="R328" s="32" t="str">
        <f>IF(AND(AND(T327="",A328&lt;=S327),OR(AND(入力!$B$13="有効",A328&gt;1,MOD(A328-1,60)=0),AND(A328=入力!$B$11,A328&gt;1)),入力!$B$14="有効"),ROUND(G327*1.25,0),"")</f>
        <v/>
      </c>
      <c r="S328" s="36">
        <f>IF(A328&lt;&gt;入力!$B$15,S327,IF(K328&lt;&gt;0,S327,IF(G328&lt;=F328,S327,IF(M328&lt;=0,S327,IF(AND(N328&gt;0,E328&gt;0,G328&lt;=N328*E328/12),S327,IF(A328+IF(N328=0,0,IF(E328=0,ROUNDUP(N328/G328,0),ROUNDUP(NPER(E328/12,-G328,N328),0)))&lt;S327,A328+IF(N328=0,0,IF(E328=0,ROUNDUP(N328/G328,0),ROUNDUP(NPER(E328/12,-G328,N328),0))),S327))))))</f>
        <v>359</v>
      </c>
      <c r="T328" s="35" t="str">
        <f t="shared" si="95"/>
        <v/>
      </c>
      <c r="U328" s="3">
        <f t="shared" si="80"/>
        <v>0</v>
      </c>
      <c r="V328" s="3">
        <f t="shared" si="81"/>
        <v>0</v>
      </c>
      <c r="W328" s="3">
        <f t="shared" si="82"/>
        <v>0</v>
      </c>
      <c r="X328" s="3">
        <f t="shared" si="83"/>
        <v>0</v>
      </c>
      <c r="Y328" s="3">
        <f>0</f>
        <v>0</v>
      </c>
      <c r="Z328" s="3">
        <f t="shared" si="84"/>
        <v>0</v>
      </c>
      <c r="AA328">
        <f>ROUND(IF(FALSE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,0)</f>
        <v>117312</v>
      </c>
    </row>
    <row r="329" spans="1:27">
      <c r="A329" s="30">
        <f>324</f>
        <v>324</v>
      </c>
      <c r="B329" s="31">
        <f>EDATE(入力!$B$6,A329-1)</f>
        <v>56066</v>
      </c>
      <c r="C329" s="32">
        <f t="shared" si="85"/>
        <v>4064666</v>
      </c>
      <c r="D329" s="32">
        <f t="shared" si="86"/>
        <v>0</v>
      </c>
      <c r="E329" s="33">
        <f>IF(AND(T328="",A329&lt;=S328),IF(A329&lt;入力!$B$11,入力!$B$10,入力!$B$12),0)</f>
        <v>2.5000000000000001E-2</v>
      </c>
      <c r="F329" s="32">
        <f t="shared" si="87"/>
        <v>8468</v>
      </c>
      <c r="G329" s="32">
        <f>ROUND(IF(NOT(AND(T328="",A329&lt;=S328)),0,IF(FALSE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),0)</f>
        <v>117312</v>
      </c>
      <c r="H329" s="32">
        <f t="shared" si="88"/>
        <v>117312</v>
      </c>
      <c r="I329" s="32">
        <f t="shared" si="89"/>
        <v>8468</v>
      </c>
      <c r="J329" s="32">
        <f t="shared" si="90"/>
        <v>0</v>
      </c>
      <c r="K329" s="32">
        <f t="shared" si="91"/>
        <v>0</v>
      </c>
      <c r="L329" s="32">
        <f t="shared" si="92"/>
        <v>108844</v>
      </c>
      <c r="M329" s="32">
        <f>IF(AND(AND(T328="",A329&lt;=S328),A329=入力!$B$15),ROUND(MIN(入力!$B$16,MAX(0,C329-L329)),0),0)</f>
        <v>0</v>
      </c>
      <c r="N329" s="32">
        <f t="shared" si="93"/>
        <v>3955822</v>
      </c>
      <c r="O329" s="32">
        <f t="shared" si="94"/>
        <v>10575010</v>
      </c>
      <c r="P329" s="34" t="str">
        <f>IF(NOT(AND(T328="",A329&lt;=S328)),"",IF(FALSE,"繰上返済後再計算","")&amp;IF(AND(入力!$B$13="有効",A329&gt;1,MOD(A329-1,60)=0),IF(FALSE,"・","")&amp;"5年見直し","")&amp;IF(AND(A329=入力!$B$11,A329&gt;1),IF(OR(FALSE,AND(入力!$B$13="有効",A329&gt;1,MOD(A329-1,60)=0)),"・","")&amp;"金利変更","")&amp;IF(AND(OR(AND(入力!$B$13="有効",A329&gt;1,MOD(A329-1,60)=0),AND(A329=入力!$B$11,A329&gt;1)),入力!$B$14="有効",IF(E329=0,ROUND(C329/MAX(1,S328-A329+1),0),ROUND(-PMT(E329/12,MAX(1,S328-A329+1),C329),0))&gt;ROUND(G328*1.25,0),NOT(FALSE)),"・上限適用",""))</f>
        <v/>
      </c>
      <c r="Q329" s="35" t="str">
        <f>IF(AND(T328="",A329&lt;=S328),入力!$B$13,"")</f>
        <v>有効</v>
      </c>
      <c r="R329" s="32" t="str">
        <f>IF(AND(AND(T328="",A329&lt;=S328),OR(AND(入力!$B$13="有効",A329&gt;1,MOD(A329-1,60)=0),AND(A329=入力!$B$11,A329&gt;1)),入力!$B$14="有効"),ROUND(G328*1.25,0),"")</f>
        <v/>
      </c>
      <c r="S329" s="36">
        <f>IF(A329&lt;&gt;入力!$B$15,S328,IF(K329&lt;&gt;0,S328,IF(G329&lt;=F329,S328,IF(M329&lt;=0,S328,IF(AND(N329&gt;0,E329&gt;0,G329&lt;=N329*E329/12),S328,IF(A329+IF(N329=0,0,IF(E329=0,ROUNDUP(N329/G329,0),ROUNDUP(NPER(E329/12,-G329,N329),0)))&lt;S328,A329+IF(N329=0,0,IF(E329=0,ROUNDUP(N329/G329,0),ROUNDUP(NPER(E329/12,-G329,N329),0))),S328))))))</f>
        <v>359</v>
      </c>
      <c r="T329" s="35" t="str">
        <f t="shared" si="95"/>
        <v/>
      </c>
      <c r="U329" s="3">
        <f t="shared" si="80"/>
        <v>0</v>
      </c>
      <c r="V329" s="3">
        <f t="shared" si="81"/>
        <v>0</v>
      </c>
      <c r="W329" s="3">
        <f t="shared" si="82"/>
        <v>0</v>
      </c>
      <c r="X329" s="3">
        <f t="shared" si="83"/>
        <v>0</v>
      </c>
      <c r="Y329" s="3">
        <f>0</f>
        <v>0</v>
      </c>
      <c r="Z329" s="3">
        <f t="shared" si="84"/>
        <v>0</v>
      </c>
      <c r="AA329">
        <f>ROUND(IF(FALSE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,0)</f>
        <v>117312</v>
      </c>
    </row>
    <row r="330" spans="1:27">
      <c r="A330" s="30">
        <f>325</f>
        <v>325</v>
      </c>
      <c r="B330" s="31">
        <f>EDATE(入力!$B$6,A330-1)</f>
        <v>56097</v>
      </c>
      <c r="C330" s="32">
        <f t="shared" si="85"/>
        <v>3955822</v>
      </c>
      <c r="D330" s="32">
        <f t="shared" si="86"/>
        <v>0</v>
      </c>
      <c r="E330" s="33">
        <f>IF(AND(T329="",A330&lt;=S329),IF(A330&lt;入力!$B$11,入力!$B$10,入力!$B$12),0)</f>
        <v>2.5000000000000001E-2</v>
      </c>
      <c r="F330" s="32">
        <f t="shared" si="87"/>
        <v>8241</v>
      </c>
      <c r="G330" s="32">
        <f>ROUND(IF(NOT(AND(T329="",A330&lt;=S329)),0,IF(FALSE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),0)</f>
        <v>117312</v>
      </c>
      <c r="H330" s="32">
        <f t="shared" si="88"/>
        <v>117312</v>
      </c>
      <c r="I330" s="32">
        <f t="shared" si="89"/>
        <v>8241</v>
      </c>
      <c r="J330" s="32">
        <f t="shared" si="90"/>
        <v>0</v>
      </c>
      <c r="K330" s="32">
        <f t="shared" si="91"/>
        <v>0</v>
      </c>
      <c r="L330" s="32">
        <f t="shared" si="92"/>
        <v>109071</v>
      </c>
      <c r="M330" s="32">
        <f>IF(AND(AND(T329="",A330&lt;=S329),A330=入力!$B$15),ROUND(MIN(入力!$B$16,MAX(0,C330-L330)),0),0)</f>
        <v>0</v>
      </c>
      <c r="N330" s="32">
        <f t="shared" si="93"/>
        <v>3846751</v>
      </c>
      <c r="O330" s="32">
        <f t="shared" si="94"/>
        <v>10583251</v>
      </c>
      <c r="P330" s="34" t="str">
        <f>IF(NOT(AND(T329="",A330&lt;=S329)),"",IF(FALSE,"繰上返済後再計算","")&amp;IF(AND(入力!$B$13="有効",A330&gt;1,MOD(A330-1,60)=0),IF(FALSE,"・","")&amp;"5年見直し","")&amp;IF(AND(A330=入力!$B$11,A330&gt;1),IF(OR(FALSE,AND(入力!$B$13="有効",A330&gt;1,MOD(A330-1,60)=0)),"・","")&amp;"金利変更","")&amp;IF(AND(OR(AND(入力!$B$13="有効",A330&gt;1,MOD(A330-1,60)=0),AND(A330=入力!$B$11,A330&gt;1)),入力!$B$14="有効",IF(E330=0,ROUND(C330/MAX(1,S329-A330+1),0),ROUND(-PMT(E330/12,MAX(1,S329-A330+1),C330),0))&gt;ROUND(G329*1.25,0),NOT(FALSE)),"・上限適用",""))</f>
        <v/>
      </c>
      <c r="Q330" s="35" t="str">
        <f>IF(AND(T329="",A330&lt;=S329),入力!$B$13,"")</f>
        <v>有効</v>
      </c>
      <c r="R330" s="32" t="str">
        <f>IF(AND(AND(T329="",A330&lt;=S329),OR(AND(入力!$B$13="有効",A330&gt;1,MOD(A330-1,60)=0),AND(A330=入力!$B$11,A330&gt;1)),入力!$B$14="有効"),ROUND(G329*1.25,0),"")</f>
        <v/>
      </c>
      <c r="S330" s="36">
        <f>IF(A330&lt;&gt;入力!$B$15,S329,IF(K330&lt;&gt;0,S329,IF(G330&lt;=F330,S329,IF(M330&lt;=0,S329,IF(AND(N330&gt;0,E330&gt;0,G330&lt;=N330*E330/12),S329,IF(A330+IF(N330=0,0,IF(E330=0,ROUNDUP(N330/G330,0),ROUNDUP(NPER(E330/12,-G330,N330),0)))&lt;S329,A330+IF(N330=0,0,IF(E330=0,ROUNDUP(N330/G330,0),ROUNDUP(NPER(E330/12,-G330,N330),0))),S329))))))</f>
        <v>359</v>
      </c>
      <c r="T330" s="35" t="str">
        <f t="shared" si="95"/>
        <v/>
      </c>
      <c r="U330" s="3">
        <f t="shared" si="80"/>
        <v>0</v>
      </c>
      <c r="V330" s="3">
        <f t="shared" si="81"/>
        <v>0</v>
      </c>
      <c r="W330" s="3">
        <f t="shared" si="82"/>
        <v>0</v>
      </c>
      <c r="X330" s="3">
        <f t="shared" si="83"/>
        <v>0</v>
      </c>
      <c r="Y330" s="3">
        <f>0</f>
        <v>0</v>
      </c>
      <c r="Z330" s="3">
        <f t="shared" si="84"/>
        <v>0</v>
      </c>
      <c r="AA330">
        <f>ROUND(IF(FALSE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,0)</f>
        <v>117312</v>
      </c>
    </row>
    <row r="331" spans="1:27">
      <c r="A331" s="30">
        <f>326</f>
        <v>326</v>
      </c>
      <c r="B331" s="31">
        <f>EDATE(入力!$B$6,A331-1)</f>
        <v>56128</v>
      </c>
      <c r="C331" s="32">
        <f t="shared" si="85"/>
        <v>3846751</v>
      </c>
      <c r="D331" s="32">
        <f t="shared" si="86"/>
        <v>0</v>
      </c>
      <c r="E331" s="33">
        <f>IF(AND(T330="",A331&lt;=S330),IF(A331&lt;入力!$B$11,入力!$B$10,入力!$B$12),0)</f>
        <v>2.5000000000000001E-2</v>
      </c>
      <c r="F331" s="32">
        <f t="shared" si="87"/>
        <v>8014</v>
      </c>
      <c r="G331" s="32">
        <f>ROUND(IF(NOT(AND(T330="",A331&lt;=S330)),0,IF(FALSE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),0)</f>
        <v>117312</v>
      </c>
      <c r="H331" s="32">
        <f t="shared" si="88"/>
        <v>117312</v>
      </c>
      <c r="I331" s="32">
        <f t="shared" si="89"/>
        <v>8014</v>
      </c>
      <c r="J331" s="32">
        <f t="shared" si="90"/>
        <v>0</v>
      </c>
      <c r="K331" s="32">
        <f t="shared" si="91"/>
        <v>0</v>
      </c>
      <c r="L331" s="32">
        <f t="shared" si="92"/>
        <v>109298</v>
      </c>
      <c r="M331" s="32">
        <f>IF(AND(AND(T330="",A331&lt;=S330),A331=入力!$B$15),ROUND(MIN(入力!$B$16,MAX(0,C331-L331)),0),0)</f>
        <v>0</v>
      </c>
      <c r="N331" s="32">
        <f t="shared" si="93"/>
        <v>3737453</v>
      </c>
      <c r="O331" s="32">
        <f t="shared" si="94"/>
        <v>10591265</v>
      </c>
      <c r="P331" s="34" t="str">
        <f>IF(NOT(AND(T330="",A331&lt;=S330)),"",IF(FALSE,"繰上返済後再計算","")&amp;IF(AND(入力!$B$13="有効",A331&gt;1,MOD(A331-1,60)=0),IF(FALSE,"・","")&amp;"5年見直し","")&amp;IF(AND(A331=入力!$B$11,A331&gt;1),IF(OR(FALSE,AND(入力!$B$13="有効",A331&gt;1,MOD(A331-1,60)=0)),"・","")&amp;"金利変更","")&amp;IF(AND(OR(AND(入力!$B$13="有効",A331&gt;1,MOD(A331-1,60)=0),AND(A331=入力!$B$11,A331&gt;1)),入力!$B$14="有効",IF(E331=0,ROUND(C331/MAX(1,S330-A331+1),0),ROUND(-PMT(E331/12,MAX(1,S330-A331+1),C331),0))&gt;ROUND(G330*1.25,0),NOT(FALSE)),"・上限適用",""))</f>
        <v/>
      </c>
      <c r="Q331" s="35" t="str">
        <f>IF(AND(T330="",A331&lt;=S330),入力!$B$13,"")</f>
        <v>有効</v>
      </c>
      <c r="R331" s="32" t="str">
        <f>IF(AND(AND(T330="",A331&lt;=S330),OR(AND(入力!$B$13="有効",A331&gt;1,MOD(A331-1,60)=0),AND(A331=入力!$B$11,A331&gt;1)),入力!$B$14="有効"),ROUND(G330*1.25,0),"")</f>
        <v/>
      </c>
      <c r="S331" s="36">
        <f>IF(A331&lt;&gt;入力!$B$15,S330,IF(K331&lt;&gt;0,S330,IF(G331&lt;=F331,S330,IF(M331&lt;=0,S330,IF(AND(N331&gt;0,E331&gt;0,G331&lt;=N331*E331/12),S330,IF(A331+IF(N331=0,0,IF(E331=0,ROUNDUP(N331/G331,0),ROUNDUP(NPER(E331/12,-G331,N331),0)))&lt;S330,A331+IF(N331=0,0,IF(E331=0,ROUNDUP(N331/G331,0),ROUNDUP(NPER(E331/12,-G331,N331),0))),S330))))))</f>
        <v>359</v>
      </c>
      <c r="T331" s="35" t="str">
        <f t="shared" si="95"/>
        <v/>
      </c>
      <c r="U331" s="3">
        <f t="shared" si="80"/>
        <v>0</v>
      </c>
      <c r="V331" s="3">
        <f t="shared" si="81"/>
        <v>0</v>
      </c>
      <c r="W331" s="3">
        <f t="shared" si="82"/>
        <v>0</v>
      </c>
      <c r="X331" s="3">
        <f t="shared" si="83"/>
        <v>0</v>
      </c>
      <c r="Y331" s="3">
        <f>0</f>
        <v>0</v>
      </c>
      <c r="Z331" s="3">
        <f t="shared" si="84"/>
        <v>0</v>
      </c>
      <c r="AA331">
        <f>ROUND(IF(FALSE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,0)</f>
        <v>117312</v>
      </c>
    </row>
    <row r="332" spans="1:27">
      <c r="A332" s="30">
        <f>327</f>
        <v>327</v>
      </c>
      <c r="B332" s="31">
        <f>EDATE(入力!$B$6,A332-1)</f>
        <v>56158</v>
      </c>
      <c r="C332" s="32">
        <f t="shared" si="85"/>
        <v>3737453</v>
      </c>
      <c r="D332" s="32">
        <f t="shared" si="86"/>
        <v>0</v>
      </c>
      <c r="E332" s="33">
        <f>IF(AND(T331="",A332&lt;=S331),IF(A332&lt;入力!$B$11,入力!$B$10,入力!$B$12),0)</f>
        <v>2.5000000000000001E-2</v>
      </c>
      <c r="F332" s="32">
        <f t="shared" si="87"/>
        <v>7786</v>
      </c>
      <c r="G332" s="32">
        <f>ROUND(IF(NOT(AND(T331="",A332&lt;=S331)),0,IF(FALSE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),0)</f>
        <v>117312</v>
      </c>
      <c r="H332" s="32">
        <f t="shared" si="88"/>
        <v>117312</v>
      </c>
      <c r="I332" s="32">
        <f t="shared" si="89"/>
        <v>7786</v>
      </c>
      <c r="J332" s="32">
        <f t="shared" si="90"/>
        <v>0</v>
      </c>
      <c r="K332" s="32">
        <f t="shared" si="91"/>
        <v>0</v>
      </c>
      <c r="L332" s="32">
        <f t="shared" si="92"/>
        <v>109526</v>
      </c>
      <c r="M332" s="32">
        <f>IF(AND(AND(T331="",A332&lt;=S331),A332=入力!$B$15),ROUND(MIN(入力!$B$16,MAX(0,C332-L332)),0),0)</f>
        <v>0</v>
      </c>
      <c r="N332" s="32">
        <f t="shared" si="93"/>
        <v>3627927</v>
      </c>
      <c r="O332" s="32">
        <f t="shared" si="94"/>
        <v>10599051</v>
      </c>
      <c r="P332" s="34" t="str">
        <f>IF(NOT(AND(T331="",A332&lt;=S331)),"",IF(FALSE,"繰上返済後再計算","")&amp;IF(AND(入力!$B$13="有効",A332&gt;1,MOD(A332-1,60)=0),IF(FALSE,"・","")&amp;"5年見直し","")&amp;IF(AND(A332=入力!$B$11,A332&gt;1),IF(OR(FALSE,AND(入力!$B$13="有効",A332&gt;1,MOD(A332-1,60)=0)),"・","")&amp;"金利変更","")&amp;IF(AND(OR(AND(入力!$B$13="有効",A332&gt;1,MOD(A332-1,60)=0),AND(A332=入力!$B$11,A332&gt;1)),入力!$B$14="有効",IF(E332=0,ROUND(C332/MAX(1,S331-A332+1),0),ROUND(-PMT(E332/12,MAX(1,S331-A332+1),C332),0))&gt;ROUND(G331*1.25,0),NOT(FALSE)),"・上限適用",""))</f>
        <v/>
      </c>
      <c r="Q332" s="35" t="str">
        <f>IF(AND(T331="",A332&lt;=S331),入力!$B$13,"")</f>
        <v>有効</v>
      </c>
      <c r="R332" s="32" t="str">
        <f>IF(AND(AND(T331="",A332&lt;=S331),OR(AND(入力!$B$13="有効",A332&gt;1,MOD(A332-1,60)=0),AND(A332=入力!$B$11,A332&gt;1)),入力!$B$14="有効"),ROUND(G331*1.25,0),"")</f>
        <v/>
      </c>
      <c r="S332" s="36">
        <f>IF(A332&lt;&gt;入力!$B$15,S331,IF(K332&lt;&gt;0,S331,IF(G332&lt;=F332,S331,IF(M332&lt;=0,S331,IF(AND(N332&gt;0,E332&gt;0,G332&lt;=N332*E332/12),S331,IF(A332+IF(N332=0,0,IF(E332=0,ROUNDUP(N332/G332,0),ROUNDUP(NPER(E332/12,-G332,N332),0)))&lt;S331,A332+IF(N332=0,0,IF(E332=0,ROUNDUP(N332/G332,0),ROUNDUP(NPER(E332/12,-G332,N332),0))),S331))))))</f>
        <v>359</v>
      </c>
      <c r="T332" s="35" t="str">
        <f t="shared" si="95"/>
        <v/>
      </c>
      <c r="U332" s="3">
        <f t="shared" si="80"/>
        <v>0</v>
      </c>
      <c r="V332" s="3">
        <f t="shared" si="81"/>
        <v>0</v>
      </c>
      <c r="W332" s="3">
        <f t="shared" si="82"/>
        <v>0</v>
      </c>
      <c r="X332" s="3">
        <f t="shared" si="83"/>
        <v>0</v>
      </c>
      <c r="Y332" s="3">
        <f>0</f>
        <v>0</v>
      </c>
      <c r="Z332" s="3">
        <f t="shared" si="84"/>
        <v>0</v>
      </c>
      <c r="AA332">
        <f>ROUND(IF(FALSE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,0)</f>
        <v>117312</v>
      </c>
    </row>
    <row r="333" spans="1:27">
      <c r="A333" s="30">
        <f>328</f>
        <v>328</v>
      </c>
      <c r="B333" s="31">
        <f>EDATE(入力!$B$6,A333-1)</f>
        <v>56189</v>
      </c>
      <c r="C333" s="32">
        <f t="shared" si="85"/>
        <v>3627927</v>
      </c>
      <c r="D333" s="32">
        <f t="shared" si="86"/>
        <v>0</v>
      </c>
      <c r="E333" s="33">
        <f>IF(AND(T332="",A333&lt;=S332),IF(A333&lt;入力!$B$11,入力!$B$10,入力!$B$12),0)</f>
        <v>2.5000000000000001E-2</v>
      </c>
      <c r="F333" s="32">
        <f t="shared" si="87"/>
        <v>7558</v>
      </c>
      <c r="G333" s="32">
        <f>ROUND(IF(NOT(AND(T332="",A333&lt;=S332)),0,IF(FALSE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),0)</f>
        <v>117312</v>
      </c>
      <c r="H333" s="32">
        <f t="shared" si="88"/>
        <v>117312</v>
      </c>
      <c r="I333" s="32">
        <f t="shared" si="89"/>
        <v>7558</v>
      </c>
      <c r="J333" s="32">
        <f t="shared" si="90"/>
        <v>0</v>
      </c>
      <c r="K333" s="32">
        <f t="shared" si="91"/>
        <v>0</v>
      </c>
      <c r="L333" s="32">
        <f t="shared" si="92"/>
        <v>109754</v>
      </c>
      <c r="M333" s="32">
        <f>IF(AND(AND(T332="",A333&lt;=S332),A333=入力!$B$15),ROUND(MIN(入力!$B$16,MAX(0,C333-L333)),0),0)</f>
        <v>0</v>
      </c>
      <c r="N333" s="32">
        <f t="shared" si="93"/>
        <v>3518173</v>
      </c>
      <c r="O333" s="32">
        <f t="shared" si="94"/>
        <v>10606609</v>
      </c>
      <c r="P333" s="34" t="str">
        <f>IF(NOT(AND(T332="",A333&lt;=S332)),"",IF(FALSE,"繰上返済後再計算","")&amp;IF(AND(入力!$B$13="有効",A333&gt;1,MOD(A333-1,60)=0),IF(FALSE,"・","")&amp;"5年見直し","")&amp;IF(AND(A333=入力!$B$11,A333&gt;1),IF(OR(FALSE,AND(入力!$B$13="有効",A333&gt;1,MOD(A333-1,60)=0)),"・","")&amp;"金利変更","")&amp;IF(AND(OR(AND(入力!$B$13="有効",A333&gt;1,MOD(A333-1,60)=0),AND(A333=入力!$B$11,A333&gt;1)),入力!$B$14="有効",IF(E333=0,ROUND(C333/MAX(1,S332-A333+1),0),ROUND(-PMT(E333/12,MAX(1,S332-A333+1),C333),0))&gt;ROUND(G332*1.25,0),NOT(FALSE)),"・上限適用",""))</f>
        <v/>
      </c>
      <c r="Q333" s="35" t="str">
        <f>IF(AND(T332="",A333&lt;=S332),入力!$B$13,"")</f>
        <v>有効</v>
      </c>
      <c r="R333" s="32" t="str">
        <f>IF(AND(AND(T332="",A333&lt;=S332),OR(AND(入力!$B$13="有効",A333&gt;1,MOD(A333-1,60)=0),AND(A333=入力!$B$11,A333&gt;1)),入力!$B$14="有効"),ROUND(G332*1.25,0),"")</f>
        <v/>
      </c>
      <c r="S333" s="36">
        <f>IF(A333&lt;&gt;入力!$B$15,S332,IF(K333&lt;&gt;0,S332,IF(G333&lt;=F333,S332,IF(M333&lt;=0,S332,IF(AND(N333&gt;0,E333&gt;0,G333&lt;=N333*E333/12),S332,IF(A333+IF(N333=0,0,IF(E333=0,ROUNDUP(N333/G333,0),ROUNDUP(NPER(E333/12,-G333,N333),0)))&lt;S332,A333+IF(N333=0,0,IF(E333=0,ROUNDUP(N333/G333,0),ROUNDUP(NPER(E333/12,-G333,N333),0))),S332))))))</f>
        <v>359</v>
      </c>
      <c r="T333" s="35" t="str">
        <f t="shared" si="95"/>
        <v/>
      </c>
      <c r="U333" s="3">
        <f t="shared" si="80"/>
        <v>0</v>
      </c>
      <c r="V333" s="3">
        <f t="shared" si="81"/>
        <v>0</v>
      </c>
      <c r="W333" s="3">
        <f t="shared" si="82"/>
        <v>0</v>
      </c>
      <c r="X333" s="3">
        <f t="shared" si="83"/>
        <v>0</v>
      </c>
      <c r="Y333" s="3">
        <f>0</f>
        <v>0</v>
      </c>
      <c r="Z333" s="3">
        <f t="shared" si="84"/>
        <v>0</v>
      </c>
      <c r="AA333">
        <f>ROUND(IF(FALSE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,0)</f>
        <v>117312</v>
      </c>
    </row>
    <row r="334" spans="1:27">
      <c r="A334" s="30">
        <f>329</f>
        <v>329</v>
      </c>
      <c r="B334" s="31">
        <f>EDATE(入力!$B$6,A334-1)</f>
        <v>56219</v>
      </c>
      <c r="C334" s="32">
        <f t="shared" si="85"/>
        <v>3518173</v>
      </c>
      <c r="D334" s="32">
        <f t="shared" si="86"/>
        <v>0</v>
      </c>
      <c r="E334" s="33">
        <f>IF(AND(T333="",A334&lt;=S333),IF(A334&lt;入力!$B$11,入力!$B$10,入力!$B$12),0)</f>
        <v>2.5000000000000001E-2</v>
      </c>
      <c r="F334" s="32">
        <f t="shared" si="87"/>
        <v>7330</v>
      </c>
      <c r="G334" s="32">
        <f>ROUND(IF(NOT(AND(T333="",A334&lt;=S333)),0,IF(FALSE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),0)</f>
        <v>117312</v>
      </c>
      <c r="H334" s="32">
        <f t="shared" si="88"/>
        <v>117312</v>
      </c>
      <c r="I334" s="32">
        <f t="shared" si="89"/>
        <v>7330</v>
      </c>
      <c r="J334" s="32">
        <f t="shared" si="90"/>
        <v>0</v>
      </c>
      <c r="K334" s="32">
        <f t="shared" si="91"/>
        <v>0</v>
      </c>
      <c r="L334" s="32">
        <f t="shared" si="92"/>
        <v>109982</v>
      </c>
      <c r="M334" s="32">
        <f>IF(AND(AND(T333="",A334&lt;=S333),A334=入力!$B$15),ROUND(MIN(入力!$B$16,MAX(0,C334-L334)),0),0)</f>
        <v>0</v>
      </c>
      <c r="N334" s="32">
        <f t="shared" si="93"/>
        <v>3408191</v>
      </c>
      <c r="O334" s="32">
        <f t="shared" si="94"/>
        <v>10613939</v>
      </c>
      <c r="P334" s="34" t="str">
        <f>IF(NOT(AND(T333="",A334&lt;=S333)),"",IF(FALSE,"繰上返済後再計算","")&amp;IF(AND(入力!$B$13="有効",A334&gt;1,MOD(A334-1,60)=0),IF(FALSE,"・","")&amp;"5年見直し","")&amp;IF(AND(A334=入力!$B$11,A334&gt;1),IF(OR(FALSE,AND(入力!$B$13="有効",A334&gt;1,MOD(A334-1,60)=0)),"・","")&amp;"金利変更","")&amp;IF(AND(OR(AND(入力!$B$13="有効",A334&gt;1,MOD(A334-1,60)=0),AND(A334=入力!$B$11,A334&gt;1)),入力!$B$14="有効",IF(E334=0,ROUND(C334/MAX(1,S333-A334+1),0),ROUND(-PMT(E334/12,MAX(1,S333-A334+1),C334),0))&gt;ROUND(G333*1.25,0),NOT(FALSE)),"・上限適用",""))</f>
        <v/>
      </c>
      <c r="Q334" s="35" t="str">
        <f>IF(AND(T333="",A334&lt;=S333),入力!$B$13,"")</f>
        <v>有効</v>
      </c>
      <c r="R334" s="32" t="str">
        <f>IF(AND(AND(T333="",A334&lt;=S333),OR(AND(入力!$B$13="有効",A334&gt;1,MOD(A334-1,60)=0),AND(A334=入力!$B$11,A334&gt;1)),入力!$B$14="有効"),ROUND(G333*1.25,0),"")</f>
        <v/>
      </c>
      <c r="S334" s="36">
        <f>IF(A334&lt;&gt;入力!$B$15,S333,IF(K334&lt;&gt;0,S333,IF(G334&lt;=F334,S333,IF(M334&lt;=0,S333,IF(AND(N334&gt;0,E334&gt;0,G334&lt;=N334*E334/12),S333,IF(A334+IF(N334=0,0,IF(E334=0,ROUNDUP(N334/G334,0),ROUNDUP(NPER(E334/12,-G334,N334),0)))&lt;S333,A334+IF(N334=0,0,IF(E334=0,ROUNDUP(N334/G334,0),ROUNDUP(NPER(E334/12,-G334,N334),0))),S333))))))</f>
        <v>359</v>
      </c>
      <c r="T334" s="35" t="str">
        <f t="shared" si="95"/>
        <v/>
      </c>
      <c r="U334" s="3">
        <f t="shared" si="80"/>
        <v>0</v>
      </c>
      <c r="V334" s="3">
        <f t="shared" si="81"/>
        <v>0</v>
      </c>
      <c r="W334" s="3">
        <f t="shared" si="82"/>
        <v>0</v>
      </c>
      <c r="X334" s="3">
        <f t="shared" si="83"/>
        <v>0</v>
      </c>
      <c r="Y334" s="3">
        <f>0</f>
        <v>0</v>
      </c>
      <c r="Z334" s="3">
        <f t="shared" si="84"/>
        <v>0</v>
      </c>
      <c r="AA334">
        <f>ROUND(IF(FALSE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,0)</f>
        <v>117312</v>
      </c>
    </row>
    <row r="335" spans="1:27">
      <c r="A335" s="30">
        <f>330</f>
        <v>330</v>
      </c>
      <c r="B335" s="31">
        <f>EDATE(入力!$B$6,A335-1)</f>
        <v>56250</v>
      </c>
      <c r="C335" s="32">
        <f t="shared" si="85"/>
        <v>3408191</v>
      </c>
      <c r="D335" s="32">
        <f t="shared" si="86"/>
        <v>0</v>
      </c>
      <c r="E335" s="33">
        <f>IF(AND(T334="",A335&lt;=S334),IF(A335&lt;入力!$B$11,入力!$B$10,入力!$B$12),0)</f>
        <v>2.5000000000000001E-2</v>
      </c>
      <c r="F335" s="32">
        <f t="shared" si="87"/>
        <v>7100</v>
      </c>
      <c r="G335" s="32">
        <f>ROUND(IF(NOT(AND(T334="",A335&lt;=S334)),0,IF(FALSE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),0)</f>
        <v>117312</v>
      </c>
      <c r="H335" s="32">
        <f t="shared" si="88"/>
        <v>117312</v>
      </c>
      <c r="I335" s="32">
        <f t="shared" si="89"/>
        <v>7100</v>
      </c>
      <c r="J335" s="32">
        <f t="shared" si="90"/>
        <v>0</v>
      </c>
      <c r="K335" s="32">
        <f t="shared" si="91"/>
        <v>0</v>
      </c>
      <c r="L335" s="32">
        <f t="shared" si="92"/>
        <v>110212</v>
      </c>
      <c r="M335" s="32">
        <f>IF(AND(AND(T334="",A335&lt;=S334),A335=入力!$B$15),ROUND(MIN(入力!$B$16,MAX(0,C335-L335)),0),0)</f>
        <v>0</v>
      </c>
      <c r="N335" s="32">
        <f t="shared" si="93"/>
        <v>3297979</v>
      </c>
      <c r="O335" s="32">
        <f t="shared" si="94"/>
        <v>10621039</v>
      </c>
      <c r="P335" s="34" t="str">
        <f>IF(NOT(AND(T334="",A335&lt;=S334)),"",IF(FALSE,"繰上返済後再計算","")&amp;IF(AND(入力!$B$13="有効",A335&gt;1,MOD(A335-1,60)=0),IF(FALSE,"・","")&amp;"5年見直し","")&amp;IF(AND(A335=入力!$B$11,A335&gt;1),IF(OR(FALSE,AND(入力!$B$13="有効",A335&gt;1,MOD(A335-1,60)=0)),"・","")&amp;"金利変更","")&amp;IF(AND(OR(AND(入力!$B$13="有効",A335&gt;1,MOD(A335-1,60)=0),AND(A335=入力!$B$11,A335&gt;1)),入力!$B$14="有効",IF(E335=0,ROUND(C335/MAX(1,S334-A335+1),0),ROUND(-PMT(E335/12,MAX(1,S334-A335+1),C335),0))&gt;ROUND(G334*1.25,0),NOT(FALSE)),"・上限適用",""))</f>
        <v/>
      </c>
      <c r="Q335" s="35" t="str">
        <f>IF(AND(T334="",A335&lt;=S334),入力!$B$13,"")</f>
        <v>有効</v>
      </c>
      <c r="R335" s="32" t="str">
        <f>IF(AND(AND(T334="",A335&lt;=S334),OR(AND(入力!$B$13="有効",A335&gt;1,MOD(A335-1,60)=0),AND(A335=入力!$B$11,A335&gt;1)),入力!$B$14="有効"),ROUND(G334*1.25,0),"")</f>
        <v/>
      </c>
      <c r="S335" s="36">
        <f>IF(A335&lt;&gt;入力!$B$15,S334,IF(K335&lt;&gt;0,S334,IF(G335&lt;=F335,S334,IF(M335&lt;=0,S334,IF(AND(N335&gt;0,E335&gt;0,G335&lt;=N335*E335/12),S334,IF(A335+IF(N335=0,0,IF(E335=0,ROUNDUP(N335/G335,0),ROUNDUP(NPER(E335/12,-G335,N335),0)))&lt;S334,A335+IF(N335=0,0,IF(E335=0,ROUNDUP(N335/G335,0),ROUNDUP(NPER(E335/12,-G335,N335),0))),S334))))))</f>
        <v>359</v>
      </c>
      <c r="T335" s="35" t="str">
        <f t="shared" si="95"/>
        <v/>
      </c>
      <c r="U335" s="3">
        <f t="shared" si="80"/>
        <v>0</v>
      </c>
      <c r="V335" s="3">
        <f t="shared" si="81"/>
        <v>0</v>
      </c>
      <c r="W335" s="3">
        <f t="shared" si="82"/>
        <v>0</v>
      </c>
      <c r="X335" s="3">
        <f t="shared" si="83"/>
        <v>0</v>
      </c>
      <c r="Y335" s="3">
        <f>0</f>
        <v>0</v>
      </c>
      <c r="Z335" s="3">
        <f t="shared" si="84"/>
        <v>0</v>
      </c>
      <c r="AA335">
        <f>ROUND(IF(FALSE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,0)</f>
        <v>117312</v>
      </c>
    </row>
    <row r="336" spans="1:27">
      <c r="A336" s="30">
        <f>331</f>
        <v>331</v>
      </c>
      <c r="B336" s="31">
        <f>EDATE(入力!$B$6,A336-1)</f>
        <v>56281</v>
      </c>
      <c r="C336" s="32">
        <f t="shared" si="85"/>
        <v>3297979</v>
      </c>
      <c r="D336" s="32">
        <f t="shared" si="86"/>
        <v>0</v>
      </c>
      <c r="E336" s="33">
        <f>IF(AND(T335="",A336&lt;=S335),IF(A336&lt;入力!$B$11,入力!$B$10,入力!$B$12),0)</f>
        <v>2.5000000000000001E-2</v>
      </c>
      <c r="F336" s="32">
        <f t="shared" si="87"/>
        <v>6871</v>
      </c>
      <c r="G336" s="32">
        <f>ROUND(IF(NOT(AND(T335="",A336&lt;=S335)),0,IF(FALSE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),0)</f>
        <v>117312</v>
      </c>
      <c r="H336" s="32">
        <f t="shared" si="88"/>
        <v>117312</v>
      </c>
      <c r="I336" s="32">
        <f t="shared" si="89"/>
        <v>6871</v>
      </c>
      <c r="J336" s="32">
        <f t="shared" si="90"/>
        <v>0</v>
      </c>
      <c r="K336" s="32">
        <f t="shared" si="91"/>
        <v>0</v>
      </c>
      <c r="L336" s="32">
        <f t="shared" si="92"/>
        <v>110441</v>
      </c>
      <c r="M336" s="32">
        <f>IF(AND(AND(T335="",A336&lt;=S335),A336=入力!$B$15),ROUND(MIN(入力!$B$16,MAX(0,C336-L336)),0),0)</f>
        <v>0</v>
      </c>
      <c r="N336" s="32">
        <f t="shared" si="93"/>
        <v>3187538</v>
      </c>
      <c r="O336" s="32">
        <f t="shared" si="94"/>
        <v>10627910</v>
      </c>
      <c r="P336" s="34" t="str">
        <f>IF(NOT(AND(T335="",A336&lt;=S335)),"",IF(FALSE,"繰上返済後再計算","")&amp;IF(AND(入力!$B$13="有効",A336&gt;1,MOD(A336-1,60)=0),IF(FALSE,"・","")&amp;"5年見直し","")&amp;IF(AND(A336=入力!$B$11,A336&gt;1),IF(OR(FALSE,AND(入力!$B$13="有効",A336&gt;1,MOD(A336-1,60)=0)),"・","")&amp;"金利変更","")&amp;IF(AND(OR(AND(入力!$B$13="有効",A336&gt;1,MOD(A336-1,60)=0),AND(A336=入力!$B$11,A336&gt;1)),入力!$B$14="有効",IF(E336=0,ROUND(C336/MAX(1,S335-A336+1),0),ROUND(-PMT(E336/12,MAX(1,S335-A336+1),C336),0))&gt;ROUND(G335*1.25,0),NOT(FALSE)),"・上限適用",""))</f>
        <v/>
      </c>
      <c r="Q336" s="35" t="str">
        <f>IF(AND(T335="",A336&lt;=S335),入力!$B$13,"")</f>
        <v>有効</v>
      </c>
      <c r="R336" s="32" t="str">
        <f>IF(AND(AND(T335="",A336&lt;=S335),OR(AND(入力!$B$13="有効",A336&gt;1,MOD(A336-1,60)=0),AND(A336=入力!$B$11,A336&gt;1)),入力!$B$14="有効"),ROUND(G335*1.25,0),"")</f>
        <v/>
      </c>
      <c r="S336" s="36">
        <f>IF(A336&lt;&gt;入力!$B$15,S335,IF(K336&lt;&gt;0,S335,IF(G336&lt;=F336,S335,IF(M336&lt;=0,S335,IF(AND(N336&gt;0,E336&gt;0,G336&lt;=N336*E336/12),S335,IF(A336+IF(N336=0,0,IF(E336=0,ROUNDUP(N336/G336,0),ROUNDUP(NPER(E336/12,-G336,N336),0)))&lt;S335,A336+IF(N336=0,0,IF(E336=0,ROUNDUP(N336/G336,0),ROUNDUP(NPER(E336/12,-G336,N336),0))),S335))))))</f>
        <v>359</v>
      </c>
      <c r="T336" s="35" t="str">
        <f t="shared" si="95"/>
        <v/>
      </c>
      <c r="U336" s="3">
        <f t="shared" si="80"/>
        <v>0</v>
      </c>
      <c r="V336" s="3">
        <f t="shared" si="81"/>
        <v>0</v>
      </c>
      <c r="W336" s="3">
        <f t="shared" si="82"/>
        <v>0</v>
      </c>
      <c r="X336" s="3">
        <f t="shared" si="83"/>
        <v>0</v>
      </c>
      <c r="Y336" s="3">
        <f>0</f>
        <v>0</v>
      </c>
      <c r="Z336" s="3">
        <f t="shared" si="84"/>
        <v>0</v>
      </c>
      <c r="AA336">
        <f>ROUND(IF(FALSE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,0)</f>
        <v>117312</v>
      </c>
    </row>
    <row r="337" spans="1:27">
      <c r="A337" s="30">
        <f>332</f>
        <v>332</v>
      </c>
      <c r="B337" s="31">
        <f>EDATE(入力!$B$6,A337-1)</f>
        <v>56309</v>
      </c>
      <c r="C337" s="32">
        <f t="shared" si="85"/>
        <v>3187538</v>
      </c>
      <c r="D337" s="32">
        <f t="shared" si="86"/>
        <v>0</v>
      </c>
      <c r="E337" s="33">
        <f>IF(AND(T336="",A337&lt;=S336),IF(A337&lt;入力!$B$11,入力!$B$10,入力!$B$12),0)</f>
        <v>2.5000000000000001E-2</v>
      </c>
      <c r="F337" s="32">
        <f t="shared" si="87"/>
        <v>6641</v>
      </c>
      <c r="G337" s="32">
        <f>ROUND(IF(NOT(AND(T336="",A337&lt;=S336)),0,IF(FALSE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),0)</f>
        <v>117312</v>
      </c>
      <c r="H337" s="32">
        <f t="shared" si="88"/>
        <v>117312</v>
      </c>
      <c r="I337" s="32">
        <f t="shared" si="89"/>
        <v>6641</v>
      </c>
      <c r="J337" s="32">
        <f t="shared" si="90"/>
        <v>0</v>
      </c>
      <c r="K337" s="32">
        <f t="shared" si="91"/>
        <v>0</v>
      </c>
      <c r="L337" s="32">
        <f t="shared" si="92"/>
        <v>110671</v>
      </c>
      <c r="M337" s="32">
        <f>IF(AND(AND(T336="",A337&lt;=S336),A337=入力!$B$15),ROUND(MIN(入力!$B$16,MAX(0,C337-L337)),0),0)</f>
        <v>0</v>
      </c>
      <c r="N337" s="32">
        <f t="shared" si="93"/>
        <v>3076867</v>
      </c>
      <c r="O337" s="32">
        <f t="shared" si="94"/>
        <v>10634551</v>
      </c>
      <c r="P337" s="34" t="str">
        <f>IF(NOT(AND(T336="",A337&lt;=S336)),"",IF(FALSE,"繰上返済後再計算","")&amp;IF(AND(入力!$B$13="有効",A337&gt;1,MOD(A337-1,60)=0),IF(FALSE,"・","")&amp;"5年見直し","")&amp;IF(AND(A337=入力!$B$11,A337&gt;1),IF(OR(FALSE,AND(入力!$B$13="有効",A337&gt;1,MOD(A337-1,60)=0)),"・","")&amp;"金利変更","")&amp;IF(AND(OR(AND(入力!$B$13="有効",A337&gt;1,MOD(A337-1,60)=0),AND(A337=入力!$B$11,A337&gt;1)),入力!$B$14="有効",IF(E337=0,ROUND(C337/MAX(1,S336-A337+1),0),ROUND(-PMT(E337/12,MAX(1,S336-A337+1),C337),0))&gt;ROUND(G336*1.25,0),NOT(FALSE)),"・上限適用",""))</f>
        <v/>
      </c>
      <c r="Q337" s="35" t="str">
        <f>IF(AND(T336="",A337&lt;=S336),入力!$B$13,"")</f>
        <v>有効</v>
      </c>
      <c r="R337" s="32" t="str">
        <f>IF(AND(AND(T336="",A337&lt;=S336),OR(AND(入力!$B$13="有効",A337&gt;1,MOD(A337-1,60)=0),AND(A337=入力!$B$11,A337&gt;1)),入力!$B$14="有効"),ROUND(G336*1.25,0),"")</f>
        <v/>
      </c>
      <c r="S337" s="36">
        <f>IF(A337&lt;&gt;入力!$B$15,S336,IF(K337&lt;&gt;0,S336,IF(G337&lt;=F337,S336,IF(M337&lt;=0,S336,IF(AND(N337&gt;0,E337&gt;0,G337&lt;=N337*E337/12),S336,IF(A337+IF(N337=0,0,IF(E337=0,ROUNDUP(N337/G337,0),ROUNDUP(NPER(E337/12,-G337,N337),0)))&lt;S336,A337+IF(N337=0,0,IF(E337=0,ROUNDUP(N337/G337,0),ROUNDUP(NPER(E337/12,-G337,N337),0))),S336))))))</f>
        <v>359</v>
      </c>
      <c r="T337" s="35" t="str">
        <f t="shared" si="95"/>
        <v/>
      </c>
      <c r="U337" s="3">
        <f t="shared" si="80"/>
        <v>0</v>
      </c>
      <c r="V337" s="3">
        <f t="shared" si="81"/>
        <v>0</v>
      </c>
      <c r="W337" s="3">
        <f t="shared" si="82"/>
        <v>0</v>
      </c>
      <c r="X337" s="3">
        <f t="shared" si="83"/>
        <v>0</v>
      </c>
      <c r="Y337" s="3">
        <f>0</f>
        <v>0</v>
      </c>
      <c r="Z337" s="3">
        <f t="shared" si="84"/>
        <v>0</v>
      </c>
      <c r="AA337">
        <f>ROUND(IF(FALSE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,0)</f>
        <v>117312</v>
      </c>
    </row>
    <row r="338" spans="1:27">
      <c r="A338" s="30">
        <f>333</f>
        <v>333</v>
      </c>
      <c r="B338" s="31">
        <f>EDATE(入力!$B$6,A338-1)</f>
        <v>56340</v>
      </c>
      <c r="C338" s="32">
        <f t="shared" si="85"/>
        <v>3076867</v>
      </c>
      <c r="D338" s="32">
        <f t="shared" si="86"/>
        <v>0</v>
      </c>
      <c r="E338" s="33">
        <f>IF(AND(T337="",A338&lt;=S337),IF(A338&lt;入力!$B$11,入力!$B$10,入力!$B$12),0)</f>
        <v>2.5000000000000001E-2</v>
      </c>
      <c r="F338" s="32">
        <f t="shared" si="87"/>
        <v>6410</v>
      </c>
      <c r="G338" s="32">
        <f>ROUND(IF(NOT(AND(T337="",A338&lt;=S337)),0,IF(FALSE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),0)</f>
        <v>117312</v>
      </c>
      <c r="H338" s="32">
        <f t="shared" si="88"/>
        <v>117312</v>
      </c>
      <c r="I338" s="32">
        <f t="shared" si="89"/>
        <v>6410</v>
      </c>
      <c r="J338" s="32">
        <f t="shared" si="90"/>
        <v>0</v>
      </c>
      <c r="K338" s="32">
        <f t="shared" si="91"/>
        <v>0</v>
      </c>
      <c r="L338" s="32">
        <f t="shared" si="92"/>
        <v>110902</v>
      </c>
      <c r="M338" s="32">
        <f>IF(AND(AND(T337="",A338&lt;=S337),A338=入力!$B$15),ROUND(MIN(入力!$B$16,MAX(0,C338-L338)),0),0)</f>
        <v>0</v>
      </c>
      <c r="N338" s="32">
        <f t="shared" si="93"/>
        <v>2965965</v>
      </c>
      <c r="O338" s="32">
        <f t="shared" si="94"/>
        <v>10640961</v>
      </c>
      <c r="P338" s="34" t="str">
        <f>IF(NOT(AND(T337="",A338&lt;=S337)),"",IF(FALSE,"繰上返済後再計算","")&amp;IF(AND(入力!$B$13="有効",A338&gt;1,MOD(A338-1,60)=0),IF(FALSE,"・","")&amp;"5年見直し","")&amp;IF(AND(A338=入力!$B$11,A338&gt;1),IF(OR(FALSE,AND(入力!$B$13="有効",A338&gt;1,MOD(A338-1,60)=0)),"・","")&amp;"金利変更","")&amp;IF(AND(OR(AND(入力!$B$13="有効",A338&gt;1,MOD(A338-1,60)=0),AND(A338=入力!$B$11,A338&gt;1)),入力!$B$14="有効",IF(E338=0,ROUND(C338/MAX(1,S337-A338+1),0),ROUND(-PMT(E338/12,MAX(1,S337-A338+1),C338),0))&gt;ROUND(G337*1.25,0),NOT(FALSE)),"・上限適用",""))</f>
        <v/>
      </c>
      <c r="Q338" s="35" t="str">
        <f>IF(AND(T337="",A338&lt;=S337),入力!$B$13,"")</f>
        <v>有効</v>
      </c>
      <c r="R338" s="32" t="str">
        <f>IF(AND(AND(T337="",A338&lt;=S337),OR(AND(入力!$B$13="有効",A338&gt;1,MOD(A338-1,60)=0),AND(A338=入力!$B$11,A338&gt;1)),入力!$B$14="有効"),ROUND(G337*1.25,0),"")</f>
        <v/>
      </c>
      <c r="S338" s="36">
        <f>IF(A338&lt;&gt;入力!$B$15,S337,IF(K338&lt;&gt;0,S337,IF(G338&lt;=F338,S337,IF(M338&lt;=0,S337,IF(AND(N338&gt;0,E338&gt;0,G338&lt;=N338*E338/12),S337,IF(A338+IF(N338=0,0,IF(E338=0,ROUNDUP(N338/G338,0),ROUNDUP(NPER(E338/12,-G338,N338),0)))&lt;S337,A338+IF(N338=0,0,IF(E338=0,ROUNDUP(N338/G338,0),ROUNDUP(NPER(E338/12,-G338,N338),0))),S337))))))</f>
        <v>359</v>
      </c>
      <c r="T338" s="35" t="str">
        <f t="shared" si="95"/>
        <v/>
      </c>
      <c r="U338" s="3">
        <f t="shared" si="80"/>
        <v>0</v>
      </c>
      <c r="V338" s="3">
        <f t="shared" si="81"/>
        <v>0</v>
      </c>
      <c r="W338" s="3">
        <f t="shared" si="82"/>
        <v>0</v>
      </c>
      <c r="X338" s="3">
        <f t="shared" si="83"/>
        <v>0</v>
      </c>
      <c r="Y338" s="3">
        <f>0</f>
        <v>0</v>
      </c>
      <c r="Z338" s="3">
        <f t="shared" si="84"/>
        <v>0</v>
      </c>
      <c r="AA338">
        <f>ROUND(IF(FALSE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,0)</f>
        <v>117312</v>
      </c>
    </row>
    <row r="339" spans="1:27">
      <c r="A339" s="30">
        <f>334</f>
        <v>334</v>
      </c>
      <c r="B339" s="31">
        <f>EDATE(入力!$B$6,A339-1)</f>
        <v>56370</v>
      </c>
      <c r="C339" s="32">
        <f t="shared" si="85"/>
        <v>2965965</v>
      </c>
      <c r="D339" s="32">
        <f t="shared" si="86"/>
        <v>0</v>
      </c>
      <c r="E339" s="33">
        <f>IF(AND(T338="",A339&lt;=S338),IF(A339&lt;入力!$B$11,入力!$B$10,入力!$B$12),0)</f>
        <v>2.5000000000000001E-2</v>
      </c>
      <c r="F339" s="32">
        <f t="shared" si="87"/>
        <v>6179</v>
      </c>
      <c r="G339" s="32">
        <f>ROUND(IF(NOT(AND(T338="",A339&lt;=S338)),0,IF(FALSE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),0)</f>
        <v>117312</v>
      </c>
      <c r="H339" s="32">
        <f t="shared" si="88"/>
        <v>117312</v>
      </c>
      <c r="I339" s="32">
        <f t="shared" si="89"/>
        <v>6179</v>
      </c>
      <c r="J339" s="32">
        <f t="shared" si="90"/>
        <v>0</v>
      </c>
      <c r="K339" s="32">
        <f t="shared" si="91"/>
        <v>0</v>
      </c>
      <c r="L339" s="32">
        <f t="shared" si="92"/>
        <v>111133</v>
      </c>
      <c r="M339" s="32">
        <f>IF(AND(AND(T338="",A339&lt;=S338),A339=入力!$B$15),ROUND(MIN(入力!$B$16,MAX(0,C339-L339)),0),0)</f>
        <v>0</v>
      </c>
      <c r="N339" s="32">
        <f t="shared" si="93"/>
        <v>2854832</v>
      </c>
      <c r="O339" s="32">
        <f t="shared" si="94"/>
        <v>10647140</v>
      </c>
      <c r="P339" s="34" t="str">
        <f>IF(NOT(AND(T338="",A339&lt;=S338)),"",IF(FALSE,"繰上返済後再計算","")&amp;IF(AND(入力!$B$13="有効",A339&gt;1,MOD(A339-1,60)=0),IF(FALSE,"・","")&amp;"5年見直し","")&amp;IF(AND(A339=入力!$B$11,A339&gt;1),IF(OR(FALSE,AND(入力!$B$13="有効",A339&gt;1,MOD(A339-1,60)=0)),"・","")&amp;"金利変更","")&amp;IF(AND(OR(AND(入力!$B$13="有効",A339&gt;1,MOD(A339-1,60)=0),AND(A339=入力!$B$11,A339&gt;1)),入力!$B$14="有効",IF(E339=0,ROUND(C339/MAX(1,S338-A339+1),0),ROUND(-PMT(E339/12,MAX(1,S338-A339+1),C339),0))&gt;ROUND(G338*1.25,0),NOT(FALSE)),"・上限適用",""))</f>
        <v/>
      </c>
      <c r="Q339" s="35" t="str">
        <f>IF(AND(T338="",A339&lt;=S338),入力!$B$13,"")</f>
        <v>有効</v>
      </c>
      <c r="R339" s="32" t="str">
        <f>IF(AND(AND(T338="",A339&lt;=S338),OR(AND(入力!$B$13="有効",A339&gt;1,MOD(A339-1,60)=0),AND(A339=入力!$B$11,A339&gt;1)),入力!$B$14="有効"),ROUND(G338*1.25,0),"")</f>
        <v/>
      </c>
      <c r="S339" s="36">
        <f>IF(A339&lt;&gt;入力!$B$15,S338,IF(K339&lt;&gt;0,S338,IF(G339&lt;=F339,S338,IF(M339&lt;=0,S338,IF(AND(N339&gt;0,E339&gt;0,G339&lt;=N339*E339/12),S338,IF(A339+IF(N339=0,0,IF(E339=0,ROUNDUP(N339/G339,0),ROUNDUP(NPER(E339/12,-G339,N339),0)))&lt;S338,A339+IF(N339=0,0,IF(E339=0,ROUNDUP(N339/G339,0),ROUNDUP(NPER(E339/12,-G339,N339),0))),S338))))))</f>
        <v>359</v>
      </c>
      <c r="T339" s="35" t="str">
        <f t="shared" si="95"/>
        <v/>
      </c>
      <c r="U339" s="3">
        <f t="shared" si="80"/>
        <v>0</v>
      </c>
      <c r="V339" s="3">
        <f t="shared" si="81"/>
        <v>0</v>
      </c>
      <c r="W339" s="3">
        <f t="shared" si="82"/>
        <v>0</v>
      </c>
      <c r="X339" s="3">
        <f t="shared" si="83"/>
        <v>0</v>
      </c>
      <c r="Y339" s="3">
        <f>0</f>
        <v>0</v>
      </c>
      <c r="Z339" s="3">
        <f t="shared" si="84"/>
        <v>0</v>
      </c>
      <c r="AA339">
        <f>ROUND(IF(FALSE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,0)</f>
        <v>117312</v>
      </c>
    </row>
    <row r="340" spans="1:27">
      <c r="A340" s="30">
        <f>335</f>
        <v>335</v>
      </c>
      <c r="B340" s="31">
        <f>EDATE(入力!$B$6,A340-1)</f>
        <v>56401</v>
      </c>
      <c r="C340" s="32">
        <f t="shared" si="85"/>
        <v>2854832</v>
      </c>
      <c r="D340" s="32">
        <f t="shared" si="86"/>
        <v>0</v>
      </c>
      <c r="E340" s="33">
        <f>IF(AND(T339="",A340&lt;=S339),IF(A340&lt;入力!$B$11,入力!$B$10,入力!$B$12),0)</f>
        <v>2.5000000000000001E-2</v>
      </c>
      <c r="F340" s="32">
        <f t="shared" si="87"/>
        <v>5948</v>
      </c>
      <c r="G340" s="32">
        <f>ROUND(IF(NOT(AND(T339="",A340&lt;=S339)),0,IF(FALSE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),0)</f>
        <v>117312</v>
      </c>
      <c r="H340" s="32">
        <f t="shared" si="88"/>
        <v>117312</v>
      </c>
      <c r="I340" s="32">
        <f t="shared" si="89"/>
        <v>5948</v>
      </c>
      <c r="J340" s="32">
        <f t="shared" si="90"/>
        <v>0</v>
      </c>
      <c r="K340" s="32">
        <f t="shared" si="91"/>
        <v>0</v>
      </c>
      <c r="L340" s="32">
        <f t="shared" si="92"/>
        <v>111364</v>
      </c>
      <c r="M340" s="32">
        <f>IF(AND(AND(T339="",A340&lt;=S339),A340=入力!$B$15),ROUND(MIN(入力!$B$16,MAX(0,C340-L340)),0),0)</f>
        <v>0</v>
      </c>
      <c r="N340" s="32">
        <f t="shared" si="93"/>
        <v>2743468</v>
      </c>
      <c r="O340" s="32">
        <f t="shared" si="94"/>
        <v>10653088</v>
      </c>
      <c r="P340" s="34" t="str">
        <f>IF(NOT(AND(T339="",A340&lt;=S339)),"",IF(FALSE,"繰上返済後再計算","")&amp;IF(AND(入力!$B$13="有効",A340&gt;1,MOD(A340-1,60)=0),IF(FALSE,"・","")&amp;"5年見直し","")&amp;IF(AND(A340=入力!$B$11,A340&gt;1),IF(OR(FALSE,AND(入力!$B$13="有効",A340&gt;1,MOD(A340-1,60)=0)),"・","")&amp;"金利変更","")&amp;IF(AND(OR(AND(入力!$B$13="有効",A340&gt;1,MOD(A340-1,60)=0),AND(A340=入力!$B$11,A340&gt;1)),入力!$B$14="有効",IF(E340=0,ROUND(C340/MAX(1,S339-A340+1),0),ROUND(-PMT(E340/12,MAX(1,S339-A340+1),C340),0))&gt;ROUND(G339*1.25,0),NOT(FALSE)),"・上限適用",""))</f>
        <v/>
      </c>
      <c r="Q340" s="35" t="str">
        <f>IF(AND(T339="",A340&lt;=S339),入力!$B$13,"")</f>
        <v>有効</v>
      </c>
      <c r="R340" s="32" t="str">
        <f>IF(AND(AND(T339="",A340&lt;=S339),OR(AND(入力!$B$13="有効",A340&gt;1,MOD(A340-1,60)=0),AND(A340=入力!$B$11,A340&gt;1)),入力!$B$14="有効"),ROUND(G339*1.25,0),"")</f>
        <v/>
      </c>
      <c r="S340" s="36">
        <f>IF(A340&lt;&gt;入力!$B$15,S339,IF(K340&lt;&gt;0,S339,IF(G340&lt;=F340,S339,IF(M340&lt;=0,S339,IF(AND(N340&gt;0,E340&gt;0,G340&lt;=N340*E340/12),S339,IF(A340+IF(N340=0,0,IF(E340=0,ROUNDUP(N340/G340,0),ROUNDUP(NPER(E340/12,-G340,N340),0)))&lt;S339,A340+IF(N340=0,0,IF(E340=0,ROUNDUP(N340/G340,0),ROUNDUP(NPER(E340/12,-G340,N340),0))),S339))))))</f>
        <v>359</v>
      </c>
      <c r="T340" s="35" t="str">
        <f t="shared" si="95"/>
        <v/>
      </c>
      <c r="U340" s="3">
        <f t="shared" si="80"/>
        <v>0</v>
      </c>
      <c r="V340" s="3">
        <f t="shared" si="81"/>
        <v>0</v>
      </c>
      <c r="W340" s="3">
        <f t="shared" si="82"/>
        <v>0</v>
      </c>
      <c r="X340" s="3">
        <f t="shared" si="83"/>
        <v>0</v>
      </c>
      <c r="Y340" s="3">
        <f>0</f>
        <v>0</v>
      </c>
      <c r="Z340" s="3">
        <f t="shared" si="84"/>
        <v>0</v>
      </c>
      <c r="AA340">
        <f>ROUND(IF(FALSE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,0)</f>
        <v>117312</v>
      </c>
    </row>
    <row r="341" spans="1:27">
      <c r="A341" s="30">
        <f>336</f>
        <v>336</v>
      </c>
      <c r="B341" s="31">
        <f>EDATE(入力!$B$6,A341-1)</f>
        <v>56431</v>
      </c>
      <c r="C341" s="32">
        <f t="shared" si="85"/>
        <v>2743468</v>
      </c>
      <c r="D341" s="32">
        <f t="shared" si="86"/>
        <v>0</v>
      </c>
      <c r="E341" s="33">
        <f>IF(AND(T340="",A341&lt;=S340),IF(A341&lt;入力!$B$11,入力!$B$10,入力!$B$12),0)</f>
        <v>2.5000000000000001E-2</v>
      </c>
      <c r="F341" s="32">
        <f t="shared" si="87"/>
        <v>5716</v>
      </c>
      <c r="G341" s="32">
        <f>ROUND(IF(NOT(AND(T340="",A341&lt;=S340)),0,IF(FALSE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),0)</f>
        <v>117312</v>
      </c>
      <c r="H341" s="32">
        <f t="shared" si="88"/>
        <v>117312</v>
      </c>
      <c r="I341" s="32">
        <f t="shared" si="89"/>
        <v>5716</v>
      </c>
      <c r="J341" s="32">
        <f t="shared" si="90"/>
        <v>0</v>
      </c>
      <c r="K341" s="32">
        <f t="shared" si="91"/>
        <v>0</v>
      </c>
      <c r="L341" s="32">
        <f t="shared" si="92"/>
        <v>111596</v>
      </c>
      <c r="M341" s="32">
        <f>IF(AND(AND(T340="",A341&lt;=S340),A341=入力!$B$15),ROUND(MIN(入力!$B$16,MAX(0,C341-L341)),0),0)</f>
        <v>0</v>
      </c>
      <c r="N341" s="32">
        <f t="shared" si="93"/>
        <v>2631872</v>
      </c>
      <c r="O341" s="32">
        <f t="shared" si="94"/>
        <v>10658804</v>
      </c>
      <c r="P341" s="34" t="str">
        <f>IF(NOT(AND(T340="",A341&lt;=S340)),"",IF(FALSE,"繰上返済後再計算","")&amp;IF(AND(入力!$B$13="有効",A341&gt;1,MOD(A341-1,60)=0),IF(FALSE,"・","")&amp;"5年見直し","")&amp;IF(AND(A341=入力!$B$11,A341&gt;1),IF(OR(FALSE,AND(入力!$B$13="有効",A341&gt;1,MOD(A341-1,60)=0)),"・","")&amp;"金利変更","")&amp;IF(AND(OR(AND(入力!$B$13="有効",A341&gt;1,MOD(A341-1,60)=0),AND(A341=入力!$B$11,A341&gt;1)),入力!$B$14="有効",IF(E341=0,ROUND(C341/MAX(1,S340-A341+1),0),ROUND(-PMT(E341/12,MAX(1,S340-A341+1),C341),0))&gt;ROUND(G340*1.25,0),NOT(FALSE)),"・上限適用",""))</f>
        <v/>
      </c>
      <c r="Q341" s="35" t="str">
        <f>IF(AND(T340="",A341&lt;=S340),入力!$B$13,"")</f>
        <v>有効</v>
      </c>
      <c r="R341" s="32" t="str">
        <f>IF(AND(AND(T340="",A341&lt;=S340),OR(AND(入力!$B$13="有効",A341&gt;1,MOD(A341-1,60)=0),AND(A341=入力!$B$11,A341&gt;1)),入力!$B$14="有効"),ROUND(G340*1.25,0),"")</f>
        <v/>
      </c>
      <c r="S341" s="36">
        <f>IF(A341&lt;&gt;入力!$B$15,S340,IF(K341&lt;&gt;0,S340,IF(G341&lt;=F341,S340,IF(M341&lt;=0,S340,IF(AND(N341&gt;0,E341&gt;0,G341&lt;=N341*E341/12),S340,IF(A341+IF(N341=0,0,IF(E341=0,ROUNDUP(N341/G341,0),ROUNDUP(NPER(E341/12,-G341,N341),0)))&lt;S340,A341+IF(N341=0,0,IF(E341=0,ROUNDUP(N341/G341,0),ROUNDUP(NPER(E341/12,-G341,N341),0))),S340))))))</f>
        <v>359</v>
      </c>
      <c r="T341" s="35" t="str">
        <f t="shared" si="95"/>
        <v/>
      </c>
      <c r="U341" s="3">
        <f t="shared" si="80"/>
        <v>0</v>
      </c>
      <c r="V341" s="3">
        <f t="shared" si="81"/>
        <v>0</v>
      </c>
      <c r="W341" s="3">
        <f t="shared" si="82"/>
        <v>0</v>
      </c>
      <c r="X341" s="3">
        <f t="shared" si="83"/>
        <v>0</v>
      </c>
      <c r="Y341" s="3">
        <f>0</f>
        <v>0</v>
      </c>
      <c r="Z341" s="3">
        <f t="shared" si="84"/>
        <v>0</v>
      </c>
      <c r="AA341">
        <f>ROUND(IF(FALSE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,0)</f>
        <v>117312</v>
      </c>
    </row>
    <row r="342" spans="1:27">
      <c r="A342" s="30">
        <f>337</f>
        <v>337</v>
      </c>
      <c r="B342" s="31">
        <f>EDATE(入力!$B$6,A342-1)</f>
        <v>56462</v>
      </c>
      <c r="C342" s="32">
        <f t="shared" si="85"/>
        <v>2631872</v>
      </c>
      <c r="D342" s="32">
        <f t="shared" si="86"/>
        <v>0</v>
      </c>
      <c r="E342" s="33">
        <f>IF(AND(T341="",A342&lt;=S341),IF(A342&lt;入力!$B$11,入力!$B$10,入力!$B$12),0)</f>
        <v>2.5000000000000001E-2</v>
      </c>
      <c r="F342" s="32">
        <f t="shared" si="87"/>
        <v>5483</v>
      </c>
      <c r="G342" s="32">
        <f>ROUND(IF(NOT(AND(T341="",A342&lt;=S341)),0,IF(FALSE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),0)</f>
        <v>117312</v>
      </c>
      <c r="H342" s="32">
        <f t="shared" si="88"/>
        <v>117312</v>
      </c>
      <c r="I342" s="32">
        <f t="shared" si="89"/>
        <v>5483</v>
      </c>
      <c r="J342" s="32">
        <f t="shared" si="90"/>
        <v>0</v>
      </c>
      <c r="K342" s="32">
        <f t="shared" si="91"/>
        <v>0</v>
      </c>
      <c r="L342" s="32">
        <f t="shared" si="92"/>
        <v>111829</v>
      </c>
      <c r="M342" s="32">
        <f>IF(AND(AND(T341="",A342&lt;=S341),A342=入力!$B$15),ROUND(MIN(入力!$B$16,MAX(0,C342-L342)),0),0)</f>
        <v>0</v>
      </c>
      <c r="N342" s="32">
        <f t="shared" si="93"/>
        <v>2520043</v>
      </c>
      <c r="O342" s="32">
        <f t="shared" si="94"/>
        <v>10664287</v>
      </c>
      <c r="P342" s="34" t="str">
        <f>IF(NOT(AND(T341="",A342&lt;=S341)),"",IF(FALSE,"繰上返済後再計算","")&amp;IF(AND(入力!$B$13="有効",A342&gt;1,MOD(A342-1,60)=0),IF(FALSE,"・","")&amp;"5年見直し","")&amp;IF(AND(A342=入力!$B$11,A342&gt;1),IF(OR(FALSE,AND(入力!$B$13="有効",A342&gt;1,MOD(A342-1,60)=0)),"・","")&amp;"金利変更","")&amp;IF(AND(OR(AND(入力!$B$13="有効",A342&gt;1,MOD(A342-1,60)=0),AND(A342=入力!$B$11,A342&gt;1)),入力!$B$14="有効",IF(E342=0,ROUND(C342/MAX(1,S341-A342+1),0),ROUND(-PMT(E342/12,MAX(1,S341-A342+1),C342),0))&gt;ROUND(G341*1.25,0),NOT(FALSE)),"・上限適用",""))</f>
        <v/>
      </c>
      <c r="Q342" s="35" t="str">
        <f>IF(AND(T341="",A342&lt;=S341),入力!$B$13,"")</f>
        <v>有効</v>
      </c>
      <c r="R342" s="32" t="str">
        <f>IF(AND(AND(T341="",A342&lt;=S341),OR(AND(入力!$B$13="有効",A342&gt;1,MOD(A342-1,60)=0),AND(A342=入力!$B$11,A342&gt;1)),入力!$B$14="有効"),ROUND(G341*1.25,0),"")</f>
        <v/>
      </c>
      <c r="S342" s="36">
        <f>IF(A342&lt;&gt;入力!$B$15,S341,IF(K342&lt;&gt;0,S341,IF(G342&lt;=F342,S341,IF(M342&lt;=0,S341,IF(AND(N342&gt;0,E342&gt;0,G342&lt;=N342*E342/12),S341,IF(A342+IF(N342=0,0,IF(E342=0,ROUNDUP(N342/G342,0),ROUNDUP(NPER(E342/12,-G342,N342),0)))&lt;S341,A342+IF(N342=0,0,IF(E342=0,ROUNDUP(N342/G342,0),ROUNDUP(NPER(E342/12,-G342,N342),0))),S341))))))</f>
        <v>359</v>
      </c>
      <c r="T342" s="35" t="str">
        <f t="shared" si="95"/>
        <v/>
      </c>
      <c r="U342" s="3">
        <f t="shared" si="80"/>
        <v>0</v>
      </c>
      <c r="V342" s="3">
        <f t="shared" si="81"/>
        <v>0</v>
      </c>
      <c r="W342" s="3">
        <f t="shared" si="82"/>
        <v>0</v>
      </c>
      <c r="X342" s="3">
        <f t="shared" si="83"/>
        <v>0</v>
      </c>
      <c r="Y342" s="3">
        <f>0</f>
        <v>0</v>
      </c>
      <c r="Z342" s="3">
        <f t="shared" si="84"/>
        <v>0</v>
      </c>
      <c r="AA342">
        <f>ROUND(IF(FALSE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,0)</f>
        <v>117312</v>
      </c>
    </row>
    <row r="343" spans="1:27">
      <c r="A343" s="30">
        <f>338</f>
        <v>338</v>
      </c>
      <c r="B343" s="31">
        <f>EDATE(入力!$B$6,A343-1)</f>
        <v>56493</v>
      </c>
      <c r="C343" s="32">
        <f t="shared" si="85"/>
        <v>2520043</v>
      </c>
      <c r="D343" s="32">
        <f t="shared" si="86"/>
        <v>0</v>
      </c>
      <c r="E343" s="33">
        <f>IF(AND(T342="",A343&lt;=S342),IF(A343&lt;入力!$B$11,入力!$B$10,入力!$B$12),0)</f>
        <v>2.5000000000000001E-2</v>
      </c>
      <c r="F343" s="32">
        <f t="shared" si="87"/>
        <v>5250</v>
      </c>
      <c r="G343" s="32">
        <f>ROUND(IF(NOT(AND(T342="",A343&lt;=S342)),0,IF(FALSE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),0)</f>
        <v>117312</v>
      </c>
      <c r="H343" s="32">
        <f t="shared" si="88"/>
        <v>117312</v>
      </c>
      <c r="I343" s="32">
        <f t="shared" si="89"/>
        <v>5250</v>
      </c>
      <c r="J343" s="32">
        <f t="shared" si="90"/>
        <v>0</v>
      </c>
      <c r="K343" s="32">
        <f t="shared" si="91"/>
        <v>0</v>
      </c>
      <c r="L343" s="32">
        <f t="shared" si="92"/>
        <v>112062</v>
      </c>
      <c r="M343" s="32">
        <f>IF(AND(AND(T342="",A343&lt;=S342),A343=入力!$B$15),ROUND(MIN(入力!$B$16,MAX(0,C343-L343)),0),0)</f>
        <v>0</v>
      </c>
      <c r="N343" s="32">
        <f t="shared" si="93"/>
        <v>2407981</v>
      </c>
      <c r="O343" s="32">
        <f t="shared" si="94"/>
        <v>10669537</v>
      </c>
      <c r="P343" s="34" t="str">
        <f>IF(NOT(AND(T342="",A343&lt;=S342)),"",IF(FALSE,"繰上返済後再計算","")&amp;IF(AND(入力!$B$13="有効",A343&gt;1,MOD(A343-1,60)=0),IF(FALSE,"・","")&amp;"5年見直し","")&amp;IF(AND(A343=入力!$B$11,A343&gt;1),IF(OR(FALSE,AND(入力!$B$13="有効",A343&gt;1,MOD(A343-1,60)=0)),"・","")&amp;"金利変更","")&amp;IF(AND(OR(AND(入力!$B$13="有効",A343&gt;1,MOD(A343-1,60)=0),AND(A343=入力!$B$11,A343&gt;1)),入力!$B$14="有効",IF(E343=0,ROUND(C343/MAX(1,S342-A343+1),0),ROUND(-PMT(E343/12,MAX(1,S342-A343+1),C343),0))&gt;ROUND(G342*1.25,0),NOT(FALSE)),"・上限適用",""))</f>
        <v/>
      </c>
      <c r="Q343" s="35" t="str">
        <f>IF(AND(T342="",A343&lt;=S342),入力!$B$13,"")</f>
        <v>有効</v>
      </c>
      <c r="R343" s="32" t="str">
        <f>IF(AND(AND(T342="",A343&lt;=S342),OR(AND(入力!$B$13="有効",A343&gt;1,MOD(A343-1,60)=0),AND(A343=入力!$B$11,A343&gt;1)),入力!$B$14="有効"),ROUND(G342*1.25,0),"")</f>
        <v/>
      </c>
      <c r="S343" s="36">
        <f>IF(A343&lt;&gt;入力!$B$15,S342,IF(K343&lt;&gt;0,S342,IF(G343&lt;=F343,S342,IF(M343&lt;=0,S342,IF(AND(N343&gt;0,E343&gt;0,G343&lt;=N343*E343/12),S342,IF(A343+IF(N343=0,0,IF(E343=0,ROUNDUP(N343/G343,0),ROUNDUP(NPER(E343/12,-G343,N343),0)))&lt;S342,A343+IF(N343=0,0,IF(E343=0,ROUNDUP(N343/G343,0),ROUNDUP(NPER(E343/12,-G343,N343),0))),S342))))))</f>
        <v>359</v>
      </c>
      <c r="T343" s="35" t="str">
        <f t="shared" si="95"/>
        <v/>
      </c>
      <c r="U343" s="3">
        <f t="shared" si="80"/>
        <v>0</v>
      </c>
      <c r="V343" s="3">
        <f t="shared" si="81"/>
        <v>0</v>
      </c>
      <c r="W343" s="3">
        <f t="shared" si="82"/>
        <v>0</v>
      </c>
      <c r="X343" s="3">
        <f t="shared" si="83"/>
        <v>0</v>
      </c>
      <c r="Y343" s="3">
        <f>0</f>
        <v>0</v>
      </c>
      <c r="Z343" s="3">
        <f t="shared" si="84"/>
        <v>0</v>
      </c>
      <c r="AA343">
        <f>ROUND(IF(FALSE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,0)</f>
        <v>117312</v>
      </c>
    </row>
    <row r="344" spans="1:27">
      <c r="A344" s="30">
        <f>339</f>
        <v>339</v>
      </c>
      <c r="B344" s="31">
        <f>EDATE(入力!$B$6,A344-1)</f>
        <v>56523</v>
      </c>
      <c r="C344" s="32">
        <f t="shared" si="85"/>
        <v>2407981</v>
      </c>
      <c r="D344" s="32">
        <f t="shared" si="86"/>
        <v>0</v>
      </c>
      <c r="E344" s="33">
        <f>IF(AND(T343="",A344&lt;=S343),IF(A344&lt;入力!$B$11,入力!$B$10,入力!$B$12),0)</f>
        <v>2.5000000000000001E-2</v>
      </c>
      <c r="F344" s="32">
        <f t="shared" si="87"/>
        <v>5017</v>
      </c>
      <c r="G344" s="32">
        <f>ROUND(IF(NOT(AND(T343="",A344&lt;=S343)),0,IF(FALSE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),0)</f>
        <v>117312</v>
      </c>
      <c r="H344" s="32">
        <f t="shared" si="88"/>
        <v>117312</v>
      </c>
      <c r="I344" s="32">
        <f t="shared" si="89"/>
        <v>5017</v>
      </c>
      <c r="J344" s="32">
        <f t="shared" si="90"/>
        <v>0</v>
      </c>
      <c r="K344" s="32">
        <f t="shared" si="91"/>
        <v>0</v>
      </c>
      <c r="L344" s="32">
        <f t="shared" si="92"/>
        <v>112295</v>
      </c>
      <c r="M344" s="32">
        <f>IF(AND(AND(T343="",A344&lt;=S343),A344=入力!$B$15),ROUND(MIN(入力!$B$16,MAX(0,C344-L344)),0),0)</f>
        <v>0</v>
      </c>
      <c r="N344" s="32">
        <f t="shared" si="93"/>
        <v>2295686</v>
      </c>
      <c r="O344" s="32">
        <f t="shared" si="94"/>
        <v>10674554</v>
      </c>
      <c r="P344" s="34" t="str">
        <f>IF(NOT(AND(T343="",A344&lt;=S343)),"",IF(FALSE,"繰上返済後再計算","")&amp;IF(AND(入力!$B$13="有効",A344&gt;1,MOD(A344-1,60)=0),IF(FALSE,"・","")&amp;"5年見直し","")&amp;IF(AND(A344=入力!$B$11,A344&gt;1),IF(OR(FALSE,AND(入力!$B$13="有効",A344&gt;1,MOD(A344-1,60)=0)),"・","")&amp;"金利変更","")&amp;IF(AND(OR(AND(入力!$B$13="有効",A344&gt;1,MOD(A344-1,60)=0),AND(A344=入力!$B$11,A344&gt;1)),入力!$B$14="有効",IF(E344=0,ROUND(C344/MAX(1,S343-A344+1),0),ROUND(-PMT(E344/12,MAX(1,S343-A344+1),C344),0))&gt;ROUND(G343*1.25,0),NOT(FALSE)),"・上限適用",""))</f>
        <v/>
      </c>
      <c r="Q344" s="35" t="str">
        <f>IF(AND(T343="",A344&lt;=S343),入力!$B$13,"")</f>
        <v>有効</v>
      </c>
      <c r="R344" s="32" t="str">
        <f>IF(AND(AND(T343="",A344&lt;=S343),OR(AND(入力!$B$13="有効",A344&gt;1,MOD(A344-1,60)=0),AND(A344=入力!$B$11,A344&gt;1)),入力!$B$14="有効"),ROUND(G343*1.25,0),"")</f>
        <v/>
      </c>
      <c r="S344" s="36">
        <f>IF(A344&lt;&gt;入力!$B$15,S343,IF(K344&lt;&gt;0,S343,IF(G344&lt;=F344,S343,IF(M344&lt;=0,S343,IF(AND(N344&gt;0,E344&gt;0,G344&lt;=N344*E344/12),S343,IF(A344+IF(N344=0,0,IF(E344=0,ROUNDUP(N344/G344,0),ROUNDUP(NPER(E344/12,-G344,N344),0)))&lt;S343,A344+IF(N344=0,0,IF(E344=0,ROUNDUP(N344/G344,0),ROUNDUP(NPER(E344/12,-G344,N344),0))),S343))))))</f>
        <v>359</v>
      </c>
      <c r="T344" s="35" t="str">
        <f t="shared" si="95"/>
        <v/>
      </c>
      <c r="U344" s="3">
        <f t="shared" si="80"/>
        <v>0</v>
      </c>
      <c r="V344" s="3">
        <f t="shared" si="81"/>
        <v>0</v>
      </c>
      <c r="W344" s="3">
        <f t="shared" si="82"/>
        <v>0</v>
      </c>
      <c r="X344" s="3">
        <f t="shared" si="83"/>
        <v>0</v>
      </c>
      <c r="Y344" s="3">
        <f>0</f>
        <v>0</v>
      </c>
      <c r="Z344" s="3">
        <f t="shared" si="84"/>
        <v>0</v>
      </c>
      <c r="AA344">
        <f>ROUND(IF(FALSE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,0)</f>
        <v>117312</v>
      </c>
    </row>
    <row r="345" spans="1:27">
      <c r="A345" s="30">
        <f>340</f>
        <v>340</v>
      </c>
      <c r="B345" s="31">
        <f>EDATE(入力!$B$6,A345-1)</f>
        <v>56554</v>
      </c>
      <c r="C345" s="32">
        <f t="shared" si="85"/>
        <v>2295686</v>
      </c>
      <c r="D345" s="32">
        <f t="shared" si="86"/>
        <v>0</v>
      </c>
      <c r="E345" s="33">
        <f>IF(AND(T344="",A345&lt;=S344),IF(A345&lt;入力!$B$11,入力!$B$10,入力!$B$12),0)</f>
        <v>2.5000000000000001E-2</v>
      </c>
      <c r="F345" s="32">
        <f t="shared" si="87"/>
        <v>4783</v>
      </c>
      <c r="G345" s="32">
        <f>ROUND(IF(NOT(AND(T344="",A345&lt;=S344)),0,IF(FALSE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),0)</f>
        <v>117312</v>
      </c>
      <c r="H345" s="32">
        <f t="shared" si="88"/>
        <v>117312</v>
      </c>
      <c r="I345" s="32">
        <f t="shared" si="89"/>
        <v>4783</v>
      </c>
      <c r="J345" s="32">
        <f t="shared" si="90"/>
        <v>0</v>
      </c>
      <c r="K345" s="32">
        <f t="shared" si="91"/>
        <v>0</v>
      </c>
      <c r="L345" s="32">
        <f t="shared" si="92"/>
        <v>112529</v>
      </c>
      <c r="M345" s="32">
        <f>IF(AND(AND(T344="",A345&lt;=S344),A345=入力!$B$15),ROUND(MIN(入力!$B$16,MAX(0,C345-L345)),0),0)</f>
        <v>0</v>
      </c>
      <c r="N345" s="32">
        <f t="shared" si="93"/>
        <v>2183157</v>
      </c>
      <c r="O345" s="32">
        <f t="shared" si="94"/>
        <v>10679337</v>
      </c>
      <c r="P345" s="34" t="str">
        <f>IF(NOT(AND(T344="",A345&lt;=S344)),"",IF(FALSE,"繰上返済後再計算","")&amp;IF(AND(入力!$B$13="有効",A345&gt;1,MOD(A345-1,60)=0),IF(FALSE,"・","")&amp;"5年見直し","")&amp;IF(AND(A345=入力!$B$11,A345&gt;1),IF(OR(FALSE,AND(入力!$B$13="有効",A345&gt;1,MOD(A345-1,60)=0)),"・","")&amp;"金利変更","")&amp;IF(AND(OR(AND(入力!$B$13="有効",A345&gt;1,MOD(A345-1,60)=0),AND(A345=入力!$B$11,A345&gt;1)),入力!$B$14="有効",IF(E345=0,ROUND(C345/MAX(1,S344-A345+1),0),ROUND(-PMT(E345/12,MAX(1,S344-A345+1),C345),0))&gt;ROUND(G344*1.25,0),NOT(FALSE)),"・上限適用",""))</f>
        <v/>
      </c>
      <c r="Q345" s="35" t="str">
        <f>IF(AND(T344="",A345&lt;=S344),入力!$B$13,"")</f>
        <v>有効</v>
      </c>
      <c r="R345" s="32" t="str">
        <f>IF(AND(AND(T344="",A345&lt;=S344),OR(AND(入力!$B$13="有効",A345&gt;1,MOD(A345-1,60)=0),AND(A345=入力!$B$11,A345&gt;1)),入力!$B$14="有効"),ROUND(G344*1.25,0),"")</f>
        <v/>
      </c>
      <c r="S345" s="36">
        <f>IF(A345&lt;&gt;入力!$B$15,S344,IF(K345&lt;&gt;0,S344,IF(G345&lt;=F345,S344,IF(M345&lt;=0,S344,IF(AND(N345&gt;0,E345&gt;0,G345&lt;=N345*E345/12),S344,IF(A345+IF(N345=0,0,IF(E345=0,ROUNDUP(N345/G345,0),ROUNDUP(NPER(E345/12,-G345,N345),0)))&lt;S344,A345+IF(N345=0,0,IF(E345=0,ROUNDUP(N345/G345,0),ROUNDUP(NPER(E345/12,-G345,N345),0))),S344))))))</f>
        <v>359</v>
      </c>
      <c r="T345" s="35" t="str">
        <f t="shared" si="95"/>
        <v/>
      </c>
      <c r="U345" s="3">
        <f t="shared" si="80"/>
        <v>0</v>
      </c>
      <c r="V345" s="3">
        <f t="shared" si="81"/>
        <v>0</v>
      </c>
      <c r="W345" s="3">
        <f t="shared" si="82"/>
        <v>0</v>
      </c>
      <c r="X345" s="3">
        <f t="shared" si="83"/>
        <v>0</v>
      </c>
      <c r="Y345" s="3">
        <f>0</f>
        <v>0</v>
      </c>
      <c r="Z345" s="3">
        <f t="shared" si="84"/>
        <v>0</v>
      </c>
      <c r="AA345">
        <f>ROUND(IF(FALSE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,0)</f>
        <v>117312</v>
      </c>
    </row>
    <row r="346" spans="1:27">
      <c r="A346" s="30">
        <f>341</f>
        <v>341</v>
      </c>
      <c r="B346" s="31">
        <f>EDATE(入力!$B$6,A346-1)</f>
        <v>56584</v>
      </c>
      <c r="C346" s="32">
        <f t="shared" si="85"/>
        <v>2183157</v>
      </c>
      <c r="D346" s="32">
        <f t="shared" si="86"/>
        <v>0</v>
      </c>
      <c r="E346" s="33">
        <f>IF(AND(T345="",A346&lt;=S345),IF(A346&lt;入力!$B$11,入力!$B$10,入力!$B$12),0)</f>
        <v>2.5000000000000001E-2</v>
      </c>
      <c r="F346" s="32">
        <f t="shared" si="87"/>
        <v>4548</v>
      </c>
      <c r="G346" s="32">
        <f>ROUND(IF(NOT(AND(T345="",A346&lt;=S345)),0,IF(FALSE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),0)</f>
        <v>117312</v>
      </c>
      <c r="H346" s="32">
        <f t="shared" si="88"/>
        <v>117312</v>
      </c>
      <c r="I346" s="32">
        <f t="shared" si="89"/>
        <v>4548</v>
      </c>
      <c r="J346" s="32">
        <f t="shared" si="90"/>
        <v>0</v>
      </c>
      <c r="K346" s="32">
        <f t="shared" si="91"/>
        <v>0</v>
      </c>
      <c r="L346" s="32">
        <f t="shared" si="92"/>
        <v>112764</v>
      </c>
      <c r="M346" s="32">
        <f>IF(AND(AND(T345="",A346&lt;=S345),A346=入力!$B$15),ROUND(MIN(入力!$B$16,MAX(0,C346-L346)),0),0)</f>
        <v>0</v>
      </c>
      <c r="N346" s="32">
        <f t="shared" si="93"/>
        <v>2070393</v>
      </c>
      <c r="O346" s="32">
        <f t="shared" si="94"/>
        <v>10683885</v>
      </c>
      <c r="P346" s="34" t="str">
        <f>IF(NOT(AND(T345="",A346&lt;=S345)),"",IF(FALSE,"繰上返済後再計算","")&amp;IF(AND(入力!$B$13="有効",A346&gt;1,MOD(A346-1,60)=0),IF(FALSE,"・","")&amp;"5年見直し","")&amp;IF(AND(A346=入力!$B$11,A346&gt;1),IF(OR(FALSE,AND(入力!$B$13="有効",A346&gt;1,MOD(A346-1,60)=0)),"・","")&amp;"金利変更","")&amp;IF(AND(OR(AND(入力!$B$13="有効",A346&gt;1,MOD(A346-1,60)=0),AND(A346=入力!$B$11,A346&gt;1)),入力!$B$14="有効",IF(E346=0,ROUND(C346/MAX(1,S345-A346+1),0),ROUND(-PMT(E346/12,MAX(1,S345-A346+1),C346),0))&gt;ROUND(G345*1.25,0),NOT(FALSE)),"・上限適用",""))</f>
        <v/>
      </c>
      <c r="Q346" s="35" t="str">
        <f>IF(AND(T345="",A346&lt;=S345),入力!$B$13,"")</f>
        <v>有効</v>
      </c>
      <c r="R346" s="32" t="str">
        <f>IF(AND(AND(T345="",A346&lt;=S345),OR(AND(入力!$B$13="有効",A346&gt;1,MOD(A346-1,60)=0),AND(A346=入力!$B$11,A346&gt;1)),入力!$B$14="有効"),ROUND(G345*1.25,0),"")</f>
        <v/>
      </c>
      <c r="S346" s="36">
        <f>IF(A346&lt;&gt;入力!$B$15,S345,IF(K346&lt;&gt;0,S345,IF(G346&lt;=F346,S345,IF(M346&lt;=0,S345,IF(AND(N346&gt;0,E346&gt;0,G346&lt;=N346*E346/12),S345,IF(A346+IF(N346=0,0,IF(E346=0,ROUNDUP(N346/G346,0),ROUNDUP(NPER(E346/12,-G346,N346),0)))&lt;S345,A346+IF(N346=0,0,IF(E346=0,ROUNDUP(N346/G346,0),ROUNDUP(NPER(E346/12,-G346,N346),0))),S345))))))</f>
        <v>359</v>
      </c>
      <c r="T346" s="35" t="str">
        <f t="shared" si="95"/>
        <v/>
      </c>
      <c r="U346" s="3">
        <f t="shared" si="80"/>
        <v>0</v>
      </c>
      <c r="V346" s="3">
        <f t="shared" si="81"/>
        <v>0</v>
      </c>
      <c r="W346" s="3">
        <f t="shared" si="82"/>
        <v>0</v>
      </c>
      <c r="X346" s="3">
        <f t="shared" si="83"/>
        <v>0</v>
      </c>
      <c r="Y346" s="3">
        <f>0</f>
        <v>0</v>
      </c>
      <c r="Z346" s="3">
        <f t="shared" si="84"/>
        <v>0</v>
      </c>
      <c r="AA346">
        <f>ROUND(IF(FALSE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,0)</f>
        <v>117312</v>
      </c>
    </row>
    <row r="347" spans="1:27">
      <c r="A347" s="30">
        <f>342</f>
        <v>342</v>
      </c>
      <c r="B347" s="31">
        <f>EDATE(入力!$B$6,A347-1)</f>
        <v>56615</v>
      </c>
      <c r="C347" s="32">
        <f t="shared" si="85"/>
        <v>2070393</v>
      </c>
      <c r="D347" s="32">
        <f t="shared" si="86"/>
        <v>0</v>
      </c>
      <c r="E347" s="33">
        <f>IF(AND(T346="",A347&lt;=S346),IF(A347&lt;入力!$B$11,入力!$B$10,入力!$B$12),0)</f>
        <v>2.5000000000000001E-2</v>
      </c>
      <c r="F347" s="32">
        <f t="shared" si="87"/>
        <v>4313</v>
      </c>
      <c r="G347" s="32">
        <f>ROUND(IF(NOT(AND(T346="",A347&lt;=S346)),0,IF(FALSE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),0)</f>
        <v>117312</v>
      </c>
      <c r="H347" s="32">
        <f t="shared" si="88"/>
        <v>117312</v>
      </c>
      <c r="I347" s="32">
        <f t="shared" si="89"/>
        <v>4313</v>
      </c>
      <c r="J347" s="32">
        <f t="shared" si="90"/>
        <v>0</v>
      </c>
      <c r="K347" s="32">
        <f t="shared" si="91"/>
        <v>0</v>
      </c>
      <c r="L347" s="32">
        <f t="shared" si="92"/>
        <v>112999</v>
      </c>
      <c r="M347" s="32">
        <f>IF(AND(AND(T346="",A347&lt;=S346),A347=入力!$B$15),ROUND(MIN(入力!$B$16,MAX(0,C347-L347)),0),0)</f>
        <v>0</v>
      </c>
      <c r="N347" s="32">
        <f t="shared" si="93"/>
        <v>1957394</v>
      </c>
      <c r="O347" s="32">
        <f t="shared" si="94"/>
        <v>10688198</v>
      </c>
      <c r="P347" s="34" t="str">
        <f>IF(NOT(AND(T346="",A347&lt;=S346)),"",IF(FALSE,"繰上返済後再計算","")&amp;IF(AND(入力!$B$13="有効",A347&gt;1,MOD(A347-1,60)=0),IF(FALSE,"・","")&amp;"5年見直し","")&amp;IF(AND(A347=入力!$B$11,A347&gt;1),IF(OR(FALSE,AND(入力!$B$13="有効",A347&gt;1,MOD(A347-1,60)=0)),"・","")&amp;"金利変更","")&amp;IF(AND(OR(AND(入力!$B$13="有効",A347&gt;1,MOD(A347-1,60)=0),AND(A347=入力!$B$11,A347&gt;1)),入力!$B$14="有効",IF(E347=0,ROUND(C347/MAX(1,S346-A347+1),0),ROUND(-PMT(E347/12,MAX(1,S346-A347+1),C347),0))&gt;ROUND(G346*1.25,0),NOT(FALSE)),"・上限適用",""))</f>
        <v/>
      </c>
      <c r="Q347" s="35" t="str">
        <f>IF(AND(T346="",A347&lt;=S346),入力!$B$13,"")</f>
        <v>有効</v>
      </c>
      <c r="R347" s="32" t="str">
        <f>IF(AND(AND(T346="",A347&lt;=S346),OR(AND(入力!$B$13="有効",A347&gt;1,MOD(A347-1,60)=0),AND(A347=入力!$B$11,A347&gt;1)),入力!$B$14="有効"),ROUND(G346*1.25,0),"")</f>
        <v/>
      </c>
      <c r="S347" s="36">
        <f>IF(A347&lt;&gt;入力!$B$15,S346,IF(K347&lt;&gt;0,S346,IF(G347&lt;=F347,S346,IF(M347&lt;=0,S346,IF(AND(N347&gt;0,E347&gt;0,G347&lt;=N347*E347/12),S346,IF(A347+IF(N347=0,0,IF(E347=0,ROUNDUP(N347/G347,0),ROUNDUP(NPER(E347/12,-G347,N347),0)))&lt;S346,A347+IF(N347=0,0,IF(E347=0,ROUNDUP(N347/G347,0),ROUNDUP(NPER(E347/12,-G347,N347),0))),S346))))))</f>
        <v>359</v>
      </c>
      <c r="T347" s="35" t="str">
        <f t="shared" si="95"/>
        <v/>
      </c>
      <c r="U347" s="3">
        <f t="shared" si="80"/>
        <v>0</v>
      </c>
      <c r="V347" s="3">
        <f t="shared" si="81"/>
        <v>0</v>
      </c>
      <c r="W347" s="3">
        <f t="shared" si="82"/>
        <v>0</v>
      </c>
      <c r="X347" s="3">
        <f t="shared" si="83"/>
        <v>0</v>
      </c>
      <c r="Y347" s="3">
        <f>0</f>
        <v>0</v>
      </c>
      <c r="Z347" s="3">
        <f t="shared" si="84"/>
        <v>0</v>
      </c>
      <c r="AA347">
        <f>ROUND(IF(FALSE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,0)</f>
        <v>117312</v>
      </c>
    </row>
    <row r="348" spans="1:27">
      <c r="A348" s="30">
        <f>343</f>
        <v>343</v>
      </c>
      <c r="B348" s="31">
        <f>EDATE(入力!$B$6,A348-1)</f>
        <v>56646</v>
      </c>
      <c r="C348" s="32">
        <f t="shared" si="85"/>
        <v>1957394</v>
      </c>
      <c r="D348" s="32">
        <f t="shared" si="86"/>
        <v>0</v>
      </c>
      <c r="E348" s="33">
        <f>IF(AND(T347="",A348&lt;=S347),IF(A348&lt;入力!$B$11,入力!$B$10,入力!$B$12),0)</f>
        <v>2.5000000000000001E-2</v>
      </c>
      <c r="F348" s="32">
        <f t="shared" si="87"/>
        <v>4078</v>
      </c>
      <c r="G348" s="32">
        <f>ROUND(IF(NOT(AND(T347="",A348&lt;=S347)),0,IF(FALSE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),0)</f>
        <v>117312</v>
      </c>
      <c r="H348" s="32">
        <f t="shared" si="88"/>
        <v>117312</v>
      </c>
      <c r="I348" s="32">
        <f t="shared" si="89"/>
        <v>4078</v>
      </c>
      <c r="J348" s="32">
        <f t="shared" si="90"/>
        <v>0</v>
      </c>
      <c r="K348" s="32">
        <f t="shared" si="91"/>
        <v>0</v>
      </c>
      <c r="L348" s="32">
        <f t="shared" si="92"/>
        <v>113234</v>
      </c>
      <c r="M348" s="32">
        <f>IF(AND(AND(T347="",A348&lt;=S347),A348=入力!$B$15),ROUND(MIN(入力!$B$16,MAX(0,C348-L348)),0),0)</f>
        <v>0</v>
      </c>
      <c r="N348" s="32">
        <f t="shared" si="93"/>
        <v>1844160</v>
      </c>
      <c r="O348" s="32">
        <f t="shared" si="94"/>
        <v>10692276</v>
      </c>
      <c r="P348" s="34" t="str">
        <f>IF(NOT(AND(T347="",A348&lt;=S347)),"",IF(FALSE,"繰上返済後再計算","")&amp;IF(AND(入力!$B$13="有効",A348&gt;1,MOD(A348-1,60)=0),IF(FALSE,"・","")&amp;"5年見直し","")&amp;IF(AND(A348=入力!$B$11,A348&gt;1),IF(OR(FALSE,AND(入力!$B$13="有効",A348&gt;1,MOD(A348-1,60)=0)),"・","")&amp;"金利変更","")&amp;IF(AND(OR(AND(入力!$B$13="有効",A348&gt;1,MOD(A348-1,60)=0),AND(A348=入力!$B$11,A348&gt;1)),入力!$B$14="有効",IF(E348=0,ROUND(C348/MAX(1,S347-A348+1),0),ROUND(-PMT(E348/12,MAX(1,S347-A348+1),C348),0))&gt;ROUND(G347*1.25,0),NOT(FALSE)),"・上限適用",""))</f>
        <v/>
      </c>
      <c r="Q348" s="35" t="str">
        <f>IF(AND(T347="",A348&lt;=S347),入力!$B$13,"")</f>
        <v>有効</v>
      </c>
      <c r="R348" s="32" t="str">
        <f>IF(AND(AND(T347="",A348&lt;=S347),OR(AND(入力!$B$13="有効",A348&gt;1,MOD(A348-1,60)=0),AND(A348=入力!$B$11,A348&gt;1)),入力!$B$14="有効"),ROUND(G347*1.25,0),"")</f>
        <v/>
      </c>
      <c r="S348" s="36">
        <f>IF(A348&lt;&gt;入力!$B$15,S347,IF(K348&lt;&gt;0,S347,IF(G348&lt;=F348,S347,IF(M348&lt;=0,S347,IF(AND(N348&gt;0,E348&gt;0,G348&lt;=N348*E348/12),S347,IF(A348+IF(N348=0,0,IF(E348=0,ROUNDUP(N348/G348,0),ROUNDUP(NPER(E348/12,-G348,N348),0)))&lt;S347,A348+IF(N348=0,0,IF(E348=0,ROUNDUP(N348/G348,0),ROUNDUP(NPER(E348/12,-G348,N348),0))),S347))))))</f>
        <v>359</v>
      </c>
      <c r="T348" s="35" t="str">
        <f t="shared" si="95"/>
        <v/>
      </c>
      <c r="U348" s="3">
        <f t="shared" si="80"/>
        <v>0</v>
      </c>
      <c r="V348" s="3">
        <f t="shared" si="81"/>
        <v>0</v>
      </c>
      <c r="W348" s="3">
        <f t="shared" si="82"/>
        <v>0</v>
      </c>
      <c r="X348" s="3">
        <f t="shared" si="83"/>
        <v>0</v>
      </c>
      <c r="Y348" s="3">
        <f>0</f>
        <v>0</v>
      </c>
      <c r="Z348" s="3">
        <f t="shared" si="84"/>
        <v>0</v>
      </c>
      <c r="AA348">
        <f>ROUND(IF(FALSE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,0)</f>
        <v>117312</v>
      </c>
    </row>
    <row r="349" spans="1:27">
      <c r="A349" s="30">
        <f>344</f>
        <v>344</v>
      </c>
      <c r="B349" s="31">
        <f>EDATE(入力!$B$6,A349-1)</f>
        <v>56674</v>
      </c>
      <c r="C349" s="32">
        <f t="shared" si="85"/>
        <v>1844160</v>
      </c>
      <c r="D349" s="32">
        <f t="shared" si="86"/>
        <v>0</v>
      </c>
      <c r="E349" s="33">
        <f>IF(AND(T348="",A349&lt;=S348),IF(A349&lt;入力!$B$11,入力!$B$10,入力!$B$12),0)</f>
        <v>2.5000000000000001E-2</v>
      </c>
      <c r="F349" s="32">
        <f t="shared" si="87"/>
        <v>3842</v>
      </c>
      <c r="G349" s="32">
        <f>ROUND(IF(NOT(AND(T348="",A349&lt;=S348)),0,IF(FALSE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),0)</f>
        <v>117312</v>
      </c>
      <c r="H349" s="32">
        <f t="shared" si="88"/>
        <v>117312</v>
      </c>
      <c r="I349" s="32">
        <f t="shared" si="89"/>
        <v>3842</v>
      </c>
      <c r="J349" s="32">
        <f t="shared" si="90"/>
        <v>0</v>
      </c>
      <c r="K349" s="32">
        <f t="shared" si="91"/>
        <v>0</v>
      </c>
      <c r="L349" s="32">
        <f t="shared" si="92"/>
        <v>113470</v>
      </c>
      <c r="M349" s="32">
        <f>IF(AND(AND(T348="",A349&lt;=S348),A349=入力!$B$15),ROUND(MIN(入力!$B$16,MAX(0,C349-L349)),0),0)</f>
        <v>0</v>
      </c>
      <c r="N349" s="32">
        <f t="shared" si="93"/>
        <v>1730690</v>
      </c>
      <c r="O349" s="32">
        <f t="shared" si="94"/>
        <v>10696118</v>
      </c>
      <c r="P349" s="34" t="str">
        <f>IF(NOT(AND(T348="",A349&lt;=S348)),"",IF(FALSE,"繰上返済後再計算","")&amp;IF(AND(入力!$B$13="有効",A349&gt;1,MOD(A349-1,60)=0),IF(FALSE,"・","")&amp;"5年見直し","")&amp;IF(AND(A349=入力!$B$11,A349&gt;1),IF(OR(FALSE,AND(入力!$B$13="有効",A349&gt;1,MOD(A349-1,60)=0)),"・","")&amp;"金利変更","")&amp;IF(AND(OR(AND(入力!$B$13="有効",A349&gt;1,MOD(A349-1,60)=0),AND(A349=入力!$B$11,A349&gt;1)),入力!$B$14="有効",IF(E349=0,ROUND(C349/MAX(1,S348-A349+1),0),ROUND(-PMT(E349/12,MAX(1,S348-A349+1),C349),0))&gt;ROUND(G348*1.25,0),NOT(FALSE)),"・上限適用",""))</f>
        <v/>
      </c>
      <c r="Q349" s="35" t="str">
        <f>IF(AND(T348="",A349&lt;=S348),入力!$B$13,"")</f>
        <v>有効</v>
      </c>
      <c r="R349" s="32" t="str">
        <f>IF(AND(AND(T348="",A349&lt;=S348),OR(AND(入力!$B$13="有効",A349&gt;1,MOD(A349-1,60)=0),AND(A349=入力!$B$11,A349&gt;1)),入力!$B$14="有効"),ROUND(G348*1.25,0),"")</f>
        <v/>
      </c>
      <c r="S349" s="36">
        <f>IF(A349&lt;&gt;入力!$B$15,S348,IF(K349&lt;&gt;0,S348,IF(G349&lt;=F349,S348,IF(M349&lt;=0,S348,IF(AND(N349&gt;0,E349&gt;0,G349&lt;=N349*E349/12),S348,IF(A349+IF(N349=0,0,IF(E349=0,ROUNDUP(N349/G349,0),ROUNDUP(NPER(E349/12,-G349,N349),0)))&lt;S348,A349+IF(N349=0,0,IF(E349=0,ROUNDUP(N349/G349,0),ROUNDUP(NPER(E349/12,-G349,N349),0))),S348))))))</f>
        <v>359</v>
      </c>
      <c r="T349" s="35" t="str">
        <f t="shared" si="95"/>
        <v/>
      </c>
      <c r="U349" s="3">
        <f t="shared" si="80"/>
        <v>0</v>
      </c>
      <c r="V349" s="3">
        <f t="shared" si="81"/>
        <v>0</v>
      </c>
      <c r="W349" s="3">
        <f t="shared" si="82"/>
        <v>0</v>
      </c>
      <c r="X349" s="3">
        <f t="shared" si="83"/>
        <v>0</v>
      </c>
      <c r="Y349" s="3">
        <f>0</f>
        <v>0</v>
      </c>
      <c r="Z349" s="3">
        <f t="shared" si="84"/>
        <v>0</v>
      </c>
      <c r="AA349">
        <f>ROUND(IF(FALSE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,0)</f>
        <v>117312</v>
      </c>
    </row>
    <row r="350" spans="1:27">
      <c r="A350" s="30">
        <f>345</f>
        <v>345</v>
      </c>
      <c r="B350" s="31">
        <f>EDATE(入力!$B$6,A350-1)</f>
        <v>56705</v>
      </c>
      <c r="C350" s="32">
        <f t="shared" si="85"/>
        <v>1730690</v>
      </c>
      <c r="D350" s="32">
        <f t="shared" si="86"/>
        <v>0</v>
      </c>
      <c r="E350" s="33">
        <f>IF(AND(T349="",A350&lt;=S349),IF(A350&lt;入力!$B$11,入力!$B$10,入力!$B$12),0)</f>
        <v>2.5000000000000001E-2</v>
      </c>
      <c r="F350" s="32">
        <f t="shared" si="87"/>
        <v>3606</v>
      </c>
      <c r="G350" s="32">
        <f>ROUND(IF(NOT(AND(T349="",A350&lt;=S349)),0,IF(FALSE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),0)</f>
        <v>117312</v>
      </c>
      <c r="H350" s="32">
        <f t="shared" si="88"/>
        <v>117312</v>
      </c>
      <c r="I350" s="32">
        <f t="shared" si="89"/>
        <v>3606</v>
      </c>
      <c r="J350" s="32">
        <f t="shared" si="90"/>
        <v>0</v>
      </c>
      <c r="K350" s="32">
        <f t="shared" si="91"/>
        <v>0</v>
      </c>
      <c r="L350" s="32">
        <f t="shared" si="92"/>
        <v>113706</v>
      </c>
      <c r="M350" s="32">
        <f>IF(AND(AND(T349="",A350&lt;=S349),A350=入力!$B$15),ROUND(MIN(入力!$B$16,MAX(0,C350-L350)),0),0)</f>
        <v>0</v>
      </c>
      <c r="N350" s="32">
        <f t="shared" si="93"/>
        <v>1616984</v>
      </c>
      <c r="O350" s="32">
        <f t="shared" si="94"/>
        <v>10699724</v>
      </c>
      <c r="P350" s="34" t="str">
        <f>IF(NOT(AND(T349="",A350&lt;=S349)),"",IF(FALSE,"繰上返済後再計算","")&amp;IF(AND(入力!$B$13="有効",A350&gt;1,MOD(A350-1,60)=0),IF(FALSE,"・","")&amp;"5年見直し","")&amp;IF(AND(A350=入力!$B$11,A350&gt;1),IF(OR(FALSE,AND(入力!$B$13="有効",A350&gt;1,MOD(A350-1,60)=0)),"・","")&amp;"金利変更","")&amp;IF(AND(OR(AND(入力!$B$13="有効",A350&gt;1,MOD(A350-1,60)=0),AND(A350=入力!$B$11,A350&gt;1)),入力!$B$14="有効",IF(E350=0,ROUND(C350/MAX(1,S349-A350+1),0),ROUND(-PMT(E350/12,MAX(1,S349-A350+1),C350),0))&gt;ROUND(G349*1.25,0),NOT(FALSE)),"・上限適用",""))</f>
        <v/>
      </c>
      <c r="Q350" s="35" t="str">
        <f>IF(AND(T349="",A350&lt;=S349),入力!$B$13,"")</f>
        <v>有効</v>
      </c>
      <c r="R350" s="32" t="str">
        <f>IF(AND(AND(T349="",A350&lt;=S349),OR(AND(入力!$B$13="有効",A350&gt;1,MOD(A350-1,60)=0),AND(A350=入力!$B$11,A350&gt;1)),入力!$B$14="有効"),ROUND(G349*1.25,0),"")</f>
        <v/>
      </c>
      <c r="S350" s="36">
        <f>IF(A350&lt;&gt;入力!$B$15,S349,IF(K350&lt;&gt;0,S349,IF(G350&lt;=F350,S349,IF(M350&lt;=0,S349,IF(AND(N350&gt;0,E350&gt;0,G350&lt;=N350*E350/12),S349,IF(A350+IF(N350=0,0,IF(E350=0,ROUNDUP(N350/G350,0),ROUNDUP(NPER(E350/12,-G350,N350),0)))&lt;S349,A350+IF(N350=0,0,IF(E350=0,ROUNDUP(N350/G350,0),ROUNDUP(NPER(E350/12,-G350,N350),0))),S349))))))</f>
        <v>359</v>
      </c>
      <c r="T350" s="35" t="str">
        <f t="shared" si="95"/>
        <v/>
      </c>
      <c r="U350" s="3">
        <f t="shared" si="80"/>
        <v>0</v>
      </c>
      <c r="V350" s="3">
        <f t="shared" si="81"/>
        <v>0</v>
      </c>
      <c r="W350" s="3">
        <f t="shared" si="82"/>
        <v>0</v>
      </c>
      <c r="X350" s="3">
        <f t="shared" si="83"/>
        <v>0</v>
      </c>
      <c r="Y350" s="3">
        <f>0</f>
        <v>0</v>
      </c>
      <c r="Z350" s="3">
        <f t="shared" si="84"/>
        <v>0</v>
      </c>
      <c r="AA350">
        <f>ROUND(IF(FALSE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,0)</f>
        <v>117312</v>
      </c>
    </row>
    <row r="351" spans="1:27">
      <c r="A351" s="30">
        <f>346</f>
        <v>346</v>
      </c>
      <c r="B351" s="31">
        <f>EDATE(入力!$B$6,A351-1)</f>
        <v>56735</v>
      </c>
      <c r="C351" s="32">
        <f t="shared" si="85"/>
        <v>1616984</v>
      </c>
      <c r="D351" s="32">
        <f t="shared" si="86"/>
        <v>0</v>
      </c>
      <c r="E351" s="33">
        <f>IF(AND(T350="",A351&lt;=S350),IF(A351&lt;入力!$B$11,入力!$B$10,入力!$B$12),0)</f>
        <v>2.5000000000000001E-2</v>
      </c>
      <c r="F351" s="32">
        <f t="shared" si="87"/>
        <v>3369</v>
      </c>
      <c r="G351" s="32">
        <f>ROUND(IF(NOT(AND(T350="",A351&lt;=S350)),0,IF(FALSE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),0)</f>
        <v>117312</v>
      </c>
      <c r="H351" s="32">
        <f t="shared" si="88"/>
        <v>117312</v>
      </c>
      <c r="I351" s="32">
        <f t="shared" si="89"/>
        <v>3369</v>
      </c>
      <c r="J351" s="32">
        <f t="shared" si="90"/>
        <v>0</v>
      </c>
      <c r="K351" s="32">
        <f t="shared" si="91"/>
        <v>0</v>
      </c>
      <c r="L351" s="32">
        <f t="shared" si="92"/>
        <v>113943</v>
      </c>
      <c r="M351" s="32">
        <f>IF(AND(AND(T350="",A351&lt;=S350),A351=入力!$B$15),ROUND(MIN(入力!$B$16,MAX(0,C351-L351)),0),0)</f>
        <v>0</v>
      </c>
      <c r="N351" s="32">
        <f t="shared" si="93"/>
        <v>1503041</v>
      </c>
      <c r="O351" s="32">
        <f t="shared" si="94"/>
        <v>10703093</v>
      </c>
      <c r="P351" s="34" t="str">
        <f>IF(NOT(AND(T350="",A351&lt;=S350)),"",IF(FALSE,"繰上返済後再計算","")&amp;IF(AND(入力!$B$13="有効",A351&gt;1,MOD(A351-1,60)=0),IF(FALSE,"・","")&amp;"5年見直し","")&amp;IF(AND(A351=入力!$B$11,A351&gt;1),IF(OR(FALSE,AND(入力!$B$13="有効",A351&gt;1,MOD(A351-1,60)=0)),"・","")&amp;"金利変更","")&amp;IF(AND(OR(AND(入力!$B$13="有効",A351&gt;1,MOD(A351-1,60)=0),AND(A351=入力!$B$11,A351&gt;1)),入力!$B$14="有効",IF(E351=0,ROUND(C351/MAX(1,S350-A351+1),0),ROUND(-PMT(E351/12,MAX(1,S350-A351+1),C351),0))&gt;ROUND(G350*1.25,0),NOT(FALSE)),"・上限適用",""))</f>
        <v/>
      </c>
      <c r="Q351" s="35" t="str">
        <f>IF(AND(T350="",A351&lt;=S350),入力!$B$13,"")</f>
        <v>有効</v>
      </c>
      <c r="R351" s="32" t="str">
        <f>IF(AND(AND(T350="",A351&lt;=S350),OR(AND(入力!$B$13="有効",A351&gt;1,MOD(A351-1,60)=0),AND(A351=入力!$B$11,A351&gt;1)),入力!$B$14="有効"),ROUND(G350*1.25,0),"")</f>
        <v/>
      </c>
      <c r="S351" s="36">
        <f>IF(A351&lt;&gt;入力!$B$15,S350,IF(K351&lt;&gt;0,S350,IF(G351&lt;=F351,S350,IF(M351&lt;=0,S350,IF(AND(N351&gt;0,E351&gt;0,G351&lt;=N351*E351/12),S350,IF(A351+IF(N351=0,0,IF(E351=0,ROUNDUP(N351/G351,0),ROUNDUP(NPER(E351/12,-G351,N351),0)))&lt;S350,A351+IF(N351=0,0,IF(E351=0,ROUNDUP(N351/G351,0),ROUNDUP(NPER(E351/12,-G351,N351),0))),S350))))))</f>
        <v>359</v>
      </c>
      <c r="T351" s="35" t="str">
        <f t="shared" si="95"/>
        <v/>
      </c>
      <c r="U351" s="3">
        <f t="shared" si="80"/>
        <v>0</v>
      </c>
      <c r="V351" s="3">
        <f t="shared" si="81"/>
        <v>0</v>
      </c>
      <c r="W351" s="3">
        <f t="shared" si="82"/>
        <v>0</v>
      </c>
      <c r="X351" s="3">
        <f t="shared" si="83"/>
        <v>0</v>
      </c>
      <c r="Y351" s="3">
        <f>0</f>
        <v>0</v>
      </c>
      <c r="Z351" s="3">
        <f t="shared" si="84"/>
        <v>0</v>
      </c>
      <c r="AA351">
        <f>ROUND(IF(FALSE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,0)</f>
        <v>117312</v>
      </c>
    </row>
    <row r="352" spans="1:27">
      <c r="A352" s="30">
        <f>347</f>
        <v>347</v>
      </c>
      <c r="B352" s="31">
        <f>EDATE(入力!$B$6,A352-1)</f>
        <v>56766</v>
      </c>
      <c r="C352" s="32">
        <f t="shared" si="85"/>
        <v>1503041</v>
      </c>
      <c r="D352" s="32">
        <f t="shared" si="86"/>
        <v>0</v>
      </c>
      <c r="E352" s="33">
        <f>IF(AND(T351="",A352&lt;=S351),IF(A352&lt;入力!$B$11,入力!$B$10,入力!$B$12),0)</f>
        <v>2.5000000000000001E-2</v>
      </c>
      <c r="F352" s="32">
        <f t="shared" si="87"/>
        <v>3131</v>
      </c>
      <c r="G352" s="32">
        <f>ROUND(IF(NOT(AND(T351="",A352&lt;=S351)),0,IF(FALSE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),0)</f>
        <v>117312</v>
      </c>
      <c r="H352" s="32">
        <f t="shared" si="88"/>
        <v>117312</v>
      </c>
      <c r="I352" s="32">
        <f t="shared" si="89"/>
        <v>3131</v>
      </c>
      <c r="J352" s="32">
        <f t="shared" si="90"/>
        <v>0</v>
      </c>
      <c r="K352" s="32">
        <f t="shared" si="91"/>
        <v>0</v>
      </c>
      <c r="L352" s="32">
        <f t="shared" si="92"/>
        <v>114181</v>
      </c>
      <c r="M352" s="32">
        <f>IF(AND(AND(T351="",A352&lt;=S351),A352=入力!$B$15),ROUND(MIN(入力!$B$16,MAX(0,C352-L352)),0),0)</f>
        <v>0</v>
      </c>
      <c r="N352" s="32">
        <f t="shared" si="93"/>
        <v>1388860</v>
      </c>
      <c r="O352" s="32">
        <f t="shared" si="94"/>
        <v>10706224</v>
      </c>
      <c r="P352" s="34" t="str">
        <f>IF(NOT(AND(T351="",A352&lt;=S351)),"",IF(FALSE,"繰上返済後再計算","")&amp;IF(AND(入力!$B$13="有効",A352&gt;1,MOD(A352-1,60)=0),IF(FALSE,"・","")&amp;"5年見直し","")&amp;IF(AND(A352=入力!$B$11,A352&gt;1),IF(OR(FALSE,AND(入力!$B$13="有効",A352&gt;1,MOD(A352-1,60)=0)),"・","")&amp;"金利変更","")&amp;IF(AND(OR(AND(入力!$B$13="有効",A352&gt;1,MOD(A352-1,60)=0),AND(A352=入力!$B$11,A352&gt;1)),入力!$B$14="有効",IF(E352=0,ROUND(C352/MAX(1,S351-A352+1),0),ROUND(-PMT(E352/12,MAX(1,S351-A352+1),C352),0))&gt;ROUND(G351*1.25,0),NOT(FALSE)),"・上限適用",""))</f>
        <v/>
      </c>
      <c r="Q352" s="35" t="str">
        <f>IF(AND(T351="",A352&lt;=S351),入力!$B$13,"")</f>
        <v>有効</v>
      </c>
      <c r="R352" s="32" t="str">
        <f>IF(AND(AND(T351="",A352&lt;=S351),OR(AND(入力!$B$13="有効",A352&gt;1,MOD(A352-1,60)=0),AND(A352=入力!$B$11,A352&gt;1)),入力!$B$14="有効"),ROUND(G351*1.25,0),"")</f>
        <v/>
      </c>
      <c r="S352" s="36">
        <f>IF(A352&lt;&gt;入力!$B$15,S351,IF(K352&lt;&gt;0,S351,IF(G352&lt;=F352,S351,IF(M352&lt;=0,S351,IF(AND(N352&gt;0,E352&gt;0,G352&lt;=N352*E352/12),S351,IF(A352+IF(N352=0,0,IF(E352=0,ROUNDUP(N352/G352,0),ROUNDUP(NPER(E352/12,-G352,N352),0)))&lt;S351,A352+IF(N352=0,0,IF(E352=0,ROUNDUP(N352/G352,0),ROUNDUP(NPER(E352/12,-G352,N352),0))),S351))))))</f>
        <v>359</v>
      </c>
      <c r="T352" s="35" t="str">
        <f t="shared" si="95"/>
        <v/>
      </c>
      <c r="U352" s="3">
        <f t="shared" si="80"/>
        <v>0</v>
      </c>
      <c r="V352" s="3">
        <f t="shared" si="81"/>
        <v>0</v>
      </c>
      <c r="W352" s="3">
        <f t="shared" si="82"/>
        <v>0</v>
      </c>
      <c r="X352" s="3">
        <f t="shared" si="83"/>
        <v>0</v>
      </c>
      <c r="Y352" s="3">
        <f>0</f>
        <v>0</v>
      </c>
      <c r="Z352" s="3">
        <f t="shared" si="84"/>
        <v>0</v>
      </c>
      <c r="AA352">
        <f>ROUND(IF(FALSE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,0)</f>
        <v>117312</v>
      </c>
    </row>
    <row r="353" spans="1:27">
      <c r="A353" s="30">
        <f>348</f>
        <v>348</v>
      </c>
      <c r="B353" s="31">
        <f>EDATE(入力!$B$6,A353-1)</f>
        <v>56796</v>
      </c>
      <c r="C353" s="32">
        <f t="shared" si="85"/>
        <v>1388860</v>
      </c>
      <c r="D353" s="32">
        <f t="shared" si="86"/>
        <v>0</v>
      </c>
      <c r="E353" s="33">
        <f>IF(AND(T352="",A353&lt;=S352),IF(A353&lt;入力!$B$11,入力!$B$10,入力!$B$12),0)</f>
        <v>2.5000000000000001E-2</v>
      </c>
      <c r="F353" s="32">
        <f t="shared" si="87"/>
        <v>2893</v>
      </c>
      <c r="G353" s="32">
        <f>ROUND(IF(NOT(AND(T352="",A353&lt;=S352)),0,IF(FALSE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),0)</f>
        <v>117312</v>
      </c>
      <c r="H353" s="32">
        <f t="shared" si="88"/>
        <v>117312</v>
      </c>
      <c r="I353" s="32">
        <f t="shared" si="89"/>
        <v>2893</v>
      </c>
      <c r="J353" s="32">
        <f t="shared" si="90"/>
        <v>0</v>
      </c>
      <c r="K353" s="32">
        <f t="shared" si="91"/>
        <v>0</v>
      </c>
      <c r="L353" s="32">
        <f t="shared" si="92"/>
        <v>114419</v>
      </c>
      <c r="M353" s="32">
        <f>IF(AND(AND(T352="",A353&lt;=S352),A353=入力!$B$15),ROUND(MIN(入力!$B$16,MAX(0,C353-L353)),0),0)</f>
        <v>0</v>
      </c>
      <c r="N353" s="32">
        <f t="shared" si="93"/>
        <v>1274441</v>
      </c>
      <c r="O353" s="32">
        <f t="shared" si="94"/>
        <v>10709117</v>
      </c>
      <c r="P353" s="34" t="str">
        <f>IF(NOT(AND(T352="",A353&lt;=S352)),"",IF(FALSE,"繰上返済後再計算","")&amp;IF(AND(入力!$B$13="有効",A353&gt;1,MOD(A353-1,60)=0),IF(FALSE,"・","")&amp;"5年見直し","")&amp;IF(AND(A353=入力!$B$11,A353&gt;1),IF(OR(FALSE,AND(入力!$B$13="有効",A353&gt;1,MOD(A353-1,60)=0)),"・","")&amp;"金利変更","")&amp;IF(AND(OR(AND(入力!$B$13="有効",A353&gt;1,MOD(A353-1,60)=0),AND(A353=入力!$B$11,A353&gt;1)),入力!$B$14="有効",IF(E353=0,ROUND(C353/MAX(1,S352-A353+1),0),ROUND(-PMT(E353/12,MAX(1,S352-A353+1),C353),0))&gt;ROUND(G352*1.25,0),NOT(FALSE)),"・上限適用",""))</f>
        <v/>
      </c>
      <c r="Q353" s="35" t="str">
        <f>IF(AND(T352="",A353&lt;=S352),入力!$B$13,"")</f>
        <v>有効</v>
      </c>
      <c r="R353" s="32" t="str">
        <f>IF(AND(AND(T352="",A353&lt;=S352),OR(AND(入力!$B$13="有効",A353&gt;1,MOD(A353-1,60)=0),AND(A353=入力!$B$11,A353&gt;1)),入力!$B$14="有効"),ROUND(G352*1.25,0),"")</f>
        <v/>
      </c>
      <c r="S353" s="36">
        <f>IF(A353&lt;&gt;入力!$B$15,S352,IF(K353&lt;&gt;0,S352,IF(G353&lt;=F353,S352,IF(M353&lt;=0,S352,IF(AND(N353&gt;0,E353&gt;0,G353&lt;=N353*E353/12),S352,IF(A353+IF(N353=0,0,IF(E353=0,ROUNDUP(N353/G353,0),ROUNDUP(NPER(E353/12,-G353,N353),0)))&lt;S352,A353+IF(N353=0,0,IF(E353=0,ROUNDUP(N353/G353,0),ROUNDUP(NPER(E353/12,-G353,N353),0))),S352))))))</f>
        <v>359</v>
      </c>
      <c r="T353" s="35" t="str">
        <f t="shared" si="95"/>
        <v/>
      </c>
      <c r="U353" s="3">
        <f t="shared" si="80"/>
        <v>0</v>
      </c>
      <c r="V353" s="3">
        <f t="shared" si="81"/>
        <v>0</v>
      </c>
      <c r="W353" s="3">
        <f t="shared" si="82"/>
        <v>0</v>
      </c>
      <c r="X353" s="3">
        <f t="shared" si="83"/>
        <v>0</v>
      </c>
      <c r="Y353" s="3">
        <f>0</f>
        <v>0</v>
      </c>
      <c r="Z353" s="3">
        <f t="shared" si="84"/>
        <v>0</v>
      </c>
      <c r="AA353">
        <f>ROUND(IF(FALSE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,0)</f>
        <v>117312</v>
      </c>
    </row>
    <row r="354" spans="1:27">
      <c r="A354" s="30">
        <f>349</f>
        <v>349</v>
      </c>
      <c r="B354" s="31">
        <f>EDATE(入力!$B$6,A354-1)</f>
        <v>56827</v>
      </c>
      <c r="C354" s="32">
        <f t="shared" si="85"/>
        <v>1274441</v>
      </c>
      <c r="D354" s="32">
        <f t="shared" si="86"/>
        <v>0</v>
      </c>
      <c r="E354" s="33">
        <f>IF(AND(T353="",A354&lt;=S353),IF(A354&lt;入力!$B$11,入力!$B$10,入力!$B$12),0)</f>
        <v>2.5000000000000001E-2</v>
      </c>
      <c r="F354" s="32">
        <f t="shared" si="87"/>
        <v>2655</v>
      </c>
      <c r="G354" s="32">
        <f>ROUND(IF(NOT(AND(T353="",A354&lt;=S353)),0,IF(FALSE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),0)</f>
        <v>117312</v>
      </c>
      <c r="H354" s="32">
        <f t="shared" si="88"/>
        <v>117312</v>
      </c>
      <c r="I354" s="32">
        <f t="shared" si="89"/>
        <v>2655</v>
      </c>
      <c r="J354" s="32">
        <f t="shared" si="90"/>
        <v>0</v>
      </c>
      <c r="K354" s="32">
        <f t="shared" si="91"/>
        <v>0</v>
      </c>
      <c r="L354" s="32">
        <f t="shared" si="92"/>
        <v>114657</v>
      </c>
      <c r="M354" s="32">
        <f>IF(AND(AND(T353="",A354&lt;=S353),A354=入力!$B$15),ROUND(MIN(入力!$B$16,MAX(0,C354-L354)),0),0)</f>
        <v>0</v>
      </c>
      <c r="N354" s="32">
        <f t="shared" si="93"/>
        <v>1159784</v>
      </c>
      <c r="O354" s="32">
        <f t="shared" si="94"/>
        <v>10711772</v>
      </c>
      <c r="P354" s="34" t="str">
        <f>IF(NOT(AND(T353="",A354&lt;=S353)),"",IF(FALSE,"繰上返済後再計算","")&amp;IF(AND(入力!$B$13="有効",A354&gt;1,MOD(A354-1,60)=0),IF(FALSE,"・","")&amp;"5年見直し","")&amp;IF(AND(A354=入力!$B$11,A354&gt;1),IF(OR(FALSE,AND(入力!$B$13="有効",A354&gt;1,MOD(A354-1,60)=0)),"・","")&amp;"金利変更","")&amp;IF(AND(OR(AND(入力!$B$13="有効",A354&gt;1,MOD(A354-1,60)=0),AND(A354=入力!$B$11,A354&gt;1)),入力!$B$14="有効",IF(E354=0,ROUND(C354/MAX(1,S353-A354+1),0),ROUND(-PMT(E354/12,MAX(1,S353-A354+1),C354),0))&gt;ROUND(G353*1.25,0),NOT(FALSE)),"・上限適用",""))</f>
        <v/>
      </c>
      <c r="Q354" s="35" t="str">
        <f>IF(AND(T353="",A354&lt;=S353),入力!$B$13,"")</f>
        <v>有効</v>
      </c>
      <c r="R354" s="32" t="str">
        <f>IF(AND(AND(T353="",A354&lt;=S353),OR(AND(入力!$B$13="有効",A354&gt;1,MOD(A354-1,60)=0),AND(A354=入力!$B$11,A354&gt;1)),入力!$B$14="有効"),ROUND(G353*1.25,0),"")</f>
        <v/>
      </c>
      <c r="S354" s="36">
        <f>IF(A354&lt;&gt;入力!$B$15,S353,IF(K354&lt;&gt;0,S353,IF(G354&lt;=F354,S353,IF(M354&lt;=0,S353,IF(AND(N354&gt;0,E354&gt;0,G354&lt;=N354*E354/12),S353,IF(A354+IF(N354=0,0,IF(E354=0,ROUNDUP(N354/G354,0),ROUNDUP(NPER(E354/12,-G354,N354),0)))&lt;S353,A354+IF(N354=0,0,IF(E354=0,ROUNDUP(N354/G354,0),ROUNDUP(NPER(E354/12,-G354,N354),0))),S353))))))</f>
        <v>359</v>
      </c>
      <c r="T354" s="35" t="str">
        <f t="shared" si="95"/>
        <v/>
      </c>
      <c r="U354" s="3">
        <f t="shared" si="80"/>
        <v>0</v>
      </c>
      <c r="V354" s="3">
        <f t="shared" si="81"/>
        <v>0</v>
      </c>
      <c r="W354" s="3">
        <f t="shared" si="82"/>
        <v>0</v>
      </c>
      <c r="X354" s="3">
        <f t="shared" si="83"/>
        <v>0</v>
      </c>
      <c r="Y354" s="3">
        <f>0</f>
        <v>0</v>
      </c>
      <c r="Z354" s="3">
        <f t="shared" si="84"/>
        <v>0</v>
      </c>
      <c r="AA354">
        <f>ROUND(IF(FALSE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,0)</f>
        <v>117312</v>
      </c>
    </row>
    <row r="355" spans="1:27">
      <c r="A355" s="30">
        <f>350</f>
        <v>350</v>
      </c>
      <c r="B355" s="31">
        <f>EDATE(入力!$B$6,A355-1)</f>
        <v>56858</v>
      </c>
      <c r="C355" s="32">
        <f t="shared" si="85"/>
        <v>1159784</v>
      </c>
      <c r="D355" s="32">
        <f t="shared" si="86"/>
        <v>0</v>
      </c>
      <c r="E355" s="33">
        <f>IF(AND(T354="",A355&lt;=S354),IF(A355&lt;入力!$B$11,入力!$B$10,入力!$B$12),0)</f>
        <v>2.5000000000000001E-2</v>
      </c>
      <c r="F355" s="32">
        <f t="shared" si="87"/>
        <v>2416</v>
      </c>
      <c r="G355" s="32">
        <f>ROUND(IF(NOT(AND(T354="",A355&lt;=S354)),0,IF(FALSE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),0)</f>
        <v>117312</v>
      </c>
      <c r="H355" s="32">
        <f t="shared" si="88"/>
        <v>117312</v>
      </c>
      <c r="I355" s="32">
        <f t="shared" si="89"/>
        <v>2416</v>
      </c>
      <c r="J355" s="32">
        <f t="shared" si="90"/>
        <v>0</v>
      </c>
      <c r="K355" s="32">
        <f t="shared" si="91"/>
        <v>0</v>
      </c>
      <c r="L355" s="32">
        <f t="shared" si="92"/>
        <v>114896</v>
      </c>
      <c r="M355" s="32">
        <f>IF(AND(AND(T354="",A355&lt;=S354),A355=入力!$B$15),ROUND(MIN(入力!$B$16,MAX(0,C355-L355)),0),0)</f>
        <v>0</v>
      </c>
      <c r="N355" s="32">
        <f t="shared" si="93"/>
        <v>1044888</v>
      </c>
      <c r="O355" s="32">
        <f t="shared" si="94"/>
        <v>10714188</v>
      </c>
      <c r="P355" s="34" t="str">
        <f>IF(NOT(AND(T354="",A355&lt;=S354)),"",IF(FALSE,"繰上返済後再計算","")&amp;IF(AND(入力!$B$13="有効",A355&gt;1,MOD(A355-1,60)=0),IF(FALSE,"・","")&amp;"5年見直し","")&amp;IF(AND(A355=入力!$B$11,A355&gt;1),IF(OR(FALSE,AND(入力!$B$13="有効",A355&gt;1,MOD(A355-1,60)=0)),"・","")&amp;"金利変更","")&amp;IF(AND(OR(AND(入力!$B$13="有効",A355&gt;1,MOD(A355-1,60)=0),AND(A355=入力!$B$11,A355&gt;1)),入力!$B$14="有効",IF(E355=0,ROUND(C355/MAX(1,S354-A355+1),0),ROUND(-PMT(E355/12,MAX(1,S354-A355+1),C355),0))&gt;ROUND(G354*1.25,0),NOT(FALSE)),"・上限適用",""))</f>
        <v/>
      </c>
      <c r="Q355" s="35" t="str">
        <f>IF(AND(T354="",A355&lt;=S354),入力!$B$13,"")</f>
        <v>有効</v>
      </c>
      <c r="R355" s="32" t="str">
        <f>IF(AND(AND(T354="",A355&lt;=S354),OR(AND(入力!$B$13="有効",A355&gt;1,MOD(A355-1,60)=0),AND(A355=入力!$B$11,A355&gt;1)),入力!$B$14="有効"),ROUND(G354*1.25,0),"")</f>
        <v/>
      </c>
      <c r="S355" s="36">
        <f>IF(A355&lt;&gt;入力!$B$15,S354,IF(K355&lt;&gt;0,S354,IF(G355&lt;=F355,S354,IF(M355&lt;=0,S354,IF(AND(N355&gt;0,E355&gt;0,G355&lt;=N355*E355/12),S354,IF(A355+IF(N355=0,0,IF(E355=0,ROUNDUP(N355/G355,0),ROUNDUP(NPER(E355/12,-G355,N355),0)))&lt;S354,A355+IF(N355=0,0,IF(E355=0,ROUNDUP(N355/G355,0),ROUNDUP(NPER(E355/12,-G355,N355),0))),S354))))))</f>
        <v>359</v>
      </c>
      <c r="T355" s="35" t="str">
        <f t="shared" si="95"/>
        <v/>
      </c>
      <c r="U355" s="3">
        <f t="shared" si="80"/>
        <v>0</v>
      </c>
      <c r="V355" s="3">
        <f t="shared" si="81"/>
        <v>0</v>
      </c>
      <c r="W355" s="3">
        <f t="shared" si="82"/>
        <v>0</v>
      </c>
      <c r="X355" s="3">
        <f t="shared" si="83"/>
        <v>0</v>
      </c>
      <c r="Y355" s="3">
        <f>0</f>
        <v>0</v>
      </c>
      <c r="Z355" s="3">
        <f t="shared" si="84"/>
        <v>0</v>
      </c>
      <c r="AA355">
        <f>ROUND(IF(FALSE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,0)</f>
        <v>117312</v>
      </c>
    </row>
    <row r="356" spans="1:27">
      <c r="A356" s="30">
        <f>351</f>
        <v>351</v>
      </c>
      <c r="B356" s="31">
        <f>EDATE(入力!$B$6,A356-1)</f>
        <v>56888</v>
      </c>
      <c r="C356" s="32">
        <f t="shared" si="85"/>
        <v>1044888</v>
      </c>
      <c r="D356" s="32">
        <f t="shared" si="86"/>
        <v>0</v>
      </c>
      <c r="E356" s="33">
        <f>IF(AND(T355="",A356&lt;=S355),IF(A356&lt;入力!$B$11,入力!$B$10,入力!$B$12),0)</f>
        <v>2.5000000000000001E-2</v>
      </c>
      <c r="F356" s="32">
        <f t="shared" si="87"/>
        <v>2177</v>
      </c>
      <c r="G356" s="32">
        <f>ROUND(IF(NOT(AND(T355="",A356&lt;=S355)),0,IF(FALSE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),0)</f>
        <v>117312</v>
      </c>
      <c r="H356" s="32">
        <f t="shared" si="88"/>
        <v>117312</v>
      </c>
      <c r="I356" s="32">
        <f t="shared" si="89"/>
        <v>2177</v>
      </c>
      <c r="J356" s="32">
        <f t="shared" si="90"/>
        <v>0</v>
      </c>
      <c r="K356" s="32">
        <f t="shared" si="91"/>
        <v>0</v>
      </c>
      <c r="L356" s="32">
        <f t="shared" si="92"/>
        <v>115135</v>
      </c>
      <c r="M356" s="32">
        <f>IF(AND(AND(T355="",A356&lt;=S355),A356=入力!$B$15),ROUND(MIN(入力!$B$16,MAX(0,C356-L356)),0),0)</f>
        <v>0</v>
      </c>
      <c r="N356" s="32">
        <f t="shared" si="93"/>
        <v>929753</v>
      </c>
      <c r="O356" s="32">
        <f t="shared" si="94"/>
        <v>10716365</v>
      </c>
      <c r="P356" s="34" t="str">
        <f>IF(NOT(AND(T355="",A356&lt;=S355)),"",IF(FALSE,"繰上返済後再計算","")&amp;IF(AND(入力!$B$13="有効",A356&gt;1,MOD(A356-1,60)=0),IF(FALSE,"・","")&amp;"5年見直し","")&amp;IF(AND(A356=入力!$B$11,A356&gt;1),IF(OR(FALSE,AND(入力!$B$13="有効",A356&gt;1,MOD(A356-1,60)=0)),"・","")&amp;"金利変更","")&amp;IF(AND(OR(AND(入力!$B$13="有効",A356&gt;1,MOD(A356-1,60)=0),AND(A356=入力!$B$11,A356&gt;1)),入力!$B$14="有効",IF(E356=0,ROUND(C356/MAX(1,S355-A356+1),0),ROUND(-PMT(E356/12,MAX(1,S355-A356+1),C356),0))&gt;ROUND(G355*1.25,0),NOT(FALSE)),"・上限適用",""))</f>
        <v/>
      </c>
      <c r="Q356" s="35" t="str">
        <f>IF(AND(T355="",A356&lt;=S355),入力!$B$13,"")</f>
        <v>有効</v>
      </c>
      <c r="R356" s="32" t="str">
        <f>IF(AND(AND(T355="",A356&lt;=S355),OR(AND(入力!$B$13="有効",A356&gt;1,MOD(A356-1,60)=0),AND(A356=入力!$B$11,A356&gt;1)),入力!$B$14="有効"),ROUND(G355*1.25,0),"")</f>
        <v/>
      </c>
      <c r="S356" s="36">
        <f>IF(A356&lt;&gt;入力!$B$15,S355,IF(K356&lt;&gt;0,S355,IF(G356&lt;=F356,S355,IF(M356&lt;=0,S355,IF(AND(N356&gt;0,E356&gt;0,G356&lt;=N356*E356/12),S355,IF(A356+IF(N356=0,0,IF(E356=0,ROUNDUP(N356/G356,0),ROUNDUP(NPER(E356/12,-G356,N356),0)))&lt;S355,A356+IF(N356=0,0,IF(E356=0,ROUNDUP(N356/G356,0),ROUNDUP(NPER(E356/12,-G356,N356),0))),S355))))))</f>
        <v>359</v>
      </c>
      <c r="T356" s="35" t="str">
        <f t="shared" si="95"/>
        <v/>
      </c>
      <c r="U356" s="3">
        <f t="shared" si="80"/>
        <v>0</v>
      </c>
      <c r="V356" s="3">
        <f t="shared" si="81"/>
        <v>0</v>
      </c>
      <c r="W356" s="3">
        <f t="shared" si="82"/>
        <v>0</v>
      </c>
      <c r="X356" s="3">
        <f t="shared" si="83"/>
        <v>0</v>
      </c>
      <c r="Y356" s="3">
        <f>0</f>
        <v>0</v>
      </c>
      <c r="Z356" s="3">
        <f t="shared" si="84"/>
        <v>0</v>
      </c>
      <c r="AA356">
        <f>ROUND(IF(FALSE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,0)</f>
        <v>117312</v>
      </c>
    </row>
    <row r="357" spans="1:27">
      <c r="A357" s="30">
        <f>352</f>
        <v>352</v>
      </c>
      <c r="B357" s="31">
        <f>EDATE(入力!$B$6,A357-1)</f>
        <v>56919</v>
      </c>
      <c r="C357" s="32">
        <f t="shared" si="85"/>
        <v>929753</v>
      </c>
      <c r="D357" s="32">
        <f t="shared" si="86"/>
        <v>0</v>
      </c>
      <c r="E357" s="33">
        <f>IF(AND(T356="",A357&lt;=S356),IF(A357&lt;入力!$B$11,入力!$B$10,入力!$B$12),0)</f>
        <v>2.5000000000000001E-2</v>
      </c>
      <c r="F357" s="32">
        <f t="shared" si="87"/>
        <v>1937</v>
      </c>
      <c r="G357" s="32">
        <f>ROUND(IF(NOT(AND(T356="",A357&lt;=S356)),0,IF(FALSE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),0)</f>
        <v>117312</v>
      </c>
      <c r="H357" s="32">
        <f t="shared" si="88"/>
        <v>117312</v>
      </c>
      <c r="I357" s="32">
        <f t="shared" si="89"/>
        <v>1937</v>
      </c>
      <c r="J357" s="32">
        <f t="shared" si="90"/>
        <v>0</v>
      </c>
      <c r="K357" s="32">
        <f t="shared" si="91"/>
        <v>0</v>
      </c>
      <c r="L357" s="32">
        <f t="shared" si="92"/>
        <v>115375</v>
      </c>
      <c r="M357" s="32">
        <f>IF(AND(AND(T356="",A357&lt;=S356),A357=入力!$B$15),ROUND(MIN(入力!$B$16,MAX(0,C357-L357)),0),0)</f>
        <v>0</v>
      </c>
      <c r="N357" s="32">
        <f t="shared" si="93"/>
        <v>814378</v>
      </c>
      <c r="O357" s="32">
        <f t="shared" si="94"/>
        <v>10718302</v>
      </c>
      <c r="P357" s="34" t="str">
        <f>IF(NOT(AND(T356="",A357&lt;=S356)),"",IF(FALSE,"繰上返済後再計算","")&amp;IF(AND(入力!$B$13="有効",A357&gt;1,MOD(A357-1,60)=0),IF(FALSE,"・","")&amp;"5年見直し","")&amp;IF(AND(A357=入力!$B$11,A357&gt;1),IF(OR(FALSE,AND(入力!$B$13="有効",A357&gt;1,MOD(A357-1,60)=0)),"・","")&amp;"金利変更","")&amp;IF(AND(OR(AND(入力!$B$13="有効",A357&gt;1,MOD(A357-1,60)=0),AND(A357=入力!$B$11,A357&gt;1)),入力!$B$14="有効",IF(E357=0,ROUND(C357/MAX(1,S356-A357+1),0),ROUND(-PMT(E357/12,MAX(1,S356-A357+1),C357),0))&gt;ROUND(G356*1.25,0),NOT(FALSE)),"・上限適用",""))</f>
        <v/>
      </c>
      <c r="Q357" s="35" t="str">
        <f>IF(AND(T356="",A357&lt;=S356),入力!$B$13,"")</f>
        <v>有効</v>
      </c>
      <c r="R357" s="32" t="str">
        <f>IF(AND(AND(T356="",A357&lt;=S356),OR(AND(入力!$B$13="有効",A357&gt;1,MOD(A357-1,60)=0),AND(A357=入力!$B$11,A357&gt;1)),入力!$B$14="有効"),ROUND(G356*1.25,0),"")</f>
        <v/>
      </c>
      <c r="S357" s="36">
        <f>IF(A357&lt;&gt;入力!$B$15,S356,IF(K357&lt;&gt;0,S356,IF(G357&lt;=F357,S356,IF(M357&lt;=0,S356,IF(AND(N357&gt;0,E357&gt;0,G357&lt;=N357*E357/12),S356,IF(A357+IF(N357=0,0,IF(E357=0,ROUNDUP(N357/G357,0),ROUNDUP(NPER(E357/12,-G357,N357),0)))&lt;S356,A357+IF(N357=0,0,IF(E357=0,ROUNDUP(N357/G357,0),ROUNDUP(NPER(E357/12,-G357,N357),0))),S356))))))</f>
        <v>359</v>
      </c>
      <c r="T357" s="35" t="str">
        <f t="shared" si="95"/>
        <v/>
      </c>
      <c r="U357" s="3">
        <f t="shared" si="80"/>
        <v>0</v>
      </c>
      <c r="V357" s="3">
        <f t="shared" si="81"/>
        <v>0</v>
      </c>
      <c r="W357" s="3">
        <f t="shared" si="82"/>
        <v>0</v>
      </c>
      <c r="X357" s="3">
        <f t="shared" si="83"/>
        <v>0</v>
      </c>
      <c r="Y357" s="3">
        <f>0</f>
        <v>0</v>
      </c>
      <c r="Z357" s="3">
        <f t="shared" si="84"/>
        <v>0</v>
      </c>
      <c r="AA357">
        <f>ROUND(IF(FALSE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,0)</f>
        <v>117312</v>
      </c>
    </row>
    <row r="358" spans="1:27">
      <c r="A358" s="30">
        <f>353</f>
        <v>353</v>
      </c>
      <c r="B358" s="31">
        <f>EDATE(入力!$B$6,A358-1)</f>
        <v>56949</v>
      </c>
      <c r="C358" s="32">
        <f t="shared" si="85"/>
        <v>814378</v>
      </c>
      <c r="D358" s="32">
        <f t="shared" si="86"/>
        <v>0</v>
      </c>
      <c r="E358" s="33">
        <f>IF(AND(T357="",A358&lt;=S357),IF(A358&lt;入力!$B$11,入力!$B$10,入力!$B$12),0)</f>
        <v>2.5000000000000001E-2</v>
      </c>
      <c r="F358" s="32">
        <f t="shared" si="87"/>
        <v>1697</v>
      </c>
      <c r="G358" s="32">
        <f>ROUND(IF(NOT(AND(T357="",A358&lt;=S357)),0,IF(FALSE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),0)</f>
        <v>117312</v>
      </c>
      <c r="H358" s="32">
        <f t="shared" si="88"/>
        <v>117312</v>
      </c>
      <c r="I358" s="32">
        <f t="shared" si="89"/>
        <v>1697</v>
      </c>
      <c r="J358" s="32">
        <f t="shared" si="90"/>
        <v>0</v>
      </c>
      <c r="K358" s="32">
        <f t="shared" si="91"/>
        <v>0</v>
      </c>
      <c r="L358" s="32">
        <f t="shared" si="92"/>
        <v>115615</v>
      </c>
      <c r="M358" s="32">
        <f>IF(AND(AND(T357="",A358&lt;=S357),A358=入力!$B$15),ROUND(MIN(入力!$B$16,MAX(0,C358-L358)),0),0)</f>
        <v>0</v>
      </c>
      <c r="N358" s="32">
        <f t="shared" si="93"/>
        <v>698763</v>
      </c>
      <c r="O358" s="32">
        <f t="shared" si="94"/>
        <v>10719999</v>
      </c>
      <c r="P358" s="34" t="str">
        <f>IF(NOT(AND(T357="",A358&lt;=S357)),"",IF(FALSE,"繰上返済後再計算","")&amp;IF(AND(入力!$B$13="有効",A358&gt;1,MOD(A358-1,60)=0),IF(FALSE,"・","")&amp;"5年見直し","")&amp;IF(AND(A358=入力!$B$11,A358&gt;1),IF(OR(FALSE,AND(入力!$B$13="有効",A358&gt;1,MOD(A358-1,60)=0)),"・","")&amp;"金利変更","")&amp;IF(AND(OR(AND(入力!$B$13="有効",A358&gt;1,MOD(A358-1,60)=0),AND(A358=入力!$B$11,A358&gt;1)),入力!$B$14="有効",IF(E358=0,ROUND(C358/MAX(1,S357-A358+1),0),ROUND(-PMT(E358/12,MAX(1,S357-A358+1),C358),0))&gt;ROUND(G357*1.25,0),NOT(FALSE)),"・上限適用",""))</f>
        <v/>
      </c>
      <c r="Q358" s="35" t="str">
        <f>IF(AND(T357="",A358&lt;=S357),入力!$B$13,"")</f>
        <v>有効</v>
      </c>
      <c r="R358" s="32" t="str">
        <f>IF(AND(AND(T357="",A358&lt;=S357),OR(AND(入力!$B$13="有効",A358&gt;1,MOD(A358-1,60)=0),AND(A358=入力!$B$11,A358&gt;1)),入力!$B$14="有効"),ROUND(G357*1.25,0),"")</f>
        <v/>
      </c>
      <c r="S358" s="36">
        <f>IF(A358&lt;&gt;入力!$B$15,S357,IF(K358&lt;&gt;0,S357,IF(G358&lt;=F358,S357,IF(M358&lt;=0,S357,IF(AND(N358&gt;0,E358&gt;0,G358&lt;=N358*E358/12),S357,IF(A358+IF(N358=0,0,IF(E358=0,ROUNDUP(N358/G358,0),ROUNDUP(NPER(E358/12,-G358,N358),0)))&lt;S357,A358+IF(N358=0,0,IF(E358=0,ROUNDUP(N358/G358,0),ROUNDUP(NPER(E358/12,-G358,N358),0))),S357))))))</f>
        <v>359</v>
      </c>
      <c r="T358" s="35" t="str">
        <f t="shared" si="95"/>
        <v/>
      </c>
      <c r="U358" s="3">
        <f t="shared" si="80"/>
        <v>0</v>
      </c>
      <c r="V358" s="3">
        <f t="shared" si="81"/>
        <v>0</v>
      </c>
      <c r="W358" s="3">
        <f t="shared" si="82"/>
        <v>0</v>
      </c>
      <c r="X358" s="3">
        <f t="shared" si="83"/>
        <v>0</v>
      </c>
      <c r="Y358" s="3">
        <f>0</f>
        <v>0</v>
      </c>
      <c r="Z358" s="3">
        <f t="shared" si="84"/>
        <v>0</v>
      </c>
      <c r="AA358">
        <f>ROUND(IF(FALSE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,0)</f>
        <v>117312</v>
      </c>
    </row>
    <row r="359" spans="1:27">
      <c r="A359" s="30">
        <f>354</f>
        <v>354</v>
      </c>
      <c r="B359" s="31">
        <f>EDATE(入力!$B$6,A359-1)</f>
        <v>56980</v>
      </c>
      <c r="C359" s="32">
        <f t="shared" si="85"/>
        <v>698763</v>
      </c>
      <c r="D359" s="32">
        <f t="shared" si="86"/>
        <v>0</v>
      </c>
      <c r="E359" s="33">
        <f>IF(AND(T358="",A359&lt;=S358),IF(A359&lt;入力!$B$11,入力!$B$10,入力!$B$12),0)</f>
        <v>2.5000000000000001E-2</v>
      </c>
      <c r="F359" s="32">
        <f t="shared" si="87"/>
        <v>1456</v>
      </c>
      <c r="G359" s="32">
        <f>ROUND(IF(NOT(AND(T358="",A359&lt;=S358)),0,IF(FALSE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),0)</f>
        <v>117312</v>
      </c>
      <c r="H359" s="32">
        <f t="shared" si="88"/>
        <v>117312</v>
      </c>
      <c r="I359" s="32">
        <f t="shared" si="89"/>
        <v>1456</v>
      </c>
      <c r="J359" s="32">
        <f t="shared" si="90"/>
        <v>0</v>
      </c>
      <c r="K359" s="32">
        <f t="shared" si="91"/>
        <v>0</v>
      </c>
      <c r="L359" s="32">
        <f t="shared" si="92"/>
        <v>115856</v>
      </c>
      <c r="M359" s="32">
        <f>IF(AND(AND(T358="",A359&lt;=S358),A359=入力!$B$15),ROUND(MIN(入力!$B$16,MAX(0,C359-L359)),0),0)</f>
        <v>0</v>
      </c>
      <c r="N359" s="32">
        <f t="shared" si="93"/>
        <v>582907</v>
      </c>
      <c r="O359" s="32">
        <f t="shared" si="94"/>
        <v>10721455</v>
      </c>
      <c r="P359" s="34" t="str">
        <f>IF(NOT(AND(T358="",A359&lt;=S358)),"",IF(FALSE,"繰上返済後再計算","")&amp;IF(AND(入力!$B$13="有効",A359&gt;1,MOD(A359-1,60)=0),IF(FALSE,"・","")&amp;"5年見直し","")&amp;IF(AND(A359=入力!$B$11,A359&gt;1),IF(OR(FALSE,AND(入力!$B$13="有効",A359&gt;1,MOD(A359-1,60)=0)),"・","")&amp;"金利変更","")&amp;IF(AND(OR(AND(入力!$B$13="有効",A359&gt;1,MOD(A359-1,60)=0),AND(A359=入力!$B$11,A359&gt;1)),入力!$B$14="有効",IF(E359=0,ROUND(C359/MAX(1,S358-A359+1),0),ROUND(-PMT(E359/12,MAX(1,S358-A359+1),C359),0))&gt;ROUND(G358*1.25,0),NOT(FALSE)),"・上限適用",""))</f>
        <v/>
      </c>
      <c r="Q359" s="35" t="str">
        <f>IF(AND(T358="",A359&lt;=S358),入力!$B$13,"")</f>
        <v>有効</v>
      </c>
      <c r="R359" s="32" t="str">
        <f>IF(AND(AND(T358="",A359&lt;=S358),OR(AND(入力!$B$13="有効",A359&gt;1,MOD(A359-1,60)=0),AND(A359=入力!$B$11,A359&gt;1)),入力!$B$14="有効"),ROUND(G358*1.25,0),"")</f>
        <v/>
      </c>
      <c r="S359" s="36">
        <f>IF(A359&lt;&gt;入力!$B$15,S358,IF(K359&lt;&gt;0,S358,IF(G359&lt;=F359,S358,IF(M359&lt;=0,S358,IF(AND(N359&gt;0,E359&gt;0,G359&lt;=N359*E359/12),S358,IF(A359+IF(N359=0,0,IF(E359=0,ROUNDUP(N359/G359,0),ROUNDUP(NPER(E359/12,-G359,N359),0)))&lt;S358,A359+IF(N359=0,0,IF(E359=0,ROUNDUP(N359/G359,0),ROUNDUP(NPER(E359/12,-G359,N359),0))),S358))))))</f>
        <v>359</v>
      </c>
      <c r="T359" s="35" t="str">
        <f t="shared" si="95"/>
        <v/>
      </c>
      <c r="U359" s="3">
        <f t="shared" si="80"/>
        <v>0</v>
      </c>
      <c r="V359" s="3">
        <f t="shared" si="81"/>
        <v>0</v>
      </c>
      <c r="W359" s="3">
        <f t="shared" si="82"/>
        <v>0</v>
      </c>
      <c r="X359" s="3">
        <f t="shared" si="83"/>
        <v>0</v>
      </c>
      <c r="Y359" s="3">
        <f>0</f>
        <v>0</v>
      </c>
      <c r="Z359" s="3">
        <f t="shared" si="84"/>
        <v>0</v>
      </c>
      <c r="AA359">
        <f>ROUND(IF(FALSE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,0)</f>
        <v>117312</v>
      </c>
    </row>
    <row r="360" spans="1:27">
      <c r="A360" s="30">
        <f>355</f>
        <v>355</v>
      </c>
      <c r="B360" s="31">
        <f>EDATE(入力!$B$6,A360-1)</f>
        <v>57011</v>
      </c>
      <c r="C360" s="32">
        <f t="shared" si="85"/>
        <v>582907</v>
      </c>
      <c r="D360" s="32">
        <f t="shared" si="86"/>
        <v>0</v>
      </c>
      <c r="E360" s="33">
        <f>IF(AND(T359="",A360&lt;=S359),IF(A360&lt;入力!$B$11,入力!$B$10,入力!$B$12),0)</f>
        <v>2.5000000000000001E-2</v>
      </c>
      <c r="F360" s="32">
        <f t="shared" si="87"/>
        <v>1214</v>
      </c>
      <c r="G360" s="32">
        <f>ROUND(IF(NOT(AND(T359="",A360&lt;=S359)),0,IF(FALSE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),0)</f>
        <v>117312</v>
      </c>
      <c r="H360" s="32">
        <f t="shared" si="88"/>
        <v>117312</v>
      </c>
      <c r="I360" s="32">
        <f t="shared" si="89"/>
        <v>1214</v>
      </c>
      <c r="J360" s="32">
        <f t="shared" si="90"/>
        <v>0</v>
      </c>
      <c r="K360" s="32">
        <f t="shared" si="91"/>
        <v>0</v>
      </c>
      <c r="L360" s="32">
        <f t="shared" si="92"/>
        <v>116098</v>
      </c>
      <c r="M360" s="32">
        <f>IF(AND(AND(T359="",A360&lt;=S359),A360=入力!$B$15),ROUND(MIN(入力!$B$16,MAX(0,C360-L360)),0),0)</f>
        <v>0</v>
      </c>
      <c r="N360" s="32">
        <f t="shared" si="93"/>
        <v>466809</v>
      </c>
      <c r="O360" s="32">
        <f t="shared" si="94"/>
        <v>10722669</v>
      </c>
      <c r="P360" s="34" t="str">
        <f>IF(NOT(AND(T359="",A360&lt;=S359)),"",IF(FALSE,"繰上返済後再計算","")&amp;IF(AND(入力!$B$13="有効",A360&gt;1,MOD(A360-1,60)=0),IF(FALSE,"・","")&amp;"5年見直し","")&amp;IF(AND(A360=入力!$B$11,A360&gt;1),IF(OR(FALSE,AND(入力!$B$13="有効",A360&gt;1,MOD(A360-1,60)=0)),"・","")&amp;"金利変更","")&amp;IF(AND(OR(AND(入力!$B$13="有効",A360&gt;1,MOD(A360-1,60)=0),AND(A360=入力!$B$11,A360&gt;1)),入力!$B$14="有効",IF(E360=0,ROUND(C360/MAX(1,S359-A360+1),0),ROUND(-PMT(E360/12,MAX(1,S359-A360+1),C360),0))&gt;ROUND(G359*1.25,0),NOT(FALSE)),"・上限適用",""))</f>
        <v/>
      </c>
      <c r="Q360" s="35" t="str">
        <f>IF(AND(T359="",A360&lt;=S359),入力!$B$13,"")</f>
        <v>有効</v>
      </c>
      <c r="R360" s="32" t="str">
        <f>IF(AND(AND(T359="",A360&lt;=S359),OR(AND(入力!$B$13="有効",A360&gt;1,MOD(A360-1,60)=0),AND(A360=入力!$B$11,A360&gt;1)),入力!$B$14="有効"),ROUND(G359*1.25,0),"")</f>
        <v/>
      </c>
      <c r="S360" s="36">
        <f>IF(A360&lt;&gt;入力!$B$15,S359,IF(K360&lt;&gt;0,S359,IF(G360&lt;=F360,S359,IF(M360&lt;=0,S359,IF(AND(N360&gt;0,E360&gt;0,G360&lt;=N360*E360/12),S359,IF(A360+IF(N360=0,0,IF(E360=0,ROUNDUP(N360/G360,0),ROUNDUP(NPER(E360/12,-G360,N360),0)))&lt;S359,A360+IF(N360=0,0,IF(E360=0,ROUNDUP(N360/G360,0),ROUNDUP(NPER(E360/12,-G360,N360),0))),S359))))))</f>
        <v>359</v>
      </c>
      <c r="T360" s="35" t="str">
        <f t="shared" si="95"/>
        <v/>
      </c>
      <c r="U360" s="3">
        <f t="shared" si="80"/>
        <v>0</v>
      </c>
      <c r="V360" s="3">
        <f t="shared" si="81"/>
        <v>0</v>
      </c>
      <c r="W360" s="3">
        <f t="shared" si="82"/>
        <v>0</v>
      </c>
      <c r="X360" s="3">
        <f t="shared" si="83"/>
        <v>0</v>
      </c>
      <c r="Y360" s="3">
        <f>0</f>
        <v>0</v>
      </c>
      <c r="Z360" s="3">
        <f t="shared" si="84"/>
        <v>0</v>
      </c>
      <c r="AA360">
        <f>ROUND(IF(FALSE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,0)</f>
        <v>117312</v>
      </c>
    </row>
    <row r="361" spans="1:27">
      <c r="A361" s="30">
        <f>356</f>
        <v>356</v>
      </c>
      <c r="B361" s="31">
        <f>EDATE(入力!$B$6,A361-1)</f>
        <v>57040</v>
      </c>
      <c r="C361" s="32">
        <f t="shared" si="85"/>
        <v>466809</v>
      </c>
      <c r="D361" s="32">
        <f t="shared" si="86"/>
        <v>0</v>
      </c>
      <c r="E361" s="33">
        <f>IF(AND(T360="",A361&lt;=S360),IF(A361&lt;入力!$B$11,入力!$B$10,入力!$B$12),0)</f>
        <v>2.5000000000000001E-2</v>
      </c>
      <c r="F361" s="32">
        <f t="shared" si="87"/>
        <v>973</v>
      </c>
      <c r="G361" s="32">
        <f>ROUND(IF(NOT(AND(T360="",A361&lt;=S360)),0,IF(FALSE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),0)</f>
        <v>117312</v>
      </c>
      <c r="H361" s="32">
        <f t="shared" si="88"/>
        <v>117312</v>
      </c>
      <c r="I361" s="32">
        <f t="shared" si="89"/>
        <v>973</v>
      </c>
      <c r="J361" s="32">
        <f t="shared" si="90"/>
        <v>0</v>
      </c>
      <c r="K361" s="32">
        <f t="shared" si="91"/>
        <v>0</v>
      </c>
      <c r="L361" s="32">
        <f t="shared" si="92"/>
        <v>116339</v>
      </c>
      <c r="M361" s="32">
        <f>IF(AND(AND(T360="",A361&lt;=S360),A361=入力!$B$15),ROUND(MIN(入力!$B$16,MAX(0,C361-L361)),0),0)</f>
        <v>0</v>
      </c>
      <c r="N361" s="32">
        <f t="shared" si="93"/>
        <v>350470</v>
      </c>
      <c r="O361" s="32">
        <f t="shared" si="94"/>
        <v>10723642</v>
      </c>
      <c r="P361" s="34" t="str">
        <f>IF(NOT(AND(T360="",A361&lt;=S360)),"",IF(FALSE,"繰上返済後再計算","")&amp;IF(AND(入力!$B$13="有効",A361&gt;1,MOD(A361-1,60)=0),IF(FALSE,"・","")&amp;"5年見直し","")&amp;IF(AND(A361=入力!$B$11,A361&gt;1),IF(OR(FALSE,AND(入力!$B$13="有効",A361&gt;1,MOD(A361-1,60)=0)),"・","")&amp;"金利変更","")&amp;IF(AND(OR(AND(入力!$B$13="有効",A361&gt;1,MOD(A361-1,60)=0),AND(A361=入力!$B$11,A361&gt;1)),入力!$B$14="有効",IF(E361=0,ROUND(C361/MAX(1,S360-A361+1),0),ROUND(-PMT(E361/12,MAX(1,S360-A361+1),C361),0))&gt;ROUND(G360*1.25,0),NOT(FALSE)),"・上限適用",""))</f>
        <v/>
      </c>
      <c r="Q361" s="35" t="str">
        <f>IF(AND(T360="",A361&lt;=S360),入力!$B$13,"")</f>
        <v>有効</v>
      </c>
      <c r="R361" s="32" t="str">
        <f>IF(AND(AND(T360="",A361&lt;=S360),OR(AND(入力!$B$13="有効",A361&gt;1,MOD(A361-1,60)=0),AND(A361=入力!$B$11,A361&gt;1)),入力!$B$14="有効"),ROUND(G360*1.25,0),"")</f>
        <v/>
      </c>
      <c r="S361" s="36">
        <f>IF(A361&lt;&gt;入力!$B$15,S360,IF(K361&lt;&gt;0,S360,IF(G361&lt;=F361,S360,IF(M361&lt;=0,S360,IF(AND(N361&gt;0,E361&gt;0,G361&lt;=N361*E361/12),S360,IF(A361+IF(N361=0,0,IF(E361=0,ROUNDUP(N361/G361,0),ROUNDUP(NPER(E361/12,-G361,N361),0)))&lt;S360,A361+IF(N361=0,0,IF(E361=0,ROUNDUP(N361/G361,0),ROUNDUP(NPER(E361/12,-G361,N361),0))),S360))))))</f>
        <v>359</v>
      </c>
      <c r="T361" s="35" t="str">
        <f t="shared" si="95"/>
        <v/>
      </c>
      <c r="U361" s="3">
        <f t="shared" si="80"/>
        <v>0</v>
      </c>
      <c r="V361" s="3">
        <f t="shared" si="81"/>
        <v>0</v>
      </c>
      <c r="W361" s="3">
        <f t="shared" si="82"/>
        <v>0</v>
      </c>
      <c r="X361" s="3">
        <f t="shared" si="83"/>
        <v>0</v>
      </c>
      <c r="Y361" s="3">
        <f>0</f>
        <v>0</v>
      </c>
      <c r="Z361" s="3">
        <f t="shared" si="84"/>
        <v>0</v>
      </c>
      <c r="AA361">
        <f>ROUND(IF(FALSE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,0)</f>
        <v>117312</v>
      </c>
    </row>
    <row r="362" spans="1:27">
      <c r="A362" s="30">
        <f>357</f>
        <v>357</v>
      </c>
      <c r="B362" s="31">
        <f>EDATE(入力!$B$6,A362-1)</f>
        <v>57071</v>
      </c>
      <c r="C362" s="32">
        <f t="shared" si="85"/>
        <v>350470</v>
      </c>
      <c r="D362" s="32">
        <f t="shared" si="86"/>
        <v>0</v>
      </c>
      <c r="E362" s="33">
        <f>IF(AND(T361="",A362&lt;=S361),IF(A362&lt;入力!$B$11,入力!$B$10,入力!$B$12),0)</f>
        <v>2.5000000000000001E-2</v>
      </c>
      <c r="F362" s="32">
        <f t="shared" si="87"/>
        <v>730</v>
      </c>
      <c r="G362" s="32">
        <f>ROUND(IF(NOT(AND(T361="",A362&lt;=S361)),0,IF(FALSE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),0)</f>
        <v>117312</v>
      </c>
      <c r="H362" s="32">
        <f t="shared" si="88"/>
        <v>117312</v>
      </c>
      <c r="I362" s="32">
        <f t="shared" si="89"/>
        <v>730</v>
      </c>
      <c r="J362" s="32">
        <f t="shared" si="90"/>
        <v>0</v>
      </c>
      <c r="K362" s="32">
        <f t="shared" si="91"/>
        <v>0</v>
      </c>
      <c r="L362" s="32">
        <f t="shared" si="92"/>
        <v>116582</v>
      </c>
      <c r="M362" s="32">
        <f>IF(AND(AND(T361="",A362&lt;=S361),A362=入力!$B$15),ROUND(MIN(入力!$B$16,MAX(0,C362-L362)),0),0)</f>
        <v>0</v>
      </c>
      <c r="N362" s="32">
        <f t="shared" si="93"/>
        <v>233888</v>
      </c>
      <c r="O362" s="32">
        <f t="shared" si="94"/>
        <v>10724372</v>
      </c>
      <c r="P362" s="34" t="str">
        <f>IF(NOT(AND(T361="",A362&lt;=S361)),"",IF(FALSE,"繰上返済後再計算","")&amp;IF(AND(入力!$B$13="有効",A362&gt;1,MOD(A362-1,60)=0),IF(FALSE,"・","")&amp;"5年見直し","")&amp;IF(AND(A362=入力!$B$11,A362&gt;1),IF(OR(FALSE,AND(入力!$B$13="有効",A362&gt;1,MOD(A362-1,60)=0)),"・","")&amp;"金利変更","")&amp;IF(AND(OR(AND(入力!$B$13="有効",A362&gt;1,MOD(A362-1,60)=0),AND(A362=入力!$B$11,A362&gt;1)),入力!$B$14="有効",IF(E362=0,ROUND(C362/MAX(1,S361-A362+1),0),ROUND(-PMT(E362/12,MAX(1,S361-A362+1),C362),0))&gt;ROUND(G361*1.25,0),NOT(FALSE)),"・上限適用",""))</f>
        <v/>
      </c>
      <c r="Q362" s="35" t="str">
        <f>IF(AND(T361="",A362&lt;=S361),入力!$B$13,"")</f>
        <v>有効</v>
      </c>
      <c r="R362" s="32" t="str">
        <f>IF(AND(AND(T361="",A362&lt;=S361),OR(AND(入力!$B$13="有効",A362&gt;1,MOD(A362-1,60)=0),AND(A362=入力!$B$11,A362&gt;1)),入力!$B$14="有効"),ROUND(G361*1.25,0),"")</f>
        <v/>
      </c>
      <c r="S362" s="36">
        <f>IF(A362&lt;&gt;入力!$B$15,S361,IF(K362&lt;&gt;0,S361,IF(G362&lt;=F362,S361,IF(M362&lt;=0,S361,IF(AND(N362&gt;0,E362&gt;0,G362&lt;=N362*E362/12),S361,IF(A362+IF(N362=0,0,IF(E362=0,ROUNDUP(N362/G362,0),ROUNDUP(NPER(E362/12,-G362,N362),0)))&lt;S361,A362+IF(N362=0,0,IF(E362=0,ROUNDUP(N362/G362,0),ROUNDUP(NPER(E362/12,-G362,N362),0))),S361))))))</f>
        <v>359</v>
      </c>
      <c r="T362" s="35" t="str">
        <f t="shared" si="95"/>
        <v/>
      </c>
      <c r="U362" s="3">
        <f t="shared" si="80"/>
        <v>0</v>
      </c>
      <c r="V362" s="3">
        <f t="shared" si="81"/>
        <v>0</v>
      </c>
      <c r="W362" s="3">
        <f t="shared" si="82"/>
        <v>0</v>
      </c>
      <c r="X362" s="3">
        <f t="shared" si="83"/>
        <v>0</v>
      </c>
      <c r="Y362" s="3">
        <f>0</f>
        <v>0</v>
      </c>
      <c r="Z362" s="3">
        <f t="shared" si="84"/>
        <v>0</v>
      </c>
      <c r="AA362">
        <f>ROUND(IF(FALSE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,0)</f>
        <v>117312</v>
      </c>
    </row>
    <row r="363" spans="1:27">
      <c r="A363" s="30">
        <f>358</f>
        <v>358</v>
      </c>
      <c r="B363" s="31">
        <f>EDATE(入力!$B$6,A363-1)</f>
        <v>57101</v>
      </c>
      <c r="C363" s="32">
        <f t="shared" si="85"/>
        <v>233888</v>
      </c>
      <c r="D363" s="32">
        <f t="shared" si="86"/>
        <v>0</v>
      </c>
      <c r="E363" s="33">
        <f>IF(AND(T362="",A363&lt;=S362),IF(A363&lt;入力!$B$11,入力!$B$10,入力!$B$12),0)</f>
        <v>2.5000000000000001E-2</v>
      </c>
      <c r="F363" s="32">
        <f t="shared" si="87"/>
        <v>487</v>
      </c>
      <c r="G363" s="32">
        <f>ROUND(IF(NOT(AND(T362="",A363&lt;=S362)),0,IF(FALSE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),0)</f>
        <v>117312</v>
      </c>
      <c r="H363" s="32">
        <f t="shared" si="88"/>
        <v>117312</v>
      </c>
      <c r="I363" s="32">
        <f t="shared" si="89"/>
        <v>487</v>
      </c>
      <c r="J363" s="32">
        <f t="shared" si="90"/>
        <v>0</v>
      </c>
      <c r="K363" s="32">
        <f t="shared" si="91"/>
        <v>0</v>
      </c>
      <c r="L363" s="32">
        <f t="shared" si="92"/>
        <v>116825</v>
      </c>
      <c r="M363" s="32">
        <f>IF(AND(AND(T362="",A363&lt;=S362),A363=入力!$B$15),ROUND(MIN(入力!$B$16,MAX(0,C363-L363)),0),0)</f>
        <v>0</v>
      </c>
      <c r="N363" s="32">
        <f t="shared" si="93"/>
        <v>117063</v>
      </c>
      <c r="O363" s="32">
        <f t="shared" si="94"/>
        <v>10724859</v>
      </c>
      <c r="P363" s="34" t="str">
        <f>IF(NOT(AND(T362="",A363&lt;=S362)),"",IF(FALSE,"繰上返済後再計算","")&amp;IF(AND(入力!$B$13="有効",A363&gt;1,MOD(A363-1,60)=0),IF(FALSE,"・","")&amp;"5年見直し","")&amp;IF(AND(A363=入力!$B$11,A363&gt;1),IF(OR(FALSE,AND(入力!$B$13="有効",A363&gt;1,MOD(A363-1,60)=0)),"・","")&amp;"金利変更","")&amp;IF(AND(OR(AND(入力!$B$13="有効",A363&gt;1,MOD(A363-1,60)=0),AND(A363=入力!$B$11,A363&gt;1)),入力!$B$14="有効",IF(E363=0,ROUND(C363/MAX(1,S362-A363+1),0),ROUND(-PMT(E363/12,MAX(1,S362-A363+1),C363),0))&gt;ROUND(G362*1.25,0),NOT(FALSE)),"・上限適用",""))</f>
        <v/>
      </c>
      <c r="Q363" s="35" t="str">
        <f>IF(AND(T362="",A363&lt;=S362),入力!$B$13,"")</f>
        <v>有効</v>
      </c>
      <c r="R363" s="32" t="str">
        <f>IF(AND(AND(T362="",A363&lt;=S362),OR(AND(入力!$B$13="有効",A363&gt;1,MOD(A363-1,60)=0),AND(A363=入力!$B$11,A363&gt;1)),入力!$B$14="有効"),ROUND(G362*1.25,0),"")</f>
        <v/>
      </c>
      <c r="S363" s="36">
        <f>IF(A363&lt;&gt;入力!$B$15,S362,IF(K363&lt;&gt;0,S362,IF(G363&lt;=F363,S362,IF(M363&lt;=0,S362,IF(AND(N363&gt;0,E363&gt;0,G363&lt;=N363*E363/12),S362,IF(A363+IF(N363=0,0,IF(E363=0,ROUNDUP(N363/G363,0),ROUNDUP(NPER(E363/12,-G363,N363),0)))&lt;S362,A363+IF(N363=0,0,IF(E363=0,ROUNDUP(N363/G363,0),ROUNDUP(NPER(E363/12,-G363,N363),0))),S362))))))</f>
        <v>359</v>
      </c>
      <c r="T363" s="35" t="str">
        <f t="shared" si="95"/>
        <v/>
      </c>
      <c r="U363" s="3">
        <f t="shared" si="80"/>
        <v>0</v>
      </c>
      <c r="V363" s="3">
        <f t="shared" si="81"/>
        <v>0</v>
      </c>
      <c r="W363" s="3">
        <f t="shared" si="82"/>
        <v>0</v>
      </c>
      <c r="X363" s="3">
        <f t="shared" si="83"/>
        <v>0</v>
      </c>
      <c r="Y363" s="3">
        <f>0</f>
        <v>0</v>
      </c>
      <c r="Z363" s="3">
        <f t="shared" si="84"/>
        <v>0</v>
      </c>
      <c r="AA363">
        <f>ROUND(IF(FALSE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,0)</f>
        <v>117312</v>
      </c>
    </row>
    <row r="364" spans="1:27">
      <c r="A364" s="30">
        <f>359</f>
        <v>359</v>
      </c>
      <c r="B364" s="31">
        <f>EDATE(入力!$B$6,A364-1)</f>
        <v>57132</v>
      </c>
      <c r="C364" s="32">
        <f t="shared" si="85"/>
        <v>117063</v>
      </c>
      <c r="D364" s="32">
        <f t="shared" si="86"/>
        <v>0</v>
      </c>
      <c r="E364" s="33">
        <f>IF(AND(T363="",A364&lt;=S363),IF(A364&lt;入力!$B$11,入力!$B$10,入力!$B$12),0)</f>
        <v>2.5000000000000001E-2</v>
      </c>
      <c r="F364" s="32">
        <f t="shared" si="87"/>
        <v>244</v>
      </c>
      <c r="G364" s="32">
        <f>ROUND(IF(NOT(AND(T363="",A364&lt;=S363)),0,IF(FALSE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),0)</f>
        <v>117312</v>
      </c>
      <c r="H364" s="32">
        <f t="shared" si="88"/>
        <v>117307</v>
      </c>
      <c r="I364" s="32">
        <f t="shared" si="89"/>
        <v>244</v>
      </c>
      <c r="J364" s="32">
        <f t="shared" si="90"/>
        <v>0</v>
      </c>
      <c r="K364" s="32">
        <f t="shared" si="91"/>
        <v>0</v>
      </c>
      <c r="L364" s="32">
        <f t="shared" si="92"/>
        <v>117063</v>
      </c>
      <c r="M364" s="32">
        <f>IF(AND(AND(T363="",A364&lt;=S363),A364=入力!$B$15),ROUND(MIN(入力!$B$16,MAX(0,C364-L364)),0),0)</f>
        <v>0</v>
      </c>
      <c r="N364" s="32">
        <f t="shared" si="93"/>
        <v>0</v>
      </c>
      <c r="O364" s="32">
        <f t="shared" si="94"/>
        <v>10725103</v>
      </c>
      <c r="P364" s="34" t="str">
        <f>IF(NOT(AND(T363="",A364&lt;=S363)),"",IF(FALSE,"繰上返済後再計算","")&amp;IF(AND(入力!$B$13="有効",A364&gt;1,MOD(A364-1,60)=0),IF(FALSE,"・","")&amp;"5年見直し","")&amp;IF(AND(A364=入力!$B$11,A364&gt;1),IF(OR(FALSE,AND(入力!$B$13="有効",A364&gt;1,MOD(A364-1,60)=0)),"・","")&amp;"金利変更","")&amp;IF(AND(OR(AND(入力!$B$13="有効",A364&gt;1,MOD(A364-1,60)=0),AND(A364=入力!$B$11,A364&gt;1)),入力!$B$14="有効",IF(E364=0,ROUND(C364/MAX(1,S363-A364+1),0),ROUND(-PMT(E364/12,MAX(1,S363-A364+1),C364),0))&gt;ROUND(G363*1.25,0),NOT(FALSE)),"・上限適用",""))</f>
        <v/>
      </c>
      <c r="Q364" s="35" t="str">
        <f>IF(AND(T363="",A364&lt;=S363),入力!$B$13,"")</f>
        <v>有効</v>
      </c>
      <c r="R364" s="32" t="str">
        <f>IF(AND(AND(T363="",A364&lt;=S363),OR(AND(入力!$B$13="有効",A364&gt;1,MOD(A364-1,60)=0),AND(A364=入力!$B$11,A364&gt;1)),入力!$B$14="有効"),ROUND(G363*1.25,0),"")</f>
        <v/>
      </c>
      <c r="S364" s="36">
        <f>IF(A364&lt;&gt;入力!$B$15,S363,IF(K364&lt;&gt;0,S363,IF(G364&lt;=F364,S363,IF(M364&lt;=0,S363,IF(AND(N364&gt;0,E364&gt;0,G364&lt;=N364*E364/12),S363,IF(A364+IF(N364=0,0,IF(E364=0,ROUNDUP(N364/G364,0),ROUNDUP(NPER(E364/12,-G364,N364),0)))&lt;S363,A364+IF(N364=0,0,IF(E364=0,ROUNDUP(N364/G364,0),ROUNDUP(NPER(E364/12,-G364,N364),0))),S363))))))</f>
        <v>359</v>
      </c>
      <c r="T364" s="35" t="str">
        <f t="shared" si="95"/>
        <v>完済</v>
      </c>
      <c r="U364" s="3">
        <f t="shared" si="80"/>
        <v>0</v>
      </c>
      <c r="V364" s="3">
        <f t="shared" si="81"/>
        <v>0</v>
      </c>
      <c r="W364" s="3">
        <f t="shared" si="82"/>
        <v>0</v>
      </c>
      <c r="X364" s="3">
        <f t="shared" si="83"/>
        <v>0</v>
      </c>
      <c r="Y364" s="3">
        <f>0</f>
        <v>0</v>
      </c>
      <c r="Z364" s="3">
        <f t="shared" si="84"/>
        <v>0</v>
      </c>
      <c r="AA364">
        <f>ROUND(IF(FALSE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,0)</f>
        <v>117312</v>
      </c>
    </row>
    <row r="365" spans="1:27">
      <c r="A365" s="30">
        <f>360</f>
        <v>360</v>
      </c>
      <c r="B365" s="31">
        <f>EDATE(入力!$B$6,A365-1)</f>
        <v>57162</v>
      </c>
      <c r="C365" s="32">
        <f t="shared" si="85"/>
        <v>0</v>
      </c>
      <c r="D365" s="32">
        <f t="shared" si="86"/>
        <v>0</v>
      </c>
      <c r="E365" s="33">
        <f>IF(AND(T364="",A365&lt;=S364),IF(A365&lt;入力!$B$11,入力!$B$10,入力!$B$12),0)</f>
        <v>0</v>
      </c>
      <c r="F365" s="32">
        <f t="shared" si="87"/>
        <v>0</v>
      </c>
      <c r="G365" s="32">
        <f>ROUND(IF(NOT(AND(T364="",A365&lt;=S364)),0,IF(FALSE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),0)</f>
        <v>0</v>
      </c>
      <c r="H365" s="32">
        <f t="shared" si="88"/>
        <v>0</v>
      </c>
      <c r="I365" s="32">
        <f t="shared" si="89"/>
        <v>0</v>
      </c>
      <c r="J365" s="32">
        <f t="shared" si="90"/>
        <v>0</v>
      </c>
      <c r="K365" s="32">
        <f t="shared" si="91"/>
        <v>0</v>
      </c>
      <c r="L365" s="32">
        <f t="shared" si="92"/>
        <v>0</v>
      </c>
      <c r="M365" s="32">
        <f>IF(AND(AND(T364="",A365&lt;=S364),A365=入力!$B$15),ROUND(MIN(入力!$B$16,MAX(0,C365-L365)),0),0)</f>
        <v>0</v>
      </c>
      <c r="N365" s="32">
        <f t="shared" si="93"/>
        <v>0</v>
      </c>
      <c r="O365" s="32">
        <f t="shared" si="94"/>
        <v>10725103</v>
      </c>
      <c r="P365" s="34" t="str">
        <f>IF(NOT(AND(T364="",A365&lt;=S364)),"",IF(FALSE,"繰上返済後再計算","")&amp;IF(AND(入力!$B$13="有効",A365&gt;1,MOD(A365-1,60)=0),IF(FALSE,"・","")&amp;"5年見直し","")&amp;IF(AND(A365=入力!$B$11,A365&gt;1),IF(OR(FALSE,AND(入力!$B$13="有効",A365&gt;1,MOD(A365-1,60)=0)),"・","")&amp;"金利変更","")&amp;IF(AND(OR(AND(入力!$B$13="有効",A365&gt;1,MOD(A365-1,60)=0),AND(A365=入力!$B$11,A365&gt;1)),入力!$B$14="有効",IF(E365=0,ROUND(C365/MAX(1,S364-A365+1),0),ROUND(-PMT(E365/12,MAX(1,S364-A365+1),C365),0))&gt;ROUND(G364*1.25,0),NOT(FALSE)),"・上限適用",""))</f>
        <v/>
      </c>
      <c r="Q365" s="35" t="str">
        <f>IF(AND(T364="",A365&lt;=S364),入力!$B$13,"")</f>
        <v/>
      </c>
      <c r="R365" s="32" t="str">
        <f>IF(AND(AND(T364="",A365&lt;=S364),OR(AND(入力!$B$13="有効",A365&gt;1,MOD(A365-1,60)=0),AND(A365=入力!$B$11,A365&gt;1)),入力!$B$14="有効"),ROUND(G364*1.25,0),"")</f>
        <v/>
      </c>
      <c r="S365" s="36">
        <f>IF(A365&lt;&gt;入力!$B$15,S364,IF(K365&lt;&gt;0,S364,IF(G365&lt;=F365,S364,IF(M365&lt;=0,S364,IF(AND(N365&gt;0,E365&gt;0,G365&lt;=N365*E365/12),S364,IF(A365+IF(N365=0,0,IF(E365=0,ROUNDUP(N365/G365,0),ROUNDUP(NPER(E365/12,-G365,N365),0)))&lt;S364,A365+IF(N365=0,0,IF(E365=0,ROUNDUP(N365/G365,0),ROUNDUP(NPER(E365/12,-G365,N365),0))),S364))))))</f>
        <v>359</v>
      </c>
      <c r="T365" s="35" t="str">
        <f t="shared" si="95"/>
        <v/>
      </c>
      <c r="U365" s="3">
        <f t="shared" si="80"/>
        <v>0</v>
      </c>
      <c r="V365" s="3">
        <f t="shared" si="81"/>
        <v>0</v>
      </c>
      <c r="W365" s="3">
        <f t="shared" si="82"/>
        <v>0</v>
      </c>
      <c r="X365" s="3">
        <f t="shared" si="83"/>
        <v>0</v>
      </c>
      <c r="Y365" s="3">
        <f>0</f>
        <v>0</v>
      </c>
      <c r="Z365" s="3">
        <f t="shared" si="84"/>
        <v>0</v>
      </c>
      <c r="AA365">
        <f>ROUND(IF(FALSE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,0)</f>
        <v>117312</v>
      </c>
    </row>
    <row r="366" spans="1:27">
      <c r="A366" s="30">
        <f>361</f>
        <v>361</v>
      </c>
      <c r="B366" s="31">
        <f>EDATE(入力!$B$6,A366-1)</f>
        <v>57193</v>
      </c>
      <c r="C366" s="32">
        <f t="shared" si="85"/>
        <v>0</v>
      </c>
      <c r="D366" s="32">
        <f t="shared" si="86"/>
        <v>0</v>
      </c>
      <c r="E366" s="33">
        <f>IF(AND(T365="",A366&lt;=S365),IF(A366&lt;入力!$B$11,入力!$B$10,入力!$B$12),0)</f>
        <v>0</v>
      </c>
      <c r="F366" s="32">
        <f t="shared" si="87"/>
        <v>0</v>
      </c>
      <c r="G366" s="32">
        <f>ROUND(IF(NOT(AND(T365="",A366&lt;=S365)),0,IF(FALSE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),0)</f>
        <v>0</v>
      </c>
      <c r="H366" s="32">
        <f t="shared" si="88"/>
        <v>0</v>
      </c>
      <c r="I366" s="32">
        <f t="shared" si="89"/>
        <v>0</v>
      </c>
      <c r="J366" s="32">
        <f t="shared" si="90"/>
        <v>0</v>
      </c>
      <c r="K366" s="32">
        <f t="shared" si="91"/>
        <v>0</v>
      </c>
      <c r="L366" s="32">
        <f t="shared" si="92"/>
        <v>0</v>
      </c>
      <c r="M366" s="32">
        <f>IF(AND(AND(T365="",A366&lt;=S365),A366=入力!$B$15),ROUND(MIN(入力!$B$16,MAX(0,C366-L366)),0),0)</f>
        <v>0</v>
      </c>
      <c r="N366" s="32">
        <f t="shared" si="93"/>
        <v>0</v>
      </c>
      <c r="O366" s="32">
        <f t="shared" si="94"/>
        <v>10725103</v>
      </c>
      <c r="P366" s="34" t="str">
        <f>IF(NOT(AND(T365="",A366&lt;=S365)),"",IF(FALSE,"繰上返済後再計算","")&amp;IF(AND(入力!$B$13="有効",A366&gt;1,MOD(A366-1,60)=0),IF(FALSE,"・","")&amp;"5年見直し","")&amp;IF(AND(A366=入力!$B$11,A366&gt;1),IF(OR(FALSE,AND(入力!$B$13="有効",A366&gt;1,MOD(A366-1,60)=0)),"・","")&amp;"金利変更","")&amp;IF(AND(OR(AND(入力!$B$13="有効",A366&gt;1,MOD(A366-1,60)=0),AND(A366=入力!$B$11,A366&gt;1)),入力!$B$14="有効",IF(E366=0,ROUND(C366/MAX(1,S365-A366+1),0),ROUND(-PMT(E366/12,MAX(1,S365-A366+1),C366),0))&gt;ROUND(G365*1.25,0),NOT(FALSE)),"・上限適用",""))</f>
        <v/>
      </c>
      <c r="Q366" s="35" t="str">
        <f>IF(AND(T365="",A366&lt;=S365),入力!$B$13,"")</f>
        <v/>
      </c>
      <c r="R366" s="32" t="str">
        <f>IF(AND(AND(T365="",A366&lt;=S365),OR(AND(入力!$B$13="有効",A366&gt;1,MOD(A366-1,60)=0),AND(A366=入力!$B$11,A366&gt;1)),入力!$B$14="有効"),ROUND(G365*1.25,0),"")</f>
        <v/>
      </c>
      <c r="S366" s="36">
        <f>IF(A366&lt;&gt;入力!$B$15,S365,IF(K366&lt;&gt;0,S365,IF(G366&lt;=F366,S365,IF(M366&lt;=0,S365,IF(AND(N366&gt;0,E366&gt;0,G366&lt;=N366*E366/12),S365,IF(A366+IF(N366=0,0,IF(E366=0,ROUNDUP(N366/G366,0),ROUNDUP(NPER(E366/12,-G366,N366),0)))&lt;S365,A366+IF(N366=0,0,IF(E366=0,ROUNDUP(N366/G366,0),ROUNDUP(NPER(E366/12,-G366,N366),0))),S365))))))</f>
        <v>359</v>
      </c>
      <c r="T366" s="35" t="str">
        <f t="shared" si="95"/>
        <v/>
      </c>
      <c r="U366" s="3">
        <f t="shared" si="80"/>
        <v>0</v>
      </c>
      <c r="V366" s="3">
        <f t="shared" si="81"/>
        <v>0</v>
      </c>
      <c r="W366" s="3">
        <f t="shared" si="82"/>
        <v>0</v>
      </c>
      <c r="X366" s="3">
        <f t="shared" si="83"/>
        <v>0</v>
      </c>
      <c r="Y366" s="3">
        <f>0</f>
        <v>0</v>
      </c>
      <c r="Z366" s="3">
        <f t="shared" si="84"/>
        <v>0</v>
      </c>
      <c r="AA366">
        <f>ROUND(IF(FALSE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,0)</f>
        <v>0</v>
      </c>
    </row>
    <row r="367" spans="1:27">
      <c r="A367" s="30">
        <f>362</f>
        <v>362</v>
      </c>
      <c r="B367" s="31">
        <f>EDATE(入力!$B$6,A367-1)</f>
        <v>57224</v>
      </c>
      <c r="C367" s="32">
        <f t="shared" si="85"/>
        <v>0</v>
      </c>
      <c r="D367" s="32">
        <f t="shared" si="86"/>
        <v>0</v>
      </c>
      <c r="E367" s="33">
        <f>IF(AND(T366="",A367&lt;=S366),IF(A367&lt;入力!$B$11,入力!$B$10,入力!$B$12),0)</f>
        <v>0</v>
      </c>
      <c r="F367" s="32">
        <f t="shared" si="87"/>
        <v>0</v>
      </c>
      <c r="G367" s="32">
        <f>ROUND(IF(NOT(AND(T366="",A367&lt;=S366)),0,IF(FALSE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),0)</f>
        <v>0</v>
      </c>
      <c r="H367" s="32">
        <f t="shared" si="88"/>
        <v>0</v>
      </c>
      <c r="I367" s="32">
        <f t="shared" si="89"/>
        <v>0</v>
      </c>
      <c r="J367" s="32">
        <f t="shared" si="90"/>
        <v>0</v>
      </c>
      <c r="K367" s="32">
        <f t="shared" si="91"/>
        <v>0</v>
      </c>
      <c r="L367" s="32">
        <f t="shared" si="92"/>
        <v>0</v>
      </c>
      <c r="M367" s="32">
        <f>IF(AND(AND(T366="",A367&lt;=S366),A367=入力!$B$15),ROUND(MIN(入力!$B$16,MAX(0,C367-L367)),0),0)</f>
        <v>0</v>
      </c>
      <c r="N367" s="32">
        <f t="shared" si="93"/>
        <v>0</v>
      </c>
      <c r="O367" s="32">
        <f t="shared" si="94"/>
        <v>10725103</v>
      </c>
      <c r="P367" s="34" t="str">
        <f>IF(NOT(AND(T366="",A367&lt;=S366)),"",IF(FALSE,"繰上返済後再計算","")&amp;IF(AND(入力!$B$13="有効",A367&gt;1,MOD(A367-1,60)=0),IF(FALSE,"・","")&amp;"5年見直し","")&amp;IF(AND(A367=入力!$B$11,A367&gt;1),IF(OR(FALSE,AND(入力!$B$13="有効",A367&gt;1,MOD(A367-1,60)=0)),"・","")&amp;"金利変更","")&amp;IF(AND(OR(AND(入力!$B$13="有効",A367&gt;1,MOD(A367-1,60)=0),AND(A367=入力!$B$11,A367&gt;1)),入力!$B$14="有効",IF(E367=0,ROUND(C367/MAX(1,S366-A367+1),0),ROUND(-PMT(E367/12,MAX(1,S366-A367+1),C367),0))&gt;ROUND(G366*1.25,0),NOT(FALSE)),"・上限適用",""))</f>
        <v/>
      </c>
      <c r="Q367" s="35" t="str">
        <f>IF(AND(T366="",A367&lt;=S366),入力!$B$13,"")</f>
        <v/>
      </c>
      <c r="R367" s="32" t="str">
        <f>IF(AND(AND(T366="",A367&lt;=S366),OR(AND(入力!$B$13="有効",A367&gt;1,MOD(A367-1,60)=0),AND(A367=入力!$B$11,A367&gt;1)),入力!$B$14="有効"),ROUND(G366*1.25,0),"")</f>
        <v/>
      </c>
      <c r="S367" s="36">
        <f>IF(A367&lt;&gt;入力!$B$15,S366,IF(K367&lt;&gt;0,S366,IF(G367&lt;=F367,S366,IF(M367&lt;=0,S366,IF(AND(N367&gt;0,E367&gt;0,G367&lt;=N367*E367/12),S366,IF(A367+IF(N367=0,0,IF(E367=0,ROUNDUP(N367/G367,0),ROUNDUP(NPER(E367/12,-G367,N367),0)))&lt;S366,A367+IF(N367=0,0,IF(E367=0,ROUNDUP(N367/G367,0),ROUNDUP(NPER(E367/12,-G367,N367),0))),S366))))))</f>
        <v>359</v>
      </c>
      <c r="T367" s="35" t="str">
        <f t="shared" si="95"/>
        <v/>
      </c>
      <c r="U367" s="3">
        <f t="shared" si="80"/>
        <v>0</v>
      </c>
      <c r="V367" s="3">
        <f t="shared" si="81"/>
        <v>0</v>
      </c>
      <c r="W367" s="3">
        <f t="shared" si="82"/>
        <v>0</v>
      </c>
      <c r="X367" s="3">
        <f t="shared" si="83"/>
        <v>0</v>
      </c>
      <c r="Y367" s="3">
        <f>0</f>
        <v>0</v>
      </c>
      <c r="Z367" s="3">
        <f t="shared" si="84"/>
        <v>0</v>
      </c>
      <c r="AA367">
        <f>ROUND(IF(FALSE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,0)</f>
        <v>0</v>
      </c>
    </row>
    <row r="368" spans="1:27">
      <c r="A368" s="30">
        <f>363</f>
        <v>363</v>
      </c>
      <c r="B368" s="31">
        <f>EDATE(入力!$B$6,A368-1)</f>
        <v>57254</v>
      </c>
      <c r="C368" s="32">
        <f t="shared" si="85"/>
        <v>0</v>
      </c>
      <c r="D368" s="32">
        <f t="shared" si="86"/>
        <v>0</v>
      </c>
      <c r="E368" s="33">
        <f>IF(AND(T367="",A368&lt;=S367),IF(A368&lt;入力!$B$11,入力!$B$10,入力!$B$12),0)</f>
        <v>0</v>
      </c>
      <c r="F368" s="32">
        <f t="shared" si="87"/>
        <v>0</v>
      </c>
      <c r="G368" s="32">
        <f>ROUND(IF(NOT(AND(T367="",A368&lt;=S367)),0,IF(FALSE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),0)</f>
        <v>0</v>
      </c>
      <c r="H368" s="32">
        <f t="shared" si="88"/>
        <v>0</v>
      </c>
      <c r="I368" s="32">
        <f t="shared" si="89"/>
        <v>0</v>
      </c>
      <c r="J368" s="32">
        <f t="shared" si="90"/>
        <v>0</v>
      </c>
      <c r="K368" s="32">
        <f t="shared" si="91"/>
        <v>0</v>
      </c>
      <c r="L368" s="32">
        <f t="shared" si="92"/>
        <v>0</v>
      </c>
      <c r="M368" s="32">
        <f>IF(AND(AND(T367="",A368&lt;=S367),A368=入力!$B$15),ROUND(MIN(入力!$B$16,MAX(0,C368-L368)),0),0)</f>
        <v>0</v>
      </c>
      <c r="N368" s="32">
        <f t="shared" si="93"/>
        <v>0</v>
      </c>
      <c r="O368" s="32">
        <f t="shared" si="94"/>
        <v>10725103</v>
      </c>
      <c r="P368" s="34" t="str">
        <f>IF(NOT(AND(T367="",A368&lt;=S367)),"",IF(FALSE,"繰上返済後再計算","")&amp;IF(AND(入力!$B$13="有効",A368&gt;1,MOD(A368-1,60)=0),IF(FALSE,"・","")&amp;"5年見直し","")&amp;IF(AND(A368=入力!$B$11,A368&gt;1),IF(OR(FALSE,AND(入力!$B$13="有効",A368&gt;1,MOD(A368-1,60)=0)),"・","")&amp;"金利変更","")&amp;IF(AND(OR(AND(入力!$B$13="有効",A368&gt;1,MOD(A368-1,60)=0),AND(A368=入力!$B$11,A368&gt;1)),入力!$B$14="有効",IF(E368=0,ROUND(C368/MAX(1,S367-A368+1),0),ROUND(-PMT(E368/12,MAX(1,S367-A368+1),C368),0))&gt;ROUND(G367*1.25,0),NOT(FALSE)),"・上限適用",""))</f>
        <v/>
      </c>
      <c r="Q368" s="35" t="str">
        <f>IF(AND(T367="",A368&lt;=S367),入力!$B$13,"")</f>
        <v/>
      </c>
      <c r="R368" s="32" t="str">
        <f>IF(AND(AND(T367="",A368&lt;=S367),OR(AND(入力!$B$13="有効",A368&gt;1,MOD(A368-1,60)=0),AND(A368=入力!$B$11,A368&gt;1)),入力!$B$14="有効"),ROUND(G367*1.25,0),"")</f>
        <v/>
      </c>
      <c r="S368" s="36">
        <f>IF(A368&lt;&gt;入力!$B$15,S367,IF(K368&lt;&gt;0,S367,IF(G368&lt;=F368,S367,IF(M368&lt;=0,S367,IF(AND(N368&gt;0,E368&gt;0,G368&lt;=N368*E368/12),S367,IF(A368+IF(N368=0,0,IF(E368=0,ROUNDUP(N368/G368,0),ROUNDUP(NPER(E368/12,-G368,N368),0)))&lt;S367,A368+IF(N368=0,0,IF(E368=0,ROUNDUP(N368/G368,0),ROUNDUP(NPER(E368/12,-G368,N368),0))),S367))))))</f>
        <v>359</v>
      </c>
      <c r="T368" s="35" t="str">
        <f t="shared" si="95"/>
        <v/>
      </c>
      <c r="U368" s="3">
        <f t="shared" si="80"/>
        <v>0</v>
      </c>
      <c r="V368" s="3">
        <f t="shared" si="81"/>
        <v>0</v>
      </c>
      <c r="W368" s="3">
        <f t="shared" si="82"/>
        <v>0</v>
      </c>
      <c r="X368" s="3">
        <f t="shared" si="83"/>
        <v>0</v>
      </c>
      <c r="Y368" s="3">
        <f>0</f>
        <v>0</v>
      </c>
      <c r="Z368" s="3">
        <f t="shared" si="84"/>
        <v>0</v>
      </c>
      <c r="AA368">
        <f>ROUND(IF(FALSE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,0)</f>
        <v>0</v>
      </c>
    </row>
    <row r="369" spans="1:27">
      <c r="A369" s="30">
        <f>364</f>
        <v>364</v>
      </c>
      <c r="B369" s="31">
        <f>EDATE(入力!$B$6,A369-1)</f>
        <v>57285</v>
      </c>
      <c r="C369" s="32">
        <f t="shared" si="85"/>
        <v>0</v>
      </c>
      <c r="D369" s="32">
        <f t="shared" si="86"/>
        <v>0</v>
      </c>
      <c r="E369" s="33">
        <f>IF(AND(T368="",A369&lt;=S368),IF(A369&lt;入力!$B$11,入力!$B$10,入力!$B$12),0)</f>
        <v>0</v>
      </c>
      <c r="F369" s="32">
        <f t="shared" si="87"/>
        <v>0</v>
      </c>
      <c r="G369" s="32">
        <f>ROUND(IF(NOT(AND(T368="",A369&lt;=S368)),0,IF(FALSE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),0)</f>
        <v>0</v>
      </c>
      <c r="H369" s="32">
        <f t="shared" si="88"/>
        <v>0</v>
      </c>
      <c r="I369" s="32">
        <f t="shared" si="89"/>
        <v>0</v>
      </c>
      <c r="J369" s="32">
        <f t="shared" si="90"/>
        <v>0</v>
      </c>
      <c r="K369" s="32">
        <f t="shared" si="91"/>
        <v>0</v>
      </c>
      <c r="L369" s="32">
        <f t="shared" si="92"/>
        <v>0</v>
      </c>
      <c r="M369" s="32">
        <f>IF(AND(AND(T368="",A369&lt;=S368),A369=入力!$B$15),ROUND(MIN(入力!$B$16,MAX(0,C369-L369)),0),0)</f>
        <v>0</v>
      </c>
      <c r="N369" s="32">
        <f t="shared" si="93"/>
        <v>0</v>
      </c>
      <c r="O369" s="32">
        <f t="shared" si="94"/>
        <v>10725103</v>
      </c>
      <c r="P369" s="34" t="str">
        <f>IF(NOT(AND(T368="",A369&lt;=S368)),"",IF(FALSE,"繰上返済後再計算","")&amp;IF(AND(入力!$B$13="有効",A369&gt;1,MOD(A369-1,60)=0),IF(FALSE,"・","")&amp;"5年見直し","")&amp;IF(AND(A369=入力!$B$11,A369&gt;1),IF(OR(FALSE,AND(入力!$B$13="有効",A369&gt;1,MOD(A369-1,60)=0)),"・","")&amp;"金利変更","")&amp;IF(AND(OR(AND(入力!$B$13="有効",A369&gt;1,MOD(A369-1,60)=0),AND(A369=入力!$B$11,A369&gt;1)),入力!$B$14="有効",IF(E369=0,ROUND(C369/MAX(1,S368-A369+1),0),ROUND(-PMT(E369/12,MAX(1,S368-A369+1),C369),0))&gt;ROUND(G368*1.25,0),NOT(FALSE)),"・上限適用",""))</f>
        <v/>
      </c>
      <c r="Q369" s="35" t="str">
        <f>IF(AND(T368="",A369&lt;=S368),入力!$B$13,"")</f>
        <v/>
      </c>
      <c r="R369" s="32" t="str">
        <f>IF(AND(AND(T368="",A369&lt;=S368),OR(AND(入力!$B$13="有効",A369&gt;1,MOD(A369-1,60)=0),AND(A369=入力!$B$11,A369&gt;1)),入力!$B$14="有効"),ROUND(G368*1.25,0),"")</f>
        <v/>
      </c>
      <c r="S369" s="36">
        <f>IF(A369&lt;&gt;入力!$B$15,S368,IF(K369&lt;&gt;0,S368,IF(G369&lt;=F369,S368,IF(M369&lt;=0,S368,IF(AND(N369&gt;0,E369&gt;0,G369&lt;=N369*E369/12),S368,IF(A369+IF(N369=0,0,IF(E369=0,ROUNDUP(N369/G369,0),ROUNDUP(NPER(E369/12,-G369,N369),0)))&lt;S368,A369+IF(N369=0,0,IF(E369=0,ROUNDUP(N369/G369,0),ROUNDUP(NPER(E369/12,-G369,N369),0))),S368))))))</f>
        <v>359</v>
      </c>
      <c r="T369" s="35" t="str">
        <f t="shared" si="95"/>
        <v/>
      </c>
      <c r="U369" s="3">
        <f t="shared" si="80"/>
        <v>0</v>
      </c>
      <c r="V369" s="3">
        <f t="shared" si="81"/>
        <v>0</v>
      </c>
      <c r="W369" s="3">
        <f t="shared" si="82"/>
        <v>0</v>
      </c>
      <c r="X369" s="3">
        <f t="shared" si="83"/>
        <v>0</v>
      </c>
      <c r="Y369" s="3">
        <f>0</f>
        <v>0</v>
      </c>
      <c r="Z369" s="3">
        <f t="shared" si="84"/>
        <v>0</v>
      </c>
      <c r="AA369">
        <f>ROUND(IF(FALSE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,0)</f>
        <v>0</v>
      </c>
    </row>
    <row r="370" spans="1:27">
      <c r="A370" s="30">
        <f>365</f>
        <v>365</v>
      </c>
      <c r="B370" s="31">
        <f>EDATE(入力!$B$6,A370-1)</f>
        <v>57315</v>
      </c>
      <c r="C370" s="32">
        <f t="shared" si="85"/>
        <v>0</v>
      </c>
      <c r="D370" s="32">
        <f t="shared" si="86"/>
        <v>0</v>
      </c>
      <c r="E370" s="33">
        <f>IF(AND(T369="",A370&lt;=S369),IF(A370&lt;入力!$B$11,入力!$B$10,入力!$B$12),0)</f>
        <v>0</v>
      </c>
      <c r="F370" s="32">
        <f t="shared" si="87"/>
        <v>0</v>
      </c>
      <c r="G370" s="32">
        <f>ROUND(IF(NOT(AND(T369="",A370&lt;=S369)),0,IF(FALSE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),0)</f>
        <v>0</v>
      </c>
      <c r="H370" s="32">
        <f t="shared" si="88"/>
        <v>0</v>
      </c>
      <c r="I370" s="32">
        <f t="shared" si="89"/>
        <v>0</v>
      </c>
      <c r="J370" s="32">
        <f t="shared" si="90"/>
        <v>0</v>
      </c>
      <c r="K370" s="32">
        <f t="shared" si="91"/>
        <v>0</v>
      </c>
      <c r="L370" s="32">
        <f t="shared" si="92"/>
        <v>0</v>
      </c>
      <c r="M370" s="32">
        <f>IF(AND(AND(T369="",A370&lt;=S369),A370=入力!$B$15),ROUND(MIN(入力!$B$16,MAX(0,C370-L370)),0),0)</f>
        <v>0</v>
      </c>
      <c r="N370" s="32">
        <f t="shared" si="93"/>
        <v>0</v>
      </c>
      <c r="O370" s="32">
        <f t="shared" si="94"/>
        <v>10725103</v>
      </c>
      <c r="P370" s="34" t="str">
        <f>IF(NOT(AND(T369="",A370&lt;=S369)),"",IF(FALSE,"繰上返済後再計算","")&amp;IF(AND(入力!$B$13="有効",A370&gt;1,MOD(A370-1,60)=0),IF(FALSE,"・","")&amp;"5年見直し","")&amp;IF(AND(A370=入力!$B$11,A370&gt;1),IF(OR(FALSE,AND(入力!$B$13="有効",A370&gt;1,MOD(A370-1,60)=0)),"・","")&amp;"金利変更","")&amp;IF(AND(OR(AND(入力!$B$13="有効",A370&gt;1,MOD(A370-1,60)=0),AND(A370=入力!$B$11,A370&gt;1)),入力!$B$14="有効",IF(E370=0,ROUND(C370/MAX(1,S369-A370+1),0),ROUND(-PMT(E370/12,MAX(1,S369-A370+1),C370),0))&gt;ROUND(G369*1.25,0),NOT(FALSE)),"・上限適用",""))</f>
        <v/>
      </c>
      <c r="Q370" s="35" t="str">
        <f>IF(AND(T369="",A370&lt;=S369),入力!$B$13,"")</f>
        <v/>
      </c>
      <c r="R370" s="32" t="str">
        <f>IF(AND(AND(T369="",A370&lt;=S369),OR(AND(入力!$B$13="有効",A370&gt;1,MOD(A370-1,60)=0),AND(A370=入力!$B$11,A370&gt;1)),入力!$B$14="有効"),ROUND(G369*1.25,0),"")</f>
        <v/>
      </c>
      <c r="S370" s="36">
        <f>IF(A370&lt;&gt;入力!$B$15,S369,IF(K370&lt;&gt;0,S369,IF(G370&lt;=F370,S369,IF(M370&lt;=0,S369,IF(AND(N370&gt;0,E370&gt;0,G370&lt;=N370*E370/12),S369,IF(A370+IF(N370=0,0,IF(E370=0,ROUNDUP(N370/G370,0),ROUNDUP(NPER(E370/12,-G370,N370),0)))&lt;S369,A370+IF(N370=0,0,IF(E370=0,ROUNDUP(N370/G370,0),ROUNDUP(NPER(E370/12,-G370,N370),0))),S369))))))</f>
        <v>359</v>
      </c>
      <c r="T370" s="35" t="str">
        <f t="shared" si="95"/>
        <v/>
      </c>
      <c r="U370" s="3">
        <f t="shared" si="80"/>
        <v>0</v>
      </c>
      <c r="V370" s="3">
        <f t="shared" si="81"/>
        <v>0</v>
      </c>
      <c r="W370" s="3">
        <f t="shared" si="82"/>
        <v>0</v>
      </c>
      <c r="X370" s="3">
        <f t="shared" si="83"/>
        <v>0</v>
      </c>
      <c r="Y370" s="3">
        <f>0</f>
        <v>0</v>
      </c>
      <c r="Z370" s="3">
        <f t="shared" si="84"/>
        <v>0</v>
      </c>
      <c r="AA370">
        <f>ROUND(IF(FALSE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,0)</f>
        <v>0</v>
      </c>
    </row>
    <row r="371" spans="1:27">
      <c r="A371" s="30">
        <f>366</f>
        <v>366</v>
      </c>
      <c r="B371" s="31">
        <f>EDATE(入力!$B$6,A371-1)</f>
        <v>57346</v>
      </c>
      <c r="C371" s="32">
        <f t="shared" si="85"/>
        <v>0</v>
      </c>
      <c r="D371" s="32">
        <f t="shared" si="86"/>
        <v>0</v>
      </c>
      <c r="E371" s="33">
        <f>IF(AND(T370="",A371&lt;=S370),IF(A371&lt;入力!$B$11,入力!$B$10,入力!$B$12),0)</f>
        <v>0</v>
      </c>
      <c r="F371" s="32">
        <f t="shared" si="87"/>
        <v>0</v>
      </c>
      <c r="G371" s="32">
        <f>ROUND(IF(NOT(AND(T370="",A371&lt;=S370)),0,IF(FALSE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),0)</f>
        <v>0</v>
      </c>
      <c r="H371" s="32">
        <f t="shared" si="88"/>
        <v>0</v>
      </c>
      <c r="I371" s="32">
        <f t="shared" si="89"/>
        <v>0</v>
      </c>
      <c r="J371" s="32">
        <f t="shared" si="90"/>
        <v>0</v>
      </c>
      <c r="K371" s="32">
        <f t="shared" si="91"/>
        <v>0</v>
      </c>
      <c r="L371" s="32">
        <f t="shared" si="92"/>
        <v>0</v>
      </c>
      <c r="M371" s="32">
        <f>IF(AND(AND(T370="",A371&lt;=S370),A371=入力!$B$15),ROUND(MIN(入力!$B$16,MAX(0,C371-L371)),0),0)</f>
        <v>0</v>
      </c>
      <c r="N371" s="32">
        <f t="shared" si="93"/>
        <v>0</v>
      </c>
      <c r="O371" s="32">
        <f t="shared" si="94"/>
        <v>10725103</v>
      </c>
      <c r="P371" s="34" t="str">
        <f>IF(NOT(AND(T370="",A371&lt;=S370)),"",IF(FALSE,"繰上返済後再計算","")&amp;IF(AND(入力!$B$13="有効",A371&gt;1,MOD(A371-1,60)=0),IF(FALSE,"・","")&amp;"5年見直し","")&amp;IF(AND(A371=入力!$B$11,A371&gt;1),IF(OR(FALSE,AND(入力!$B$13="有効",A371&gt;1,MOD(A371-1,60)=0)),"・","")&amp;"金利変更","")&amp;IF(AND(OR(AND(入力!$B$13="有効",A371&gt;1,MOD(A371-1,60)=0),AND(A371=入力!$B$11,A371&gt;1)),入力!$B$14="有効",IF(E371=0,ROUND(C371/MAX(1,S370-A371+1),0),ROUND(-PMT(E371/12,MAX(1,S370-A371+1),C371),0))&gt;ROUND(G370*1.25,0),NOT(FALSE)),"・上限適用",""))</f>
        <v/>
      </c>
      <c r="Q371" s="35" t="str">
        <f>IF(AND(T370="",A371&lt;=S370),入力!$B$13,"")</f>
        <v/>
      </c>
      <c r="R371" s="32" t="str">
        <f>IF(AND(AND(T370="",A371&lt;=S370),OR(AND(入力!$B$13="有効",A371&gt;1,MOD(A371-1,60)=0),AND(A371=入力!$B$11,A371&gt;1)),入力!$B$14="有効"),ROUND(G370*1.25,0),"")</f>
        <v/>
      </c>
      <c r="S371" s="36">
        <f>IF(A371&lt;&gt;入力!$B$15,S370,IF(K371&lt;&gt;0,S370,IF(G371&lt;=F371,S370,IF(M371&lt;=0,S370,IF(AND(N371&gt;0,E371&gt;0,G371&lt;=N371*E371/12),S370,IF(A371+IF(N371=0,0,IF(E371=0,ROUNDUP(N371/G371,0),ROUNDUP(NPER(E371/12,-G371,N371),0)))&lt;S370,A371+IF(N371=0,0,IF(E371=0,ROUNDUP(N371/G371,0),ROUNDUP(NPER(E371/12,-G371,N371),0))),S370))))))</f>
        <v>359</v>
      </c>
      <c r="T371" s="35" t="str">
        <f t="shared" si="95"/>
        <v/>
      </c>
      <c r="U371" s="3">
        <f t="shared" si="80"/>
        <v>0</v>
      </c>
      <c r="V371" s="3">
        <f t="shared" si="81"/>
        <v>0</v>
      </c>
      <c r="W371" s="3">
        <f t="shared" si="82"/>
        <v>0</v>
      </c>
      <c r="X371" s="3">
        <f t="shared" si="83"/>
        <v>0</v>
      </c>
      <c r="Y371" s="3">
        <f>0</f>
        <v>0</v>
      </c>
      <c r="Z371" s="3">
        <f t="shared" si="84"/>
        <v>0</v>
      </c>
      <c r="AA371">
        <f>ROUND(IF(FALSE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,0)</f>
        <v>0</v>
      </c>
    </row>
    <row r="372" spans="1:27">
      <c r="A372" s="30">
        <f>367</f>
        <v>367</v>
      </c>
      <c r="B372" s="31">
        <f>EDATE(入力!$B$6,A372-1)</f>
        <v>57377</v>
      </c>
      <c r="C372" s="32">
        <f t="shared" si="85"/>
        <v>0</v>
      </c>
      <c r="D372" s="32">
        <f t="shared" si="86"/>
        <v>0</v>
      </c>
      <c r="E372" s="33">
        <f>IF(AND(T371="",A372&lt;=S371),IF(A372&lt;入力!$B$11,入力!$B$10,入力!$B$12),0)</f>
        <v>0</v>
      </c>
      <c r="F372" s="32">
        <f t="shared" si="87"/>
        <v>0</v>
      </c>
      <c r="G372" s="32">
        <f>ROUND(IF(NOT(AND(T371="",A372&lt;=S371)),0,IF(FALSE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),0)</f>
        <v>0</v>
      </c>
      <c r="H372" s="32">
        <f t="shared" si="88"/>
        <v>0</v>
      </c>
      <c r="I372" s="32">
        <f t="shared" si="89"/>
        <v>0</v>
      </c>
      <c r="J372" s="32">
        <f t="shared" si="90"/>
        <v>0</v>
      </c>
      <c r="K372" s="32">
        <f t="shared" si="91"/>
        <v>0</v>
      </c>
      <c r="L372" s="32">
        <f t="shared" si="92"/>
        <v>0</v>
      </c>
      <c r="M372" s="32">
        <f>IF(AND(AND(T371="",A372&lt;=S371),A372=入力!$B$15),ROUND(MIN(入力!$B$16,MAX(0,C372-L372)),0),0)</f>
        <v>0</v>
      </c>
      <c r="N372" s="32">
        <f t="shared" si="93"/>
        <v>0</v>
      </c>
      <c r="O372" s="32">
        <f t="shared" si="94"/>
        <v>10725103</v>
      </c>
      <c r="P372" s="34" t="str">
        <f>IF(NOT(AND(T371="",A372&lt;=S371)),"",IF(FALSE,"繰上返済後再計算","")&amp;IF(AND(入力!$B$13="有効",A372&gt;1,MOD(A372-1,60)=0),IF(FALSE,"・","")&amp;"5年見直し","")&amp;IF(AND(A372=入力!$B$11,A372&gt;1),IF(OR(FALSE,AND(入力!$B$13="有効",A372&gt;1,MOD(A372-1,60)=0)),"・","")&amp;"金利変更","")&amp;IF(AND(OR(AND(入力!$B$13="有効",A372&gt;1,MOD(A372-1,60)=0),AND(A372=入力!$B$11,A372&gt;1)),入力!$B$14="有効",IF(E372=0,ROUND(C372/MAX(1,S371-A372+1),0),ROUND(-PMT(E372/12,MAX(1,S371-A372+1),C372),0))&gt;ROUND(G371*1.25,0),NOT(FALSE)),"・上限適用",""))</f>
        <v/>
      </c>
      <c r="Q372" s="35" t="str">
        <f>IF(AND(T371="",A372&lt;=S371),入力!$B$13,"")</f>
        <v/>
      </c>
      <c r="R372" s="32" t="str">
        <f>IF(AND(AND(T371="",A372&lt;=S371),OR(AND(入力!$B$13="有効",A372&gt;1,MOD(A372-1,60)=0),AND(A372=入力!$B$11,A372&gt;1)),入力!$B$14="有効"),ROUND(G371*1.25,0),"")</f>
        <v/>
      </c>
      <c r="S372" s="36">
        <f>IF(A372&lt;&gt;入力!$B$15,S371,IF(K372&lt;&gt;0,S371,IF(G372&lt;=F372,S371,IF(M372&lt;=0,S371,IF(AND(N372&gt;0,E372&gt;0,G372&lt;=N372*E372/12),S371,IF(A372+IF(N372=0,0,IF(E372=0,ROUNDUP(N372/G372,0),ROUNDUP(NPER(E372/12,-G372,N372),0)))&lt;S371,A372+IF(N372=0,0,IF(E372=0,ROUNDUP(N372/G372,0),ROUNDUP(NPER(E372/12,-G372,N372),0))),S371))))))</f>
        <v>359</v>
      </c>
      <c r="T372" s="35" t="str">
        <f t="shared" si="95"/>
        <v/>
      </c>
      <c r="U372" s="3">
        <f t="shared" si="80"/>
        <v>0</v>
      </c>
      <c r="V372" s="3">
        <f t="shared" si="81"/>
        <v>0</v>
      </c>
      <c r="W372" s="3">
        <f t="shared" si="82"/>
        <v>0</v>
      </c>
      <c r="X372" s="3">
        <f t="shared" si="83"/>
        <v>0</v>
      </c>
      <c r="Y372" s="3">
        <f>0</f>
        <v>0</v>
      </c>
      <c r="Z372" s="3">
        <f t="shared" si="84"/>
        <v>0</v>
      </c>
      <c r="AA372">
        <f>ROUND(IF(FALSE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,0)</f>
        <v>0</v>
      </c>
    </row>
    <row r="373" spans="1:27">
      <c r="A373" s="30">
        <f>368</f>
        <v>368</v>
      </c>
      <c r="B373" s="31">
        <f>EDATE(入力!$B$6,A373-1)</f>
        <v>57405</v>
      </c>
      <c r="C373" s="32">
        <f t="shared" si="85"/>
        <v>0</v>
      </c>
      <c r="D373" s="32">
        <f t="shared" si="86"/>
        <v>0</v>
      </c>
      <c r="E373" s="33">
        <f>IF(AND(T372="",A373&lt;=S372),IF(A373&lt;入力!$B$11,入力!$B$10,入力!$B$12),0)</f>
        <v>0</v>
      </c>
      <c r="F373" s="32">
        <f t="shared" si="87"/>
        <v>0</v>
      </c>
      <c r="G373" s="32">
        <f>ROUND(IF(NOT(AND(T372="",A373&lt;=S372)),0,IF(FALSE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),0)</f>
        <v>0</v>
      </c>
      <c r="H373" s="32">
        <f t="shared" si="88"/>
        <v>0</v>
      </c>
      <c r="I373" s="32">
        <f t="shared" si="89"/>
        <v>0</v>
      </c>
      <c r="J373" s="32">
        <f t="shared" si="90"/>
        <v>0</v>
      </c>
      <c r="K373" s="32">
        <f t="shared" si="91"/>
        <v>0</v>
      </c>
      <c r="L373" s="32">
        <f t="shared" si="92"/>
        <v>0</v>
      </c>
      <c r="M373" s="32">
        <f>IF(AND(AND(T372="",A373&lt;=S372),A373=入力!$B$15),ROUND(MIN(入力!$B$16,MAX(0,C373-L373)),0),0)</f>
        <v>0</v>
      </c>
      <c r="N373" s="32">
        <f t="shared" si="93"/>
        <v>0</v>
      </c>
      <c r="O373" s="32">
        <f t="shared" si="94"/>
        <v>10725103</v>
      </c>
      <c r="P373" s="34" t="str">
        <f>IF(NOT(AND(T372="",A373&lt;=S372)),"",IF(FALSE,"繰上返済後再計算","")&amp;IF(AND(入力!$B$13="有効",A373&gt;1,MOD(A373-1,60)=0),IF(FALSE,"・","")&amp;"5年見直し","")&amp;IF(AND(A373=入力!$B$11,A373&gt;1),IF(OR(FALSE,AND(入力!$B$13="有効",A373&gt;1,MOD(A373-1,60)=0)),"・","")&amp;"金利変更","")&amp;IF(AND(OR(AND(入力!$B$13="有効",A373&gt;1,MOD(A373-1,60)=0),AND(A373=入力!$B$11,A373&gt;1)),入力!$B$14="有効",IF(E373=0,ROUND(C373/MAX(1,S372-A373+1),0),ROUND(-PMT(E373/12,MAX(1,S372-A373+1),C373),0))&gt;ROUND(G372*1.25,0),NOT(FALSE)),"・上限適用",""))</f>
        <v/>
      </c>
      <c r="Q373" s="35" t="str">
        <f>IF(AND(T372="",A373&lt;=S372),入力!$B$13,"")</f>
        <v/>
      </c>
      <c r="R373" s="32" t="str">
        <f>IF(AND(AND(T372="",A373&lt;=S372),OR(AND(入力!$B$13="有効",A373&gt;1,MOD(A373-1,60)=0),AND(A373=入力!$B$11,A373&gt;1)),入力!$B$14="有効"),ROUND(G372*1.25,0),"")</f>
        <v/>
      </c>
      <c r="S373" s="36">
        <f>IF(A373&lt;&gt;入力!$B$15,S372,IF(K373&lt;&gt;0,S372,IF(G373&lt;=F373,S372,IF(M373&lt;=0,S372,IF(AND(N373&gt;0,E373&gt;0,G373&lt;=N373*E373/12),S372,IF(A373+IF(N373=0,0,IF(E373=0,ROUNDUP(N373/G373,0),ROUNDUP(NPER(E373/12,-G373,N373),0)))&lt;S372,A373+IF(N373=0,0,IF(E373=0,ROUNDUP(N373/G373,0),ROUNDUP(NPER(E373/12,-G373,N373),0))),S372))))))</f>
        <v>359</v>
      </c>
      <c r="T373" s="35" t="str">
        <f t="shared" si="95"/>
        <v/>
      </c>
      <c r="U373" s="3">
        <f t="shared" si="80"/>
        <v>0</v>
      </c>
      <c r="V373" s="3">
        <f t="shared" si="81"/>
        <v>0</v>
      </c>
      <c r="W373" s="3">
        <f t="shared" si="82"/>
        <v>0</v>
      </c>
      <c r="X373" s="3">
        <f t="shared" si="83"/>
        <v>0</v>
      </c>
      <c r="Y373" s="3">
        <f>0</f>
        <v>0</v>
      </c>
      <c r="Z373" s="3">
        <f t="shared" si="84"/>
        <v>0</v>
      </c>
      <c r="AA373">
        <f>ROUND(IF(FALSE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,0)</f>
        <v>0</v>
      </c>
    </row>
    <row r="374" spans="1:27">
      <c r="A374" s="30">
        <f>369</f>
        <v>369</v>
      </c>
      <c r="B374" s="31">
        <f>EDATE(入力!$B$6,A374-1)</f>
        <v>57436</v>
      </c>
      <c r="C374" s="32">
        <f t="shared" si="85"/>
        <v>0</v>
      </c>
      <c r="D374" s="32">
        <f t="shared" si="86"/>
        <v>0</v>
      </c>
      <c r="E374" s="33">
        <f>IF(AND(T373="",A374&lt;=S373),IF(A374&lt;入力!$B$11,入力!$B$10,入力!$B$12),0)</f>
        <v>0</v>
      </c>
      <c r="F374" s="32">
        <f t="shared" si="87"/>
        <v>0</v>
      </c>
      <c r="G374" s="32">
        <f>ROUND(IF(NOT(AND(T373="",A374&lt;=S373)),0,IF(FALSE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),0)</f>
        <v>0</v>
      </c>
      <c r="H374" s="32">
        <f t="shared" si="88"/>
        <v>0</v>
      </c>
      <c r="I374" s="32">
        <f t="shared" si="89"/>
        <v>0</v>
      </c>
      <c r="J374" s="32">
        <f t="shared" si="90"/>
        <v>0</v>
      </c>
      <c r="K374" s="32">
        <f t="shared" si="91"/>
        <v>0</v>
      </c>
      <c r="L374" s="32">
        <f t="shared" si="92"/>
        <v>0</v>
      </c>
      <c r="M374" s="32">
        <f>IF(AND(AND(T373="",A374&lt;=S373),A374=入力!$B$15),ROUND(MIN(入力!$B$16,MAX(0,C374-L374)),0),0)</f>
        <v>0</v>
      </c>
      <c r="N374" s="32">
        <f t="shared" si="93"/>
        <v>0</v>
      </c>
      <c r="O374" s="32">
        <f t="shared" si="94"/>
        <v>10725103</v>
      </c>
      <c r="P374" s="34" t="str">
        <f>IF(NOT(AND(T373="",A374&lt;=S373)),"",IF(FALSE,"繰上返済後再計算","")&amp;IF(AND(入力!$B$13="有効",A374&gt;1,MOD(A374-1,60)=0),IF(FALSE,"・","")&amp;"5年見直し","")&amp;IF(AND(A374=入力!$B$11,A374&gt;1),IF(OR(FALSE,AND(入力!$B$13="有効",A374&gt;1,MOD(A374-1,60)=0)),"・","")&amp;"金利変更","")&amp;IF(AND(OR(AND(入力!$B$13="有効",A374&gt;1,MOD(A374-1,60)=0),AND(A374=入力!$B$11,A374&gt;1)),入力!$B$14="有効",IF(E374=0,ROUND(C374/MAX(1,S373-A374+1),0),ROUND(-PMT(E374/12,MAX(1,S373-A374+1),C374),0))&gt;ROUND(G373*1.25,0),NOT(FALSE)),"・上限適用",""))</f>
        <v/>
      </c>
      <c r="Q374" s="35" t="str">
        <f>IF(AND(T373="",A374&lt;=S373),入力!$B$13,"")</f>
        <v/>
      </c>
      <c r="R374" s="32" t="str">
        <f>IF(AND(AND(T373="",A374&lt;=S373),OR(AND(入力!$B$13="有効",A374&gt;1,MOD(A374-1,60)=0),AND(A374=入力!$B$11,A374&gt;1)),入力!$B$14="有効"),ROUND(G373*1.25,0),"")</f>
        <v/>
      </c>
      <c r="S374" s="36">
        <f>IF(A374&lt;&gt;入力!$B$15,S373,IF(K374&lt;&gt;0,S373,IF(G374&lt;=F374,S373,IF(M374&lt;=0,S373,IF(AND(N374&gt;0,E374&gt;0,G374&lt;=N374*E374/12),S373,IF(A374+IF(N374=0,0,IF(E374=0,ROUNDUP(N374/G374,0),ROUNDUP(NPER(E374/12,-G374,N374),0)))&lt;S373,A374+IF(N374=0,0,IF(E374=0,ROUNDUP(N374/G374,0),ROUNDUP(NPER(E374/12,-G374,N374),0))),S373))))))</f>
        <v>359</v>
      </c>
      <c r="T374" s="35" t="str">
        <f t="shared" si="95"/>
        <v/>
      </c>
      <c r="U374" s="3">
        <f t="shared" si="80"/>
        <v>0</v>
      </c>
      <c r="V374" s="3">
        <f t="shared" si="81"/>
        <v>0</v>
      </c>
      <c r="W374" s="3">
        <f t="shared" si="82"/>
        <v>0</v>
      </c>
      <c r="X374" s="3">
        <f t="shared" si="83"/>
        <v>0</v>
      </c>
      <c r="Y374" s="3">
        <f>0</f>
        <v>0</v>
      </c>
      <c r="Z374" s="3">
        <f t="shared" si="84"/>
        <v>0</v>
      </c>
      <c r="AA374">
        <f>ROUND(IF(FALSE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,0)</f>
        <v>0</v>
      </c>
    </row>
    <row r="375" spans="1:27">
      <c r="A375" s="30">
        <f>370</f>
        <v>370</v>
      </c>
      <c r="B375" s="31">
        <f>EDATE(入力!$B$6,A375-1)</f>
        <v>57466</v>
      </c>
      <c r="C375" s="32">
        <f t="shared" si="85"/>
        <v>0</v>
      </c>
      <c r="D375" s="32">
        <f t="shared" si="86"/>
        <v>0</v>
      </c>
      <c r="E375" s="33">
        <f>IF(AND(T374="",A375&lt;=S374),IF(A375&lt;入力!$B$11,入力!$B$10,入力!$B$12),0)</f>
        <v>0</v>
      </c>
      <c r="F375" s="32">
        <f t="shared" si="87"/>
        <v>0</v>
      </c>
      <c r="G375" s="32">
        <f>ROUND(IF(NOT(AND(T374="",A375&lt;=S374)),0,IF(FALSE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),0)</f>
        <v>0</v>
      </c>
      <c r="H375" s="32">
        <f t="shared" si="88"/>
        <v>0</v>
      </c>
      <c r="I375" s="32">
        <f t="shared" si="89"/>
        <v>0</v>
      </c>
      <c r="J375" s="32">
        <f t="shared" si="90"/>
        <v>0</v>
      </c>
      <c r="K375" s="32">
        <f t="shared" si="91"/>
        <v>0</v>
      </c>
      <c r="L375" s="32">
        <f t="shared" si="92"/>
        <v>0</v>
      </c>
      <c r="M375" s="32">
        <f>IF(AND(AND(T374="",A375&lt;=S374),A375=入力!$B$15),ROUND(MIN(入力!$B$16,MAX(0,C375-L375)),0),0)</f>
        <v>0</v>
      </c>
      <c r="N375" s="32">
        <f t="shared" si="93"/>
        <v>0</v>
      </c>
      <c r="O375" s="32">
        <f t="shared" si="94"/>
        <v>10725103</v>
      </c>
      <c r="P375" s="34" t="str">
        <f>IF(NOT(AND(T374="",A375&lt;=S374)),"",IF(FALSE,"繰上返済後再計算","")&amp;IF(AND(入力!$B$13="有効",A375&gt;1,MOD(A375-1,60)=0),IF(FALSE,"・","")&amp;"5年見直し","")&amp;IF(AND(A375=入力!$B$11,A375&gt;1),IF(OR(FALSE,AND(入力!$B$13="有効",A375&gt;1,MOD(A375-1,60)=0)),"・","")&amp;"金利変更","")&amp;IF(AND(OR(AND(入力!$B$13="有効",A375&gt;1,MOD(A375-1,60)=0),AND(A375=入力!$B$11,A375&gt;1)),入力!$B$14="有効",IF(E375=0,ROUND(C375/MAX(1,S374-A375+1),0),ROUND(-PMT(E375/12,MAX(1,S374-A375+1),C375),0))&gt;ROUND(G374*1.25,0),NOT(FALSE)),"・上限適用",""))</f>
        <v/>
      </c>
      <c r="Q375" s="35" t="str">
        <f>IF(AND(T374="",A375&lt;=S374),入力!$B$13,"")</f>
        <v/>
      </c>
      <c r="R375" s="32" t="str">
        <f>IF(AND(AND(T374="",A375&lt;=S374),OR(AND(入力!$B$13="有効",A375&gt;1,MOD(A375-1,60)=0),AND(A375=入力!$B$11,A375&gt;1)),入力!$B$14="有効"),ROUND(G374*1.25,0),"")</f>
        <v/>
      </c>
      <c r="S375" s="36">
        <f>IF(A375&lt;&gt;入力!$B$15,S374,IF(K375&lt;&gt;0,S374,IF(G375&lt;=F375,S374,IF(M375&lt;=0,S374,IF(AND(N375&gt;0,E375&gt;0,G375&lt;=N375*E375/12),S374,IF(A375+IF(N375=0,0,IF(E375=0,ROUNDUP(N375/G375,0),ROUNDUP(NPER(E375/12,-G375,N375),0)))&lt;S374,A375+IF(N375=0,0,IF(E375=0,ROUNDUP(N375/G375,0),ROUNDUP(NPER(E375/12,-G375,N375),0))),S374))))))</f>
        <v>359</v>
      </c>
      <c r="T375" s="35" t="str">
        <f t="shared" si="95"/>
        <v/>
      </c>
      <c r="U375" s="3">
        <f t="shared" si="80"/>
        <v>0</v>
      </c>
      <c r="V375" s="3">
        <f t="shared" si="81"/>
        <v>0</v>
      </c>
      <c r="W375" s="3">
        <f t="shared" si="82"/>
        <v>0</v>
      </c>
      <c r="X375" s="3">
        <f t="shared" si="83"/>
        <v>0</v>
      </c>
      <c r="Y375" s="3">
        <f>0</f>
        <v>0</v>
      </c>
      <c r="Z375" s="3">
        <f t="shared" si="84"/>
        <v>0</v>
      </c>
      <c r="AA375">
        <f>ROUND(IF(FALSE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,0)</f>
        <v>0</v>
      </c>
    </row>
    <row r="376" spans="1:27">
      <c r="A376" s="30">
        <f>371</f>
        <v>371</v>
      </c>
      <c r="B376" s="31">
        <f>EDATE(入力!$B$6,A376-1)</f>
        <v>57497</v>
      </c>
      <c r="C376" s="32">
        <f t="shared" si="85"/>
        <v>0</v>
      </c>
      <c r="D376" s="32">
        <f t="shared" si="86"/>
        <v>0</v>
      </c>
      <c r="E376" s="33">
        <f>IF(AND(T375="",A376&lt;=S375),IF(A376&lt;入力!$B$11,入力!$B$10,入力!$B$12),0)</f>
        <v>0</v>
      </c>
      <c r="F376" s="32">
        <f t="shared" si="87"/>
        <v>0</v>
      </c>
      <c r="G376" s="32">
        <f>ROUND(IF(NOT(AND(T375="",A376&lt;=S375)),0,IF(FALSE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),0)</f>
        <v>0</v>
      </c>
      <c r="H376" s="32">
        <f t="shared" si="88"/>
        <v>0</v>
      </c>
      <c r="I376" s="32">
        <f t="shared" si="89"/>
        <v>0</v>
      </c>
      <c r="J376" s="32">
        <f t="shared" si="90"/>
        <v>0</v>
      </c>
      <c r="K376" s="32">
        <f t="shared" si="91"/>
        <v>0</v>
      </c>
      <c r="L376" s="32">
        <f t="shared" si="92"/>
        <v>0</v>
      </c>
      <c r="M376" s="32">
        <f>IF(AND(AND(T375="",A376&lt;=S375),A376=入力!$B$15),ROUND(MIN(入力!$B$16,MAX(0,C376-L376)),0),0)</f>
        <v>0</v>
      </c>
      <c r="N376" s="32">
        <f t="shared" si="93"/>
        <v>0</v>
      </c>
      <c r="O376" s="32">
        <f t="shared" si="94"/>
        <v>10725103</v>
      </c>
      <c r="P376" s="34" t="str">
        <f>IF(NOT(AND(T375="",A376&lt;=S375)),"",IF(FALSE,"繰上返済後再計算","")&amp;IF(AND(入力!$B$13="有効",A376&gt;1,MOD(A376-1,60)=0),IF(FALSE,"・","")&amp;"5年見直し","")&amp;IF(AND(A376=入力!$B$11,A376&gt;1),IF(OR(FALSE,AND(入力!$B$13="有効",A376&gt;1,MOD(A376-1,60)=0)),"・","")&amp;"金利変更","")&amp;IF(AND(OR(AND(入力!$B$13="有効",A376&gt;1,MOD(A376-1,60)=0),AND(A376=入力!$B$11,A376&gt;1)),入力!$B$14="有効",IF(E376=0,ROUND(C376/MAX(1,S375-A376+1),0),ROUND(-PMT(E376/12,MAX(1,S375-A376+1),C376),0))&gt;ROUND(G375*1.25,0),NOT(FALSE)),"・上限適用",""))</f>
        <v/>
      </c>
      <c r="Q376" s="35" t="str">
        <f>IF(AND(T375="",A376&lt;=S375),入力!$B$13,"")</f>
        <v/>
      </c>
      <c r="R376" s="32" t="str">
        <f>IF(AND(AND(T375="",A376&lt;=S375),OR(AND(入力!$B$13="有効",A376&gt;1,MOD(A376-1,60)=0),AND(A376=入力!$B$11,A376&gt;1)),入力!$B$14="有効"),ROUND(G375*1.25,0),"")</f>
        <v/>
      </c>
      <c r="S376" s="36">
        <f>IF(A376&lt;&gt;入力!$B$15,S375,IF(K376&lt;&gt;0,S375,IF(G376&lt;=F376,S375,IF(M376&lt;=0,S375,IF(AND(N376&gt;0,E376&gt;0,G376&lt;=N376*E376/12),S375,IF(A376+IF(N376=0,0,IF(E376=0,ROUNDUP(N376/G376,0),ROUNDUP(NPER(E376/12,-G376,N376),0)))&lt;S375,A376+IF(N376=0,0,IF(E376=0,ROUNDUP(N376/G376,0),ROUNDUP(NPER(E376/12,-G376,N376),0))),S375))))))</f>
        <v>359</v>
      </c>
      <c r="T376" s="35" t="str">
        <f t="shared" si="95"/>
        <v/>
      </c>
      <c r="U376" s="3">
        <f t="shared" si="80"/>
        <v>0</v>
      </c>
      <c r="V376" s="3">
        <f t="shared" si="81"/>
        <v>0</v>
      </c>
      <c r="W376" s="3">
        <f t="shared" si="82"/>
        <v>0</v>
      </c>
      <c r="X376" s="3">
        <f t="shared" si="83"/>
        <v>0</v>
      </c>
      <c r="Y376" s="3">
        <f>0</f>
        <v>0</v>
      </c>
      <c r="Z376" s="3">
        <f t="shared" si="84"/>
        <v>0</v>
      </c>
      <c r="AA376">
        <f>ROUND(IF(FALSE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,0)</f>
        <v>0</v>
      </c>
    </row>
    <row r="377" spans="1:27">
      <c r="A377" s="30">
        <f>372</f>
        <v>372</v>
      </c>
      <c r="B377" s="31">
        <f>EDATE(入力!$B$6,A377-1)</f>
        <v>57527</v>
      </c>
      <c r="C377" s="32">
        <f t="shared" si="85"/>
        <v>0</v>
      </c>
      <c r="D377" s="32">
        <f t="shared" si="86"/>
        <v>0</v>
      </c>
      <c r="E377" s="33">
        <f>IF(AND(T376="",A377&lt;=S376),IF(A377&lt;入力!$B$11,入力!$B$10,入力!$B$12),0)</f>
        <v>0</v>
      </c>
      <c r="F377" s="32">
        <f t="shared" si="87"/>
        <v>0</v>
      </c>
      <c r="G377" s="32">
        <f>ROUND(IF(NOT(AND(T376="",A377&lt;=S376)),0,IF(FALSE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),0)</f>
        <v>0</v>
      </c>
      <c r="H377" s="32">
        <f t="shared" si="88"/>
        <v>0</v>
      </c>
      <c r="I377" s="32">
        <f t="shared" si="89"/>
        <v>0</v>
      </c>
      <c r="J377" s="32">
        <f t="shared" si="90"/>
        <v>0</v>
      </c>
      <c r="K377" s="32">
        <f t="shared" si="91"/>
        <v>0</v>
      </c>
      <c r="L377" s="32">
        <f t="shared" si="92"/>
        <v>0</v>
      </c>
      <c r="M377" s="32">
        <f>IF(AND(AND(T376="",A377&lt;=S376),A377=入力!$B$15),ROUND(MIN(入力!$B$16,MAX(0,C377-L377)),0),0)</f>
        <v>0</v>
      </c>
      <c r="N377" s="32">
        <f t="shared" si="93"/>
        <v>0</v>
      </c>
      <c r="O377" s="32">
        <f t="shared" si="94"/>
        <v>10725103</v>
      </c>
      <c r="P377" s="34" t="str">
        <f>IF(NOT(AND(T376="",A377&lt;=S376)),"",IF(FALSE,"繰上返済後再計算","")&amp;IF(AND(入力!$B$13="有効",A377&gt;1,MOD(A377-1,60)=0),IF(FALSE,"・","")&amp;"5年見直し","")&amp;IF(AND(A377=入力!$B$11,A377&gt;1),IF(OR(FALSE,AND(入力!$B$13="有効",A377&gt;1,MOD(A377-1,60)=0)),"・","")&amp;"金利変更","")&amp;IF(AND(OR(AND(入力!$B$13="有効",A377&gt;1,MOD(A377-1,60)=0),AND(A377=入力!$B$11,A377&gt;1)),入力!$B$14="有効",IF(E377=0,ROUND(C377/MAX(1,S376-A377+1),0),ROUND(-PMT(E377/12,MAX(1,S376-A377+1),C377),0))&gt;ROUND(G376*1.25,0),NOT(FALSE)),"・上限適用",""))</f>
        <v/>
      </c>
      <c r="Q377" s="35" t="str">
        <f>IF(AND(T376="",A377&lt;=S376),入力!$B$13,"")</f>
        <v/>
      </c>
      <c r="R377" s="32" t="str">
        <f>IF(AND(AND(T376="",A377&lt;=S376),OR(AND(入力!$B$13="有効",A377&gt;1,MOD(A377-1,60)=0),AND(A377=入力!$B$11,A377&gt;1)),入力!$B$14="有効"),ROUND(G376*1.25,0),"")</f>
        <v/>
      </c>
      <c r="S377" s="36">
        <f>IF(A377&lt;&gt;入力!$B$15,S376,IF(K377&lt;&gt;0,S376,IF(G377&lt;=F377,S376,IF(M377&lt;=0,S376,IF(AND(N377&gt;0,E377&gt;0,G377&lt;=N377*E377/12),S376,IF(A377+IF(N377=0,0,IF(E377=0,ROUNDUP(N377/G377,0),ROUNDUP(NPER(E377/12,-G377,N377),0)))&lt;S376,A377+IF(N377=0,0,IF(E377=0,ROUNDUP(N377/G377,0),ROUNDUP(NPER(E377/12,-G377,N377),0))),S376))))))</f>
        <v>359</v>
      </c>
      <c r="T377" s="35" t="str">
        <f t="shared" si="95"/>
        <v/>
      </c>
      <c r="U377" s="3">
        <f t="shared" si="80"/>
        <v>0</v>
      </c>
      <c r="V377" s="3">
        <f t="shared" si="81"/>
        <v>0</v>
      </c>
      <c r="W377" s="3">
        <f t="shared" si="82"/>
        <v>0</v>
      </c>
      <c r="X377" s="3">
        <f t="shared" si="83"/>
        <v>0</v>
      </c>
      <c r="Y377" s="3">
        <f>0</f>
        <v>0</v>
      </c>
      <c r="Z377" s="3">
        <f t="shared" si="84"/>
        <v>0</v>
      </c>
      <c r="AA377">
        <f>ROUND(IF(FALSE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,0)</f>
        <v>0</v>
      </c>
    </row>
    <row r="378" spans="1:27">
      <c r="A378" s="30">
        <f>373</f>
        <v>373</v>
      </c>
      <c r="B378" s="31">
        <f>EDATE(入力!$B$6,A378-1)</f>
        <v>57558</v>
      </c>
      <c r="C378" s="32">
        <f t="shared" si="85"/>
        <v>0</v>
      </c>
      <c r="D378" s="32">
        <f t="shared" si="86"/>
        <v>0</v>
      </c>
      <c r="E378" s="33">
        <f>IF(AND(T377="",A378&lt;=S377),IF(A378&lt;入力!$B$11,入力!$B$10,入力!$B$12),0)</f>
        <v>0</v>
      </c>
      <c r="F378" s="32">
        <f t="shared" si="87"/>
        <v>0</v>
      </c>
      <c r="G378" s="32">
        <f>ROUND(IF(NOT(AND(T377="",A378&lt;=S377)),0,IF(FALSE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),0)</f>
        <v>0</v>
      </c>
      <c r="H378" s="32">
        <f t="shared" si="88"/>
        <v>0</v>
      </c>
      <c r="I378" s="32">
        <f t="shared" si="89"/>
        <v>0</v>
      </c>
      <c r="J378" s="32">
        <f t="shared" si="90"/>
        <v>0</v>
      </c>
      <c r="K378" s="32">
        <f t="shared" si="91"/>
        <v>0</v>
      </c>
      <c r="L378" s="32">
        <f t="shared" si="92"/>
        <v>0</v>
      </c>
      <c r="M378" s="32">
        <f>IF(AND(AND(T377="",A378&lt;=S377),A378=入力!$B$15),ROUND(MIN(入力!$B$16,MAX(0,C378-L378)),0),0)</f>
        <v>0</v>
      </c>
      <c r="N378" s="32">
        <f t="shared" si="93"/>
        <v>0</v>
      </c>
      <c r="O378" s="32">
        <f t="shared" si="94"/>
        <v>10725103</v>
      </c>
      <c r="P378" s="34" t="str">
        <f>IF(NOT(AND(T377="",A378&lt;=S377)),"",IF(FALSE,"繰上返済後再計算","")&amp;IF(AND(入力!$B$13="有効",A378&gt;1,MOD(A378-1,60)=0),IF(FALSE,"・","")&amp;"5年見直し","")&amp;IF(AND(A378=入力!$B$11,A378&gt;1),IF(OR(FALSE,AND(入力!$B$13="有効",A378&gt;1,MOD(A378-1,60)=0)),"・","")&amp;"金利変更","")&amp;IF(AND(OR(AND(入力!$B$13="有効",A378&gt;1,MOD(A378-1,60)=0),AND(A378=入力!$B$11,A378&gt;1)),入力!$B$14="有効",IF(E378=0,ROUND(C378/MAX(1,S377-A378+1),0),ROUND(-PMT(E378/12,MAX(1,S377-A378+1),C378),0))&gt;ROUND(G377*1.25,0),NOT(FALSE)),"・上限適用",""))</f>
        <v/>
      </c>
      <c r="Q378" s="35" t="str">
        <f>IF(AND(T377="",A378&lt;=S377),入力!$B$13,"")</f>
        <v/>
      </c>
      <c r="R378" s="32" t="str">
        <f>IF(AND(AND(T377="",A378&lt;=S377),OR(AND(入力!$B$13="有効",A378&gt;1,MOD(A378-1,60)=0),AND(A378=入力!$B$11,A378&gt;1)),入力!$B$14="有効"),ROUND(G377*1.25,0),"")</f>
        <v/>
      </c>
      <c r="S378" s="36">
        <f>IF(A378&lt;&gt;入力!$B$15,S377,IF(K378&lt;&gt;0,S377,IF(G378&lt;=F378,S377,IF(M378&lt;=0,S377,IF(AND(N378&gt;0,E378&gt;0,G378&lt;=N378*E378/12),S377,IF(A378+IF(N378=0,0,IF(E378=0,ROUNDUP(N378/G378,0),ROUNDUP(NPER(E378/12,-G378,N378),0)))&lt;S377,A378+IF(N378=0,0,IF(E378=0,ROUNDUP(N378/G378,0),ROUNDUP(NPER(E378/12,-G378,N378),0))),S377))))))</f>
        <v>359</v>
      </c>
      <c r="T378" s="35" t="str">
        <f t="shared" si="95"/>
        <v/>
      </c>
      <c r="U378" s="3">
        <f t="shared" si="80"/>
        <v>0</v>
      </c>
      <c r="V378" s="3">
        <f t="shared" si="81"/>
        <v>0</v>
      </c>
      <c r="W378" s="3">
        <f t="shared" si="82"/>
        <v>0</v>
      </c>
      <c r="X378" s="3">
        <f t="shared" si="83"/>
        <v>0</v>
      </c>
      <c r="Y378" s="3">
        <f>0</f>
        <v>0</v>
      </c>
      <c r="Z378" s="3">
        <f t="shared" si="84"/>
        <v>0</v>
      </c>
      <c r="AA378">
        <f>ROUND(IF(FALSE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,0)</f>
        <v>0</v>
      </c>
    </row>
    <row r="379" spans="1:27">
      <c r="A379" s="30">
        <f>374</f>
        <v>374</v>
      </c>
      <c r="B379" s="31">
        <f>EDATE(入力!$B$6,A379-1)</f>
        <v>57589</v>
      </c>
      <c r="C379" s="32">
        <f t="shared" si="85"/>
        <v>0</v>
      </c>
      <c r="D379" s="32">
        <f t="shared" si="86"/>
        <v>0</v>
      </c>
      <c r="E379" s="33">
        <f>IF(AND(T378="",A379&lt;=S378),IF(A379&lt;入力!$B$11,入力!$B$10,入力!$B$12),0)</f>
        <v>0</v>
      </c>
      <c r="F379" s="32">
        <f t="shared" si="87"/>
        <v>0</v>
      </c>
      <c r="G379" s="32">
        <f>ROUND(IF(NOT(AND(T378="",A379&lt;=S378)),0,IF(FALSE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),0)</f>
        <v>0</v>
      </c>
      <c r="H379" s="32">
        <f t="shared" si="88"/>
        <v>0</v>
      </c>
      <c r="I379" s="32">
        <f t="shared" si="89"/>
        <v>0</v>
      </c>
      <c r="J379" s="32">
        <f t="shared" si="90"/>
        <v>0</v>
      </c>
      <c r="K379" s="32">
        <f t="shared" si="91"/>
        <v>0</v>
      </c>
      <c r="L379" s="32">
        <f t="shared" si="92"/>
        <v>0</v>
      </c>
      <c r="M379" s="32">
        <f>IF(AND(AND(T378="",A379&lt;=S378),A379=入力!$B$15),ROUND(MIN(入力!$B$16,MAX(0,C379-L379)),0),0)</f>
        <v>0</v>
      </c>
      <c r="N379" s="32">
        <f t="shared" si="93"/>
        <v>0</v>
      </c>
      <c r="O379" s="32">
        <f t="shared" si="94"/>
        <v>10725103</v>
      </c>
      <c r="P379" s="34" t="str">
        <f>IF(NOT(AND(T378="",A379&lt;=S378)),"",IF(FALSE,"繰上返済後再計算","")&amp;IF(AND(入力!$B$13="有効",A379&gt;1,MOD(A379-1,60)=0),IF(FALSE,"・","")&amp;"5年見直し","")&amp;IF(AND(A379=入力!$B$11,A379&gt;1),IF(OR(FALSE,AND(入力!$B$13="有効",A379&gt;1,MOD(A379-1,60)=0)),"・","")&amp;"金利変更","")&amp;IF(AND(OR(AND(入力!$B$13="有効",A379&gt;1,MOD(A379-1,60)=0),AND(A379=入力!$B$11,A379&gt;1)),入力!$B$14="有効",IF(E379=0,ROUND(C379/MAX(1,S378-A379+1),0),ROUND(-PMT(E379/12,MAX(1,S378-A379+1),C379),0))&gt;ROUND(G378*1.25,0),NOT(FALSE)),"・上限適用",""))</f>
        <v/>
      </c>
      <c r="Q379" s="35" t="str">
        <f>IF(AND(T378="",A379&lt;=S378),入力!$B$13,"")</f>
        <v/>
      </c>
      <c r="R379" s="32" t="str">
        <f>IF(AND(AND(T378="",A379&lt;=S378),OR(AND(入力!$B$13="有効",A379&gt;1,MOD(A379-1,60)=0),AND(A379=入力!$B$11,A379&gt;1)),入力!$B$14="有効"),ROUND(G378*1.25,0),"")</f>
        <v/>
      </c>
      <c r="S379" s="36">
        <f>IF(A379&lt;&gt;入力!$B$15,S378,IF(K379&lt;&gt;0,S378,IF(G379&lt;=F379,S378,IF(M379&lt;=0,S378,IF(AND(N379&gt;0,E379&gt;0,G379&lt;=N379*E379/12),S378,IF(A379+IF(N379=0,0,IF(E379=0,ROUNDUP(N379/G379,0),ROUNDUP(NPER(E379/12,-G379,N379),0)))&lt;S378,A379+IF(N379=0,0,IF(E379=0,ROUNDUP(N379/G379,0),ROUNDUP(NPER(E379/12,-G379,N379),0))),S378))))))</f>
        <v>359</v>
      </c>
      <c r="T379" s="35" t="str">
        <f t="shared" si="95"/>
        <v/>
      </c>
      <c r="U379" s="3">
        <f t="shared" si="80"/>
        <v>0</v>
      </c>
      <c r="V379" s="3">
        <f t="shared" si="81"/>
        <v>0</v>
      </c>
      <c r="W379" s="3">
        <f t="shared" si="82"/>
        <v>0</v>
      </c>
      <c r="X379" s="3">
        <f t="shared" si="83"/>
        <v>0</v>
      </c>
      <c r="Y379" s="3">
        <f>0</f>
        <v>0</v>
      </c>
      <c r="Z379" s="3">
        <f t="shared" si="84"/>
        <v>0</v>
      </c>
      <c r="AA379">
        <f>ROUND(IF(FALSE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,0)</f>
        <v>0</v>
      </c>
    </row>
    <row r="380" spans="1:27">
      <c r="A380" s="30">
        <f>375</f>
        <v>375</v>
      </c>
      <c r="B380" s="31">
        <f>EDATE(入力!$B$6,A380-1)</f>
        <v>57619</v>
      </c>
      <c r="C380" s="32">
        <f t="shared" si="85"/>
        <v>0</v>
      </c>
      <c r="D380" s="32">
        <f t="shared" si="86"/>
        <v>0</v>
      </c>
      <c r="E380" s="33">
        <f>IF(AND(T379="",A380&lt;=S379),IF(A380&lt;入力!$B$11,入力!$B$10,入力!$B$12),0)</f>
        <v>0</v>
      </c>
      <c r="F380" s="32">
        <f t="shared" si="87"/>
        <v>0</v>
      </c>
      <c r="G380" s="32">
        <f>ROUND(IF(NOT(AND(T379="",A380&lt;=S379)),0,IF(FALSE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),0)</f>
        <v>0</v>
      </c>
      <c r="H380" s="32">
        <f t="shared" si="88"/>
        <v>0</v>
      </c>
      <c r="I380" s="32">
        <f t="shared" si="89"/>
        <v>0</v>
      </c>
      <c r="J380" s="32">
        <f t="shared" si="90"/>
        <v>0</v>
      </c>
      <c r="K380" s="32">
        <f t="shared" si="91"/>
        <v>0</v>
      </c>
      <c r="L380" s="32">
        <f t="shared" si="92"/>
        <v>0</v>
      </c>
      <c r="M380" s="32">
        <f>IF(AND(AND(T379="",A380&lt;=S379),A380=入力!$B$15),ROUND(MIN(入力!$B$16,MAX(0,C380-L380)),0),0)</f>
        <v>0</v>
      </c>
      <c r="N380" s="32">
        <f t="shared" si="93"/>
        <v>0</v>
      </c>
      <c r="O380" s="32">
        <f t="shared" si="94"/>
        <v>10725103</v>
      </c>
      <c r="P380" s="34" t="str">
        <f>IF(NOT(AND(T379="",A380&lt;=S379)),"",IF(FALSE,"繰上返済後再計算","")&amp;IF(AND(入力!$B$13="有効",A380&gt;1,MOD(A380-1,60)=0),IF(FALSE,"・","")&amp;"5年見直し","")&amp;IF(AND(A380=入力!$B$11,A380&gt;1),IF(OR(FALSE,AND(入力!$B$13="有効",A380&gt;1,MOD(A380-1,60)=0)),"・","")&amp;"金利変更","")&amp;IF(AND(OR(AND(入力!$B$13="有効",A380&gt;1,MOD(A380-1,60)=0),AND(A380=入力!$B$11,A380&gt;1)),入力!$B$14="有効",IF(E380=0,ROUND(C380/MAX(1,S379-A380+1),0),ROUND(-PMT(E380/12,MAX(1,S379-A380+1),C380),0))&gt;ROUND(G379*1.25,0),NOT(FALSE)),"・上限適用",""))</f>
        <v/>
      </c>
      <c r="Q380" s="35" t="str">
        <f>IF(AND(T379="",A380&lt;=S379),入力!$B$13,"")</f>
        <v/>
      </c>
      <c r="R380" s="32" t="str">
        <f>IF(AND(AND(T379="",A380&lt;=S379),OR(AND(入力!$B$13="有効",A380&gt;1,MOD(A380-1,60)=0),AND(A380=入力!$B$11,A380&gt;1)),入力!$B$14="有効"),ROUND(G379*1.25,0),"")</f>
        <v/>
      </c>
      <c r="S380" s="36">
        <f>IF(A380&lt;&gt;入力!$B$15,S379,IF(K380&lt;&gt;0,S379,IF(G380&lt;=F380,S379,IF(M380&lt;=0,S379,IF(AND(N380&gt;0,E380&gt;0,G380&lt;=N380*E380/12),S379,IF(A380+IF(N380=0,0,IF(E380=0,ROUNDUP(N380/G380,0),ROUNDUP(NPER(E380/12,-G380,N380),0)))&lt;S379,A380+IF(N380=0,0,IF(E380=0,ROUNDUP(N380/G380,0),ROUNDUP(NPER(E380/12,-G380,N380),0))),S379))))))</f>
        <v>359</v>
      </c>
      <c r="T380" s="35" t="str">
        <f t="shared" si="95"/>
        <v/>
      </c>
      <c r="U380" s="3">
        <f t="shared" si="80"/>
        <v>0</v>
      </c>
      <c r="V380" s="3">
        <f t="shared" si="81"/>
        <v>0</v>
      </c>
      <c r="W380" s="3">
        <f t="shared" si="82"/>
        <v>0</v>
      </c>
      <c r="X380" s="3">
        <f t="shared" si="83"/>
        <v>0</v>
      </c>
      <c r="Y380" s="3">
        <f>0</f>
        <v>0</v>
      </c>
      <c r="Z380" s="3">
        <f t="shared" si="84"/>
        <v>0</v>
      </c>
      <c r="AA380">
        <f>ROUND(IF(FALSE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,0)</f>
        <v>0</v>
      </c>
    </row>
    <row r="381" spans="1:27">
      <c r="A381" s="30">
        <f>376</f>
        <v>376</v>
      </c>
      <c r="B381" s="31">
        <f>EDATE(入力!$B$6,A381-1)</f>
        <v>57650</v>
      </c>
      <c r="C381" s="32">
        <f t="shared" si="85"/>
        <v>0</v>
      </c>
      <c r="D381" s="32">
        <f t="shared" si="86"/>
        <v>0</v>
      </c>
      <c r="E381" s="33">
        <f>IF(AND(T380="",A381&lt;=S380),IF(A381&lt;入力!$B$11,入力!$B$10,入力!$B$12),0)</f>
        <v>0</v>
      </c>
      <c r="F381" s="32">
        <f t="shared" si="87"/>
        <v>0</v>
      </c>
      <c r="G381" s="32">
        <f>ROUND(IF(NOT(AND(T380="",A381&lt;=S380)),0,IF(FALSE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),0)</f>
        <v>0</v>
      </c>
      <c r="H381" s="32">
        <f t="shared" si="88"/>
        <v>0</v>
      </c>
      <c r="I381" s="32">
        <f t="shared" si="89"/>
        <v>0</v>
      </c>
      <c r="J381" s="32">
        <f t="shared" si="90"/>
        <v>0</v>
      </c>
      <c r="K381" s="32">
        <f t="shared" si="91"/>
        <v>0</v>
      </c>
      <c r="L381" s="32">
        <f t="shared" si="92"/>
        <v>0</v>
      </c>
      <c r="M381" s="32">
        <f>IF(AND(AND(T380="",A381&lt;=S380),A381=入力!$B$15),ROUND(MIN(入力!$B$16,MAX(0,C381-L381)),0),0)</f>
        <v>0</v>
      </c>
      <c r="N381" s="32">
        <f t="shared" si="93"/>
        <v>0</v>
      </c>
      <c r="O381" s="32">
        <f t="shared" si="94"/>
        <v>10725103</v>
      </c>
      <c r="P381" s="34" t="str">
        <f>IF(NOT(AND(T380="",A381&lt;=S380)),"",IF(FALSE,"繰上返済後再計算","")&amp;IF(AND(入力!$B$13="有効",A381&gt;1,MOD(A381-1,60)=0),IF(FALSE,"・","")&amp;"5年見直し","")&amp;IF(AND(A381=入力!$B$11,A381&gt;1),IF(OR(FALSE,AND(入力!$B$13="有効",A381&gt;1,MOD(A381-1,60)=0)),"・","")&amp;"金利変更","")&amp;IF(AND(OR(AND(入力!$B$13="有効",A381&gt;1,MOD(A381-1,60)=0),AND(A381=入力!$B$11,A381&gt;1)),入力!$B$14="有効",IF(E381=0,ROUND(C381/MAX(1,S380-A381+1),0),ROUND(-PMT(E381/12,MAX(1,S380-A381+1),C381),0))&gt;ROUND(G380*1.25,0),NOT(FALSE)),"・上限適用",""))</f>
        <v/>
      </c>
      <c r="Q381" s="35" t="str">
        <f>IF(AND(T380="",A381&lt;=S380),入力!$B$13,"")</f>
        <v/>
      </c>
      <c r="R381" s="32" t="str">
        <f>IF(AND(AND(T380="",A381&lt;=S380),OR(AND(入力!$B$13="有効",A381&gt;1,MOD(A381-1,60)=0),AND(A381=入力!$B$11,A381&gt;1)),入力!$B$14="有効"),ROUND(G380*1.25,0),"")</f>
        <v/>
      </c>
      <c r="S381" s="36">
        <f>IF(A381&lt;&gt;入力!$B$15,S380,IF(K381&lt;&gt;0,S380,IF(G381&lt;=F381,S380,IF(M381&lt;=0,S380,IF(AND(N381&gt;0,E381&gt;0,G381&lt;=N381*E381/12),S380,IF(A381+IF(N381=0,0,IF(E381=0,ROUNDUP(N381/G381,0),ROUNDUP(NPER(E381/12,-G381,N381),0)))&lt;S380,A381+IF(N381=0,0,IF(E381=0,ROUNDUP(N381/G381,0),ROUNDUP(NPER(E381/12,-G381,N381),0))),S380))))))</f>
        <v>359</v>
      </c>
      <c r="T381" s="35" t="str">
        <f t="shared" si="95"/>
        <v/>
      </c>
      <c r="U381" s="3">
        <f t="shared" si="80"/>
        <v>0</v>
      </c>
      <c r="V381" s="3">
        <f t="shared" si="81"/>
        <v>0</v>
      </c>
      <c r="W381" s="3">
        <f t="shared" si="82"/>
        <v>0</v>
      </c>
      <c r="X381" s="3">
        <f t="shared" si="83"/>
        <v>0</v>
      </c>
      <c r="Y381" s="3">
        <f>0</f>
        <v>0</v>
      </c>
      <c r="Z381" s="3">
        <f t="shared" si="84"/>
        <v>0</v>
      </c>
      <c r="AA381">
        <f>ROUND(IF(FALSE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,0)</f>
        <v>0</v>
      </c>
    </row>
    <row r="382" spans="1:27">
      <c r="A382" s="30">
        <f>377</f>
        <v>377</v>
      </c>
      <c r="B382" s="31">
        <f>EDATE(入力!$B$6,A382-1)</f>
        <v>57680</v>
      </c>
      <c r="C382" s="32">
        <f t="shared" si="85"/>
        <v>0</v>
      </c>
      <c r="D382" s="32">
        <f t="shared" si="86"/>
        <v>0</v>
      </c>
      <c r="E382" s="33">
        <f>IF(AND(T381="",A382&lt;=S381),IF(A382&lt;入力!$B$11,入力!$B$10,入力!$B$12),0)</f>
        <v>0</v>
      </c>
      <c r="F382" s="32">
        <f t="shared" si="87"/>
        <v>0</v>
      </c>
      <c r="G382" s="32">
        <f>ROUND(IF(NOT(AND(T381="",A382&lt;=S381)),0,IF(FALSE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),0)</f>
        <v>0</v>
      </c>
      <c r="H382" s="32">
        <f t="shared" si="88"/>
        <v>0</v>
      </c>
      <c r="I382" s="32">
        <f t="shared" si="89"/>
        <v>0</v>
      </c>
      <c r="J382" s="32">
        <f t="shared" si="90"/>
        <v>0</v>
      </c>
      <c r="K382" s="32">
        <f t="shared" si="91"/>
        <v>0</v>
      </c>
      <c r="L382" s="32">
        <f t="shared" si="92"/>
        <v>0</v>
      </c>
      <c r="M382" s="32">
        <f>IF(AND(AND(T381="",A382&lt;=S381),A382=入力!$B$15),ROUND(MIN(入力!$B$16,MAX(0,C382-L382)),0),0)</f>
        <v>0</v>
      </c>
      <c r="N382" s="32">
        <f t="shared" si="93"/>
        <v>0</v>
      </c>
      <c r="O382" s="32">
        <f t="shared" si="94"/>
        <v>10725103</v>
      </c>
      <c r="P382" s="34" t="str">
        <f>IF(NOT(AND(T381="",A382&lt;=S381)),"",IF(FALSE,"繰上返済後再計算","")&amp;IF(AND(入力!$B$13="有効",A382&gt;1,MOD(A382-1,60)=0),IF(FALSE,"・","")&amp;"5年見直し","")&amp;IF(AND(A382=入力!$B$11,A382&gt;1),IF(OR(FALSE,AND(入力!$B$13="有効",A382&gt;1,MOD(A382-1,60)=0)),"・","")&amp;"金利変更","")&amp;IF(AND(OR(AND(入力!$B$13="有効",A382&gt;1,MOD(A382-1,60)=0),AND(A382=入力!$B$11,A382&gt;1)),入力!$B$14="有効",IF(E382=0,ROUND(C382/MAX(1,S381-A382+1),0),ROUND(-PMT(E382/12,MAX(1,S381-A382+1),C382),0))&gt;ROUND(G381*1.25,0),NOT(FALSE)),"・上限適用",""))</f>
        <v/>
      </c>
      <c r="Q382" s="35" t="str">
        <f>IF(AND(T381="",A382&lt;=S381),入力!$B$13,"")</f>
        <v/>
      </c>
      <c r="R382" s="32" t="str">
        <f>IF(AND(AND(T381="",A382&lt;=S381),OR(AND(入力!$B$13="有効",A382&gt;1,MOD(A382-1,60)=0),AND(A382=入力!$B$11,A382&gt;1)),入力!$B$14="有効"),ROUND(G381*1.25,0),"")</f>
        <v/>
      </c>
      <c r="S382" s="36">
        <f>IF(A382&lt;&gt;入力!$B$15,S381,IF(K382&lt;&gt;0,S381,IF(G382&lt;=F382,S381,IF(M382&lt;=0,S381,IF(AND(N382&gt;0,E382&gt;0,G382&lt;=N382*E382/12),S381,IF(A382+IF(N382=0,0,IF(E382=0,ROUNDUP(N382/G382,0),ROUNDUP(NPER(E382/12,-G382,N382),0)))&lt;S381,A382+IF(N382=0,0,IF(E382=0,ROUNDUP(N382/G382,0),ROUNDUP(NPER(E382/12,-G382,N382),0))),S381))))))</f>
        <v>359</v>
      </c>
      <c r="T382" s="35" t="str">
        <f t="shared" si="95"/>
        <v/>
      </c>
      <c r="U382" s="3">
        <f t="shared" si="80"/>
        <v>0</v>
      </c>
      <c r="V382" s="3">
        <f t="shared" si="81"/>
        <v>0</v>
      </c>
      <c r="W382" s="3">
        <f t="shared" si="82"/>
        <v>0</v>
      </c>
      <c r="X382" s="3">
        <f t="shared" si="83"/>
        <v>0</v>
      </c>
      <c r="Y382" s="3">
        <f>0</f>
        <v>0</v>
      </c>
      <c r="Z382" s="3">
        <f t="shared" si="84"/>
        <v>0</v>
      </c>
      <c r="AA382">
        <f>ROUND(IF(FALSE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,0)</f>
        <v>0</v>
      </c>
    </row>
    <row r="383" spans="1:27">
      <c r="A383" s="30">
        <f>378</f>
        <v>378</v>
      </c>
      <c r="B383" s="31">
        <f>EDATE(入力!$B$6,A383-1)</f>
        <v>57711</v>
      </c>
      <c r="C383" s="32">
        <f t="shared" si="85"/>
        <v>0</v>
      </c>
      <c r="D383" s="32">
        <f t="shared" si="86"/>
        <v>0</v>
      </c>
      <c r="E383" s="33">
        <f>IF(AND(T382="",A383&lt;=S382),IF(A383&lt;入力!$B$11,入力!$B$10,入力!$B$12),0)</f>
        <v>0</v>
      </c>
      <c r="F383" s="32">
        <f t="shared" si="87"/>
        <v>0</v>
      </c>
      <c r="G383" s="32">
        <f>ROUND(IF(NOT(AND(T382="",A383&lt;=S382)),0,IF(FALSE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),0)</f>
        <v>0</v>
      </c>
      <c r="H383" s="32">
        <f t="shared" si="88"/>
        <v>0</v>
      </c>
      <c r="I383" s="32">
        <f t="shared" si="89"/>
        <v>0</v>
      </c>
      <c r="J383" s="32">
        <f t="shared" si="90"/>
        <v>0</v>
      </c>
      <c r="K383" s="32">
        <f t="shared" si="91"/>
        <v>0</v>
      </c>
      <c r="L383" s="32">
        <f t="shared" si="92"/>
        <v>0</v>
      </c>
      <c r="M383" s="32">
        <f>IF(AND(AND(T382="",A383&lt;=S382),A383=入力!$B$15),ROUND(MIN(入力!$B$16,MAX(0,C383-L383)),0),0)</f>
        <v>0</v>
      </c>
      <c r="N383" s="32">
        <f t="shared" si="93"/>
        <v>0</v>
      </c>
      <c r="O383" s="32">
        <f t="shared" si="94"/>
        <v>10725103</v>
      </c>
      <c r="P383" s="34" t="str">
        <f>IF(NOT(AND(T382="",A383&lt;=S382)),"",IF(FALSE,"繰上返済後再計算","")&amp;IF(AND(入力!$B$13="有効",A383&gt;1,MOD(A383-1,60)=0),IF(FALSE,"・","")&amp;"5年見直し","")&amp;IF(AND(A383=入力!$B$11,A383&gt;1),IF(OR(FALSE,AND(入力!$B$13="有効",A383&gt;1,MOD(A383-1,60)=0)),"・","")&amp;"金利変更","")&amp;IF(AND(OR(AND(入力!$B$13="有効",A383&gt;1,MOD(A383-1,60)=0),AND(A383=入力!$B$11,A383&gt;1)),入力!$B$14="有効",IF(E383=0,ROUND(C383/MAX(1,S382-A383+1),0),ROUND(-PMT(E383/12,MAX(1,S382-A383+1),C383),0))&gt;ROUND(G382*1.25,0),NOT(FALSE)),"・上限適用",""))</f>
        <v/>
      </c>
      <c r="Q383" s="35" t="str">
        <f>IF(AND(T382="",A383&lt;=S382),入力!$B$13,"")</f>
        <v/>
      </c>
      <c r="R383" s="32" t="str">
        <f>IF(AND(AND(T382="",A383&lt;=S382),OR(AND(入力!$B$13="有効",A383&gt;1,MOD(A383-1,60)=0),AND(A383=入力!$B$11,A383&gt;1)),入力!$B$14="有効"),ROUND(G382*1.25,0),"")</f>
        <v/>
      </c>
      <c r="S383" s="36">
        <f>IF(A383&lt;&gt;入力!$B$15,S382,IF(K383&lt;&gt;0,S382,IF(G383&lt;=F383,S382,IF(M383&lt;=0,S382,IF(AND(N383&gt;0,E383&gt;0,G383&lt;=N383*E383/12),S382,IF(A383+IF(N383=0,0,IF(E383=0,ROUNDUP(N383/G383,0),ROUNDUP(NPER(E383/12,-G383,N383),0)))&lt;S382,A383+IF(N383=0,0,IF(E383=0,ROUNDUP(N383/G383,0),ROUNDUP(NPER(E383/12,-G383,N383),0))),S382))))))</f>
        <v>359</v>
      </c>
      <c r="T383" s="35" t="str">
        <f t="shared" si="95"/>
        <v/>
      </c>
      <c r="U383" s="3">
        <f t="shared" si="80"/>
        <v>0</v>
      </c>
      <c r="V383" s="3">
        <f t="shared" si="81"/>
        <v>0</v>
      </c>
      <c r="W383" s="3">
        <f t="shared" si="82"/>
        <v>0</v>
      </c>
      <c r="X383" s="3">
        <f t="shared" si="83"/>
        <v>0</v>
      </c>
      <c r="Y383" s="3">
        <f>0</f>
        <v>0</v>
      </c>
      <c r="Z383" s="3">
        <f t="shared" si="84"/>
        <v>0</v>
      </c>
      <c r="AA383">
        <f>ROUND(IF(FALSE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,0)</f>
        <v>0</v>
      </c>
    </row>
    <row r="384" spans="1:27">
      <c r="A384" s="30">
        <f>379</f>
        <v>379</v>
      </c>
      <c r="B384" s="31">
        <f>EDATE(入力!$B$6,A384-1)</f>
        <v>57742</v>
      </c>
      <c r="C384" s="32">
        <f t="shared" si="85"/>
        <v>0</v>
      </c>
      <c r="D384" s="32">
        <f t="shared" si="86"/>
        <v>0</v>
      </c>
      <c r="E384" s="33">
        <f>IF(AND(T383="",A384&lt;=S383),IF(A384&lt;入力!$B$11,入力!$B$10,入力!$B$12),0)</f>
        <v>0</v>
      </c>
      <c r="F384" s="32">
        <f t="shared" si="87"/>
        <v>0</v>
      </c>
      <c r="G384" s="32">
        <f>ROUND(IF(NOT(AND(T383="",A384&lt;=S383)),0,IF(FALSE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),0)</f>
        <v>0</v>
      </c>
      <c r="H384" s="32">
        <f t="shared" si="88"/>
        <v>0</v>
      </c>
      <c r="I384" s="32">
        <f t="shared" si="89"/>
        <v>0</v>
      </c>
      <c r="J384" s="32">
        <f t="shared" si="90"/>
        <v>0</v>
      </c>
      <c r="K384" s="32">
        <f t="shared" si="91"/>
        <v>0</v>
      </c>
      <c r="L384" s="32">
        <f t="shared" si="92"/>
        <v>0</v>
      </c>
      <c r="M384" s="32">
        <f>IF(AND(AND(T383="",A384&lt;=S383),A384=入力!$B$15),ROUND(MIN(入力!$B$16,MAX(0,C384-L384)),0),0)</f>
        <v>0</v>
      </c>
      <c r="N384" s="32">
        <f t="shared" si="93"/>
        <v>0</v>
      </c>
      <c r="O384" s="32">
        <f t="shared" si="94"/>
        <v>10725103</v>
      </c>
      <c r="P384" s="34" t="str">
        <f>IF(NOT(AND(T383="",A384&lt;=S383)),"",IF(FALSE,"繰上返済後再計算","")&amp;IF(AND(入力!$B$13="有効",A384&gt;1,MOD(A384-1,60)=0),IF(FALSE,"・","")&amp;"5年見直し","")&amp;IF(AND(A384=入力!$B$11,A384&gt;1),IF(OR(FALSE,AND(入力!$B$13="有効",A384&gt;1,MOD(A384-1,60)=0)),"・","")&amp;"金利変更","")&amp;IF(AND(OR(AND(入力!$B$13="有効",A384&gt;1,MOD(A384-1,60)=0),AND(A384=入力!$B$11,A384&gt;1)),入力!$B$14="有効",IF(E384=0,ROUND(C384/MAX(1,S383-A384+1),0),ROUND(-PMT(E384/12,MAX(1,S383-A384+1),C384),0))&gt;ROUND(G383*1.25,0),NOT(FALSE)),"・上限適用",""))</f>
        <v/>
      </c>
      <c r="Q384" s="35" t="str">
        <f>IF(AND(T383="",A384&lt;=S383),入力!$B$13,"")</f>
        <v/>
      </c>
      <c r="R384" s="32" t="str">
        <f>IF(AND(AND(T383="",A384&lt;=S383),OR(AND(入力!$B$13="有効",A384&gt;1,MOD(A384-1,60)=0),AND(A384=入力!$B$11,A384&gt;1)),入力!$B$14="有効"),ROUND(G383*1.25,0),"")</f>
        <v/>
      </c>
      <c r="S384" s="36">
        <f>IF(A384&lt;&gt;入力!$B$15,S383,IF(K384&lt;&gt;0,S383,IF(G384&lt;=F384,S383,IF(M384&lt;=0,S383,IF(AND(N384&gt;0,E384&gt;0,G384&lt;=N384*E384/12),S383,IF(A384+IF(N384=0,0,IF(E384=0,ROUNDUP(N384/G384,0),ROUNDUP(NPER(E384/12,-G384,N384),0)))&lt;S383,A384+IF(N384=0,0,IF(E384=0,ROUNDUP(N384/G384,0),ROUNDUP(NPER(E384/12,-G384,N384),0))),S383))))))</f>
        <v>359</v>
      </c>
      <c r="T384" s="35" t="str">
        <f t="shared" si="95"/>
        <v/>
      </c>
      <c r="U384" s="3">
        <f t="shared" si="80"/>
        <v>0</v>
      </c>
      <c r="V384" s="3">
        <f t="shared" si="81"/>
        <v>0</v>
      </c>
      <c r="W384" s="3">
        <f t="shared" si="82"/>
        <v>0</v>
      </c>
      <c r="X384" s="3">
        <f t="shared" si="83"/>
        <v>0</v>
      </c>
      <c r="Y384" s="3">
        <f>0</f>
        <v>0</v>
      </c>
      <c r="Z384" s="3">
        <f t="shared" si="84"/>
        <v>0</v>
      </c>
      <c r="AA384">
        <f>ROUND(IF(FALSE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,0)</f>
        <v>0</v>
      </c>
    </row>
    <row r="385" spans="1:27">
      <c r="A385" s="30">
        <f>380</f>
        <v>380</v>
      </c>
      <c r="B385" s="31">
        <f>EDATE(入力!$B$6,A385-1)</f>
        <v>57770</v>
      </c>
      <c r="C385" s="32">
        <f t="shared" si="85"/>
        <v>0</v>
      </c>
      <c r="D385" s="32">
        <f t="shared" si="86"/>
        <v>0</v>
      </c>
      <c r="E385" s="33">
        <f>IF(AND(T384="",A385&lt;=S384),IF(A385&lt;入力!$B$11,入力!$B$10,入力!$B$12),0)</f>
        <v>0</v>
      </c>
      <c r="F385" s="32">
        <f t="shared" si="87"/>
        <v>0</v>
      </c>
      <c r="G385" s="32">
        <f>ROUND(IF(NOT(AND(T384="",A385&lt;=S384)),0,IF(FALSE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),0)</f>
        <v>0</v>
      </c>
      <c r="H385" s="32">
        <f t="shared" si="88"/>
        <v>0</v>
      </c>
      <c r="I385" s="32">
        <f t="shared" si="89"/>
        <v>0</v>
      </c>
      <c r="J385" s="32">
        <f t="shared" si="90"/>
        <v>0</v>
      </c>
      <c r="K385" s="32">
        <f t="shared" si="91"/>
        <v>0</v>
      </c>
      <c r="L385" s="32">
        <f t="shared" si="92"/>
        <v>0</v>
      </c>
      <c r="M385" s="32">
        <f>IF(AND(AND(T384="",A385&lt;=S384),A385=入力!$B$15),ROUND(MIN(入力!$B$16,MAX(0,C385-L385)),0),0)</f>
        <v>0</v>
      </c>
      <c r="N385" s="32">
        <f t="shared" si="93"/>
        <v>0</v>
      </c>
      <c r="O385" s="32">
        <f t="shared" si="94"/>
        <v>10725103</v>
      </c>
      <c r="P385" s="34" t="str">
        <f>IF(NOT(AND(T384="",A385&lt;=S384)),"",IF(FALSE,"繰上返済後再計算","")&amp;IF(AND(入力!$B$13="有効",A385&gt;1,MOD(A385-1,60)=0),IF(FALSE,"・","")&amp;"5年見直し","")&amp;IF(AND(A385=入力!$B$11,A385&gt;1),IF(OR(FALSE,AND(入力!$B$13="有効",A385&gt;1,MOD(A385-1,60)=0)),"・","")&amp;"金利変更","")&amp;IF(AND(OR(AND(入力!$B$13="有効",A385&gt;1,MOD(A385-1,60)=0),AND(A385=入力!$B$11,A385&gt;1)),入力!$B$14="有効",IF(E385=0,ROUND(C385/MAX(1,S384-A385+1),0),ROUND(-PMT(E385/12,MAX(1,S384-A385+1),C385),0))&gt;ROUND(G384*1.25,0),NOT(FALSE)),"・上限適用",""))</f>
        <v/>
      </c>
      <c r="Q385" s="35" t="str">
        <f>IF(AND(T384="",A385&lt;=S384),入力!$B$13,"")</f>
        <v/>
      </c>
      <c r="R385" s="32" t="str">
        <f>IF(AND(AND(T384="",A385&lt;=S384),OR(AND(入力!$B$13="有効",A385&gt;1,MOD(A385-1,60)=0),AND(A385=入力!$B$11,A385&gt;1)),入力!$B$14="有効"),ROUND(G384*1.25,0),"")</f>
        <v/>
      </c>
      <c r="S385" s="36">
        <f>IF(A385&lt;&gt;入力!$B$15,S384,IF(K385&lt;&gt;0,S384,IF(G385&lt;=F385,S384,IF(M385&lt;=0,S384,IF(AND(N385&gt;0,E385&gt;0,G385&lt;=N385*E385/12),S384,IF(A385+IF(N385=0,0,IF(E385=0,ROUNDUP(N385/G385,0),ROUNDUP(NPER(E385/12,-G385,N385),0)))&lt;S384,A385+IF(N385=0,0,IF(E385=0,ROUNDUP(N385/G385,0),ROUNDUP(NPER(E385/12,-G385,N385),0))),S384))))))</f>
        <v>359</v>
      </c>
      <c r="T385" s="35" t="str">
        <f t="shared" si="95"/>
        <v/>
      </c>
      <c r="U385" s="3">
        <f t="shared" si="80"/>
        <v>0</v>
      </c>
      <c r="V385" s="3">
        <f t="shared" si="81"/>
        <v>0</v>
      </c>
      <c r="W385" s="3">
        <f t="shared" si="82"/>
        <v>0</v>
      </c>
      <c r="X385" s="3">
        <f t="shared" si="83"/>
        <v>0</v>
      </c>
      <c r="Y385" s="3">
        <f>0</f>
        <v>0</v>
      </c>
      <c r="Z385" s="3">
        <f t="shared" si="84"/>
        <v>0</v>
      </c>
      <c r="AA385">
        <f>ROUND(IF(FALSE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,0)</f>
        <v>0</v>
      </c>
    </row>
    <row r="386" spans="1:27">
      <c r="A386" s="30">
        <f>381</f>
        <v>381</v>
      </c>
      <c r="B386" s="31">
        <f>EDATE(入力!$B$6,A386-1)</f>
        <v>57801</v>
      </c>
      <c r="C386" s="32">
        <f t="shared" si="85"/>
        <v>0</v>
      </c>
      <c r="D386" s="32">
        <f t="shared" si="86"/>
        <v>0</v>
      </c>
      <c r="E386" s="33">
        <f>IF(AND(T385="",A386&lt;=S385),IF(A386&lt;入力!$B$11,入力!$B$10,入力!$B$12),0)</f>
        <v>0</v>
      </c>
      <c r="F386" s="32">
        <f t="shared" si="87"/>
        <v>0</v>
      </c>
      <c r="G386" s="32">
        <f>ROUND(IF(NOT(AND(T385="",A386&lt;=S385)),0,IF(FALSE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),0)</f>
        <v>0</v>
      </c>
      <c r="H386" s="32">
        <f t="shared" si="88"/>
        <v>0</v>
      </c>
      <c r="I386" s="32">
        <f t="shared" si="89"/>
        <v>0</v>
      </c>
      <c r="J386" s="32">
        <f t="shared" si="90"/>
        <v>0</v>
      </c>
      <c r="K386" s="32">
        <f t="shared" si="91"/>
        <v>0</v>
      </c>
      <c r="L386" s="32">
        <f t="shared" si="92"/>
        <v>0</v>
      </c>
      <c r="M386" s="32">
        <f>IF(AND(AND(T385="",A386&lt;=S385),A386=入力!$B$15),ROUND(MIN(入力!$B$16,MAX(0,C386-L386)),0),0)</f>
        <v>0</v>
      </c>
      <c r="N386" s="32">
        <f t="shared" si="93"/>
        <v>0</v>
      </c>
      <c r="O386" s="32">
        <f t="shared" si="94"/>
        <v>10725103</v>
      </c>
      <c r="P386" s="34" t="str">
        <f>IF(NOT(AND(T385="",A386&lt;=S385)),"",IF(FALSE,"繰上返済後再計算","")&amp;IF(AND(入力!$B$13="有効",A386&gt;1,MOD(A386-1,60)=0),IF(FALSE,"・","")&amp;"5年見直し","")&amp;IF(AND(A386=入力!$B$11,A386&gt;1),IF(OR(FALSE,AND(入力!$B$13="有効",A386&gt;1,MOD(A386-1,60)=0)),"・","")&amp;"金利変更","")&amp;IF(AND(OR(AND(入力!$B$13="有効",A386&gt;1,MOD(A386-1,60)=0),AND(A386=入力!$B$11,A386&gt;1)),入力!$B$14="有効",IF(E386=0,ROUND(C386/MAX(1,S385-A386+1),0),ROUND(-PMT(E386/12,MAX(1,S385-A386+1),C386),0))&gt;ROUND(G385*1.25,0),NOT(FALSE)),"・上限適用",""))</f>
        <v/>
      </c>
      <c r="Q386" s="35" t="str">
        <f>IF(AND(T385="",A386&lt;=S385),入力!$B$13,"")</f>
        <v/>
      </c>
      <c r="R386" s="32" t="str">
        <f>IF(AND(AND(T385="",A386&lt;=S385),OR(AND(入力!$B$13="有効",A386&gt;1,MOD(A386-1,60)=0),AND(A386=入力!$B$11,A386&gt;1)),入力!$B$14="有効"),ROUND(G385*1.25,0),"")</f>
        <v/>
      </c>
      <c r="S386" s="36">
        <f>IF(A386&lt;&gt;入力!$B$15,S385,IF(K386&lt;&gt;0,S385,IF(G386&lt;=F386,S385,IF(M386&lt;=0,S385,IF(AND(N386&gt;0,E386&gt;0,G386&lt;=N386*E386/12),S385,IF(A386+IF(N386=0,0,IF(E386=0,ROUNDUP(N386/G386,0),ROUNDUP(NPER(E386/12,-G386,N386),0)))&lt;S385,A386+IF(N386=0,0,IF(E386=0,ROUNDUP(N386/G386,0),ROUNDUP(NPER(E386/12,-G386,N386),0))),S385))))))</f>
        <v>359</v>
      </c>
      <c r="T386" s="35" t="str">
        <f t="shared" si="95"/>
        <v/>
      </c>
      <c r="U386" s="3">
        <f t="shared" si="80"/>
        <v>0</v>
      </c>
      <c r="V386" s="3">
        <f t="shared" si="81"/>
        <v>0</v>
      </c>
      <c r="W386" s="3">
        <f t="shared" si="82"/>
        <v>0</v>
      </c>
      <c r="X386" s="3">
        <f t="shared" si="83"/>
        <v>0</v>
      </c>
      <c r="Y386" s="3">
        <f>0</f>
        <v>0</v>
      </c>
      <c r="Z386" s="3">
        <f t="shared" si="84"/>
        <v>0</v>
      </c>
      <c r="AA386">
        <f>ROUND(IF(FALSE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,0)</f>
        <v>0</v>
      </c>
    </row>
    <row r="387" spans="1:27">
      <c r="A387" s="30">
        <f>382</f>
        <v>382</v>
      </c>
      <c r="B387" s="31">
        <f>EDATE(入力!$B$6,A387-1)</f>
        <v>57831</v>
      </c>
      <c r="C387" s="32">
        <f t="shared" si="85"/>
        <v>0</v>
      </c>
      <c r="D387" s="32">
        <f t="shared" si="86"/>
        <v>0</v>
      </c>
      <c r="E387" s="33">
        <f>IF(AND(T386="",A387&lt;=S386),IF(A387&lt;入力!$B$11,入力!$B$10,入力!$B$12),0)</f>
        <v>0</v>
      </c>
      <c r="F387" s="32">
        <f t="shared" si="87"/>
        <v>0</v>
      </c>
      <c r="G387" s="32">
        <f>ROUND(IF(NOT(AND(T386="",A387&lt;=S386)),0,IF(FALSE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),0)</f>
        <v>0</v>
      </c>
      <c r="H387" s="32">
        <f t="shared" si="88"/>
        <v>0</v>
      </c>
      <c r="I387" s="32">
        <f t="shared" si="89"/>
        <v>0</v>
      </c>
      <c r="J387" s="32">
        <f t="shared" si="90"/>
        <v>0</v>
      </c>
      <c r="K387" s="32">
        <f t="shared" si="91"/>
        <v>0</v>
      </c>
      <c r="L387" s="32">
        <f t="shared" si="92"/>
        <v>0</v>
      </c>
      <c r="M387" s="32">
        <f>IF(AND(AND(T386="",A387&lt;=S386),A387=入力!$B$15),ROUND(MIN(入力!$B$16,MAX(0,C387-L387)),0),0)</f>
        <v>0</v>
      </c>
      <c r="N387" s="32">
        <f t="shared" si="93"/>
        <v>0</v>
      </c>
      <c r="O387" s="32">
        <f t="shared" si="94"/>
        <v>10725103</v>
      </c>
      <c r="P387" s="34" t="str">
        <f>IF(NOT(AND(T386="",A387&lt;=S386)),"",IF(FALSE,"繰上返済後再計算","")&amp;IF(AND(入力!$B$13="有効",A387&gt;1,MOD(A387-1,60)=0),IF(FALSE,"・","")&amp;"5年見直し","")&amp;IF(AND(A387=入力!$B$11,A387&gt;1),IF(OR(FALSE,AND(入力!$B$13="有効",A387&gt;1,MOD(A387-1,60)=0)),"・","")&amp;"金利変更","")&amp;IF(AND(OR(AND(入力!$B$13="有効",A387&gt;1,MOD(A387-1,60)=0),AND(A387=入力!$B$11,A387&gt;1)),入力!$B$14="有効",IF(E387=0,ROUND(C387/MAX(1,S386-A387+1),0),ROUND(-PMT(E387/12,MAX(1,S386-A387+1),C387),0))&gt;ROUND(G386*1.25,0),NOT(FALSE)),"・上限適用",""))</f>
        <v/>
      </c>
      <c r="Q387" s="35" t="str">
        <f>IF(AND(T386="",A387&lt;=S386),入力!$B$13,"")</f>
        <v/>
      </c>
      <c r="R387" s="32" t="str">
        <f>IF(AND(AND(T386="",A387&lt;=S386),OR(AND(入力!$B$13="有効",A387&gt;1,MOD(A387-1,60)=0),AND(A387=入力!$B$11,A387&gt;1)),入力!$B$14="有効"),ROUND(G386*1.25,0),"")</f>
        <v/>
      </c>
      <c r="S387" s="36">
        <f>IF(A387&lt;&gt;入力!$B$15,S386,IF(K387&lt;&gt;0,S386,IF(G387&lt;=F387,S386,IF(M387&lt;=0,S386,IF(AND(N387&gt;0,E387&gt;0,G387&lt;=N387*E387/12),S386,IF(A387+IF(N387=0,0,IF(E387=0,ROUNDUP(N387/G387,0),ROUNDUP(NPER(E387/12,-G387,N387),0)))&lt;S386,A387+IF(N387=0,0,IF(E387=0,ROUNDUP(N387/G387,0),ROUNDUP(NPER(E387/12,-G387,N387),0))),S386))))))</f>
        <v>359</v>
      </c>
      <c r="T387" s="35" t="str">
        <f t="shared" si="95"/>
        <v/>
      </c>
      <c r="U387" s="3">
        <f t="shared" si="80"/>
        <v>0</v>
      </c>
      <c r="V387" s="3">
        <f t="shared" si="81"/>
        <v>0</v>
      </c>
      <c r="W387" s="3">
        <f t="shared" si="82"/>
        <v>0</v>
      </c>
      <c r="X387" s="3">
        <f t="shared" si="83"/>
        <v>0</v>
      </c>
      <c r="Y387" s="3">
        <f>0</f>
        <v>0</v>
      </c>
      <c r="Z387" s="3">
        <f t="shared" si="84"/>
        <v>0</v>
      </c>
      <c r="AA387">
        <f>ROUND(IF(FALSE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,0)</f>
        <v>0</v>
      </c>
    </row>
    <row r="388" spans="1:27">
      <c r="A388" s="30">
        <f>383</f>
        <v>383</v>
      </c>
      <c r="B388" s="31">
        <f>EDATE(入力!$B$6,A388-1)</f>
        <v>57862</v>
      </c>
      <c r="C388" s="32">
        <f t="shared" si="85"/>
        <v>0</v>
      </c>
      <c r="D388" s="32">
        <f t="shared" si="86"/>
        <v>0</v>
      </c>
      <c r="E388" s="33">
        <f>IF(AND(T387="",A388&lt;=S387),IF(A388&lt;入力!$B$11,入力!$B$10,入力!$B$12),0)</f>
        <v>0</v>
      </c>
      <c r="F388" s="32">
        <f t="shared" si="87"/>
        <v>0</v>
      </c>
      <c r="G388" s="32">
        <f>ROUND(IF(NOT(AND(T387="",A388&lt;=S387)),0,IF(FALSE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),0)</f>
        <v>0</v>
      </c>
      <c r="H388" s="32">
        <f t="shared" si="88"/>
        <v>0</v>
      </c>
      <c r="I388" s="32">
        <f t="shared" si="89"/>
        <v>0</v>
      </c>
      <c r="J388" s="32">
        <f t="shared" si="90"/>
        <v>0</v>
      </c>
      <c r="K388" s="32">
        <f t="shared" si="91"/>
        <v>0</v>
      </c>
      <c r="L388" s="32">
        <f t="shared" si="92"/>
        <v>0</v>
      </c>
      <c r="M388" s="32">
        <f>IF(AND(AND(T387="",A388&lt;=S387),A388=入力!$B$15),ROUND(MIN(入力!$B$16,MAX(0,C388-L388)),0),0)</f>
        <v>0</v>
      </c>
      <c r="N388" s="32">
        <f t="shared" si="93"/>
        <v>0</v>
      </c>
      <c r="O388" s="32">
        <f t="shared" si="94"/>
        <v>10725103</v>
      </c>
      <c r="P388" s="34" t="str">
        <f>IF(NOT(AND(T387="",A388&lt;=S387)),"",IF(FALSE,"繰上返済後再計算","")&amp;IF(AND(入力!$B$13="有効",A388&gt;1,MOD(A388-1,60)=0),IF(FALSE,"・","")&amp;"5年見直し","")&amp;IF(AND(A388=入力!$B$11,A388&gt;1),IF(OR(FALSE,AND(入力!$B$13="有効",A388&gt;1,MOD(A388-1,60)=0)),"・","")&amp;"金利変更","")&amp;IF(AND(OR(AND(入力!$B$13="有効",A388&gt;1,MOD(A388-1,60)=0),AND(A388=入力!$B$11,A388&gt;1)),入力!$B$14="有効",IF(E388=0,ROUND(C388/MAX(1,S387-A388+1),0),ROUND(-PMT(E388/12,MAX(1,S387-A388+1),C388),0))&gt;ROUND(G387*1.25,0),NOT(FALSE)),"・上限適用",""))</f>
        <v/>
      </c>
      <c r="Q388" s="35" t="str">
        <f>IF(AND(T387="",A388&lt;=S387),入力!$B$13,"")</f>
        <v/>
      </c>
      <c r="R388" s="32" t="str">
        <f>IF(AND(AND(T387="",A388&lt;=S387),OR(AND(入力!$B$13="有効",A388&gt;1,MOD(A388-1,60)=0),AND(A388=入力!$B$11,A388&gt;1)),入力!$B$14="有効"),ROUND(G387*1.25,0),"")</f>
        <v/>
      </c>
      <c r="S388" s="36">
        <f>IF(A388&lt;&gt;入力!$B$15,S387,IF(K388&lt;&gt;0,S387,IF(G388&lt;=F388,S387,IF(M388&lt;=0,S387,IF(AND(N388&gt;0,E388&gt;0,G388&lt;=N388*E388/12),S387,IF(A388+IF(N388=0,0,IF(E388=0,ROUNDUP(N388/G388,0),ROUNDUP(NPER(E388/12,-G388,N388),0)))&lt;S387,A388+IF(N388=0,0,IF(E388=0,ROUNDUP(N388/G388,0),ROUNDUP(NPER(E388/12,-G388,N388),0))),S387))))))</f>
        <v>359</v>
      </c>
      <c r="T388" s="35" t="str">
        <f t="shared" si="95"/>
        <v/>
      </c>
      <c r="U388" s="3">
        <f t="shared" si="80"/>
        <v>0</v>
      </c>
      <c r="V388" s="3">
        <f t="shared" si="81"/>
        <v>0</v>
      </c>
      <c r="W388" s="3">
        <f t="shared" si="82"/>
        <v>0</v>
      </c>
      <c r="X388" s="3">
        <f t="shared" si="83"/>
        <v>0</v>
      </c>
      <c r="Y388" s="3">
        <f>0</f>
        <v>0</v>
      </c>
      <c r="Z388" s="3">
        <f t="shared" si="84"/>
        <v>0</v>
      </c>
      <c r="AA388">
        <f>ROUND(IF(FALSE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,0)</f>
        <v>0</v>
      </c>
    </row>
    <row r="389" spans="1:27">
      <c r="A389" s="30">
        <f>384</f>
        <v>384</v>
      </c>
      <c r="B389" s="31">
        <f>EDATE(入力!$B$6,A389-1)</f>
        <v>57892</v>
      </c>
      <c r="C389" s="32">
        <f t="shared" si="85"/>
        <v>0</v>
      </c>
      <c r="D389" s="32">
        <f t="shared" si="86"/>
        <v>0</v>
      </c>
      <c r="E389" s="33">
        <f>IF(AND(T388="",A389&lt;=S388),IF(A389&lt;入力!$B$11,入力!$B$10,入力!$B$12),0)</f>
        <v>0</v>
      </c>
      <c r="F389" s="32">
        <f t="shared" si="87"/>
        <v>0</v>
      </c>
      <c r="G389" s="32">
        <f>ROUND(IF(NOT(AND(T388="",A389&lt;=S388)),0,IF(FALSE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),0)</f>
        <v>0</v>
      </c>
      <c r="H389" s="32">
        <f t="shared" si="88"/>
        <v>0</v>
      </c>
      <c r="I389" s="32">
        <f t="shared" si="89"/>
        <v>0</v>
      </c>
      <c r="J389" s="32">
        <f t="shared" si="90"/>
        <v>0</v>
      </c>
      <c r="K389" s="32">
        <f t="shared" si="91"/>
        <v>0</v>
      </c>
      <c r="L389" s="32">
        <f t="shared" si="92"/>
        <v>0</v>
      </c>
      <c r="M389" s="32">
        <f>IF(AND(AND(T388="",A389&lt;=S388),A389=入力!$B$15),ROUND(MIN(入力!$B$16,MAX(0,C389-L389)),0),0)</f>
        <v>0</v>
      </c>
      <c r="N389" s="32">
        <f t="shared" si="93"/>
        <v>0</v>
      </c>
      <c r="O389" s="32">
        <f t="shared" si="94"/>
        <v>10725103</v>
      </c>
      <c r="P389" s="34" t="str">
        <f>IF(NOT(AND(T388="",A389&lt;=S388)),"",IF(FALSE,"繰上返済後再計算","")&amp;IF(AND(入力!$B$13="有効",A389&gt;1,MOD(A389-1,60)=0),IF(FALSE,"・","")&amp;"5年見直し","")&amp;IF(AND(A389=入力!$B$11,A389&gt;1),IF(OR(FALSE,AND(入力!$B$13="有効",A389&gt;1,MOD(A389-1,60)=0)),"・","")&amp;"金利変更","")&amp;IF(AND(OR(AND(入力!$B$13="有効",A389&gt;1,MOD(A389-1,60)=0),AND(A389=入力!$B$11,A389&gt;1)),入力!$B$14="有効",IF(E389=0,ROUND(C389/MAX(1,S388-A389+1),0),ROUND(-PMT(E389/12,MAX(1,S388-A389+1),C389),0))&gt;ROUND(G388*1.25,0),NOT(FALSE)),"・上限適用",""))</f>
        <v/>
      </c>
      <c r="Q389" s="35" t="str">
        <f>IF(AND(T388="",A389&lt;=S388),入力!$B$13,"")</f>
        <v/>
      </c>
      <c r="R389" s="32" t="str">
        <f>IF(AND(AND(T388="",A389&lt;=S388),OR(AND(入力!$B$13="有効",A389&gt;1,MOD(A389-1,60)=0),AND(A389=入力!$B$11,A389&gt;1)),入力!$B$14="有効"),ROUND(G388*1.25,0),"")</f>
        <v/>
      </c>
      <c r="S389" s="36">
        <f>IF(A389&lt;&gt;入力!$B$15,S388,IF(K389&lt;&gt;0,S388,IF(G389&lt;=F389,S388,IF(M389&lt;=0,S388,IF(AND(N389&gt;0,E389&gt;0,G389&lt;=N389*E389/12),S388,IF(A389+IF(N389=0,0,IF(E389=0,ROUNDUP(N389/G389,0),ROUNDUP(NPER(E389/12,-G389,N389),0)))&lt;S388,A389+IF(N389=0,0,IF(E389=0,ROUNDUP(N389/G389,0),ROUNDUP(NPER(E389/12,-G389,N389),0))),S388))))))</f>
        <v>359</v>
      </c>
      <c r="T389" s="35" t="str">
        <f t="shared" si="95"/>
        <v/>
      </c>
      <c r="U389" s="3">
        <f t="shared" si="80"/>
        <v>0</v>
      </c>
      <c r="V389" s="3">
        <f t="shared" si="81"/>
        <v>0</v>
      </c>
      <c r="W389" s="3">
        <f t="shared" si="82"/>
        <v>0</v>
      </c>
      <c r="X389" s="3">
        <f t="shared" si="83"/>
        <v>0</v>
      </c>
      <c r="Y389" s="3">
        <f>0</f>
        <v>0</v>
      </c>
      <c r="Z389" s="3">
        <f t="shared" si="84"/>
        <v>0</v>
      </c>
      <c r="AA389">
        <f>ROUND(IF(FALSE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,0)</f>
        <v>0</v>
      </c>
    </row>
    <row r="390" spans="1:27">
      <c r="A390" s="30">
        <f>385</f>
        <v>385</v>
      </c>
      <c r="B390" s="31">
        <f>EDATE(入力!$B$6,A390-1)</f>
        <v>57923</v>
      </c>
      <c r="C390" s="32">
        <f t="shared" si="85"/>
        <v>0</v>
      </c>
      <c r="D390" s="32">
        <f t="shared" si="86"/>
        <v>0</v>
      </c>
      <c r="E390" s="33">
        <f>IF(AND(T389="",A390&lt;=S389),IF(A390&lt;入力!$B$11,入力!$B$10,入力!$B$12),0)</f>
        <v>0</v>
      </c>
      <c r="F390" s="32">
        <f t="shared" si="87"/>
        <v>0</v>
      </c>
      <c r="G390" s="32">
        <f>ROUND(IF(NOT(AND(T389="",A390&lt;=S389)),0,IF(FALSE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),0)</f>
        <v>0</v>
      </c>
      <c r="H390" s="32">
        <f t="shared" si="88"/>
        <v>0</v>
      </c>
      <c r="I390" s="32">
        <f t="shared" si="89"/>
        <v>0</v>
      </c>
      <c r="J390" s="32">
        <f t="shared" si="90"/>
        <v>0</v>
      </c>
      <c r="K390" s="32">
        <f t="shared" si="91"/>
        <v>0</v>
      </c>
      <c r="L390" s="32">
        <f t="shared" si="92"/>
        <v>0</v>
      </c>
      <c r="M390" s="32">
        <f>IF(AND(AND(T389="",A390&lt;=S389),A390=入力!$B$15),ROUND(MIN(入力!$B$16,MAX(0,C390-L390)),0),0)</f>
        <v>0</v>
      </c>
      <c r="N390" s="32">
        <f t="shared" si="93"/>
        <v>0</v>
      </c>
      <c r="O390" s="32">
        <f t="shared" si="94"/>
        <v>10725103</v>
      </c>
      <c r="P390" s="34" t="str">
        <f>IF(NOT(AND(T389="",A390&lt;=S389)),"",IF(FALSE,"繰上返済後再計算","")&amp;IF(AND(入力!$B$13="有効",A390&gt;1,MOD(A390-1,60)=0),IF(FALSE,"・","")&amp;"5年見直し","")&amp;IF(AND(A390=入力!$B$11,A390&gt;1),IF(OR(FALSE,AND(入力!$B$13="有効",A390&gt;1,MOD(A390-1,60)=0)),"・","")&amp;"金利変更","")&amp;IF(AND(OR(AND(入力!$B$13="有効",A390&gt;1,MOD(A390-1,60)=0),AND(A390=入力!$B$11,A390&gt;1)),入力!$B$14="有効",IF(E390=0,ROUND(C390/MAX(1,S389-A390+1),0),ROUND(-PMT(E390/12,MAX(1,S389-A390+1),C390),0))&gt;ROUND(G389*1.25,0),NOT(FALSE)),"・上限適用",""))</f>
        <v/>
      </c>
      <c r="Q390" s="35" t="str">
        <f>IF(AND(T389="",A390&lt;=S389),入力!$B$13,"")</f>
        <v/>
      </c>
      <c r="R390" s="32" t="str">
        <f>IF(AND(AND(T389="",A390&lt;=S389),OR(AND(入力!$B$13="有効",A390&gt;1,MOD(A390-1,60)=0),AND(A390=入力!$B$11,A390&gt;1)),入力!$B$14="有効"),ROUND(G389*1.25,0),"")</f>
        <v/>
      </c>
      <c r="S390" s="36">
        <f>IF(A390&lt;&gt;入力!$B$15,S389,IF(K390&lt;&gt;0,S389,IF(G390&lt;=F390,S389,IF(M390&lt;=0,S389,IF(AND(N390&gt;0,E390&gt;0,G390&lt;=N390*E390/12),S389,IF(A390+IF(N390=0,0,IF(E390=0,ROUNDUP(N390/G390,0),ROUNDUP(NPER(E390/12,-G390,N390),0)))&lt;S389,A390+IF(N390=0,0,IF(E390=0,ROUNDUP(N390/G390,0),ROUNDUP(NPER(E390/12,-G390,N390),0))),S389))))))</f>
        <v>359</v>
      </c>
      <c r="T390" s="35" t="str">
        <f t="shared" si="95"/>
        <v/>
      </c>
      <c r="U390" s="3">
        <f t="shared" ref="U390:U453" si="96">ABS(I390-MIN(H390,D390+F390))</f>
        <v>0</v>
      </c>
      <c r="V390" s="3">
        <f t="shared" ref="V390:V453" si="97">ABS(L390-(H390-I390))</f>
        <v>0</v>
      </c>
      <c r="W390" s="3">
        <f t="shared" ref="W390:W453" si="98">ABS(K390-(D390+J390))</f>
        <v>0</v>
      </c>
      <c r="X390" s="3">
        <f t="shared" ref="X390:X453" si="99">ABS(F390-ROUND(F390,0))+ABS(G390-ROUND(G390,0))+ABS(H390-ROUND(H390,0))+ABS(I390-ROUND(I390,0))+ABS(J390-ROUND(J390,0))+ABS(K390-ROUND(K390,0))+ABS(L390-ROUND(L390,0))+ABS(M390-ROUND(M390,0))+ABS(N390-ROUND(N390,0))+ABS(O390-ROUND(O390,0))</f>
        <v>0</v>
      </c>
      <c r="Y390" s="3">
        <f>0</f>
        <v>0</v>
      </c>
      <c r="Z390" s="3">
        <f t="shared" ref="Z390:Z453" si="100">SUM(--ISERROR(A390),--ISERROR(B390),--ISERROR(C390),--ISERROR(D390),--ISERROR(E390),--ISERROR(F390),--ISERROR(G390),--ISERROR(H390),--ISERROR(I390),--ISERROR(J390),--ISERROR(K390),--ISERROR(L390),--ISERROR(M390),--ISERROR(N390),--ISERROR(O390),--ISERROR(P390),--ISERROR(Q390),--ISERROR(R390),--ISERROR(S390),--ISERROR(T390))</f>
        <v>0</v>
      </c>
      <c r="AA390">
        <f>ROUND(IF(FALSE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,0)</f>
        <v>0</v>
      </c>
    </row>
    <row r="391" spans="1:27">
      <c r="A391" s="30">
        <f>386</f>
        <v>386</v>
      </c>
      <c r="B391" s="31">
        <f>EDATE(入力!$B$6,A391-1)</f>
        <v>57954</v>
      </c>
      <c r="C391" s="32">
        <f t="shared" ref="C391:C454" si="101">IF(AND(T390="",A391&lt;=S390),N390,0)</f>
        <v>0</v>
      </c>
      <c r="D391" s="32">
        <f t="shared" ref="D391:D454" si="102">IF(AND(T390="",A391&lt;=S390),K390,0)</f>
        <v>0</v>
      </c>
      <c r="E391" s="33">
        <f>IF(AND(T390="",A391&lt;=S390),IF(A391&lt;入力!$B$11,入力!$B$10,入力!$B$12),0)</f>
        <v>0</v>
      </c>
      <c r="F391" s="32">
        <f t="shared" ref="F391:F454" si="103">IF(AND(T390="",A391&lt;=S390),ROUND(C391*E391/12,0),0)</f>
        <v>0</v>
      </c>
      <c r="G391" s="32">
        <f>ROUND(IF(NOT(AND(T390="",A391&lt;=S390)),0,IF(FALSE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),0)</f>
        <v>0</v>
      </c>
      <c r="H391" s="32">
        <f t="shared" ref="H391:H454" si="104">IF(AND(T390="",A391&lt;=S390),ROUND(MIN(G391,C391+D391+F391),0),0)</f>
        <v>0</v>
      </c>
      <c r="I391" s="32">
        <f t="shared" ref="I391:I454" si="105">IF(AND(T390="",A391&lt;=S390),ROUND(MIN(H391,D391+F391),0),0)</f>
        <v>0</v>
      </c>
      <c r="J391" s="32">
        <f t="shared" ref="J391:J454" si="106">IF(AND(T390="",A391&lt;=S390),ROUND(F391-I391,0),0)</f>
        <v>0</v>
      </c>
      <c r="K391" s="32">
        <f t="shared" ref="K391:K454" si="107">IF(AND(T390="",A391&lt;=S390),ROUND(D391+J391,0),0)</f>
        <v>0</v>
      </c>
      <c r="L391" s="32">
        <f t="shared" ref="L391:L454" si="108">IF(AND(T390="",A391&lt;=S390),ROUND(H391-I391,0),0)</f>
        <v>0</v>
      </c>
      <c r="M391" s="32">
        <f>IF(AND(AND(T390="",A391&lt;=S390),A391=入力!$B$15),ROUND(MIN(入力!$B$16,MAX(0,C391-L391)),0),0)</f>
        <v>0</v>
      </c>
      <c r="N391" s="32">
        <f t="shared" ref="N391:N454" si="109">IF(AND(T390="",A391&lt;=S390),ROUND(MAX(0,C391-L391-M391),0),0)</f>
        <v>0</v>
      </c>
      <c r="O391" s="32">
        <f t="shared" ref="O391:O454" si="110">IF(AND(T390="",A391&lt;=S390),ROUND(O390+F391,0),O390)</f>
        <v>10725103</v>
      </c>
      <c r="P391" s="34" t="str">
        <f>IF(NOT(AND(T390="",A391&lt;=S390)),"",IF(FALSE,"繰上返済後再計算","")&amp;IF(AND(入力!$B$13="有効",A391&gt;1,MOD(A391-1,60)=0),IF(FALSE,"・","")&amp;"5年見直し","")&amp;IF(AND(A391=入力!$B$11,A391&gt;1),IF(OR(FALSE,AND(入力!$B$13="有効",A391&gt;1,MOD(A391-1,60)=0)),"・","")&amp;"金利変更","")&amp;IF(AND(OR(AND(入力!$B$13="有効",A391&gt;1,MOD(A391-1,60)=0),AND(A391=入力!$B$11,A391&gt;1)),入力!$B$14="有効",IF(E391=0,ROUND(C391/MAX(1,S390-A391+1),0),ROUND(-PMT(E391/12,MAX(1,S390-A391+1),C391),0))&gt;ROUND(G390*1.25,0),NOT(FALSE)),"・上限適用",""))</f>
        <v/>
      </c>
      <c r="Q391" s="35" t="str">
        <f>IF(AND(T390="",A391&lt;=S390),入力!$B$13,"")</f>
        <v/>
      </c>
      <c r="R391" s="32" t="str">
        <f>IF(AND(AND(T390="",A391&lt;=S390),OR(AND(入力!$B$13="有効",A391&gt;1,MOD(A391-1,60)=0),AND(A391=入力!$B$11,A391&gt;1)),入力!$B$14="有効"),ROUND(G390*1.25,0),"")</f>
        <v/>
      </c>
      <c r="S391" s="36">
        <f>IF(A391&lt;&gt;入力!$B$15,S390,IF(K391&lt;&gt;0,S390,IF(G391&lt;=F391,S390,IF(M391&lt;=0,S390,IF(AND(N391&gt;0,E391&gt;0,G391&lt;=N391*E391/12),S390,IF(A391+IF(N391=0,0,IF(E391=0,ROUNDUP(N391/G391,0),ROUNDUP(NPER(E391/12,-G391,N391),0)))&lt;S390,A391+IF(N391=0,0,IF(E391=0,ROUNDUP(N391/G391,0),ROUNDUP(NPER(E391/12,-G391,N391),0))),S390))))))</f>
        <v>359</v>
      </c>
      <c r="T391" s="35" t="str">
        <f t="shared" ref="T391:T454" si="111">IF(NOT(AND(T390="",A391&lt;=S390)),"",IF(AND(N391=0,K391=0),"完済",IF(A391=S391,"最終回清算","")))</f>
        <v/>
      </c>
      <c r="U391" s="3">
        <f t="shared" si="96"/>
        <v>0</v>
      </c>
      <c r="V391" s="3">
        <f t="shared" si="97"/>
        <v>0</v>
      </c>
      <c r="W391" s="3">
        <f t="shared" si="98"/>
        <v>0</v>
      </c>
      <c r="X391" s="3">
        <f t="shared" si="99"/>
        <v>0</v>
      </c>
      <c r="Y391" s="3">
        <f>0</f>
        <v>0</v>
      </c>
      <c r="Z391" s="3">
        <f t="shared" si="100"/>
        <v>0</v>
      </c>
      <c r="AA391">
        <f>ROUND(IF(FALSE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,0)</f>
        <v>0</v>
      </c>
    </row>
    <row r="392" spans="1:27">
      <c r="A392" s="30">
        <f>387</f>
        <v>387</v>
      </c>
      <c r="B392" s="31">
        <f>EDATE(入力!$B$6,A392-1)</f>
        <v>57984</v>
      </c>
      <c r="C392" s="32">
        <f t="shared" si="101"/>
        <v>0</v>
      </c>
      <c r="D392" s="32">
        <f t="shared" si="102"/>
        <v>0</v>
      </c>
      <c r="E392" s="33">
        <f>IF(AND(T391="",A392&lt;=S391),IF(A392&lt;入力!$B$11,入力!$B$10,入力!$B$12),0)</f>
        <v>0</v>
      </c>
      <c r="F392" s="32">
        <f t="shared" si="103"/>
        <v>0</v>
      </c>
      <c r="G392" s="32">
        <f>ROUND(IF(NOT(AND(T391="",A392&lt;=S391)),0,IF(FALSE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),0)</f>
        <v>0</v>
      </c>
      <c r="H392" s="32">
        <f t="shared" si="104"/>
        <v>0</v>
      </c>
      <c r="I392" s="32">
        <f t="shared" si="105"/>
        <v>0</v>
      </c>
      <c r="J392" s="32">
        <f t="shared" si="106"/>
        <v>0</v>
      </c>
      <c r="K392" s="32">
        <f t="shared" si="107"/>
        <v>0</v>
      </c>
      <c r="L392" s="32">
        <f t="shared" si="108"/>
        <v>0</v>
      </c>
      <c r="M392" s="32">
        <f>IF(AND(AND(T391="",A392&lt;=S391),A392=入力!$B$15),ROUND(MIN(入力!$B$16,MAX(0,C392-L392)),0),0)</f>
        <v>0</v>
      </c>
      <c r="N392" s="32">
        <f t="shared" si="109"/>
        <v>0</v>
      </c>
      <c r="O392" s="32">
        <f t="shared" si="110"/>
        <v>10725103</v>
      </c>
      <c r="P392" s="34" t="str">
        <f>IF(NOT(AND(T391="",A392&lt;=S391)),"",IF(FALSE,"繰上返済後再計算","")&amp;IF(AND(入力!$B$13="有効",A392&gt;1,MOD(A392-1,60)=0),IF(FALSE,"・","")&amp;"5年見直し","")&amp;IF(AND(A392=入力!$B$11,A392&gt;1),IF(OR(FALSE,AND(入力!$B$13="有効",A392&gt;1,MOD(A392-1,60)=0)),"・","")&amp;"金利変更","")&amp;IF(AND(OR(AND(入力!$B$13="有効",A392&gt;1,MOD(A392-1,60)=0),AND(A392=入力!$B$11,A392&gt;1)),入力!$B$14="有効",IF(E392=0,ROUND(C392/MAX(1,S391-A392+1),0),ROUND(-PMT(E392/12,MAX(1,S391-A392+1),C392),0))&gt;ROUND(G391*1.25,0),NOT(FALSE)),"・上限適用",""))</f>
        <v/>
      </c>
      <c r="Q392" s="35" t="str">
        <f>IF(AND(T391="",A392&lt;=S391),入力!$B$13,"")</f>
        <v/>
      </c>
      <c r="R392" s="32" t="str">
        <f>IF(AND(AND(T391="",A392&lt;=S391),OR(AND(入力!$B$13="有効",A392&gt;1,MOD(A392-1,60)=0),AND(A392=入力!$B$11,A392&gt;1)),入力!$B$14="有効"),ROUND(G391*1.25,0),"")</f>
        <v/>
      </c>
      <c r="S392" s="36">
        <f>IF(A392&lt;&gt;入力!$B$15,S391,IF(K392&lt;&gt;0,S391,IF(G392&lt;=F392,S391,IF(M392&lt;=0,S391,IF(AND(N392&gt;0,E392&gt;0,G392&lt;=N392*E392/12),S391,IF(A392+IF(N392=0,0,IF(E392=0,ROUNDUP(N392/G392,0),ROUNDUP(NPER(E392/12,-G392,N392),0)))&lt;S391,A392+IF(N392=0,0,IF(E392=0,ROUNDUP(N392/G392,0),ROUNDUP(NPER(E392/12,-G392,N392),0))),S391))))))</f>
        <v>359</v>
      </c>
      <c r="T392" s="35" t="str">
        <f t="shared" si="111"/>
        <v/>
      </c>
      <c r="U392" s="3">
        <f t="shared" si="96"/>
        <v>0</v>
      </c>
      <c r="V392" s="3">
        <f t="shared" si="97"/>
        <v>0</v>
      </c>
      <c r="W392" s="3">
        <f t="shared" si="98"/>
        <v>0</v>
      </c>
      <c r="X392" s="3">
        <f t="shared" si="99"/>
        <v>0</v>
      </c>
      <c r="Y392" s="3">
        <f>0</f>
        <v>0</v>
      </c>
      <c r="Z392" s="3">
        <f t="shared" si="100"/>
        <v>0</v>
      </c>
      <c r="AA392">
        <f>ROUND(IF(FALSE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,0)</f>
        <v>0</v>
      </c>
    </row>
    <row r="393" spans="1:27">
      <c r="A393" s="30">
        <f>388</f>
        <v>388</v>
      </c>
      <c r="B393" s="31">
        <f>EDATE(入力!$B$6,A393-1)</f>
        <v>58015</v>
      </c>
      <c r="C393" s="32">
        <f t="shared" si="101"/>
        <v>0</v>
      </c>
      <c r="D393" s="32">
        <f t="shared" si="102"/>
        <v>0</v>
      </c>
      <c r="E393" s="33">
        <f>IF(AND(T392="",A393&lt;=S392),IF(A393&lt;入力!$B$11,入力!$B$10,入力!$B$12),0)</f>
        <v>0</v>
      </c>
      <c r="F393" s="32">
        <f t="shared" si="103"/>
        <v>0</v>
      </c>
      <c r="G393" s="32">
        <f>ROUND(IF(NOT(AND(T392="",A393&lt;=S392)),0,IF(FALSE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),0)</f>
        <v>0</v>
      </c>
      <c r="H393" s="32">
        <f t="shared" si="104"/>
        <v>0</v>
      </c>
      <c r="I393" s="32">
        <f t="shared" si="105"/>
        <v>0</v>
      </c>
      <c r="J393" s="32">
        <f t="shared" si="106"/>
        <v>0</v>
      </c>
      <c r="K393" s="32">
        <f t="shared" si="107"/>
        <v>0</v>
      </c>
      <c r="L393" s="32">
        <f t="shared" si="108"/>
        <v>0</v>
      </c>
      <c r="M393" s="32">
        <f>IF(AND(AND(T392="",A393&lt;=S392),A393=入力!$B$15),ROUND(MIN(入力!$B$16,MAX(0,C393-L393)),0),0)</f>
        <v>0</v>
      </c>
      <c r="N393" s="32">
        <f t="shared" si="109"/>
        <v>0</v>
      </c>
      <c r="O393" s="32">
        <f t="shared" si="110"/>
        <v>10725103</v>
      </c>
      <c r="P393" s="34" t="str">
        <f>IF(NOT(AND(T392="",A393&lt;=S392)),"",IF(FALSE,"繰上返済後再計算","")&amp;IF(AND(入力!$B$13="有効",A393&gt;1,MOD(A393-1,60)=0),IF(FALSE,"・","")&amp;"5年見直し","")&amp;IF(AND(A393=入力!$B$11,A393&gt;1),IF(OR(FALSE,AND(入力!$B$13="有効",A393&gt;1,MOD(A393-1,60)=0)),"・","")&amp;"金利変更","")&amp;IF(AND(OR(AND(入力!$B$13="有効",A393&gt;1,MOD(A393-1,60)=0),AND(A393=入力!$B$11,A393&gt;1)),入力!$B$14="有効",IF(E393=0,ROUND(C393/MAX(1,S392-A393+1),0),ROUND(-PMT(E393/12,MAX(1,S392-A393+1),C393),0))&gt;ROUND(G392*1.25,0),NOT(FALSE)),"・上限適用",""))</f>
        <v/>
      </c>
      <c r="Q393" s="35" t="str">
        <f>IF(AND(T392="",A393&lt;=S392),入力!$B$13,"")</f>
        <v/>
      </c>
      <c r="R393" s="32" t="str">
        <f>IF(AND(AND(T392="",A393&lt;=S392),OR(AND(入力!$B$13="有効",A393&gt;1,MOD(A393-1,60)=0),AND(A393=入力!$B$11,A393&gt;1)),入力!$B$14="有効"),ROUND(G392*1.25,0),"")</f>
        <v/>
      </c>
      <c r="S393" s="36">
        <f>IF(A393&lt;&gt;入力!$B$15,S392,IF(K393&lt;&gt;0,S392,IF(G393&lt;=F393,S392,IF(M393&lt;=0,S392,IF(AND(N393&gt;0,E393&gt;0,G393&lt;=N393*E393/12),S392,IF(A393+IF(N393=0,0,IF(E393=0,ROUNDUP(N393/G393,0),ROUNDUP(NPER(E393/12,-G393,N393),0)))&lt;S392,A393+IF(N393=0,0,IF(E393=0,ROUNDUP(N393/G393,0),ROUNDUP(NPER(E393/12,-G393,N393),0))),S392))))))</f>
        <v>359</v>
      </c>
      <c r="T393" s="35" t="str">
        <f t="shared" si="111"/>
        <v/>
      </c>
      <c r="U393" s="3">
        <f t="shared" si="96"/>
        <v>0</v>
      </c>
      <c r="V393" s="3">
        <f t="shared" si="97"/>
        <v>0</v>
      </c>
      <c r="W393" s="3">
        <f t="shared" si="98"/>
        <v>0</v>
      </c>
      <c r="X393" s="3">
        <f t="shared" si="99"/>
        <v>0</v>
      </c>
      <c r="Y393" s="3">
        <f>0</f>
        <v>0</v>
      </c>
      <c r="Z393" s="3">
        <f t="shared" si="100"/>
        <v>0</v>
      </c>
      <c r="AA393">
        <f>ROUND(IF(FALSE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,0)</f>
        <v>0</v>
      </c>
    </row>
    <row r="394" spans="1:27">
      <c r="A394" s="30">
        <f>389</f>
        <v>389</v>
      </c>
      <c r="B394" s="31">
        <f>EDATE(入力!$B$6,A394-1)</f>
        <v>58045</v>
      </c>
      <c r="C394" s="32">
        <f t="shared" si="101"/>
        <v>0</v>
      </c>
      <c r="D394" s="32">
        <f t="shared" si="102"/>
        <v>0</v>
      </c>
      <c r="E394" s="33">
        <f>IF(AND(T393="",A394&lt;=S393),IF(A394&lt;入力!$B$11,入力!$B$10,入力!$B$12),0)</f>
        <v>0</v>
      </c>
      <c r="F394" s="32">
        <f t="shared" si="103"/>
        <v>0</v>
      </c>
      <c r="G394" s="32">
        <f>ROUND(IF(NOT(AND(T393="",A394&lt;=S393)),0,IF(FALSE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),0)</f>
        <v>0</v>
      </c>
      <c r="H394" s="32">
        <f t="shared" si="104"/>
        <v>0</v>
      </c>
      <c r="I394" s="32">
        <f t="shared" si="105"/>
        <v>0</v>
      </c>
      <c r="J394" s="32">
        <f t="shared" si="106"/>
        <v>0</v>
      </c>
      <c r="K394" s="32">
        <f t="shared" si="107"/>
        <v>0</v>
      </c>
      <c r="L394" s="32">
        <f t="shared" si="108"/>
        <v>0</v>
      </c>
      <c r="M394" s="32">
        <f>IF(AND(AND(T393="",A394&lt;=S393),A394=入力!$B$15),ROUND(MIN(入力!$B$16,MAX(0,C394-L394)),0),0)</f>
        <v>0</v>
      </c>
      <c r="N394" s="32">
        <f t="shared" si="109"/>
        <v>0</v>
      </c>
      <c r="O394" s="32">
        <f t="shared" si="110"/>
        <v>10725103</v>
      </c>
      <c r="P394" s="34" t="str">
        <f>IF(NOT(AND(T393="",A394&lt;=S393)),"",IF(FALSE,"繰上返済後再計算","")&amp;IF(AND(入力!$B$13="有効",A394&gt;1,MOD(A394-1,60)=0),IF(FALSE,"・","")&amp;"5年見直し","")&amp;IF(AND(A394=入力!$B$11,A394&gt;1),IF(OR(FALSE,AND(入力!$B$13="有効",A394&gt;1,MOD(A394-1,60)=0)),"・","")&amp;"金利変更","")&amp;IF(AND(OR(AND(入力!$B$13="有効",A394&gt;1,MOD(A394-1,60)=0),AND(A394=入力!$B$11,A394&gt;1)),入力!$B$14="有効",IF(E394=0,ROUND(C394/MAX(1,S393-A394+1),0),ROUND(-PMT(E394/12,MAX(1,S393-A394+1),C394),0))&gt;ROUND(G393*1.25,0),NOT(FALSE)),"・上限適用",""))</f>
        <v/>
      </c>
      <c r="Q394" s="35" t="str">
        <f>IF(AND(T393="",A394&lt;=S393),入力!$B$13,"")</f>
        <v/>
      </c>
      <c r="R394" s="32" t="str">
        <f>IF(AND(AND(T393="",A394&lt;=S393),OR(AND(入力!$B$13="有効",A394&gt;1,MOD(A394-1,60)=0),AND(A394=入力!$B$11,A394&gt;1)),入力!$B$14="有効"),ROUND(G393*1.25,0),"")</f>
        <v/>
      </c>
      <c r="S394" s="36">
        <f>IF(A394&lt;&gt;入力!$B$15,S393,IF(K394&lt;&gt;0,S393,IF(G394&lt;=F394,S393,IF(M394&lt;=0,S393,IF(AND(N394&gt;0,E394&gt;0,G394&lt;=N394*E394/12),S393,IF(A394+IF(N394=0,0,IF(E394=0,ROUNDUP(N394/G394,0),ROUNDUP(NPER(E394/12,-G394,N394),0)))&lt;S393,A394+IF(N394=0,0,IF(E394=0,ROUNDUP(N394/G394,0),ROUNDUP(NPER(E394/12,-G394,N394),0))),S393))))))</f>
        <v>359</v>
      </c>
      <c r="T394" s="35" t="str">
        <f t="shared" si="111"/>
        <v/>
      </c>
      <c r="U394" s="3">
        <f t="shared" si="96"/>
        <v>0</v>
      </c>
      <c r="V394" s="3">
        <f t="shared" si="97"/>
        <v>0</v>
      </c>
      <c r="W394" s="3">
        <f t="shared" si="98"/>
        <v>0</v>
      </c>
      <c r="X394" s="3">
        <f t="shared" si="99"/>
        <v>0</v>
      </c>
      <c r="Y394" s="3">
        <f>0</f>
        <v>0</v>
      </c>
      <c r="Z394" s="3">
        <f t="shared" si="100"/>
        <v>0</v>
      </c>
      <c r="AA394">
        <f>ROUND(IF(FALSE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,0)</f>
        <v>0</v>
      </c>
    </row>
    <row r="395" spans="1:27">
      <c r="A395" s="30">
        <f>390</f>
        <v>390</v>
      </c>
      <c r="B395" s="31">
        <f>EDATE(入力!$B$6,A395-1)</f>
        <v>58076</v>
      </c>
      <c r="C395" s="32">
        <f t="shared" si="101"/>
        <v>0</v>
      </c>
      <c r="D395" s="32">
        <f t="shared" si="102"/>
        <v>0</v>
      </c>
      <c r="E395" s="33">
        <f>IF(AND(T394="",A395&lt;=S394),IF(A395&lt;入力!$B$11,入力!$B$10,入力!$B$12),0)</f>
        <v>0</v>
      </c>
      <c r="F395" s="32">
        <f t="shared" si="103"/>
        <v>0</v>
      </c>
      <c r="G395" s="32">
        <f>ROUND(IF(NOT(AND(T394="",A395&lt;=S394)),0,IF(FALSE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),0)</f>
        <v>0</v>
      </c>
      <c r="H395" s="32">
        <f t="shared" si="104"/>
        <v>0</v>
      </c>
      <c r="I395" s="32">
        <f t="shared" si="105"/>
        <v>0</v>
      </c>
      <c r="J395" s="32">
        <f t="shared" si="106"/>
        <v>0</v>
      </c>
      <c r="K395" s="32">
        <f t="shared" si="107"/>
        <v>0</v>
      </c>
      <c r="L395" s="32">
        <f t="shared" si="108"/>
        <v>0</v>
      </c>
      <c r="M395" s="32">
        <f>IF(AND(AND(T394="",A395&lt;=S394),A395=入力!$B$15),ROUND(MIN(入力!$B$16,MAX(0,C395-L395)),0),0)</f>
        <v>0</v>
      </c>
      <c r="N395" s="32">
        <f t="shared" si="109"/>
        <v>0</v>
      </c>
      <c r="O395" s="32">
        <f t="shared" si="110"/>
        <v>10725103</v>
      </c>
      <c r="P395" s="34" t="str">
        <f>IF(NOT(AND(T394="",A395&lt;=S394)),"",IF(FALSE,"繰上返済後再計算","")&amp;IF(AND(入力!$B$13="有効",A395&gt;1,MOD(A395-1,60)=0),IF(FALSE,"・","")&amp;"5年見直し","")&amp;IF(AND(A395=入力!$B$11,A395&gt;1),IF(OR(FALSE,AND(入力!$B$13="有効",A395&gt;1,MOD(A395-1,60)=0)),"・","")&amp;"金利変更","")&amp;IF(AND(OR(AND(入力!$B$13="有効",A395&gt;1,MOD(A395-1,60)=0),AND(A395=入力!$B$11,A395&gt;1)),入力!$B$14="有効",IF(E395=0,ROUND(C395/MAX(1,S394-A395+1),0),ROUND(-PMT(E395/12,MAX(1,S394-A395+1),C395),0))&gt;ROUND(G394*1.25,0),NOT(FALSE)),"・上限適用",""))</f>
        <v/>
      </c>
      <c r="Q395" s="35" t="str">
        <f>IF(AND(T394="",A395&lt;=S394),入力!$B$13,"")</f>
        <v/>
      </c>
      <c r="R395" s="32" t="str">
        <f>IF(AND(AND(T394="",A395&lt;=S394),OR(AND(入力!$B$13="有効",A395&gt;1,MOD(A395-1,60)=0),AND(A395=入力!$B$11,A395&gt;1)),入力!$B$14="有効"),ROUND(G394*1.25,0),"")</f>
        <v/>
      </c>
      <c r="S395" s="36">
        <f>IF(A395&lt;&gt;入力!$B$15,S394,IF(K395&lt;&gt;0,S394,IF(G395&lt;=F395,S394,IF(M395&lt;=0,S394,IF(AND(N395&gt;0,E395&gt;0,G395&lt;=N395*E395/12),S394,IF(A395+IF(N395=0,0,IF(E395=0,ROUNDUP(N395/G395,0),ROUNDUP(NPER(E395/12,-G395,N395),0)))&lt;S394,A395+IF(N395=0,0,IF(E395=0,ROUNDUP(N395/G395,0),ROUNDUP(NPER(E395/12,-G395,N395),0))),S394))))))</f>
        <v>359</v>
      </c>
      <c r="T395" s="35" t="str">
        <f t="shared" si="111"/>
        <v/>
      </c>
      <c r="U395" s="3">
        <f t="shared" si="96"/>
        <v>0</v>
      </c>
      <c r="V395" s="3">
        <f t="shared" si="97"/>
        <v>0</v>
      </c>
      <c r="W395" s="3">
        <f t="shared" si="98"/>
        <v>0</v>
      </c>
      <c r="X395" s="3">
        <f t="shared" si="99"/>
        <v>0</v>
      </c>
      <c r="Y395" s="3">
        <f>0</f>
        <v>0</v>
      </c>
      <c r="Z395" s="3">
        <f t="shared" si="100"/>
        <v>0</v>
      </c>
      <c r="AA395">
        <f>ROUND(IF(FALSE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,0)</f>
        <v>0</v>
      </c>
    </row>
    <row r="396" spans="1:27">
      <c r="A396" s="30">
        <f>391</f>
        <v>391</v>
      </c>
      <c r="B396" s="31">
        <f>EDATE(入力!$B$6,A396-1)</f>
        <v>58107</v>
      </c>
      <c r="C396" s="32">
        <f t="shared" si="101"/>
        <v>0</v>
      </c>
      <c r="D396" s="32">
        <f t="shared" si="102"/>
        <v>0</v>
      </c>
      <c r="E396" s="33">
        <f>IF(AND(T395="",A396&lt;=S395),IF(A396&lt;入力!$B$11,入力!$B$10,入力!$B$12),0)</f>
        <v>0</v>
      </c>
      <c r="F396" s="32">
        <f t="shared" si="103"/>
        <v>0</v>
      </c>
      <c r="G396" s="32">
        <f>ROUND(IF(NOT(AND(T395="",A396&lt;=S395)),0,IF(FALSE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),0)</f>
        <v>0</v>
      </c>
      <c r="H396" s="32">
        <f t="shared" si="104"/>
        <v>0</v>
      </c>
      <c r="I396" s="32">
        <f t="shared" si="105"/>
        <v>0</v>
      </c>
      <c r="J396" s="32">
        <f t="shared" si="106"/>
        <v>0</v>
      </c>
      <c r="K396" s="32">
        <f t="shared" si="107"/>
        <v>0</v>
      </c>
      <c r="L396" s="32">
        <f t="shared" si="108"/>
        <v>0</v>
      </c>
      <c r="M396" s="32">
        <f>IF(AND(AND(T395="",A396&lt;=S395),A396=入力!$B$15),ROUND(MIN(入力!$B$16,MAX(0,C396-L396)),0),0)</f>
        <v>0</v>
      </c>
      <c r="N396" s="32">
        <f t="shared" si="109"/>
        <v>0</v>
      </c>
      <c r="O396" s="32">
        <f t="shared" si="110"/>
        <v>10725103</v>
      </c>
      <c r="P396" s="34" t="str">
        <f>IF(NOT(AND(T395="",A396&lt;=S395)),"",IF(FALSE,"繰上返済後再計算","")&amp;IF(AND(入力!$B$13="有効",A396&gt;1,MOD(A396-1,60)=0),IF(FALSE,"・","")&amp;"5年見直し","")&amp;IF(AND(A396=入力!$B$11,A396&gt;1),IF(OR(FALSE,AND(入力!$B$13="有効",A396&gt;1,MOD(A396-1,60)=0)),"・","")&amp;"金利変更","")&amp;IF(AND(OR(AND(入力!$B$13="有効",A396&gt;1,MOD(A396-1,60)=0),AND(A396=入力!$B$11,A396&gt;1)),入力!$B$14="有効",IF(E396=0,ROUND(C396/MAX(1,S395-A396+1),0),ROUND(-PMT(E396/12,MAX(1,S395-A396+1),C396),0))&gt;ROUND(G395*1.25,0),NOT(FALSE)),"・上限適用",""))</f>
        <v/>
      </c>
      <c r="Q396" s="35" t="str">
        <f>IF(AND(T395="",A396&lt;=S395),入力!$B$13,"")</f>
        <v/>
      </c>
      <c r="R396" s="32" t="str">
        <f>IF(AND(AND(T395="",A396&lt;=S395),OR(AND(入力!$B$13="有効",A396&gt;1,MOD(A396-1,60)=0),AND(A396=入力!$B$11,A396&gt;1)),入力!$B$14="有効"),ROUND(G395*1.25,0),"")</f>
        <v/>
      </c>
      <c r="S396" s="36">
        <f>IF(A396&lt;&gt;入力!$B$15,S395,IF(K396&lt;&gt;0,S395,IF(G396&lt;=F396,S395,IF(M396&lt;=0,S395,IF(AND(N396&gt;0,E396&gt;0,G396&lt;=N396*E396/12),S395,IF(A396+IF(N396=0,0,IF(E396=0,ROUNDUP(N396/G396,0),ROUNDUP(NPER(E396/12,-G396,N396),0)))&lt;S395,A396+IF(N396=0,0,IF(E396=0,ROUNDUP(N396/G396,0),ROUNDUP(NPER(E396/12,-G396,N396),0))),S395))))))</f>
        <v>359</v>
      </c>
      <c r="T396" s="35" t="str">
        <f t="shared" si="111"/>
        <v/>
      </c>
      <c r="U396" s="3">
        <f t="shared" si="96"/>
        <v>0</v>
      </c>
      <c r="V396" s="3">
        <f t="shared" si="97"/>
        <v>0</v>
      </c>
      <c r="W396" s="3">
        <f t="shared" si="98"/>
        <v>0</v>
      </c>
      <c r="X396" s="3">
        <f t="shared" si="99"/>
        <v>0</v>
      </c>
      <c r="Y396" s="3">
        <f>0</f>
        <v>0</v>
      </c>
      <c r="Z396" s="3">
        <f t="shared" si="100"/>
        <v>0</v>
      </c>
      <c r="AA396">
        <f>ROUND(IF(FALSE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,0)</f>
        <v>0</v>
      </c>
    </row>
    <row r="397" spans="1:27">
      <c r="A397" s="30">
        <f>392</f>
        <v>392</v>
      </c>
      <c r="B397" s="31">
        <f>EDATE(入力!$B$6,A397-1)</f>
        <v>58135</v>
      </c>
      <c r="C397" s="32">
        <f t="shared" si="101"/>
        <v>0</v>
      </c>
      <c r="D397" s="32">
        <f t="shared" si="102"/>
        <v>0</v>
      </c>
      <c r="E397" s="33">
        <f>IF(AND(T396="",A397&lt;=S396),IF(A397&lt;入力!$B$11,入力!$B$10,入力!$B$12),0)</f>
        <v>0</v>
      </c>
      <c r="F397" s="32">
        <f t="shared" si="103"/>
        <v>0</v>
      </c>
      <c r="G397" s="32">
        <f>ROUND(IF(NOT(AND(T396="",A397&lt;=S396)),0,IF(FALSE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),0)</f>
        <v>0</v>
      </c>
      <c r="H397" s="32">
        <f t="shared" si="104"/>
        <v>0</v>
      </c>
      <c r="I397" s="32">
        <f t="shared" si="105"/>
        <v>0</v>
      </c>
      <c r="J397" s="32">
        <f t="shared" si="106"/>
        <v>0</v>
      </c>
      <c r="K397" s="32">
        <f t="shared" si="107"/>
        <v>0</v>
      </c>
      <c r="L397" s="32">
        <f t="shared" si="108"/>
        <v>0</v>
      </c>
      <c r="M397" s="32">
        <f>IF(AND(AND(T396="",A397&lt;=S396),A397=入力!$B$15),ROUND(MIN(入力!$B$16,MAX(0,C397-L397)),0),0)</f>
        <v>0</v>
      </c>
      <c r="N397" s="32">
        <f t="shared" si="109"/>
        <v>0</v>
      </c>
      <c r="O397" s="32">
        <f t="shared" si="110"/>
        <v>10725103</v>
      </c>
      <c r="P397" s="34" t="str">
        <f>IF(NOT(AND(T396="",A397&lt;=S396)),"",IF(FALSE,"繰上返済後再計算","")&amp;IF(AND(入力!$B$13="有効",A397&gt;1,MOD(A397-1,60)=0),IF(FALSE,"・","")&amp;"5年見直し","")&amp;IF(AND(A397=入力!$B$11,A397&gt;1),IF(OR(FALSE,AND(入力!$B$13="有効",A397&gt;1,MOD(A397-1,60)=0)),"・","")&amp;"金利変更","")&amp;IF(AND(OR(AND(入力!$B$13="有効",A397&gt;1,MOD(A397-1,60)=0),AND(A397=入力!$B$11,A397&gt;1)),入力!$B$14="有効",IF(E397=0,ROUND(C397/MAX(1,S396-A397+1),0),ROUND(-PMT(E397/12,MAX(1,S396-A397+1),C397),0))&gt;ROUND(G396*1.25,0),NOT(FALSE)),"・上限適用",""))</f>
        <v/>
      </c>
      <c r="Q397" s="35" t="str">
        <f>IF(AND(T396="",A397&lt;=S396),入力!$B$13,"")</f>
        <v/>
      </c>
      <c r="R397" s="32" t="str">
        <f>IF(AND(AND(T396="",A397&lt;=S396),OR(AND(入力!$B$13="有効",A397&gt;1,MOD(A397-1,60)=0),AND(A397=入力!$B$11,A397&gt;1)),入力!$B$14="有効"),ROUND(G396*1.25,0),"")</f>
        <v/>
      </c>
      <c r="S397" s="36">
        <f>IF(A397&lt;&gt;入力!$B$15,S396,IF(K397&lt;&gt;0,S396,IF(G397&lt;=F397,S396,IF(M397&lt;=0,S396,IF(AND(N397&gt;0,E397&gt;0,G397&lt;=N397*E397/12),S396,IF(A397+IF(N397=0,0,IF(E397=0,ROUNDUP(N397/G397,0),ROUNDUP(NPER(E397/12,-G397,N397),0)))&lt;S396,A397+IF(N397=0,0,IF(E397=0,ROUNDUP(N397/G397,0),ROUNDUP(NPER(E397/12,-G397,N397),0))),S396))))))</f>
        <v>359</v>
      </c>
      <c r="T397" s="35" t="str">
        <f t="shared" si="111"/>
        <v/>
      </c>
      <c r="U397" s="3">
        <f t="shared" si="96"/>
        <v>0</v>
      </c>
      <c r="V397" s="3">
        <f t="shared" si="97"/>
        <v>0</v>
      </c>
      <c r="W397" s="3">
        <f t="shared" si="98"/>
        <v>0</v>
      </c>
      <c r="X397" s="3">
        <f t="shared" si="99"/>
        <v>0</v>
      </c>
      <c r="Y397" s="3">
        <f>0</f>
        <v>0</v>
      </c>
      <c r="Z397" s="3">
        <f t="shared" si="100"/>
        <v>0</v>
      </c>
      <c r="AA397">
        <f>ROUND(IF(FALSE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,0)</f>
        <v>0</v>
      </c>
    </row>
    <row r="398" spans="1:27">
      <c r="A398" s="30">
        <f>393</f>
        <v>393</v>
      </c>
      <c r="B398" s="31">
        <f>EDATE(入力!$B$6,A398-1)</f>
        <v>58166</v>
      </c>
      <c r="C398" s="32">
        <f t="shared" si="101"/>
        <v>0</v>
      </c>
      <c r="D398" s="32">
        <f t="shared" si="102"/>
        <v>0</v>
      </c>
      <c r="E398" s="33">
        <f>IF(AND(T397="",A398&lt;=S397),IF(A398&lt;入力!$B$11,入力!$B$10,入力!$B$12),0)</f>
        <v>0</v>
      </c>
      <c r="F398" s="32">
        <f t="shared" si="103"/>
        <v>0</v>
      </c>
      <c r="G398" s="32">
        <f>ROUND(IF(NOT(AND(T397="",A398&lt;=S397)),0,IF(FALSE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),0)</f>
        <v>0</v>
      </c>
      <c r="H398" s="32">
        <f t="shared" si="104"/>
        <v>0</v>
      </c>
      <c r="I398" s="32">
        <f t="shared" si="105"/>
        <v>0</v>
      </c>
      <c r="J398" s="32">
        <f t="shared" si="106"/>
        <v>0</v>
      </c>
      <c r="K398" s="32">
        <f t="shared" si="107"/>
        <v>0</v>
      </c>
      <c r="L398" s="32">
        <f t="shared" si="108"/>
        <v>0</v>
      </c>
      <c r="M398" s="32">
        <f>IF(AND(AND(T397="",A398&lt;=S397),A398=入力!$B$15),ROUND(MIN(入力!$B$16,MAX(0,C398-L398)),0),0)</f>
        <v>0</v>
      </c>
      <c r="N398" s="32">
        <f t="shared" si="109"/>
        <v>0</v>
      </c>
      <c r="O398" s="32">
        <f t="shared" si="110"/>
        <v>10725103</v>
      </c>
      <c r="P398" s="34" t="str">
        <f>IF(NOT(AND(T397="",A398&lt;=S397)),"",IF(FALSE,"繰上返済後再計算","")&amp;IF(AND(入力!$B$13="有効",A398&gt;1,MOD(A398-1,60)=0),IF(FALSE,"・","")&amp;"5年見直し","")&amp;IF(AND(A398=入力!$B$11,A398&gt;1),IF(OR(FALSE,AND(入力!$B$13="有効",A398&gt;1,MOD(A398-1,60)=0)),"・","")&amp;"金利変更","")&amp;IF(AND(OR(AND(入力!$B$13="有効",A398&gt;1,MOD(A398-1,60)=0),AND(A398=入力!$B$11,A398&gt;1)),入力!$B$14="有効",IF(E398=0,ROUND(C398/MAX(1,S397-A398+1),0),ROUND(-PMT(E398/12,MAX(1,S397-A398+1),C398),0))&gt;ROUND(G397*1.25,0),NOT(FALSE)),"・上限適用",""))</f>
        <v/>
      </c>
      <c r="Q398" s="35" t="str">
        <f>IF(AND(T397="",A398&lt;=S397),入力!$B$13,"")</f>
        <v/>
      </c>
      <c r="R398" s="32" t="str">
        <f>IF(AND(AND(T397="",A398&lt;=S397),OR(AND(入力!$B$13="有効",A398&gt;1,MOD(A398-1,60)=0),AND(A398=入力!$B$11,A398&gt;1)),入力!$B$14="有効"),ROUND(G397*1.25,0),"")</f>
        <v/>
      </c>
      <c r="S398" s="36">
        <f>IF(A398&lt;&gt;入力!$B$15,S397,IF(K398&lt;&gt;0,S397,IF(G398&lt;=F398,S397,IF(M398&lt;=0,S397,IF(AND(N398&gt;0,E398&gt;0,G398&lt;=N398*E398/12),S397,IF(A398+IF(N398=0,0,IF(E398=0,ROUNDUP(N398/G398,0),ROUNDUP(NPER(E398/12,-G398,N398),0)))&lt;S397,A398+IF(N398=0,0,IF(E398=0,ROUNDUP(N398/G398,0),ROUNDUP(NPER(E398/12,-G398,N398),0))),S397))))))</f>
        <v>359</v>
      </c>
      <c r="T398" s="35" t="str">
        <f t="shared" si="111"/>
        <v/>
      </c>
      <c r="U398" s="3">
        <f t="shared" si="96"/>
        <v>0</v>
      </c>
      <c r="V398" s="3">
        <f t="shared" si="97"/>
        <v>0</v>
      </c>
      <c r="W398" s="3">
        <f t="shared" si="98"/>
        <v>0</v>
      </c>
      <c r="X398" s="3">
        <f t="shared" si="99"/>
        <v>0</v>
      </c>
      <c r="Y398" s="3">
        <f>0</f>
        <v>0</v>
      </c>
      <c r="Z398" s="3">
        <f t="shared" si="100"/>
        <v>0</v>
      </c>
      <c r="AA398">
        <f>ROUND(IF(FALSE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,0)</f>
        <v>0</v>
      </c>
    </row>
    <row r="399" spans="1:27">
      <c r="A399" s="30">
        <f>394</f>
        <v>394</v>
      </c>
      <c r="B399" s="31">
        <f>EDATE(入力!$B$6,A399-1)</f>
        <v>58196</v>
      </c>
      <c r="C399" s="32">
        <f t="shared" si="101"/>
        <v>0</v>
      </c>
      <c r="D399" s="32">
        <f t="shared" si="102"/>
        <v>0</v>
      </c>
      <c r="E399" s="33">
        <f>IF(AND(T398="",A399&lt;=S398),IF(A399&lt;入力!$B$11,入力!$B$10,入力!$B$12),0)</f>
        <v>0</v>
      </c>
      <c r="F399" s="32">
        <f t="shared" si="103"/>
        <v>0</v>
      </c>
      <c r="G399" s="32">
        <f>ROUND(IF(NOT(AND(T398="",A399&lt;=S398)),0,IF(FALSE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),0)</f>
        <v>0</v>
      </c>
      <c r="H399" s="32">
        <f t="shared" si="104"/>
        <v>0</v>
      </c>
      <c r="I399" s="32">
        <f t="shared" si="105"/>
        <v>0</v>
      </c>
      <c r="J399" s="32">
        <f t="shared" si="106"/>
        <v>0</v>
      </c>
      <c r="K399" s="32">
        <f t="shared" si="107"/>
        <v>0</v>
      </c>
      <c r="L399" s="32">
        <f t="shared" si="108"/>
        <v>0</v>
      </c>
      <c r="M399" s="32">
        <f>IF(AND(AND(T398="",A399&lt;=S398),A399=入力!$B$15),ROUND(MIN(入力!$B$16,MAX(0,C399-L399)),0),0)</f>
        <v>0</v>
      </c>
      <c r="N399" s="32">
        <f t="shared" si="109"/>
        <v>0</v>
      </c>
      <c r="O399" s="32">
        <f t="shared" si="110"/>
        <v>10725103</v>
      </c>
      <c r="P399" s="34" t="str">
        <f>IF(NOT(AND(T398="",A399&lt;=S398)),"",IF(FALSE,"繰上返済後再計算","")&amp;IF(AND(入力!$B$13="有効",A399&gt;1,MOD(A399-1,60)=0),IF(FALSE,"・","")&amp;"5年見直し","")&amp;IF(AND(A399=入力!$B$11,A399&gt;1),IF(OR(FALSE,AND(入力!$B$13="有効",A399&gt;1,MOD(A399-1,60)=0)),"・","")&amp;"金利変更","")&amp;IF(AND(OR(AND(入力!$B$13="有効",A399&gt;1,MOD(A399-1,60)=0),AND(A399=入力!$B$11,A399&gt;1)),入力!$B$14="有効",IF(E399=0,ROUND(C399/MAX(1,S398-A399+1),0),ROUND(-PMT(E399/12,MAX(1,S398-A399+1),C399),0))&gt;ROUND(G398*1.25,0),NOT(FALSE)),"・上限適用",""))</f>
        <v/>
      </c>
      <c r="Q399" s="35" t="str">
        <f>IF(AND(T398="",A399&lt;=S398),入力!$B$13,"")</f>
        <v/>
      </c>
      <c r="R399" s="32" t="str">
        <f>IF(AND(AND(T398="",A399&lt;=S398),OR(AND(入力!$B$13="有効",A399&gt;1,MOD(A399-1,60)=0),AND(A399=入力!$B$11,A399&gt;1)),入力!$B$14="有効"),ROUND(G398*1.25,0),"")</f>
        <v/>
      </c>
      <c r="S399" s="36">
        <f>IF(A399&lt;&gt;入力!$B$15,S398,IF(K399&lt;&gt;0,S398,IF(G399&lt;=F399,S398,IF(M399&lt;=0,S398,IF(AND(N399&gt;0,E399&gt;0,G399&lt;=N399*E399/12),S398,IF(A399+IF(N399=0,0,IF(E399=0,ROUNDUP(N399/G399,0),ROUNDUP(NPER(E399/12,-G399,N399),0)))&lt;S398,A399+IF(N399=0,0,IF(E399=0,ROUNDUP(N399/G399,0),ROUNDUP(NPER(E399/12,-G399,N399),0))),S398))))))</f>
        <v>359</v>
      </c>
      <c r="T399" s="35" t="str">
        <f t="shared" si="111"/>
        <v/>
      </c>
      <c r="U399" s="3">
        <f t="shared" si="96"/>
        <v>0</v>
      </c>
      <c r="V399" s="3">
        <f t="shared" si="97"/>
        <v>0</v>
      </c>
      <c r="W399" s="3">
        <f t="shared" si="98"/>
        <v>0</v>
      </c>
      <c r="X399" s="3">
        <f t="shared" si="99"/>
        <v>0</v>
      </c>
      <c r="Y399" s="3">
        <f>0</f>
        <v>0</v>
      </c>
      <c r="Z399" s="3">
        <f t="shared" si="100"/>
        <v>0</v>
      </c>
      <c r="AA399">
        <f>ROUND(IF(FALSE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,0)</f>
        <v>0</v>
      </c>
    </row>
    <row r="400" spans="1:27">
      <c r="A400" s="30">
        <f>395</f>
        <v>395</v>
      </c>
      <c r="B400" s="31">
        <f>EDATE(入力!$B$6,A400-1)</f>
        <v>58227</v>
      </c>
      <c r="C400" s="32">
        <f t="shared" si="101"/>
        <v>0</v>
      </c>
      <c r="D400" s="32">
        <f t="shared" si="102"/>
        <v>0</v>
      </c>
      <c r="E400" s="33">
        <f>IF(AND(T399="",A400&lt;=S399),IF(A400&lt;入力!$B$11,入力!$B$10,入力!$B$12),0)</f>
        <v>0</v>
      </c>
      <c r="F400" s="32">
        <f t="shared" si="103"/>
        <v>0</v>
      </c>
      <c r="G400" s="32">
        <f>ROUND(IF(NOT(AND(T399="",A400&lt;=S399)),0,IF(FALSE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),0)</f>
        <v>0</v>
      </c>
      <c r="H400" s="32">
        <f t="shared" si="104"/>
        <v>0</v>
      </c>
      <c r="I400" s="32">
        <f t="shared" si="105"/>
        <v>0</v>
      </c>
      <c r="J400" s="32">
        <f t="shared" si="106"/>
        <v>0</v>
      </c>
      <c r="K400" s="32">
        <f t="shared" si="107"/>
        <v>0</v>
      </c>
      <c r="L400" s="32">
        <f t="shared" si="108"/>
        <v>0</v>
      </c>
      <c r="M400" s="32">
        <f>IF(AND(AND(T399="",A400&lt;=S399),A400=入力!$B$15),ROUND(MIN(入力!$B$16,MAX(0,C400-L400)),0),0)</f>
        <v>0</v>
      </c>
      <c r="N400" s="32">
        <f t="shared" si="109"/>
        <v>0</v>
      </c>
      <c r="O400" s="32">
        <f t="shared" si="110"/>
        <v>10725103</v>
      </c>
      <c r="P400" s="34" t="str">
        <f>IF(NOT(AND(T399="",A400&lt;=S399)),"",IF(FALSE,"繰上返済後再計算","")&amp;IF(AND(入力!$B$13="有効",A400&gt;1,MOD(A400-1,60)=0),IF(FALSE,"・","")&amp;"5年見直し","")&amp;IF(AND(A400=入力!$B$11,A400&gt;1),IF(OR(FALSE,AND(入力!$B$13="有効",A400&gt;1,MOD(A400-1,60)=0)),"・","")&amp;"金利変更","")&amp;IF(AND(OR(AND(入力!$B$13="有効",A400&gt;1,MOD(A400-1,60)=0),AND(A400=入力!$B$11,A400&gt;1)),入力!$B$14="有効",IF(E400=0,ROUND(C400/MAX(1,S399-A400+1),0),ROUND(-PMT(E400/12,MAX(1,S399-A400+1),C400),0))&gt;ROUND(G399*1.25,0),NOT(FALSE)),"・上限適用",""))</f>
        <v/>
      </c>
      <c r="Q400" s="35" t="str">
        <f>IF(AND(T399="",A400&lt;=S399),入力!$B$13,"")</f>
        <v/>
      </c>
      <c r="R400" s="32" t="str">
        <f>IF(AND(AND(T399="",A400&lt;=S399),OR(AND(入力!$B$13="有効",A400&gt;1,MOD(A400-1,60)=0),AND(A400=入力!$B$11,A400&gt;1)),入力!$B$14="有効"),ROUND(G399*1.25,0),"")</f>
        <v/>
      </c>
      <c r="S400" s="36">
        <f>IF(A400&lt;&gt;入力!$B$15,S399,IF(K400&lt;&gt;0,S399,IF(G400&lt;=F400,S399,IF(M400&lt;=0,S399,IF(AND(N400&gt;0,E400&gt;0,G400&lt;=N400*E400/12),S399,IF(A400+IF(N400=0,0,IF(E400=0,ROUNDUP(N400/G400,0),ROUNDUP(NPER(E400/12,-G400,N400),0)))&lt;S399,A400+IF(N400=0,0,IF(E400=0,ROUNDUP(N400/G400,0),ROUNDUP(NPER(E400/12,-G400,N400),0))),S399))))))</f>
        <v>359</v>
      </c>
      <c r="T400" s="35" t="str">
        <f t="shared" si="111"/>
        <v/>
      </c>
      <c r="U400" s="3">
        <f t="shared" si="96"/>
        <v>0</v>
      </c>
      <c r="V400" s="3">
        <f t="shared" si="97"/>
        <v>0</v>
      </c>
      <c r="W400" s="3">
        <f t="shared" si="98"/>
        <v>0</v>
      </c>
      <c r="X400" s="3">
        <f t="shared" si="99"/>
        <v>0</v>
      </c>
      <c r="Y400" s="3">
        <f>0</f>
        <v>0</v>
      </c>
      <c r="Z400" s="3">
        <f t="shared" si="100"/>
        <v>0</v>
      </c>
      <c r="AA400">
        <f>ROUND(IF(FALSE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,0)</f>
        <v>0</v>
      </c>
    </row>
    <row r="401" spans="1:27">
      <c r="A401" s="30">
        <f>396</f>
        <v>396</v>
      </c>
      <c r="B401" s="31">
        <f>EDATE(入力!$B$6,A401-1)</f>
        <v>58257</v>
      </c>
      <c r="C401" s="32">
        <f t="shared" si="101"/>
        <v>0</v>
      </c>
      <c r="D401" s="32">
        <f t="shared" si="102"/>
        <v>0</v>
      </c>
      <c r="E401" s="33">
        <f>IF(AND(T400="",A401&lt;=S400),IF(A401&lt;入力!$B$11,入力!$B$10,入力!$B$12),0)</f>
        <v>0</v>
      </c>
      <c r="F401" s="32">
        <f t="shared" si="103"/>
        <v>0</v>
      </c>
      <c r="G401" s="32">
        <f>ROUND(IF(NOT(AND(T400="",A401&lt;=S400)),0,IF(FALSE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),0)</f>
        <v>0</v>
      </c>
      <c r="H401" s="32">
        <f t="shared" si="104"/>
        <v>0</v>
      </c>
      <c r="I401" s="32">
        <f t="shared" si="105"/>
        <v>0</v>
      </c>
      <c r="J401" s="32">
        <f t="shared" si="106"/>
        <v>0</v>
      </c>
      <c r="K401" s="32">
        <f t="shared" si="107"/>
        <v>0</v>
      </c>
      <c r="L401" s="32">
        <f t="shared" si="108"/>
        <v>0</v>
      </c>
      <c r="M401" s="32">
        <f>IF(AND(AND(T400="",A401&lt;=S400),A401=入力!$B$15),ROUND(MIN(入力!$B$16,MAX(0,C401-L401)),0),0)</f>
        <v>0</v>
      </c>
      <c r="N401" s="32">
        <f t="shared" si="109"/>
        <v>0</v>
      </c>
      <c r="O401" s="32">
        <f t="shared" si="110"/>
        <v>10725103</v>
      </c>
      <c r="P401" s="34" t="str">
        <f>IF(NOT(AND(T400="",A401&lt;=S400)),"",IF(FALSE,"繰上返済後再計算","")&amp;IF(AND(入力!$B$13="有効",A401&gt;1,MOD(A401-1,60)=0),IF(FALSE,"・","")&amp;"5年見直し","")&amp;IF(AND(A401=入力!$B$11,A401&gt;1),IF(OR(FALSE,AND(入力!$B$13="有効",A401&gt;1,MOD(A401-1,60)=0)),"・","")&amp;"金利変更","")&amp;IF(AND(OR(AND(入力!$B$13="有効",A401&gt;1,MOD(A401-1,60)=0),AND(A401=入力!$B$11,A401&gt;1)),入力!$B$14="有効",IF(E401=0,ROUND(C401/MAX(1,S400-A401+1),0),ROUND(-PMT(E401/12,MAX(1,S400-A401+1),C401),0))&gt;ROUND(G400*1.25,0),NOT(FALSE)),"・上限適用",""))</f>
        <v/>
      </c>
      <c r="Q401" s="35" t="str">
        <f>IF(AND(T400="",A401&lt;=S400),入力!$B$13,"")</f>
        <v/>
      </c>
      <c r="R401" s="32" t="str">
        <f>IF(AND(AND(T400="",A401&lt;=S400),OR(AND(入力!$B$13="有効",A401&gt;1,MOD(A401-1,60)=0),AND(A401=入力!$B$11,A401&gt;1)),入力!$B$14="有効"),ROUND(G400*1.25,0),"")</f>
        <v/>
      </c>
      <c r="S401" s="36">
        <f>IF(A401&lt;&gt;入力!$B$15,S400,IF(K401&lt;&gt;0,S400,IF(G401&lt;=F401,S400,IF(M401&lt;=0,S400,IF(AND(N401&gt;0,E401&gt;0,G401&lt;=N401*E401/12),S400,IF(A401+IF(N401=0,0,IF(E401=0,ROUNDUP(N401/G401,0),ROUNDUP(NPER(E401/12,-G401,N401),0)))&lt;S400,A401+IF(N401=0,0,IF(E401=0,ROUNDUP(N401/G401,0),ROUNDUP(NPER(E401/12,-G401,N401),0))),S400))))))</f>
        <v>359</v>
      </c>
      <c r="T401" s="35" t="str">
        <f t="shared" si="111"/>
        <v/>
      </c>
      <c r="U401" s="3">
        <f t="shared" si="96"/>
        <v>0</v>
      </c>
      <c r="V401" s="3">
        <f t="shared" si="97"/>
        <v>0</v>
      </c>
      <c r="W401" s="3">
        <f t="shared" si="98"/>
        <v>0</v>
      </c>
      <c r="X401" s="3">
        <f t="shared" si="99"/>
        <v>0</v>
      </c>
      <c r="Y401" s="3">
        <f>0</f>
        <v>0</v>
      </c>
      <c r="Z401" s="3">
        <f t="shared" si="100"/>
        <v>0</v>
      </c>
      <c r="AA401">
        <f>ROUND(IF(FALSE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,0)</f>
        <v>0</v>
      </c>
    </row>
    <row r="402" spans="1:27">
      <c r="A402" s="30">
        <f>397</f>
        <v>397</v>
      </c>
      <c r="B402" s="31">
        <f>EDATE(入力!$B$6,A402-1)</f>
        <v>58288</v>
      </c>
      <c r="C402" s="32">
        <f t="shared" si="101"/>
        <v>0</v>
      </c>
      <c r="D402" s="32">
        <f t="shared" si="102"/>
        <v>0</v>
      </c>
      <c r="E402" s="33">
        <f>IF(AND(T401="",A402&lt;=S401),IF(A402&lt;入力!$B$11,入力!$B$10,入力!$B$12),0)</f>
        <v>0</v>
      </c>
      <c r="F402" s="32">
        <f t="shared" si="103"/>
        <v>0</v>
      </c>
      <c r="G402" s="32">
        <f>ROUND(IF(NOT(AND(T401="",A402&lt;=S401)),0,IF(FALSE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),0)</f>
        <v>0</v>
      </c>
      <c r="H402" s="32">
        <f t="shared" si="104"/>
        <v>0</v>
      </c>
      <c r="I402" s="32">
        <f t="shared" si="105"/>
        <v>0</v>
      </c>
      <c r="J402" s="32">
        <f t="shared" si="106"/>
        <v>0</v>
      </c>
      <c r="K402" s="32">
        <f t="shared" si="107"/>
        <v>0</v>
      </c>
      <c r="L402" s="32">
        <f t="shared" si="108"/>
        <v>0</v>
      </c>
      <c r="M402" s="32">
        <f>IF(AND(AND(T401="",A402&lt;=S401),A402=入力!$B$15),ROUND(MIN(入力!$B$16,MAX(0,C402-L402)),0),0)</f>
        <v>0</v>
      </c>
      <c r="N402" s="32">
        <f t="shared" si="109"/>
        <v>0</v>
      </c>
      <c r="O402" s="32">
        <f t="shared" si="110"/>
        <v>10725103</v>
      </c>
      <c r="P402" s="34" t="str">
        <f>IF(NOT(AND(T401="",A402&lt;=S401)),"",IF(FALSE,"繰上返済後再計算","")&amp;IF(AND(入力!$B$13="有効",A402&gt;1,MOD(A402-1,60)=0),IF(FALSE,"・","")&amp;"5年見直し","")&amp;IF(AND(A402=入力!$B$11,A402&gt;1),IF(OR(FALSE,AND(入力!$B$13="有効",A402&gt;1,MOD(A402-1,60)=0)),"・","")&amp;"金利変更","")&amp;IF(AND(OR(AND(入力!$B$13="有効",A402&gt;1,MOD(A402-1,60)=0),AND(A402=入力!$B$11,A402&gt;1)),入力!$B$14="有効",IF(E402=0,ROUND(C402/MAX(1,S401-A402+1),0),ROUND(-PMT(E402/12,MAX(1,S401-A402+1),C402),0))&gt;ROUND(G401*1.25,0),NOT(FALSE)),"・上限適用",""))</f>
        <v/>
      </c>
      <c r="Q402" s="35" t="str">
        <f>IF(AND(T401="",A402&lt;=S401),入力!$B$13,"")</f>
        <v/>
      </c>
      <c r="R402" s="32" t="str">
        <f>IF(AND(AND(T401="",A402&lt;=S401),OR(AND(入力!$B$13="有効",A402&gt;1,MOD(A402-1,60)=0),AND(A402=入力!$B$11,A402&gt;1)),入力!$B$14="有効"),ROUND(G401*1.25,0),"")</f>
        <v/>
      </c>
      <c r="S402" s="36">
        <f>IF(A402&lt;&gt;入力!$B$15,S401,IF(K402&lt;&gt;0,S401,IF(G402&lt;=F402,S401,IF(M402&lt;=0,S401,IF(AND(N402&gt;0,E402&gt;0,G402&lt;=N402*E402/12),S401,IF(A402+IF(N402=0,0,IF(E402=0,ROUNDUP(N402/G402,0),ROUNDUP(NPER(E402/12,-G402,N402),0)))&lt;S401,A402+IF(N402=0,0,IF(E402=0,ROUNDUP(N402/G402,0),ROUNDUP(NPER(E402/12,-G402,N402),0))),S401))))))</f>
        <v>359</v>
      </c>
      <c r="T402" s="35" t="str">
        <f t="shared" si="111"/>
        <v/>
      </c>
      <c r="U402" s="3">
        <f t="shared" si="96"/>
        <v>0</v>
      </c>
      <c r="V402" s="3">
        <f t="shared" si="97"/>
        <v>0</v>
      </c>
      <c r="W402" s="3">
        <f t="shared" si="98"/>
        <v>0</v>
      </c>
      <c r="X402" s="3">
        <f t="shared" si="99"/>
        <v>0</v>
      </c>
      <c r="Y402" s="3">
        <f>0</f>
        <v>0</v>
      </c>
      <c r="Z402" s="3">
        <f t="shared" si="100"/>
        <v>0</v>
      </c>
      <c r="AA402">
        <f>ROUND(IF(FALSE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,0)</f>
        <v>0</v>
      </c>
    </row>
    <row r="403" spans="1:27">
      <c r="A403" s="30">
        <f>398</f>
        <v>398</v>
      </c>
      <c r="B403" s="31">
        <f>EDATE(入力!$B$6,A403-1)</f>
        <v>58319</v>
      </c>
      <c r="C403" s="32">
        <f t="shared" si="101"/>
        <v>0</v>
      </c>
      <c r="D403" s="32">
        <f t="shared" si="102"/>
        <v>0</v>
      </c>
      <c r="E403" s="33">
        <f>IF(AND(T402="",A403&lt;=S402),IF(A403&lt;入力!$B$11,入力!$B$10,入力!$B$12),0)</f>
        <v>0</v>
      </c>
      <c r="F403" s="32">
        <f t="shared" si="103"/>
        <v>0</v>
      </c>
      <c r="G403" s="32">
        <f>ROUND(IF(NOT(AND(T402="",A403&lt;=S402)),0,IF(FALSE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),0)</f>
        <v>0</v>
      </c>
      <c r="H403" s="32">
        <f t="shared" si="104"/>
        <v>0</v>
      </c>
      <c r="I403" s="32">
        <f t="shared" si="105"/>
        <v>0</v>
      </c>
      <c r="J403" s="32">
        <f t="shared" si="106"/>
        <v>0</v>
      </c>
      <c r="K403" s="32">
        <f t="shared" si="107"/>
        <v>0</v>
      </c>
      <c r="L403" s="32">
        <f t="shared" si="108"/>
        <v>0</v>
      </c>
      <c r="M403" s="32">
        <f>IF(AND(AND(T402="",A403&lt;=S402),A403=入力!$B$15),ROUND(MIN(入力!$B$16,MAX(0,C403-L403)),0),0)</f>
        <v>0</v>
      </c>
      <c r="N403" s="32">
        <f t="shared" si="109"/>
        <v>0</v>
      </c>
      <c r="O403" s="32">
        <f t="shared" si="110"/>
        <v>10725103</v>
      </c>
      <c r="P403" s="34" t="str">
        <f>IF(NOT(AND(T402="",A403&lt;=S402)),"",IF(FALSE,"繰上返済後再計算","")&amp;IF(AND(入力!$B$13="有効",A403&gt;1,MOD(A403-1,60)=0),IF(FALSE,"・","")&amp;"5年見直し","")&amp;IF(AND(A403=入力!$B$11,A403&gt;1),IF(OR(FALSE,AND(入力!$B$13="有効",A403&gt;1,MOD(A403-1,60)=0)),"・","")&amp;"金利変更","")&amp;IF(AND(OR(AND(入力!$B$13="有効",A403&gt;1,MOD(A403-1,60)=0),AND(A403=入力!$B$11,A403&gt;1)),入力!$B$14="有効",IF(E403=0,ROUND(C403/MAX(1,S402-A403+1),0),ROUND(-PMT(E403/12,MAX(1,S402-A403+1),C403),0))&gt;ROUND(G402*1.25,0),NOT(FALSE)),"・上限適用",""))</f>
        <v/>
      </c>
      <c r="Q403" s="35" t="str">
        <f>IF(AND(T402="",A403&lt;=S402),入力!$B$13,"")</f>
        <v/>
      </c>
      <c r="R403" s="32" t="str">
        <f>IF(AND(AND(T402="",A403&lt;=S402),OR(AND(入力!$B$13="有効",A403&gt;1,MOD(A403-1,60)=0),AND(A403=入力!$B$11,A403&gt;1)),入力!$B$14="有効"),ROUND(G402*1.25,0),"")</f>
        <v/>
      </c>
      <c r="S403" s="36">
        <f>IF(A403&lt;&gt;入力!$B$15,S402,IF(K403&lt;&gt;0,S402,IF(G403&lt;=F403,S402,IF(M403&lt;=0,S402,IF(AND(N403&gt;0,E403&gt;0,G403&lt;=N403*E403/12),S402,IF(A403+IF(N403=0,0,IF(E403=0,ROUNDUP(N403/G403,0),ROUNDUP(NPER(E403/12,-G403,N403),0)))&lt;S402,A403+IF(N403=0,0,IF(E403=0,ROUNDUP(N403/G403,0),ROUNDUP(NPER(E403/12,-G403,N403),0))),S402))))))</f>
        <v>359</v>
      </c>
      <c r="T403" s="35" t="str">
        <f t="shared" si="111"/>
        <v/>
      </c>
      <c r="U403" s="3">
        <f t="shared" si="96"/>
        <v>0</v>
      </c>
      <c r="V403" s="3">
        <f t="shared" si="97"/>
        <v>0</v>
      </c>
      <c r="W403" s="3">
        <f t="shared" si="98"/>
        <v>0</v>
      </c>
      <c r="X403" s="3">
        <f t="shared" si="99"/>
        <v>0</v>
      </c>
      <c r="Y403" s="3">
        <f>0</f>
        <v>0</v>
      </c>
      <c r="Z403" s="3">
        <f t="shared" si="100"/>
        <v>0</v>
      </c>
      <c r="AA403">
        <f>ROUND(IF(FALSE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,0)</f>
        <v>0</v>
      </c>
    </row>
    <row r="404" spans="1:27">
      <c r="A404" s="30">
        <f>399</f>
        <v>399</v>
      </c>
      <c r="B404" s="31">
        <f>EDATE(入力!$B$6,A404-1)</f>
        <v>58349</v>
      </c>
      <c r="C404" s="32">
        <f t="shared" si="101"/>
        <v>0</v>
      </c>
      <c r="D404" s="32">
        <f t="shared" si="102"/>
        <v>0</v>
      </c>
      <c r="E404" s="33">
        <f>IF(AND(T403="",A404&lt;=S403),IF(A404&lt;入力!$B$11,入力!$B$10,入力!$B$12),0)</f>
        <v>0</v>
      </c>
      <c r="F404" s="32">
        <f t="shared" si="103"/>
        <v>0</v>
      </c>
      <c r="G404" s="32">
        <f>ROUND(IF(NOT(AND(T403="",A404&lt;=S403)),0,IF(FALSE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),0)</f>
        <v>0</v>
      </c>
      <c r="H404" s="32">
        <f t="shared" si="104"/>
        <v>0</v>
      </c>
      <c r="I404" s="32">
        <f t="shared" si="105"/>
        <v>0</v>
      </c>
      <c r="J404" s="32">
        <f t="shared" si="106"/>
        <v>0</v>
      </c>
      <c r="K404" s="32">
        <f t="shared" si="107"/>
        <v>0</v>
      </c>
      <c r="L404" s="32">
        <f t="shared" si="108"/>
        <v>0</v>
      </c>
      <c r="M404" s="32">
        <f>IF(AND(AND(T403="",A404&lt;=S403),A404=入力!$B$15),ROUND(MIN(入力!$B$16,MAX(0,C404-L404)),0),0)</f>
        <v>0</v>
      </c>
      <c r="N404" s="32">
        <f t="shared" si="109"/>
        <v>0</v>
      </c>
      <c r="O404" s="32">
        <f t="shared" si="110"/>
        <v>10725103</v>
      </c>
      <c r="P404" s="34" t="str">
        <f>IF(NOT(AND(T403="",A404&lt;=S403)),"",IF(FALSE,"繰上返済後再計算","")&amp;IF(AND(入力!$B$13="有効",A404&gt;1,MOD(A404-1,60)=0),IF(FALSE,"・","")&amp;"5年見直し","")&amp;IF(AND(A404=入力!$B$11,A404&gt;1),IF(OR(FALSE,AND(入力!$B$13="有効",A404&gt;1,MOD(A404-1,60)=0)),"・","")&amp;"金利変更","")&amp;IF(AND(OR(AND(入力!$B$13="有効",A404&gt;1,MOD(A404-1,60)=0),AND(A404=入力!$B$11,A404&gt;1)),入力!$B$14="有効",IF(E404=0,ROUND(C404/MAX(1,S403-A404+1),0),ROUND(-PMT(E404/12,MAX(1,S403-A404+1),C404),0))&gt;ROUND(G403*1.25,0),NOT(FALSE)),"・上限適用",""))</f>
        <v/>
      </c>
      <c r="Q404" s="35" t="str">
        <f>IF(AND(T403="",A404&lt;=S403),入力!$B$13,"")</f>
        <v/>
      </c>
      <c r="R404" s="32" t="str">
        <f>IF(AND(AND(T403="",A404&lt;=S403),OR(AND(入力!$B$13="有効",A404&gt;1,MOD(A404-1,60)=0),AND(A404=入力!$B$11,A404&gt;1)),入力!$B$14="有効"),ROUND(G403*1.25,0),"")</f>
        <v/>
      </c>
      <c r="S404" s="36">
        <f>IF(A404&lt;&gt;入力!$B$15,S403,IF(K404&lt;&gt;0,S403,IF(G404&lt;=F404,S403,IF(M404&lt;=0,S403,IF(AND(N404&gt;0,E404&gt;0,G404&lt;=N404*E404/12),S403,IF(A404+IF(N404=0,0,IF(E404=0,ROUNDUP(N404/G404,0),ROUNDUP(NPER(E404/12,-G404,N404),0)))&lt;S403,A404+IF(N404=0,0,IF(E404=0,ROUNDUP(N404/G404,0),ROUNDUP(NPER(E404/12,-G404,N404),0))),S403))))))</f>
        <v>359</v>
      </c>
      <c r="T404" s="35" t="str">
        <f t="shared" si="111"/>
        <v/>
      </c>
      <c r="U404" s="3">
        <f t="shared" si="96"/>
        <v>0</v>
      </c>
      <c r="V404" s="3">
        <f t="shared" si="97"/>
        <v>0</v>
      </c>
      <c r="W404" s="3">
        <f t="shared" si="98"/>
        <v>0</v>
      </c>
      <c r="X404" s="3">
        <f t="shared" si="99"/>
        <v>0</v>
      </c>
      <c r="Y404" s="3">
        <f>0</f>
        <v>0</v>
      </c>
      <c r="Z404" s="3">
        <f t="shared" si="100"/>
        <v>0</v>
      </c>
      <c r="AA404">
        <f>ROUND(IF(FALSE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,0)</f>
        <v>0</v>
      </c>
    </row>
    <row r="405" spans="1:27">
      <c r="A405" s="30">
        <f>400</f>
        <v>400</v>
      </c>
      <c r="B405" s="31">
        <f>EDATE(入力!$B$6,A405-1)</f>
        <v>58380</v>
      </c>
      <c r="C405" s="32">
        <f t="shared" si="101"/>
        <v>0</v>
      </c>
      <c r="D405" s="32">
        <f t="shared" si="102"/>
        <v>0</v>
      </c>
      <c r="E405" s="33">
        <f>IF(AND(T404="",A405&lt;=S404),IF(A405&lt;入力!$B$11,入力!$B$10,入力!$B$12),0)</f>
        <v>0</v>
      </c>
      <c r="F405" s="32">
        <f t="shared" si="103"/>
        <v>0</v>
      </c>
      <c r="G405" s="32">
        <f>ROUND(IF(NOT(AND(T404="",A405&lt;=S404)),0,IF(FALSE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),0)</f>
        <v>0</v>
      </c>
      <c r="H405" s="32">
        <f t="shared" si="104"/>
        <v>0</v>
      </c>
      <c r="I405" s="32">
        <f t="shared" si="105"/>
        <v>0</v>
      </c>
      <c r="J405" s="32">
        <f t="shared" si="106"/>
        <v>0</v>
      </c>
      <c r="K405" s="32">
        <f t="shared" si="107"/>
        <v>0</v>
      </c>
      <c r="L405" s="32">
        <f t="shared" si="108"/>
        <v>0</v>
      </c>
      <c r="M405" s="32">
        <f>IF(AND(AND(T404="",A405&lt;=S404),A405=入力!$B$15),ROUND(MIN(入力!$B$16,MAX(0,C405-L405)),0),0)</f>
        <v>0</v>
      </c>
      <c r="N405" s="32">
        <f t="shared" si="109"/>
        <v>0</v>
      </c>
      <c r="O405" s="32">
        <f t="shared" si="110"/>
        <v>10725103</v>
      </c>
      <c r="P405" s="34" t="str">
        <f>IF(NOT(AND(T404="",A405&lt;=S404)),"",IF(FALSE,"繰上返済後再計算","")&amp;IF(AND(入力!$B$13="有効",A405&gt;1,MOD(A405-1,60)=0),IF(FALSE,"・","")&amp;"5年見直し","")&amp;IF(AND(A405=入力!$B$11,A405&gt;1),IF(OR(FALSE,AND(入力!$B$13="有効",A405&gt;1,MOD(A405-1,60)=0)),"・","")&amp;"金利変更","")&amp;IF(AND(OR(AND(入力!$B$13="有効",A405&gt;1,MOD(A405-1,60)=0),AND(A405=入力!$B$11,A405&gt;1)),入力!$B$14="有効",IF(E405=0,ROUND(C405/MAX(1,S404-A405+1),0),ROUND(-PMT(E405/12,MAX(1,S404-A405+1),C405),0))&gt;ROUND(G404*1.25,0),NOT(FALSE)),"・上限適用",""))</f>
        <v/>
      </c>
      <c r="Q405" s="35" t="str">
        <f>IF(AND(T404="",A405&lt;=S404),入力!$B$13,"")</f>
        <v/>
      </c>
      <c r="R405" s="32" t="str">
        <f>IF(AND(AND(T404="",A405&lt;=S404),OR(AND(入力!$B$13="有効",A405&gt;1,MOD(A405-1,60)=0),AND(A405=入力!$B$11,A405&gt;1)),入力!$B$14="有効"),ROUND(G404*1.25,0),"")</f>
        <v/>
      </c>
      <c r="S405" s="36">
        <f>IF(A405&lt;&gt;入力!$B$15,S404,IF(K405&lt;&gt;0,S404,IF(G405&lt;=F405,S404,IF(M405&lt;=0,S404,IF(AND(N405&gt;0,E405&gt;0,G405&lt;=N405*E405/12),S404,IF(A405+IF(N405=0,0,IF(E405=0,ROUNDUP(N405/G405,0),ROUNDUP(NPER(E405/12,-G405,N405),0)))&lt;S404,A405+IF(N405=0,0,IF(E405=0,ROUNDUP(N405/G405,0),ROUNDUP(NPER(E405/12,-G405,N405),0))),S404))))))</f>
        <v>359</v>
      </c>
      <c r="T405" s="35" t="str">
        <f t="shared" si="111"/>
        <v/>
      </c>
      <c r="U405" s="3">
        <f t="shared" si="96"/>
        <v>0</v>
      </c>
      <c r="V405" s="3">
        <f t="shared" si="97"/>
        <v>0</v>
      </c>
      <c r="W405" s="3">
        <f t="shared" si="98"/>
        <v>0</v>
      </c>
      <c r="X405" s="3">
        <f t="shared" si="99"/>
        <v>0</v>
      </c>
      <c r="Y405" s="3">
        <f>0</f>
        <v>0</v>
      </c>
      <c r="Z405" s="3">
        <f t="shared" si="100"/>
        <v>0</v>
      </c>
      <c r="AA405">
        <f>ROUND(IF(FALSE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,0)</f>
        <v>0</v>
      </c>
    </row>
    <row r="406" spans="1:27">
      <c r="A406" s="30">
        <f>401</f>
        <v>401</v>
      </c>
      <c r="B406" s="31">
        <f>EDATE(入力!$B$6,A406-1)</f>
        <v>58410</v>
      </c>
      <c r="C406" s="32">
        <f t="shared" si="101"/>
        <v>0</v>
      </c>
      <c r="D406" s="32">
        <f t="shared" si="102"/>
        <v>0</v>
      </c>
      <c r="E406" s="33">
        <f>IF(AND(T405="",A406&lt;=S405),IF(A406&lt;入力!$B$11,入力!$B$10,入力!$B$12),0)</f>
        <v>0</v>
      </c>
      <c r="F406" s="32">
        <f t="shared" si="103"/>
        <v>0</v>
      </c>
      <c r="G406" s="32">
        <f>ROUND(IF(NOT(AND(T405="",A406&lt;=S405)),0,IF(FALSE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),0)</f>
        <v>0</v>
      </c>
      <c r="H406" s="32">
        <f t="shared" si="104"/>
        <v>0</v>
      </c>
      <c r="I406" s="32">
        <f t="shared" si="105"/>
        <v>0</v>
      </c>
      <c r="J406" s="32">
        <f t="shared" si="106"/>
        <v>0</v>
      </c>
      <c r="K406" s="32">
        <f t="shared" si="107"/>
        <v>0</v>
      </c>
      <c r="L406" s="32">
        <f t="shared" si="108"/>
        <v>0</v>
      </c>
      <c r="M406" s="32">
        <f>IF(AND(AND(T405="",A406&lt;=S405),A406=入力!$B$15),ROUND(MIN(入力!$B$16,MAX(0,C406-L406)),0),0)</f>
        <v>0</v>
      </c>
      <c r="N406" s="32">
        <f t="shared" si="109"/>
        <v>0</v>
      </c>
      <c r="O406" s="32">
        <f t="shared" si="110"/>
        <v>10725103</v>
      </c>
      <c r="P406" s="34" t="str">
        <f>IF(NOT(AND(T405="",A406&lt;=S405)),"",IF(FALSE,"繰上返済後再計算","")&amp;IF(AND(入力!$B$13="有効",A406&gt;1,MOD(A406-1,60)=0),IF(FALSE,"・","")&amp;"5年見直し","")&amp;IF(AND(A406=入力!$B$11,A406&gt;1),IF(OR(FALSE,AND(入力!$B$13="有効",A406&gt;1,MOD(A406-1,60)=0)),"・","")&amp;"金利変更","")&amp;IF(AND(OR(AND(入力!$B$13="有効",A406&gt;1,MOD(A406-1,60)=0),AND(A406=入力!$B$11,A406&gt;1)),入力!$B$14="有効",IF(E406=0,ROUND(C406/MAX(1,S405-A406+1),0),ROUND(-PMT(E406/12,MAX(1,S405-A406+1),C406),0))&gt;ROUND(G405*1.25,0),NOT(FALSE)),"・上限適用",""))</f>
        <v/>
      </c>
      <c r="Q406" s="35" t="str">
        <f>IF(AND(T405="",A406&lt;=S405),入力!$B$13,"")</f>
        <v/>
      </c>
      <c r="R406" s="32" t="str">
        <f>IF(AND(AND(T405="",A406&lt;=S405),OR(AND(入力!$B$13="有効",A406&gt;1,MOD(A406-1,60)=0),AND(A406=入力!$B$11,A406&gt;1)),入力!$B$14="有効"),ROUND(G405*1.25,0),"")</f>
        <v/>
      </c>
      <c r="S406" s="36">
        <f>IF(A406&lt;&gt;入力!$B$15,S405,IF(K406&lt;&gt;0,S405,IF(G406&lt;=F406,S405,IF(M406&lt;=0,S405,IF(AND(N406&gt;0,E406&gt;0,G406&lt;=N406*E406/12),S405,IF(A406+IF(N406=0,0,IF(E406=0,ROUNDUP(N406/G406,0),ROUNDUP(NPER(E406/12,-G406,N406),0)))&lt;S405,A406+IF(N406=0,0,IF(E406=0,ROUNDUP(N406/G406,0),ROUNDUP(NPER(E406/12,-G406,N406),0))),S405))))))</f>
        <v>359</v>
      </c>
      <c r="T406" s="35" t="str">
        <f t="shared" si="111"/>
        <v/>
      </c>
      <c r="U406" s="3">
        <f t="shared" si="96"/>
        <v>0</v>
      </c>
      <c r="V406" s="3">
        <f t="shared" si="97"/>
        <v>0</v>
      </c>
      <c r="W406" s="3">
        <f t="shared" si="98"/>
        <v>0</v>
      </c>
      <c r="X406" s="3">
        <f t="shared" si="99"/>
        <v>0</v>
      </c>
      <c r="Y406" s="3">
        <f>0</f>
        <v>0</v>
      </c>
      <c r="Z406" s="3">
        <f t="shared" si="100"/>
        <v>0</v>
      </c>
      <c r="AA406">
        <f>ROUND(IF(FALSE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,0)</f>
        <v>0</v>
      </c>
    </row>
    <row r="407" spans="1:27">
      <c r="A407" s="30">
        <f>402</f>
        <v>402</v>
      </c>
      <c r="B407" s="31">
        <f>EDATE(入力!$B$6,A407-1)</f>
        <v>58441</v>
      </c>
      <c r="C407" s="32">
        <f t="shared" si="101"/>
        <v>0</v>
      </c>
      <c r="D407" s="32">
        <f t="shared" si="102"/>
        <v>0</v>
      </c>
      <c r="E407" s="33">
        <f>IF(AND(T406="",A407&lt;=S406),IF(A407&lt;入力!$B$11,入力!$B$10,入力!$B$12),0)</f>
        <v>0</v>
      </c>
      <c r="F407" s="32">
        <f t="shared" si="103"/>
        <v>0</v>
      </c>
      <c r="G407" s="32">
        <f>ROUND(IF(NOT(AND(T406="",A407&lt;=S406)),0,IF(FALSE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),0)</f>
        <v>0</v>
      </c>
      <c r="H407" s="32">
        <f t="shared" si="104"/>
        <v>0</v>
      </c>
      <c r="I407" s="32">
        <f t="shared" si="105"/>
        <v>0</v>
      </c>
      <c r="J407" s="32">
        <f t="shared" si="106"/>
        <v>0</v>
      </c>
      <c r="K407" s="32">
        <f t="shared" si="107"/>
        <v>0</v>
      </c>
      <c r="L407" s="32">
        <f t="shared" si="108"/>
        <v>0</v>
      </c>
      <c r="M407" s="32">
        <f>IF(AND(AND(T406="",A407&lt;=S406),A407=入力!$B$15),ROUND(MIN(入力!$B$16,MAX(0,C407-L407)),0),0)</f>
        <v>0</v>
      </c>
      <c r="N407" s="32">
        <f t="shared" si="109"/>
        <v>0</v>
      </c>
      <c r="O407" s="32">
        <f t="shared" si="110"/>
        <v>10725103</v>
      </c>
      <c r="P407" s="34" t="str">
        <f>IF(NOT(AND(T406="",A407&lt;=S406)),"",IF(FALSE,"繰上返済後再計算","")&amp;IF(AND(入力!$B$13="有効",A407&gt;1,MOD(A407-1,60)=0),IF(FALSE,"・","")&amp;"5年見直し","")&amp;IF(AND(A407=入力!$B$11,A407&gt;1),IF(OR(FALSE,AND(入力!$B$13="有効",A407&gt;1,MOD(A407-1,60)=0)),"・","")&amp;"金利変更","")&amp;IF(AND(OR(AND(入力!$B$13="有効",A407&gt;1,MOD(A407-1,60)=0),AND(A407=入力!$B$11,A407&gt;1)),入力!$B$14="有効",IF(E407=0,ROUND(C407/MAX(1,S406-A407+1),0),ROUND(-PMT(E407/12,MAX(1,S406-A407+1),C407),0))&gt;ROUND(G406*1.25,0),NOT(FALSE)),"・上限適用",""))</f>
        <v/>
      </c>
      <c r="Q407" s="35" t="str">
        <f>IF(AND(T406="",A407&lt;=S406),入力!$B$13,"")</f>
        <v/>
      </c>
      <c r="R407" s="32" t="str">
        <f>IF(AND(AND(T406="",A407&lt;=S406),OR(AND(入力!$B$13="有効",A407&gt;1,MOD(A407-1,60)=0),AND(A407=入力!$B$11,A407&gt;1)),入力!$B$14="有効"),ROUND(G406*1.25,0),"")</f>
        <v/>
      </c>
      <c r="S407" s="36">
        <f>IF(A407&lt;&gt;入力!$B$15,S406,IF(K407&lt;&gt;0,S406,IF(G407&lt;=F407,S406,IF(M407&lt;=0,S406,IF(AND(N407&gt;0,E407&gt;0,G407&lt;=N407*E407/12),S406,IF(A407+IF(N407=0,0,IF(E407=0,ROUNDUP(N407/G407,0),ROUNDUP(NPER(E407/12,-G407,N407),0)))&lt;S406,A407+IF(N407=0,0,IF(E407=0,ROUNDUP(N407/G407,0),ROUNDUP(NPER(E407/12,-G407,N407),0))),S406))))))</f>
        <v>359</v>
      </c>
      <c r="T407" s="35" t="str">
        <f t="shared" si="111"/>
        <v/>
      </c>
      <c r="U407" s="3">
        <f t="shared" si="96"/>
        <v>0</v>
      </c>
      <c r="V407" s="3">
        <f t="shared" si="97"/>
        <v>0</v>
      </c>
      <c r="W407" s="3">
        <f t="shared" si="98"/>
        <v>0</v>
      </c>
      <c r="X407" s="3">
        <f t="shared" si="99"/>
        <v>0</v>
      </c>
      <c r="Y407" s="3">
        <f>0</f>
        <v>0</v>
      </c>
      <c r="Z407" s="3">
        <f t="shared" si="100"/>
        <v>0</v>
      </c>
      <c r="AA407">
        <f>ROUND(IF(FALSE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,0)</f>
        <v>0</v>
      </c>
    </row>
    <row r="408" spans="1:27">
      <c r="A408" s="30">
        <f>403</f>
        <v>403</v>
      </c>
      <c r="B408" s="31">
        <f>EDATE(入力!$B$6,A408-1)</f>
        <v>58472</v>
      </c>
      <c r="C408" s="32">
        <f t="shared" si="101"/>
        <v>0</v>
      </c>
      <c r="D408" s="32">
        <f t="shared" si="102"/>
        <v>0</v>
      </c>
      <c r="E408" s="33">
        <f>IF(AND(T407="",A408&lt;=S407),IF(A408&lt;入力!$B$11,入力!$B$10,入力!$B$12),0)</f>
        <v>0</v>
      </c>
      <c r="F408" s="32">
        <f t="shared" si="103"/>
        <v>0</v>
      </c>
      <c r="G408" s="32">
        <f>ROUND(IF(NOT(AND(T407="",A408&lt;=S407)),0,IF(FALSE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),0)</f>
        <v>0</v>
      </c>
      <c r="H408" s="32">
        <f t="shared" si="104"/>
        <v>0</v>
      </c>
      <c r="I408" s="32">
        <f t="shared" si="105"/>
        <v>0</v>
      </c>
      <c r="J408" s="32">
        <f t="shared" si="106"/>
        <v>0</v>
      </c>
      <c r="K408" s="32">
        <f t="shared" si="107"/>
        <v>0</v>
      </c>
      <c r="L408" s="32">
        <f t="shared" si="108"/>
        <v>0</v>
      </c>
      <c r="M408" s="32">
        <f>IF(AND(AND(T407="",A408&lt;=S407),A408=入力!$B$15),ROUND(MIN(入力!$B$16,MAX(0,C408-L408)),0),0)</f>
        <v>0</v>
      </c>
      <c r="N408" s="32">
        <f t="shared" si="109"/>
        <v>0</v>
      </c>
      <c r="O408" s="32">
        <f t="shared" si="110"/>
        <v>10725103</v>
      </c>
      <c r="P408" s="34" t="str">
        <f>IF(NOT(AND(T407="",A408&lt;=S407)),"",IF(FALSE,"繰上返済後再計算","")&amp;IF(AND(入力!$B$13="有効",A408&gt;1,MOD(A408-1,60)=0),IF(FALSE,"・","")&amp;"5年見直し","")&amp;IF(AND(A408=入力!$B$11,A408&gt;1),IF(OR(FALSE,AND(入力!$B$13="有効",A408&gt;1,MOD(A408-1,60)=0)),"・","")&amp;"金利変更","")&amp;IF(AND(OR(AND(入力!$B$13="有効",A408&gt;1,MOD(A408-1,60)=0),AND(A408=入力!$B$11,A408&gt;1)),入力!$B$14="有効",IF(E408=0,ROUND(C408/MAX(1,S407-A408+1),0),ROUND(-PMT(E408/12,MAX(1,S407-A408+1),C408),0))&gt;ROUND(G407*1.25,0),NOT(FALSE)),"・上限適用",""))</f>
        <v/>
      </c>
      <c r="Q408" s="35" t="str">
        <f>IF(AND(T407="",A408&lt;=S407),入力!$B$13,"")</f>
        <v/>
      </c>
      <c r="R408" s="32" t="str">
        <f>IF(AND(AND(T407="",A408&lt;=S407),OR(AND(入力!$B$13="有効",A408&gt;1,MOD(A408-1,60)=0),AND(A408=入力!$B$11,A408&gt;1)),入力!$B$14="有効"),ROUND(G407*1.25,0),"")</f>
        <v/>
      </c>
      <c r="S408" s="36">
        <f>IF(A408&lt;&gt;入力!$B$15,S407,IF(K408&lt;&gt;0,S407,IF(G408&lt;=F408,S407,IF(M408&lt;=0,S407,IF(AND(N408&gt;0,E408&gt;0,G408&lt;=N408*E408/12),S407,IF(A408+IF(N408=0,0,IF(E408=0,ROUNDUP(N408/G408,0),ROUNDUP(NPER(E408/12,-G408,N408),0)))&lt;S407,A408+IF(N408=0,0,IF(E408=0,ROUNDUP(N408/G408,0),ROUNDUP(NPER(E408/12,-G408,N408),0))),S407))))))</f>
        <v>359</v>
      </c>
      <c r="T408" s="35" t="str">
        <f t="shared" si="111"/>
        <v/>
      </c>
      <c r="U408" s="3">
        <f t="shared" si="96"/>
        <v>0</v>
      </c>
      <c r="V408" s="3">
        <f t="shared" si="97"/>
        <v>0</v>
      </c>
      <c r="W408" s="3">
        <f t="shared" si="98"/>
        <v>0</v>
      </c>
      <c r="X408" s="3">
        <f t="shared" si="99"/>
        <v>0</v>
      </c>
      <c r="Y408" s="3">
        <f>0</f>
        <v>0</v>
      </c>
      <c r="Z408" s="3">
        <f t="shared" si="100"/>
        <v>0</v>
      </c>
      <c r="AA408">
        <f>ROUND(IF(FALSE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,0)</f>
        <v>0</v>
      </c>
    </row>
    <row r="409" spans="1:27">
      <c r="A409" s="30">
        <f>404</f>
        <v>404</v>
      </c>
      <c r="B409" s="31">
        <f>EDATE(入力!$B$6,A409-1)</f>
        <v>58501</v>
      </c>
      <c r="C409" s="32">
        <f t="shared" si="101"/>
        <v>0</v>
      </c>
      <c r="D409" s="32">
        <f t="shared" si="102"/>
        <v>0</v>
      </c>
      <c r="E409" s="33">
        <f>IF(AND(T408="",A409&lt;=S408),IF(A409&lt;入力!$B$11,入力!$B$10,入力!$B$12),0)</f>
        <v>0</v>
      </c>
      <c r="F409" s="32">
        <f t="shared" si="103"/>
        <v>0</v>
      </c>
      <c r="G409" s="32">
        <f>ROUND(IF(NOT(AND(T408="",A409&lt;=S408)),0,IF(FALSE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),0)</f>
        <v>0</v>
      </c>
      <c r="H409" s="32">
        <f t="shared" si="104"/>
        <v>0</v>
      </c>
      <c r="I409" s="32">
        <f t="shared" si="105"/>
        <v>0</v>
      </c>
      <c r="J409" s="32">
        <f t="shared" si="106"/>
        <v>0</v>
      </c>
      <c r="K409" s="32">
        <f t="shared" si="107"/>
        <v>0</v>
      </c>
      <c r="L409" s="32">
        <f t="shared" si="108"/>
        <v>0</v>
      </c>
      <c r="M409" s="32">
        <f>IF(AND(AND(T408="",A409&lt;=S408),A409=入力!$B$15),ROUND(MIN(入力!$B$16,MAX(0,C409-L409)),0),0)</f>
        <v>0</v>
      </c>
      <c r="N409" s="32">
        <f t="shared" si="109"/>
        <v>0</v>
      </c>
      <c r="O409" s="32">
        <f t="shared" si="110"/>
        <v>10725103</v>
      </c>
      <c r="P409" s="34" t="str">
        <f>IF(NOT(AND(T408="",A409&lt;=S408)),"",IF(FALSE,"繰上返済後再計算","")&amp;IF(AND(入力!$B$13="有効",A409&gt;1,MOD(A409-1,60)=0),IF(FALSE,"・","")&amp;"5年見直し","")&amp;IF(AND(A409=入力!$B$11,A409&gt;1),IF(OR(FALSE,AND(入力!$B$13="有効",A409&gt;1,MOD(A409-1,60)=0)),"・","")&amp;"金利変更","")&amp;IF(AND(OR(AND(入力!$B$13="有効",A409&gt;1,MOD(A409-1,60)=0),AND(A409=入力!$B$11,A409&gt;1)),入力!$B$14="有効",IF(E409=0,ROUND(C409/MAX(1,S408-A409+1),0),ROUND(-PMT(E409/12,MAX(1,S408-A409+1),C409),0))&gt;ROUND(G408*1.25,0),NOT(FALSE)),"・上限適用",""))</f>
        <v/>
      </c>
      <c r="Q409" s="35" t="str">
        <f>IF(AND(T408="",A409&lt;=S408),入力!$B$13,"")</f>
        <v/>
      </c>
      <c r="R409" s="32" t="str">
        <f>IF(AND(AND(T408="",A409&lt;=S408),OR(AND(入力!$B$13="有効",A409&gt;1,MOD(A409-1,60)=0),AND(A409=入力!$B$11,A409&gt;1)),入力!$B$14="有効"),ROUND(G408*1.25,0),"")</f>
        <v/>
      </c>
      <c r="S409" s="36">
        <f>IF(A409&lt;&gt;入力!$B$15,S408,IF(K409&lt;&gt;0,S408,IF(G409&lt;=F409,S408,IF(M409&lt;=0,S408,IF(AND(N409&gt;0,E409&gt;0,G409&lt;=N409*E409/12),S408,IF(A409+IF(N409=0,0,IF(E409=0,ROUNDUP(N409/G409,0),ROUNDUP(NPER(E409/12,-G409,N409),0)))&lt;S408,A409+IF(N409=0,0,IF(E409=0,ROUNDUP(N409/G409,0),ROUNDUP(NPER(E409/12,-G409,N409),0))),S408))))))</f>
        <v>359</v>
      </c>
      <c r="T409" s="35" t="str">
        <f t="shared" si="111"/>
        <v/>
      </c>
      <c r="U409" s="3">
        <f t="shared" si="96"/>
        <v>0</v>
      </c>
      <c r="V409" s="3">
        <f t="shared" si="97"/>
        <v>0</v>
      </c>
      <c r="W409" s="3">
        <f t="shared" si="98"/>
        <v>0</v>
      </c>
      <c r="X409" s="3">
        <f t="shared" si="99"/>
        <v>0</v>
      </c>
      <c r="Y409" s="3">
        <f>0</f>
        <v>0</v>
      </c>
      <c r="Z409" s="3">
        <f t="shared" si="100"/>
        <v>0</v>
      </c>
      <c r="AA409">
        <f>ROUND(IF(FALSE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,0)</f>
        <v>0</v>
      </c>
    </row>
    <row r="410" spans="1:27">
      <c r="A410" s="30">
        <f>405</f>
        <v>405</v>
      </c>
      <c r="B410" s="31">
        <f>EDATE(入力!$B$6,A410-1)</f>
        <v>58532</v>
      </c>
      <c r="C410" s="32">
        <f t="shared" si="101"/>
        <v>0</v>
      </c>
      <c r="D410" s="32">
        <f t="shared" si="102"/>
        <v>0</v>
      </c>
      <c r="E410" s="33">
        <f>IF(AND(T409="",A410&lt;=S409),IF(A410&lt;入力!$B$11,入力!$B$10,入力!$B$12),0)</f>
        <v>0</v>
      </c>
      <c r="F410" s="32">
        <f t="shared" si="103"/>
        <v>0</v>
      </c>
      <c r="G410" s="32">
        <f>ROUND(IF(NOT(AND(T409="",A410&lt;=S409)),0,IF(FALSE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),0)</f>
        <v>0</v>
      </c>
      <c r="H410" s="32">
        <f t="shared" si="104"/>
        <v>0</v>
      </c>
      <c r="I410" s="32">
        <f t="shared" si="105"/>
        <v>0</v>
      </c>
      <c r="J410" s="32">
        <f t="shared" si="106"/>
        <v>0</v>
      </c>
      <c r="K410" s="32">
        <f t="shared" si="107"/>
        <v>0</v>
      </c>
      <c r="L410" s="32">
        <f t="shared" si="108"/>
        <v>0</v>
      </c>
      <c r="M410" s="32">
        <f>IF(AND(AND(T409="",A410&lt;=S409),A410=入力!$B$15),ROUND(MIN(入力!$B$16,MAX(0,C410-L410)),0),0)</f>
        <v>0</v>
      </c>
      <c r="N410" s="32">
        <f t="shared" si="109"/>
        <v>0</v>
      </c>
      <c r="O410" s="32">
        <f t="shared" si="110"/>
        <v>10725103</v>
      </c>
      <c r="P410" s="34" t="str">
        <f>IF(NOT(AND(T409="",A410&lt;=S409)),"",IF(FALSE,"繰上返済後再計算","")&amp;IF(AND(入力!$B$13="有効",A410&gt;1,MOD(A410-1,60)=0),IF(FALSE,"・","")&amp;"5年見直し","")&amp;IF(AND(A410=入力!$B$11,A410&gt;1),IF(OR(FALSE,AND(入力!$B$13="有効",A410&gt;1,MOD(A410-1,60)=0)),"・","")&amp;"金利変更","")&amp;IF(AND(OR(AND(入力!$B$13="有効",A410&gt;1,MOD(A410-1,60)=0),AND(A410=入力!$B$11,A410&gt;1)),入力!$B$14="有効",IF(E410=0,ROUND(C410/MAX(1,S409-A410+1),0),ROUND(-PMT(E410/12,MAX(1,S409-A410+1),C410),0))&gt;ROUND(G409*1.25,0),NOT(FALSE)),"・上限適用",""))</f>
        <v/>
      </c>
      <c r="Q410" s="35" t="str">
        <f>IF(AND(T409="",A410&lt;=S409),入力!$B$13,"")</f>
        <v/>
      </c>
      <c r="R410" s="32" t="str">
        <f>IF(AND(AND(T409="",A410&lt;=S409),OR(AND(入力!$B$13="有効",A410&gt;1,MOD(A410-1,60)=0),AND(A410=入力!$B$11,A410&gt;1)),入力!$B$14="有効"),ROUND(G409*1.25,0),"")</f>
        <v/>
      </c>
      <c r="S410" s="36">
        <f>IF(A410&lt;&gt;入力!$B$15,S409,IF(K410&lt;&gt;0,S409,IF(G410&lt;=F410,S409,IF(M410&lt;=0,S409,IF(AND(N410&gt;0,E410&gt;0,G410&lt;=N410*E410/12),S409,IF(A410+IF(N410=0,0,IF(E410=0,ROUNDUP(N410/G410,0),ROUNDUP(NPER(E410/12,-G410,N410),0)))&lt;S409,A410+IF(N410=0,0,IF(E410=0,ROUNDUP(N410/G410,0),ROUNDUP(NPER(E410/12,-G410,N410),0))),S409))))))</f>
        <v>359</v>
      </c>
      <c r="T410" s="35" t="str">
        <f t="shared" si="111"/>
        <v/>
      </c>
      <c r="U410" s="3">
        <f t="shared" si="96"/>
        <v>0</v>
      </c>
      <c r="V410" s="3">
        <f t="shared" si="97"/>
        <v>0</v>
      </c>
      <c r="W410" s="3">
        <f t="shared" si="98"/>
        <v>0</v>
      </c>
      <c r="X410" s="3">
        <f t="shared" si="99"/>
        <v>0</v>
      </c>
      <c r="Y410" s="3">
        <f>0</f>
        <v>0</v>
      </c>
      <c r="Z410" s="3">
        <f t="shared" si="100"/>
        <v>0</v>
      </c>
      <c r="AA410">
        <f>ROUND(IF(FALSE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,0)</f>
        <v>0</v>
      </c>
    </row>
    <row r="411" spans="1:27">
      <c r="A411" s="30">
        <f>406</f>
        <v>406</v>
      </c>
      <c r="B411" s="31">
        <f>EDATE(入力!$B$6,A411-1)</f>
        <v>58562</v>
      </c>
      <c r="C411" s="32">
        <f t="shared" si="101"/>
        <v>0</v>
      </c>
      <c r="D411" s="32">
        <f t="shared" si="102"/>
        <v>0</v>
      </c>
      <c r="E411" s="33">
        <f>IF(AND(T410="",A411&lt;=S410),IF(A411&lt;入力!$B$11,入力!$B$10,入力!$B$12),0)</f>
        <v>0</v>
      </c>
      <c r="F411" s="32">
        <f t="shared" si="103"/>
        <v>0</v>
      </c>
      <c r="G411" s="32">
        <f>ROUND(IF(NOT(AND(T410="",A411&lt;=S410)),0,IF(FALSE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),0)</f>
        <v>0</v>
      </c>
      <c r="H411" s="32">
        <f t="shared" si="104"/>
        <v>0</v>
      </c>
      <c r="I411" s="32">
        <f t="shared" si="105"/>
        <v>0</v>
      </c>
      <c r="J411" s="32">
        <f t="shared" si="106"/>
        <v>0</v>
      </c>
      <c r="K411" s="32">
        <f t="shared" si="107"/>
        <v>0</v>
      </c>
      <c r="L411" s="32">
        <f t="shared" si="108"/>
        <v>0</v>
      </c>
      <c r="M411" s="32">
        <f>IF(AND(AND(T410="",A411&lt;=S410),A411=入力!$B$15),ROUND(MIN(入力!$B$16,MAX(0,C411-L411)),0),0)</f>
        <v>0</v>
      </c>
      <c r="N411" s="32">
        <f t="shared" si="109"/>
        <v>0</v>
      </c>
      <c r="O411" s="32">
        <f t="shared" si="110"/>
        <v>10725103</v>
      </c>
      <c r="P411" s="34" t="str">
        <f>IF(NOT(AND(T410="",A411&lt;=S410)),"",IF(FALSE,"繰上返済後再計算","")&amp;IF(AND(入力!$B$13="有効",A411&gt;1,MOD(A411-1,60)=0),IF(FALSE,"・","")&amp;"5年見直し","")&amp;IF(AND(A411=入力!$B$11,A411&gt;1),IF(OR(FALSE,AND(入力!$B$13="有効",A411&gt;1,MOD(A411-1,60)=0)),"・","")&amp;"金利変更","")&amp;IF(AND(OR(AND(入力!$B$13="有効",A411&gt;1,MOD(A411-1,60)=0),AND(A411=入力!$B$11,A411&gt;1)),入力!$B$14="有効",IF(E411=0,ROUND(C411/MAX(1,S410-A411+1),0),ROUND(-PMT(E411/12,MAX(1,S410-A411+1),C411),0))&gt;ROUND(G410*1.25,0),NOT(FALSE)),"・上限適用",""))</f>
        <v/>
      </c>
      <c r="Q411" s="35" t="str">
        <f>IF(AND(T410="",A411&lt;=S410),入力!$B$13,"")</f>
        <v/>
      </c>
      <c r="R411" s="32" t="str">
        <f>IF(AND(AND(T410="",A411&lt;=S410),OR(AND(入力!$B$13="有効",A411&gt;1,MOD(A411-1,60)=0),AND(A411=入力!$B$11,A411&gt;1)),入力!$B$14="有効"),ROUND(G410*1.25,0),"")</f>
        <v/>
      </c>
      <c r="S411" s="36">
        <f>IF(A411&lt;&gt;入力!$B$15,S410,IF(K411&lt;&gt;0,S410,IF(G411&lt;=F411,S410,IF(M411&lt;=0,S410,IF(AND(N411&gt;0,E411&gt;0,G411&lt;=N411*E411/12),S410,IF(A411+IF(N411=0,0,IF(E411=0,ROUNDUP(N411/G411,0),ROUNDUP(NPER(E411/12,-G411,N411),0)))&lt;S410,A411+IF(N411=0,0,IF(E411=0,ROUNDUP(N411/G411,0),ROUNDUP(NPER(E411/12,-G411,N411),0))),S410))))))</f>
        <v>359</v>
      </c>
      <c r="T411" s="35" t="str">
        <f t="shared" si="111"/>
        <v/>
      </c>
      <c r="U411" s="3">
        <f t="shared" si="96"/>
        <v>0</v>
      </c>
      <c r="V411" s="3">
        <f t="shared" si="97"/>
        <v>0</v>
      </c>
      <c r="W411" s="3">
        <f t="shared" si="98"/>
        <v>0</v>
      </c>
      <c r="X411" s="3">
        <f t="shared" si="99"/>
        <v>0</v>
      </c>
      <c r="Y411" s="3">
        <f>0</f>
        <v>0</v>
      </c>
      <c r="Z411" s="3">
        <f t="shared" si="100"/>
        <v>0</v>
      </c>
      <c r="AA411">
        <f>ROUND(IF(FALSE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,0)</f>
        <v>0</v>
      </c>
    </row>
    <row r="412" spans="1:27">
      <c r="A412" s="30">
        <f>407</f>
        <v>407</v>
      </c>
      <c r="B412" s="31">
        <f>EDATE(入力!$B$6,A412-1)</f>
        <v>58593</v>
      </c>
      <c r="C412" s="32">
        <f t="shared" si="101"/>
        <v>0</v>
      </c>
      <c r="D412" s="32">
        <f t="shared" si="102"/>
        <v>0</v>
      </c>
      <c r="E412" s="33">
        <f>IF(AND(T411="",A412&lt;=S411),IF(A412&lt;入力!$B$11,入力!$B$10,入力!$B$12),0)</f>
        <v>0</v>
      </c>
      <c r="F412" s="32">
        <f t="shared" si="103"/>
        <v>0</v>
      </c>
      <c r="G412" s="32">
        <f>ROUND(IF(NOT(AND(T411="",A412&lt;=S411)),0,IF(FALSE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),0)</f>
        <v>0</v>
      </c>
      <c r="H412" s="32">
        <f t="shared" si="104"/>
        <v>0</v>
      </c>
      <c r="I412" s="32">
        <f t="shared" si="105"/>
        <v>0</v>
      </c>
      <c r="J412" s="32">
        <f t="shared" si="106"/>
        <v>0</v>
      </c>
      <c r="K412" s="32">
        <f t="shared" si="107"/>
        <v>0</v>
      </c>
      <c r="L412" s="32">
        <f t="shared" si="108"/>
        <v>0</v>
      </c>
      <c r="M412" s="32">
        <f>IF(AND(AND(T411="",A412&lt;=S411),A412=入力!$B$15),ROUND(MIN(入力!$B$16,MAX(0,C412-L412)),0),0)</f>
        <v>0</v>
      </c>
      <c r="N412" s="32">
        <f t="shared" si="109"/>
        <v>0</v>
      </c>
      <c r="O412" s="32">
        <f t="shared" si="110"/>
        <v>10725103</v>
      </c>
      <c r="P412" s="34" t="str">
        <f>IF(NOT(AND(T411="",A412&lt;=S411)),"",IF(FALSE,"繰上返済後再計算","")&amp;IF(AND(入力!$B$13="有効",A412&gt;1,MOD(A412-1,60)=0),IF(FALSE,"・","")&amp;"5年見直し","")&amp;IF(AND(A412=入力!$B$11,A412&gt;1),IF(OR(FALSE,AND(入力!$B$13="有効",A412&gt;1,MOD(A412-1,60)=0)),"・","")&amp;"金利変更","")&amp;IF(AND(OR(AND(入力!$B$13="有効",A412&gt;1,MOD(A412-1,60)=0),AND(A412=入力!$B$11,A412&gt;1)),入力!$B$14="有効",IF(E412=0,ROUND(C412/MAX(1,S411-A412+1),0),ROUND(-PMT(E412/12,MAX(1,S411-A412+1),C412),0))&gt;ROUND(G411*1.25,0),NOT(FALSE)),"・上限適用",""))</f>
        <v/>
      </c>
      <c r="Q412" s="35" t="str">
        <f>IF(AND(T411="",A412&lt;=S411),入力!$B$13,"")</f>
        <v/>
      </c>
      <c r="R412" s="32" t="str">
        <f>IF(AND(AND(T411="",A412&lt;=S411),OR(AND(入力!$B$13="有効",A412&gt;1,MOD(A412-1,60)=0),AND(A412=入力!$B$11,A412&gt;1)),入力!$B$14="有効"),ROUND(G411*1.25,0),"")</f>
        <v/>
      </c>
      <c r="S412" s="36">
        <f>IF(A412&lt;&gt;入力!$B$15,S411,IF(K412&lt;&gt;0,S411,IF(G412&lt;=F412,S411,IF(M412&lt;=0,S411,IF(AND(N412&gt;0,E412&gt;0,G412&lt;=N412*E412/12),S411,IF(A412+IF(N412=0,0,IF(E412=0,ROUNDUP(N412/G412,0),ROUNDUP(NPER(E412/12,-G412,N412),0)))&lt;S411,A412+IF(N412=0,0,IF(E412=0,ROUNDUP(N412/G412,0),ROUNDUP(NPER(E412/12,-G412,N412),0))),S411))))))</f>
        <v>359</v>
      </c>
      <c r="T412" s="35" t="str">
        <f t="shared" si="111"/>
        <v/>
      </c>
      <c r="U412" s="3">
        <f t="shared" si="96"/>
        <v>0</v>
      </c>
      <c r="V412" s="3">
        <f t="shared" si="97"/>
        <v>0</v>
      </c>
      <c r="W412" s="3">
        <f t="shared" si="98"/>
        <v>0</v>
      </c>
      <c r="X412" s="3">
        <f t="shared" si="99"/>
        <v>0</v>
      </c>
      <c r="Y412" s="3">
        <f>0</f>
        <v>0</v>
      </c>
      <c r="Z412" s="3">
        <f t="shared" si="100"/>
        <v>0</v>
      </c>
      <c r="AA412">
        <f>ROUND(IF(FALSE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,0)</f>
        <v>0</v>
      </c>
    </row>
    <row r="413" spans="1:27">
      <c r="A413" s="30">
        <f>408</f>
        <v>408</v>
      </c>
      <c r="B413" s="31">
        <f>EDATE(入力!$B$6,A413-1)</f>
        <v>58623</v>
      </c>
      <c r="C413" s="32">
        <f t="shared" si="101"/>
        <v>0</v>
      </c>
      <c r="D413" s="32">
        <f t="shared" si="102"/>
        <v>0</v>
      </c>
      <c r="E413" s="33">
        <f>IF(AND(T412="",A413&lt;=S412),IF(A413&lt;入力!$B$11,入力!$B$10,入力!$B$12),0)</f>
        <v>0</v>
      </c>
      <c r="F413" s="32">
        <f t="shared" si="103"/>
        <v>0</v>
      </c>
      <c r="G413" s="32">
        <f>ROUND(IF(NOT(AND(T412="",A413&lt;=S412)),0,IF(FALSE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),0)</f>
        <v>0</v>
      </c>
      <c r="H413" s="32">
        <f t="shared" si="104"/>
        <v>0</v>
      </c>
      <c r="I413" s="32">
        <f t="shared" si="105"/>
        <v>0</v>
      </c>
      <c r="J413" s="32">
        <f t="shared" si="106"/>
        <v>0</v>
      </c>
      <c r="K413" s="32">
        <f t="shared" si="107"/>
        <v>0</v>
      </c>
      <c r="L413" s="32">
        <f t="shared" si="108"/>
        <v>0</v>
      </c>
      <c r="M413" s="32">
        <f>IF(AND(AND(T412="",A413&lt;=S412),A413=入力!$B$15),ROUND(MIN(入力!$B$16,MAX(0,C413-L413)),0),0)</f>
        <v>0</v>
      </c>
      <c r="N413" s="32">
        <f t="shared" si="109"/>
        <v>0</v>
      </c>
      <c r="O413" s="32">
        <f t="shared" si="110"/>
        <v>10725103</v>
      </c>
      <c r="P413" s="34" t="str">
        <f>IF(NOT(AND(T412="",A413&lt;=S412)),"",IF(FALSE,"繰上返済後再計算","")&amp;IF(AND(入力!$B$13="有効",A413&gt;1,MOD(A413-1,60)=0),IF(FALSE,"・","")&amp;"5年見直し","")&amp;IF(AND(A413=入力!$B$11,A413&gt;1),IF(OR(FALSE,AND(入力!$B$13="有効",A413&gt;1,MOD(A413-1,60)=0)),"・","")&amp;"金利変更","")&amp;IF(AND(OR(AND(入力!$B$13="有効",A413&gt;1,MOD(A413-1,60)=0),AND(A413=入力!$B$11,A413&gt;1)),入力!$B$14="有効",IF(E413=0,ROUND(C413/MAX(1,S412-A413+1),0),ROUND(-PMT(E413/12,MAX(1,S412-A413+1),C413),0))&gt;ROUND(G412*1.25,0),NOT(FALSE)),"・上限適用",""))</f>
        <v/>
      </c>
      <c r="Q413" s="35" t="str">
        <f>IF(AND(T412="",A413&lt;=S412),入力!$B$13,"")</f>
        <v/>
      </c>
      <c r="R413" s="32" t="str">
        <f>IF(AND(AND(T412="",A413&lt;=S412),OR(AND(入力!$B$13="有効",A413&gt;1,MOD(A413-1,60)=0),AND(A413=入力!$B$11,A413&gt;1)),入力!$B$14="有効"),ROUND(G412*1.25,0),"")</f>
        <v/>
      </c>
      <c r="S413" s="36">
        <f>IF(A413&lt;&gt;入力!$B$15,S412,IF(K413&lt;&gt;0,S412,IF(G413&lt;=F413,S412,IF(M413&lt;=0,S412,IF(AND(N413&gt;0,E413&gt;0,G413&lt;=N413*E413/12),S412,IF(A413+IF(N413=0,0,IF(E413=0,ROUNDUP(N413/G413,0),ROUNDUP(NPER(E413/12,-G413,N413),0)))&lt;S412,A413+IF(N413=0,0,IF(E413=0,ROUNDUP(N413/G413,0),ROUNDUP(NPER(E413/12,-G413,N413),0))),S412))))))</f>
        <v>359</v>
      </c>
      <c r="T413" s="35" t="str">
        <f t="shared" si="111"/>
        <v/>
      </c>
      <c r="U413" s="3">
        <f t="shared" si="96"/>
        <v>0</v>
      </c>
      <c r="V413" s="3">
        <f t="shared" si="97"/>
        <v>0</v>
      </c>
      <c r="W413" s="3">
        <f t="shared" si="98"/>
        <v>0</v>
      </c>
      <c r="X413" s="3">
        <f t="shared" si="99"/>
        <v>0</v>
      </c>
      <c r="Y413" s="3">
        <f>0</f>
        <v>0</v>
      </c>
      <c r="Z413" s="3">
        <f t="shared" si="100"/>
        <v>0</v>
      </c>
      <c r="AA413">
        <f>ROUND(IF(FALSE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,0)</f>
        <v>0</v>
      </c>
    </row>
    <row r="414" spans="1:27">
      <c r="A414" s="30">
        <f>409</f>
        <v>409</v>
      </c>
      <c r="B414" s="31">
        <f>EDATE(入力!$B$6,A414-1)</f>
        <v>58654</v>
      </c>
      <c r="C414" s="32">
        <f t="shared" si="101"/>
        <v>0</v>
      </c>
      <c r="D414" s="32">
        <f t="shared" si="102"/>
        <v>0</v>
      </c>
      <c r="E414" s="33">
        <f>IF(AND(T413="",A414&lt;=S413),IF(A414&lt;入力!$B$11,入力!$B$10,入力!$B$12),0)</f>
        <v>0</v>
      </c>
      <c r="F414" s="32">
        <f t="shared" si="103"/>
        <v>0</v>
      </c>
      <c r="G414" s="32">
        <f>ROUND(IF(NOT(AND(T413="",A414&lt;=S413)),0,IF(FALSE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),0)</f>
        <v>0</v>
      </c>
      <c r="H414" s="32">
        <f t="shared" si="104"/>
        <v>0</v>
      </c>
      <c r="I414" s="32">
        <f t="shared" si="105"/>
        <v>0</v>
      </c>
      <c r="J414" s="32">
        <f t="shared" si="106"/>
        <v>0</v>
      </c>
      <c r="K414" s="32">
        <f t="shared" si="107"/>
        <v>0</v>
      </c>
      <c r="L414" s="32">
        <f t="shared" si="108"/>
        <v>0</v>
      </c>
      <c r="M414" s="32">
        <f>IF(AND(AND(T413="",A414&lt;=S413),A414=入力!$B$15),ROUND(MIN(入力!$B$16,MAX(0,C414-L414)),0),0)</f>
        <v>0</v>
      </c>
      <c r="N414" s="32">
        <f t="shared" si="109"/>
        <v>0</v>
      </c>
      <c r="O414" s="32">
        <f t="shared" si="110"/>
        <v>10725103</v>
      </c>
      <c r="P414" s="34" t="str">
        <f>IF(NOT(AND(T413="",A414&lt;=S413)),"",IF(FALSE,"繰上返済後再計算","")&amp;IF(AND(入力!$B$13="有効",A414&gt;1,MOD(A414-1,60)=0),IF(FALSE,"・","")&amp;"5年見直し","")&amp;IF(AND(A414=入力!$B$11,A414&gt;1),IF(OR(FALSE,AND(入力!$B$13="有効",A414&gt;1,MOD(A414-1,60)=0)),"・","")&amp;"金利変更","")&amp;IF(AND(OR(AND(入力!$B$13="有効",A414&gt;1,MOD(A414-1,60)=0),AND(A414=入力!$B$11,A414&gt;1)),入力!$B$14="有効",IF(E414=0,ROUND(C414/MAX(1,S413-A414+1),0),ROUND(-PMT(E414/12,MAX(1,S413-A414+1),C414),0))&gt;ROUND(G413*1.25,0),NOT(FALSE)),"・上限適用",""))</f>
        <v/>
      </c>
      <c r="Q414" s="35" t="str">
        <f>IF(AND(T413="",A414&lt;=S413),入力!$B$13,"")</f>
        <v/>
      </c>
      <c r="R414" s="32" t="str">
        <f>IF(AND(AND(T413="",A414&lt;=S413),OR(AND(入力!$B$13="有効",A414&gt;1,MOD(A414-1,60)=0),AND(A414=入力!$B$11,A414&gt;1)),入力!$B$14="有効"),ROUND(G413*1.25,0),"")</f>
        <v/>
      </c>
      <c r="S414" s="36">
        <f>IF(A414&lt;&gt;入力!$B$15,S413,IF(K414&lt;&gt;0,S413,IF(G414&lt;=F414,S413,IF(M414&lt;=0,S413,IF(AND(N414&gt;0,E414&gt;0,G414&lt;=N414*E414/12),S413,IF(A414+IF(N414=0,0,IF(E414=0,ROUNDUP(N414/G414,0),ROUNDUP(NPER(E414/12,-G414,N414),0)))&lt;S413,A414+IF(N414=0,0,IF(E414=0,ROUNDUP(N414/G414,0),ROUNDUP(NPER(E414/12,-G414,N414),0))),S413))))))</f>
        <v>359</v>
      </c>
      <c r="T414" s="35" t="str">
        <f t="shared" si="111"/>
        <v/>
      </c>
      <c r="U414" s="3">
        <f t="shared" si="96"/>
        <v>0</v>
      </c>
      <c r="V414" s="3">
        <f t="shared" si="97"/>
        <v>0</v>
      </c>
      <c r="W414" s="3">
        <f t="shared" si="98"/>
        <v>0</v>
      </c>
      <c r="X414" s="3">
        <f t="shared" si="99"/>
        <v>0</v>
      </c>
      <c r="Y414" s="3">
        <f>0</f>
        <v>0</v>
      </c>
      <c r="Z414" s="3">
        <f t="shared" si="100"/>
        <v>0</v>
      </c>
      <c r="AA414">
        <f>ROUND(IF(FALSE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,0)</f>
        <v>0</v>
      </c>
    </row>
    <row r="415" spans="1:27">
      <c r="A415" s="30">
        <f>410</f>
        <v>410</v>
      </c>
      <c r="B415" s="31">
        <f>EDATE(入力!$B$6,A415-1)</f>
        <v>58685</v>
      </c>
      <c r="C415" s="32">
        <f t="shared" si="101"/>
        <v>0</v>
      </c>
      <c r="D415" s="32">
        <f t="shared" si="102"/>
        <v>0</v>
      </c>
      <c r="E415" s="33">
        <f>IF(AND(T414="",A415&lt;=S414),IF(A415&lt;入力!$B$11,入力!$B$10,入力!$B$12),0)</f>
        <v>0</v>
      </c>
      <c r="F415" s="32">
        <f t="shared" si="103"/>
        <v>0</v>
      </c>
      <c r="G415" s="32">
        <f>ROUND(IF(NOT(AND(T414="",A415&lt;=S414)),0,IF(FALSE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),0)</f>
        <v>0</v>
      </c>
      <c r="H415" s="32">
        <f t="shared" si="104"/>
        <v>0</v>
      </c>
      <c r="I415" s="32">
        <f t="shared" si="105"/>
        <v>0</v>
      </c>
      <c r="J415" s="32">
        <f t="shared" si="106"/>
        <v>0</v>
      </c>
      <c r="K415" s="32">
        <f t="shared" si="107"/>
        <v>0</v>
      </c>
      <c r="L415" s="32">
        <f t="shared" si="108"/>
        <v>0</v>
      </c>
      <c r="M415" s="32">
        <f>IF(AND(AND(T414="",A415&lt;=S414),A415=入力!$B$15),ROUND(MIN(入力!$B$16,MAX(0,C415-L415)),0),0)</f>
        <v>0</v>
      </c>
      <c r="N415" s="32">
        <f t="shared" si="109"/>
        <v>0</v>
      </c>
      <c r="O415" s="32">
        <f t="shared" si="110"/>
        <v>10725103</v>
      </c>
      <c r="P415" s="34" t="str">
        <f>IF(NOT(AND(T414="",A415&lt;=S414)),"",IF(FALSE,"繰上返済後再計算","")&amp;IF(AND(入力!$B$13="有効",A415&gt;1,MOD(A415-1,60)=0),IF(FALSE,"・","")&amp;"5年見直し","")&amp;IF(AND(A415=入力!$B$11,A415&gt;1),IF(OR(FALSE,AND(入力!$B$13="有効",A415&gt;1,MOD(A415-1,60)=0)),"・","")&amp;"金利変更","")&amp;IF(AND(OR(AND(入力!$B$13="有効",A415&gt;1,MOD(A415-1,60)=0),AND(A415=入力!$B$11,A415&gt;1)),入力!$B$14="有効",IF(E415=0,ROUND(C415/MAX(1,S414-A415+1),0),ROUND(-PMT(E415/12,MAX(1,S414-A415+1),C415),0))&gt;ROUND(G414*1.25,0),NOT(FALSE)),"・上限適用",""))</f>
        <v/>
      </c>
      <c r="Q415" s="35" t="str">
        <f>IF(AND(T414="",A415&lt;=S414),入力!$B$13,"")</f>
        <v/>
      </c>
      <c r="R415" s="32" t="str">
        <f>IF(AND(AND(T414="",A415&lt;=S414),OR(AND(入力!$B$13="有効",A415&gt;1,MOD(A415-1,60)=0),AND(A415=入力!$B$11,A415&gt;1)),入力!$B$14="有効"),ROUND(G414*1.25,0),"")</f>
        <v/>
      </c>
      <c r="S415" s="36">
        <f>IF(A415&lt;&gt;入力!$B$15,S414,IF(K415&lt;&gt;0,S414,IF(G415&lt;=F415,S414,IF(M415&lt;=0,S414,IF(AND(N415&gt;0,E415&gt;0,G415&lt;=N415*E415/12),S414,IF(A415+IF(N415=0,0,IF(E415=0,ROUNDUP(N415/G415,0),ROUNDUP(NPER(E415/12,-G415,N415),0)))&lt;S414,A415+IF(N415=0,0,IF(E415=0,ROUNDUP(N415/G415,0),ROUNDUP(NPER(E415/12,-G415,N415),0))),S414))))))</f>
        <v>359</v>
      </c>
      <c r="T415" s="35" t="str">
        <f t="shared" si="111"/>
        <v/>
      </c>
      <c r="U415" s="3">
        <f t="shared" si="96"/>
        <v>0</v>
      </c>
      <c r="V415" s="3">
        <f t="shared" si="97"/>
        <v>0</v>
      </c>
      <c r="W415" s="3">
        <f t="shared" si="98"/>
        <v>0</v>
      </c>
      <c r="X415" s="3">
        <f t="shared" si="99"/>
        <v>0</v>
      </c>
      <c r="Y415" s="3">
        <f>0</f>
        <v>0</v>
      </c>
      <c r="Z415" s="3">
        <f t="shared" si="100"/>
        <v>0</v>
      </c>
      <c r="AA415">
        <f>ROUND(IF(FALSE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,0)</f>
        <v>0</v>
      </c>
    </row>
    <row r="416" spans="1:27">
      <c r="A416" s="30">
        <f>411</f>
        <v>411</v>
      </c>
      <c r="B416" s="31">
        <f>EDATE(入力!$B$6,A416-1)</f>
        <v>58715</v>
      </c>
      <c r="C416" s="32">
        <f t="shared" si="101"/>
        <v>0</v>
      </c>
      <c r="D416" s="32">
        <f t="shared" si="102"/>
        <v>0</v>
      </c>
      <c r="E416" s="33">
        <f>IF(AND(T415="",A416&lt;=S415),IF(A416&lt;入力!$B$11,入力!$B$10,入力!$B$12),0)</f>
        <v>0</v>
      </c>
      <c r="F416" s="32">
        <f t="shared" si="103"/>
        <v>0</v>
      </c>
      <c r="G416" s="32">
        <f>ROUND(IF(NOT(AND(T415="",A416&lt;=S415)),0,IF(FALSE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),0)</f>
        <v>0</v>
      </c>
      <c r="H416" s="32">
        <f t="shared" si="104"/>
        <v>0</v>
      </c>
      <c r="I416" s="32">
        <f t="shared" si="105"/>
        <v>0</v>
      </c>
      <c r="J416" s="32">
        <f t="shared" si="106"/>
        <v>0</v>
      </c>
      <c r="K416" s="32">
        <f t="shared" si="107"/>
        <v>0</v>
      </c>
      <c r="L416" s="32">
        <f t="shared" si="108"/>
        <v>0</v>
      </c>
      <c r="M416" s="32">
        <f>IF(AND(AND(T415="",A416&lt;=S415),A416=入力!$B$15),ROUND(MIN(入力!$B$16,MAX(0,C416-L416)),0),0)</f>
        <v>0</v>
      </c>
      <c r="N416" s="32">
        <f t="shared" si="109"/>
        <v>0</v>
      </c>
      <c r="O416" s="32">
        <f t="shared" si="110"/>
        <v>10725103</v>
      </c>
      <c r="P416" s="34" t="str">
        <f>IF(NOT(AND(T415="",A416&lt;=S415)),"",IF(FALSE,"繰上返済後再計算","")&amp;IF(AND(入力!$B$13="有効",A416&gt;1,MOD(A416-1,60)=0),IF(FALSE,"・","")&amp;"5年見直し","")&amp;IF(AND(A416=入力!$B$11,A416&gt;1),IF(OR(FALSE,AND(入力!$B$13="有効",A416&gt;1,MOD(A416-1,60)=0)),"・","")&amp;"金利変更","")&amp;IF(AND(OR(AND(入力!$B$13="有効",A416&gt;1,MOD(A416-1,60)=0),AND(A416=入力!$B$11,A416&gt;1)),入力!$B$14="有効",IF(E416=0,ROUND(C416/MAX(1,S415-A416+1),0),ROUND(-PMT(E416/12,MAX(1,S415-A416+1),C416),0))&gt;ROUND(G415*1.25,0),NOT(FALSE)),"・上限適用",""))</f>
        <v/>
      </c>
      <c r="Q416" s="35" t="str">
        <f>IF(AND(T415="",A416&lt;=S415),入力!$B$13,"")</f>
        <v/>
      </c>
      <c r="R416" s="32" t="str">
        <f>IF(AND(AND(T415="",A416&lt;=S415),OR(AND(入力!$B$13="有効",A416&gt;1,MOD(A416-1,60)=0),AND(A416=入力!$B$11,A416&gt;1)),入力!$B$14="有効"),ROUND(G415*1.25,0),"")</f>
        <v/>
      </c>
      <c r="S416" s="36">
        <f>IF(A416&lt;&gt;入力!$B$15,S415,IF(K416&lt;&gt;0,S415,IF(G416&lt;=F416,S415,IF(M416&lt;=0,S415,IF(AND(N416&gt;0,E416&gt;0,G416&lt;=N416*E416/12),S415,IF(A416+IF(N416=0,0,IF(E416=0,ROUNDUP(N416/G416,0),ROUNDUP(NPER(E416/12,-G416,N416),0)))&lt;S415,A416+IF(N416=0,0,IF(E416=0,ROUNDUP(N416/G416,0),ROUNDUP(NPER(E416/12,-G416,N416),0))),S415))))))</f>
        <v>359</v>
      </c>
      <c r="T416" s="35" t="str">
        <f t="shared" si="111"/>
        <v/>
      </c>
      <c r="U416" s="3">
        <f t="shared" si="96"/>
        <v>0</v>
      </c>
      <c r="V416" s="3">
        <f t="shared" si="97"/>
        <v>0</v>
      </c>
      <c r="W416" s="3">
        <f t="shared" si="98"/>
        <v>0</v>
      </c>
      <c r="X416" s="3">
        <f t="shared" si="99"/>
        <v>0</v>
      </c>
      <c r="Y416" s="3">
        <f>0</f>
        <v>0</v>
      </c>
      <c r="Z416" s="3">
        <f t="shared" si="100"/>
        <v>0</v>
      </c>
      <c r="AA416">
        <f>ROUND(IF(FALSE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,0)</f>
        <v>0</v>
      </c>
    </row>
    <row r="417" spans="1:27">
      <c r="A417" s="30">
        <f>412</f>
        <v>412</v>
      </c>
      <c r="B417" s="31">
        <f>EDATE(入力!$B$6,A417-1)</f>
        <v>58746</v>
      </c>
      <c r="C417" s="32">
        <f t="shared" si="101"/>
        <v>0</v>
      </c>
      <c r="D417" s="32">
        <f t="shared" si="102"/>
        <v>0</v>
      </c>
      <c r="E417" s="33">
        <f>IF(AND(T416="",A417&lt;=S416),IF(A417&lt;入力!$B$11,入力!$B$10,入力!$B$12),0)</f>
        <v>0</v>
      </c>
      <c r="F417" s="32">
        <f t="shared" si="103"/>
        <v>0</v>
      </c>
      <c r="G417" s="32">
        <f>ROUND(IF(NOT(AND(T416="",A417&lt;=S416)),0,IF(FALSE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),0)</f>
        <v>0</v>
      </c>
      <c r="H417" s="32">
        <f t="shared" si="104"/>
        <v>0</v>
      </c>
      <c r="I417" s="32">
        <f t="shared" si="105"/>
        <v>0</v>
      </c>
      <c r="J417" s="32">
        <f t="shared" si="106"/>
        <v>0</v>
      </c>
      <c r="K417" s="32">
        <f t="shared" si="107"/>
        <v>0</v>
      </c>
      <c r="L417" s="32">
        <f t="shared" si="108"/>
        <v>0</v>
      </c>
      <c r="M417" s="32">
        <f>IF(AND(AND(T416="",A417&lt;=S416),A417=入力!$B$15),ROUND(MIN(入力!$B$16,MAX(0,C417-L417)),0),0)</f>
        <v>0</v>
      </c>
      <c r="N417" s="32">
        <f t="shared" si="109"/>
        <v>0</v>
      </c>
      <c r="O417" s="32">
        <f t="shared" si="110"/>
        <v>10725103</v>
      </c>
      <c r="P417" s="34" t="str">
        <f>IF(NOT(AND(T416="",A417&lt;=S416)),"",IF(FALSE,"繰上返済後再計算","")&amp;IF(AND(入力!$B$13="有効",A417&gt;1,MOD(A417-1,60)=0),IF(FALSE,"・","")&amp;"5年見直し","")&amp;IF(AND(A417=入力!$B$11,A417&gt;1),IF(OR(FALSE,AND(入力!$B$13="有効",A417&gt;1,MOD(A417-1,60)=0)),"・","")&amp;"金利変更","")&amp;IF(AND(OR(AND(入力!$B$13="有効",A417&gt;1,MOD(A417-1,60)=0),AND(A417=入力!$B$11,A417&gt;1)),入力!$B$14="有効",IF(E417=0,ROUND(C417/MAX(1,S416-A417+1),0),ROUND(-PMT(E417/12,MAX(1,S416-A417+1),C417),0))&gt;ROUND(G416*1.25,0),NOT(FALSE)),"・上限適用",""))</f>
        <v/>
      </c>
      <c r="Q417" s="35" t="str">
        <f>IF(AND(T416="",A417&lt;=S416),入力!$B$13,"")</f>
        <v/>
      </c>
      <c r="R417" s="32" t="str">
        <f>IF(AND(AND(T416="",A417&lt;=S416),OR(AND(入力!$B$13="有効",A417&gt;1,MOD(A417-1,60)=0),AND(A417=入力!$B$11,A417&gt;1)),入力!$B$14="有効"),ROUND(G416*1.25,0),"")</f>
        <v/>
      </c>
      <c r="S417" s="36">
        <f>IF(A417&lt;&gt;入力!$B$15,S416,IF(K417&lt;&gt;0,S416,IF(G417&lt;=F417,S416,IF(M417&lt;=0,S416,IF(AND(N417&gt;0,E417&gt;0,G417&lt;=N417*E417/12),S416,IF(A417+IF(N417=0,0,IF(E417=0,ROUNDUP(N417/G417,0),ROUNDUP(NPER(E417/12,-G417,N417),0)))&lt;S416,A417+IF(N417=0,0,IF(E417=0,ROUNDUP(N417/G417,0),ROUNDUP(NPER(E417/12,-G417,N417),0))),S416))))))</f>
        <v>359</v>
      </c>
      <c r="T417" s="35" t="str">
        <f t="shared" si="111"/>
        <v/>
      </c>
      <c r="U417" s="3">
        <f t="shared" si="96"/>
        <v>0</v>
      </c>
      <c r="V417" s="3">
        <f t="shared" si="97"/>
        <v>0</v>
      </c>
      <c r="W417" s="3">
        <f t="shared" si="98"/>
        <v>0</v>
      </c>
      <c r="X417" s="3">
        <f t="shared" si="99"/>
        <v>0</v>
      </c>
      <c r="Y417" s="3">
        <f>0</f>
        <v>0</v>
      </c>
      <c r="Z417" s="3">
        <f t="shared" si="100"/>
        <v>0</v>
      </c>
      <c r="AA417">
        <f>ROUND(IF(FALSE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,0)</f>
        <v>0</v>
      </c>
    </row>
    <row r="418" spans="1:27">
      <c r="A418" s="30">
        <f>413</f>
        <v>413</v>
      </c>
      <c r="B418" s="31">
        <f>EDATE(入力!$B$6,A418-1)</f>
        <v>58776</v>
      </c>
      <c r="C418" s="32">
        <f t="shared" si="101"/>
        <v>0</v>
      </c>
      <c r="D418" s="32">
        <f t="shared" si="102"/>
        <v>0</v>
      </c>
      <c r="E418" s="33">
        <f>IF(AND(T417="",A418&lt;=S417),IF(A418&lt;入力!$B$11,入力!$B$10,入力!$B$12),0)</f>
        <v>0</v>
      </c>
      <c r="F418" s="32">
        <f t="shared" si="103"/>
        <v>0</v>
      </c>
      <c r="G418" s="32">
        <f>ROUND(IF(NOT(AND(T417="",A418&lt;=S417)),0,IF(FALSE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),0)</f>
        <v>0</v>
      </c>
      <c r="H418" s="32">
        <f t="shared" si="104"/>
        <v>0</v>
      </c>
      <c r="I418" s="32">
        <f t="shared" si="105"/>
        <v>0</v>
      </c>
      <c r="J418" s="32">
        <f t="shared" si="106"/>
        <v>0</v>
      </c>
      <c r="K418" s="32">
        <f t="shared" si="107"/>
        <v>0</v>
      </c>
      <c r="L418" s="32">
        <f t="shared" si="108"/>
        <v>0</v>
      </c>
      <c r="M418" s="32">
        <f>IF(AND(AND(T417="",A418&lt;=S417),A418=入力!$B$15),ROUND(MIN(入力!$B$16,MAX(0,C418-L418)),0),0)</f>
        <v>0</v>
      </c>
      <c r="N418" s="32">
        <f t="shared" si="109"/>
        <v>0</v>
      </c>
      <c r="O418" s="32">
        <f t="shared" si="110"/>
        <v>10725103</v>
      </c>
      <c r="P418" s="34" t="str">
        <f>IF(NOT(AND(T417="",A418&lt;=S417)),"",IF(FALSE,"繰上返済後再計算","")&amp;IF(AND(入力!$B$13="有効",A418&gt;1,MOD(A418-1,60)=0),IF(FALSE,"・","")&amp;"5年見直し","")&amp;IF(AND(A418=入力!$B$11,A418&gt;1),IF(OR(FALSE,AND(入力!$B$13="有効",A418&gt;1,MOD(A418-1,60)=0)),"・","")&amp;"金利変更","")&amp;IF(AND(OR(AND(入力!$B$13="有効",A418&gt;1,MOD(A418-1,60)=0),AND(A418=入力!$B$11,A418&gt;1)),入力!$B$14="有効",IF(E418=0,ROUND(C418/MAX(1,S417-A418+1),0),ROUND(-PMT(E418/12,MAX(1,S417-A418+1),C418),0))&gt;ROUND(G417*1.25,0),NOT(FALSE)),"・上限適用",""))</f>
        <v/>
      </c>
      <c r="Q418" s="35" t="str">
        <f>IF(AND(T417="",A418&lt;=S417),入力!$B$13,"")</f>
        <v/>
      </c>
      <c r="R418" s="32" t="str">
        <f>IF(AND(AND(T417="",A418&lt;=S417),OR(AND(入力!$B$13="有効",A418&gt;1,MOD(A418-1,60)=0),AND(A418=入力!$B$11,A418&gt;1)),入力!$B$14="有効"),ROUND(G417*1.25,0),"")</f>
        <v/>
      </c>
      <c r="S418" s="36">
        <f>IF(A418&lt;&gt;入力!$B$15,S417,IF(K418&lt;&gt;0,S417,IF(G418&lt;=F418,S417,IF(M418&lt;=0,S417,IF(AND(N418&gt;0,E418&gt;0,G418&lt;=N418*E418/12),S417,IF(A418+IF(N418=0,0,IF(E418=0,ROUNDUP(N418/G418,0),ROUNDUP(NPER(E418/12,-G418,N418),0)))&lt;S417,A418+IF(N418=0,0,IF(E418=0,ROUNDUP(N418/G418,0),ROUNDUP(NPER(E418/12,-G418,N418),0))),S417))))))</f>
        <v>359</v>
      </c>
      <c r="T418" s="35" t="str">
        <f t="shared" si="111"/>
        <v/>
      </c>
      <c r="U418" s="3">
        <f t="shared" si="96"/>
        <v>0</v>
      </c>
      <c r="V418" s="3">
        <f t="shared" si="97"/>
        <v>0</v>
      </c>
      <c r="W418" s="3">
        <f t="shared" si="98"/>
        <v>0</v>
      </c>
      <c r="X418" s="3">
        <f t="shared" si="99"/>
        <v>0</v>
      </c>
      <c r="Y418" s="3">
        <f>0</f>
        <v>0</v>
      </c>
      <c r="Z418" s="3">
        <f t="shared" si="100"/>
        <v>0</v>
      </c>
      <c r="AA418">
        <f>ROUND(IF(FALSE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,0)</f>
        <v>0</v>
      </c>
    </row>
    <row r="419" spans="1:27">
      <c r="A419" s="30">
        <f>414</f>
        <v>414</v>
      </c>
      <c r="B419" s="31">
        <f>EDATE(入力!$B$6,A419-1)</f>
        <v>58807</v>
      </c>
      <c r="C419" s="32">
        <f t="shared" si="101"/>
        <v>0</v>
      </c>
      <c r="D419" s="32">
        <f t="shared" si="102"/>
        <v>0</v>
      </c>
      <c r="E419" s="33">
        <f>IF(AND(T418="",A419&lt;=S418),IF(A419&lt;入力!$B$11,入力!$B$10,入力!$B$12),0)</f>
        <v>0</v>
      </c>
      <c r="F419" s="32">
        <f t="shared" si="103"/>
        <v>0</v>
      </c>
      <c r="G419" s="32">
        <f>ROUND(IF(NOT(AND(T418="",A419&lt;=S418)),0,IF(FALSE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),0)</f>
        <v>0</v>
      </c>
      <c r="H419" s="32">
        <f t="shared" si="104"/>
        <v>0</v>
      </c>
      <c r="I419" s="32">
        <f t="shared" si="105"/>
        <v>0</v>
      </c>
      <c r="J419" s="32">
        <f t="shared" si="106"/>
        <v>0</v>
      </c>
      <c r="K419" s="32">
        <f t="shared" si="107"/>
        <v>0</v>
      </c>
      <c r="L419" s="32">
        <f t="shared" si="108"/>
        <v>0</v>
      </c>
      <c r="M419" s="32">
        <f>IF(AND(AND(T418="",A419&lt;=S418),A419=入力!$B$15),ROUND(MIN(入力!$B$16,MAX(0,C419-L419)),0),0)</f>
        <v>0</v>
      </c>
      <c r="N419" s="32">
        <f t="shared" si="109"/>
        <v>0</v>
      </c>
      <c r="O419" s="32">
        <f t="shared" si="110"/>
        <v>10725103</v>
      </c>
      <c r="P419" s="34" t="str">
        <f>IF(NOT(AND(T418="",A419&lt;=S418)),"",IF(FALSE,"繰上返済後再計算","")&amp;IF(AND(入力!$B$13="有効",A419&gt;1,MOD(A419-1,60)=0),IF(FALSE,"・","")&amp;"5年見直し","")&amp;IF(AND(A419=入力!$B$11,A419&gt;1),IF(OR(FALSE,AND(入力!$B$13="有効",A419&gt;1,MOD(A419-1,60)=0)),"・","")&amp;"金利変更","")&amp;IF(AND(OR(AND(入力!$B$13="有効",A419&gt;1,MOD(A419-1,60)=0),AND(A419=入力!$B$11,A419&gt;1)),入力!$B$14="有効",IF(E419=0,ROUND(C419/MAX(1,S418-A419+1),0),ROUND(-PMT(E419/12,MAX(1,S418-A419+1),C419),0))&gt;ROUND(G418*1.25,0),NOT(FALSE)),"・上限適用",""))</f>
        <v/>
      </c>
      <c r="Q419" s="35" t="str">
        <f>IF(AND(T418="",A419&lt;=S418),入力!$B$13,"")</f>
        <v/>
      </c>
      <c r="R419" s="32" t="str">
        <f>IF(AND(AND(T418="",A419&lt;=S418),OR(AND(入力!$B$13="有効",A419&gt;1,MOD(A419-1,60)=0),AND(A419=入力!$B$11,A419&gt;1)),入力!$B$14="有効"),ROUND(G418*1.25,0),"")</f>
        <v/>
      </c>
      <c r="S419" s="36">
        <f>IF(A419&lt;&gt;入力!$B$15,S418,IF(K419&lt;&gt;0,S418,IF(G419&lt;=F419,S418,IF(M419&lt;=0,S418,IF(AND(N419&gt;0,E419&gt;0,G419&lt;=N419*E419/12),S418,IF(A419+IF(N419=0,0,IF(E419=0,ROUNDUP(N419/G419,0),ROUNDUP(NPER(E419/12,-G419,N419),0)))&lt;S418,A419+IF(N419=0,0,IF(E419=0,ROUNDUP(N419/G419,0),ROUNDUP(NPER(E419/12,-G419,N419),0))),S418))))))</f>
        <v>359</v>
      </c>
      <c r="T419" s="35" t="str">
        <f t="shared" si="111"/>
        <v/>
      </c>
      <c r="U419" s="3">
        <f t="shared" si="96"/>
        <v>0</v>
      </c>
      <c r="V419" s="3">
        <f t="shared" si="97"/>
        <v>0</v>
      </c>
      <c r="W419" s="3">
        <f t="shared" si="98"/>
        <v>0</v>
      </c>
      <c r="X419" s="3">
        <f t="shared" si="99"/>
        <v>0</v>
      </c>
      <c r="Y419" s="3">
        <f>0</f>
        <v>0</v>
      </c>
      <c r="Z419" s="3">
        <f t="shared" si="100"/>
        <v>0</v>
      </c>
      <c r="AA419">
        <f>ROUND(IF(FALSE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,0)</f>
        <v>0</v>
      </c>
    </row>
    <row r="420" spans="1:27">
      <c r="A420" s="30">
        <f>415</f>
        <v>415</v>
      </c>
      <c r="B420" s="31">
        <f>EDATE(入力!$B$6,A420-1)</f>
        <v>58838</v>
      </c>
      <c r="C420" s="32">
        <f t="shared" si="101"/>
        <v>0</v>
      </c>
      <c r="D420" s="32">
        <f t="shared" si="102"/>
        <v>0</v>
      </c>
      <c r="E420" s="33">
        <f>IF(AND(T419="",A420&lt;=S419),IF(A420&lt;入力!$B$11,入力!$B$10,入力!$B$12),0)</f>
        <v>0</v>
      </c>
      <c r="F420" s="32">
        <f t="shared" si="103"/>
        <v>0</v>
      </c>
      <c r="G420" s="32">
        <f>ROUND(IF(NOT(AND(T419="",A420&lt;=S419)),0,IF(FALSE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),0)</f>
        <v>0</v>
      </c>
      <c r="H420" s="32">
        <f t="shared" si="104"/>
        <v>0</v>
      </c>
      <c r="I420" s="32">
        <f t="shared" si="105"/>
        <v>0</v>
      </c>
      <c r="J420" s="32">
        <f t="shared" si="106"/>
        <v>0</v>
      </c>
      <c r="K420" s="32">
        <f t="shared" si="107"/>
        <v>0</v>
      </c>
      <c r="L420" s="32">
        <f t="shared" si="108"/>
        <v>0</v>
      </c>
      <c r="M420" s="32">
        <f>IF(AND(AND(T419="",A420&lt;=S419),A420=入力!$B$15),ROUND(MIN(入力!$B$16,MAX(0,C420-L420)),0),0)</f>
        <v>0</v>
      </c>
      <c r="N420" s="32">
        <f t="shared" si="109"/>
        <v>0</v>
      </c>
      <c r="O420" s="32">
        <f t="shared" si="110"/>
        <v>10725103</v>
      </c>
      <c r="P420" s="34" t="str">
        <f>IF(NOT(AND(T419="",A420&lt;=S419)),"",IF(FALSE,"繰上返済後再計算","")&amp;IF(AND(入力!$B$13="有効",A420&gt;1,MOD(A420-1,60)=0),IF(FALSE,"・","")&amp;"5年見直し","")&amp;IF(AND(A420=入力!$B$11,A420&gt;1),IF(OR(FALSE,AND(入力!$B$13="有効",A420&gt;1,MOD(A420-1,60)=0)),"・","")&amp;"金利変更","")&amp;IF(AND(OR(AND(入力!$B$13="有効",A420&gt;1,MOD(A420-1,60)=0),AND(A420=入力!$B$11,A420&gt;1)),入力!$B$14="有効",IF(E420=0,ROUND(C420/MAX(1,S419-A420+1),0),ROUND(-PMT(E420/12,MAX(1,S419-A420+1),C420),0))&gt;ROUND(G419*1.25,0),NOT(FALSE)),"・上限適用",""))</f>
        <v/>
      </c>
      <c r="Q420" s="35" t="str">
        <f>IF(AND(T419="",A420&lt;=S419),入力!$B$13,"")</f>
        <v/>
      </c>
      <c r="R420" s="32" t="str">
        <f>IF(AND(AND(T419="",A420&lt;=S419),OR(AND(入力!$B$13="有効",A420&gt;1,MOD(A420-1,60)=0),AND(A420=入力!$B$11,A420&gt;1)),入力!$B$14="有効"),ROUND(G419*1.25,0),"")</f>
        <v/>
      </c>
      <c r="S420" s="36">
        <f>IF(A420&lt;&gt;入力!$B$15,S419,IF(K420&lt;&gt;0,S419,IF(G420&lt;=F420,S419,IF(M420&lt;=0,S419,IF(AND(N420&gt;0,E420&gt;0,G420&lt;=N420*E420/12),S419,IF(A420+IF(N420=0,0,IF(E420=0,ROUNDUP(N420/G420,0),ROUNDUP(NPER(E420/12,-G420,N420),0)))&lt;S419,A420+IF(N420=0,0,IF(E420=0,ROUNDUP(N420/G420,0),ROUNDUP(NPER(E420/12,-G420,N420),0))),S419))))))</f>
        <v>359</v>
      </c>
      <c r="T420" s="35" t="str">
        <f t="shared" si="111"/>
        <v/>
      </c>
      <c r="U420" s="3">
        <f t="shared" si="96"/>
        <v>0</v>
      </c>
      <c r="V420" s="3">
        <f t="shared" si="97"/>
        <v>0</v>
      </c>
      <c r="W420" s="3">
        <f t="shared" si="98"/>
        <v>0</v>
      </c>
      <c r="X420" s="3">
        <f t="shared" si="99"/>
        <v>0</v>
      </c>
      <c r="Y420" s="3">
        <f>0</f>
        <v>0</v>
      </c>
      <c r="Z420" s="3">
        <f t="shared" si="100"/>
        <v>0</v>
      </c>
      <c r="AA420">
        <f>ROUND(IF(FALSE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,0)</f>
        <v>0</v>
      </c>
    </row>
    <row r="421" spans="1:27">
      <c r="A421" s="30">
        <f>416</f>
        <v>416</v>
      </c>
      <c r="B421" s="31">
        <f>EDATE(入力!$B$6,A421-1)</f>
        <v>58866</v>
      </c>
      <c r="C421" s="32">
        <f t="shared" si="101"/>
        <v>0</v>
      </c>
      <c r="D421" s="32">
        <f t="shared" si="102"/>
        <v>0</v>
      </c>
      <c r="E421" s="33">
        <f>IF(AND(T420="",A421&lt;=S420),IF(A421&lt;入力!$B$11,入力!$B$10,入力!$B$12),0)</f>
        <v>0</v>
      </c>
      <c r="F421" s="32">
        <f t="shared" si="103"/>
        <v>0</v>
      </c>
      <c r="G421" s="32">
        <f>ROUND(IF(NOT(AND(T420="",A421&lt;=S420)),0,IF(FALSE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),0)</f>
        <v>0</v>
      </c>
      <c r="H421" s="32">
        <f t="shared" si="104"/>
        <v>0</v>
      </c>
      <c r="I421" s="32">
        <f t="shared" si="105"/>
        <v>0</v>
      </c>
      <c r="J421" s="32">
        <f t="shared" si="106"/>
        <v>0</v>
      </c>
      <c r="K421" s="32">
        <f t="shared" si="107"/>
        <v>0</v>
      </c>
      <c r="L421" s="32">
        <f t="shared" si="108"/>
        <v>0</v>
      </c>
      <c r="M421" s="32">
        <f>IF(AND(AND(T420="",A421&lt;=S420),A421=入力!$B$15),ROUND(MIN(入力!$B$16,MAX(0,C421-L421)),0),0)</f>
        <v>0</v>
      </c>
      <c r="N421" s="32">
        <f t="shared" si="109"/>
        <v>0</v>
      </c>
      <c r="O421" s="32">
        <f t="shared" si="110"/>
        <v>10725103</v>
      </c>
      <c r="P421" s="34" t="str">
        <f>IF(NOT(AND(T420="",A421&lt;=S420)),"",IF(FALSE,"繰上返済後再計算","")&amp;IF(AND(入力!$B$13="有効",A421&gt;1,MOD(A421-1,60)=0),IF(FALSE,"・","")&amp;"5年見直し","")&amp;IF(AND(A421=入力!$B$11,A421&gt;1),IF(OR(FALSE,AND(入力!$B$13="有効",A421&gt;1,MOD(A421-1,60)=0)),"・","")&amp;"金利変更","")&amp;IF(AND(OR(AND(入力!$B$13="有効",A421&gt;1,MOD(A421-1,60)=0),AND(A421=入力!$B$11,A421&gt;1)),入力!$B$14="有効",IF(E421=0,ROUND(C421/MAX(1,S420-A421+1),0),ROUND(-PMT(E421/12,MAX(1,S420-A421+1),C421),0))&gt;ROUND(G420*1.25,0),NOT(FALSE)),"・上限適用",""))</f>
        <v/>
      </c>
      <c r="Q421" s="35" t="str">
        <f>IF(AND(T420="",A421&lt;=S420),入力!$B$13,"")</f>
        <v/>
      </c>
      <c r="R421" s="32" t="str">
        <f>IF(AND(AND(T420="",A421&lt;=S420),OR(AND(入力!$B$13="有効",A421&gt;1,MOD(A421-1,60)=0),AND(A421=入力!$B$11,A421&gt;1)),入力!$B$14="有効"),ROUND(G420*1.25,0),"")</f>
        <v/>
      </c>
      <c r="S421" s="36">
        <f>IF(A421&lt;&gt;入力!$B$15,S420,IF(K421&lt;&gt;0,S420,IF(G421&lt;=F421,S420,IF(M421&lt;=0,S420,IF(AND(N421&gt;0,E421&gt;0,G421&lt;=N421*E421/12),S420,IF(A421+IF(N421=0,0,IF(E421=0,ROUNDUP(N421/G421,0),ROUNDUP(NPER(E421/12,-G421,N421),0)))&lt;S420,A421+IF(N421=0,0,IF(E421=0,ROUNDUP(N421/G421,0),ROUNDUP(NPER(E421/12,-G421,N421),0))),S420))))))</f>
        <v>359</v>
      </c>
      <c r="T421" s="35" t="str">
        <f t="shared" si="111"/>
        <v/>
      </c>
      <c r="U421" s="3">
        <f t="shared" si="96"/>
        <v>0</v>
      </c>
      <c r="V421" s="3">
        <f t="shared" si="97"/>
        <v>0</v>
      </c>
      <c r="W421" s="3">
        <f t="shared" si="98"/>
        <v>0</v>
      </c>
      <c r="X421" s="3">
        <f t="shared" si="99"/>
        <v>0</v>
      </c>
      <c r="Y421" s="3">
        <f>0</f>
        <v>0</v>
      </c>
      <c r="Z421" s="3">
        <f t="shared" si="100"/>
        <v>0</v>
      </c>
      <c r="AA421">
        <f>ROUND(IF(FALSE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,0)</f>
        <v>0</v>
      </c>
    </row>
    <row r="422" spans="1:27">
      <c r="A422" s="30">
        <f>417</f>
        <v>417</v>
      </c>
      <c r="B422" s="31">
        <f>EDATE(入力!$B$6,A422-1)</f>
        <v>58897</v>
      </c>
      <c r="C422" s="32">
        <f t="shared" si="101"/>
        <v>0</v>
      </c>
      <c r="D422" s="32">
        <f t="shared" si="102"/>
        <v>0</v>
      </c>
      <c r="E422" s="33">
        <f>IF(AND(T421="",A422&lt;=S421),IF(A422&lt;入力!$B$11,入力!$B$10,入力!$B$12),0)</f>
        <v>0</v>
      </c>
      <c r="F422" s="32">
        <f t="shared" si="103"/>
        <v>0</v>
      </c>
      <c r="G422" s="32">
        <f>ROUND(IF(NOT(AND(T421="",A422&lt;=S421)),0,IF(FALSE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),0)</f>
        <v>0</v>
      </c>
      <c r="H422" s="32">
        <f t="shared" si="104"/>
        <v>0</v>
      </c>
      <c r="I422" s="32">
        <f t="shared" si="105"/>
        <v>0</v>
      </c>
      <c r="J422" s="32">
        <f t="shared" si="106"/>
        <v>0</v>
      </c>
      <c r="K422" s="32">
        <f t="shared" si="107"/>
        <v>0</v>
      </c>
      <c r="L422" s="32">
        <f t="shared" si="108"/>
        <v>0</v>
      </c>
      <c r="M422" s="32">
        <f>IF(AND(AND(T421="",A422&lt;=S421),A422=入力!$B$15),ROUND(MIN(入力!$B$16,MAX(0,C422-L422)),0),0)</f>
        <v>0</v>
      </c>
      <c r="N422" s="32">
        <f t="shared" si="109"/>
        <v>0</v>
      </c>
      <c r="O422" s="32">
        <f t="shared" si="110"/>
        <v>10725103</v>
      </c>
      <c r="P422" s="34" t="str">
        <f>IF(NOT(AND(T421="",A422&lt;=S421)),"",IF(FALSE,"繰上返済後再計算","")&amp;IF(AND(入力!$B$13="有効",A422&gt;1,MOD(A422-1,60)=0),IF(FALSE,"・","")&amp;"5年見直し","")&amp;IF(AND(A422=入力!$B$11,A422&gt;1),IF(OR(FALSE,AND(入力!$B$13="有効",A422&gt;1,MOD(A422-1,60)=0)),"・","")&amp;"金利変更","")&amp;IF(AND(OR(AND(入力!$B$13="有効",A422&gt;1,MOD(A422-1,60)=0),AND(A422=入力!$B$11,A422&gt;1)),入力!$B$14="有効",IF(E422=0,ROUND(C422/MAX(1,S421-A422+1),0),ROUND(-PMT(E422/12,MAX(1,S421-A422+1),C422),0))&gt;ROUND(G421*1.25,0),NOT(FALSE)),"・上限適用",""))</f>
        <v/>
      </c>
      <c r="Q422" s="35" t="str">
        <f>IF(AND(T421="",A422&lt;=S421),入力!$B$13,"")</f>
        <v/>
      </c>
      <c r="R422" s="32" t="str">
        <f>IF(AND(AND(T421="",A422&lt;=S421),OR(AND(入力!$B$13="有効",A422&gt;1,MOD(A422-1,60)=0),AND(A422=入力!$B$11,A422&gt;1)),入力!$B$14="有効"),ROUND(G421*1.25,0),"")</f>
        <v/>
      </c>
      <c r="S422" s="36">
        <f>IF(A422&lt;&gt;入力!$B$15,S421,IF(K422&lt;&gt;0,S421,IF(G422&lt;=F422,S421,IF(M422&lt;=0,S421,IF(AND(N422&gt;0,E422&gt;0,G422&lt;=N422*E422/12),S421,IF(A422+IF(N422=0,0,IF(E422=0,ROUNDUP(N422/G422,0),ROUNDUP(NPER(E422/12,-G422,N422),0)))&lt;S421,A422+IF(N422=0,0,IF(E422=0,ROUNDUP(N422/G422,0),ROUNDUP(NPER(E422/12,-G422,N422),0))),S421))))))</f>
        <v>359</v>
      </c>
      <c r="T422" s="35" t="str">
        <f t="shared" si="111"/>
        <v/>
      </c>
      <c r="U422" s="3">
        <f t="shared" si="96"/>
        <v>0</v>
      </c>
      <c r="V422" s="3">
        <f t="shared" si="97"/>
        <v>0</v>
      </c>
      <c r="W422" s="3">
        <f t="shared" si="98"/>
        <v>0</v>
      </c>
      <c r="X422" s="3">
        <f t="shared" si="99"/>
        <v>0</v>
      </c>
      <c r="Y422" s="3">
        <f>0</f>
        <v>0</v>
      </c>
      <c r="Z422" s="3">
        <f t="shared" si="100"/>
        <v>0</v>
      </c>
      <c r="AA422">
        <f>ROUND(IF(FALSE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,0)</f>
        <v>0</v>
      </c>
    </row>
    <row r="423" spans="1:27">
      <c r="A423" s="30">
        <f>418</f>
        <v>418</v>
      </c>
      <c r="B423" s="31">
        <f>EDATE(入力!$B$6,A423-1)</f>
        <v>58927</v>
      </c>
      <c r="C423" s="32">
        <f t="shared" si="101"/>
        <v>0</v>
      </c>
      <c r="D423" s="32">
        <f t="shared" si="102"/>
        <v>0</v>
      </c>
      <c r="E423" s="33">
        <f>IF(AND(T422="",A423&lt;=S422),IF(A423&lt;入力!$B$11,入力!$B$10,入力!$B$12),0)</f>
        <v>0</v>
      </c>
      <c r="F423" s="32">
        <f t="shared" si="103"/>
        <v>0</v>
      </c>
      <c r="G423" s="32">
        <f>ROUND(IF(NOT(AND(T422="",A423&lt;=S422)),0,IF(FALSE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),0)</f>
        <v>0</v>
      </c>
      <c r="H423" s="32">
        <f t="shared" si="104"/>
        <v>0</v>
      </c>
      <c r="I423" s="32">
        <f t="shared" si="105"/>
        <v>0</v>
      </c>
      <c r="J423" s="32">
        <f t="shared" si="106"/>
        <v>0</v>
      </c>
      <c r="K423" s="32">
        <f t="shared" si="107"/>
        <v>0</v>
      </c>
      <c r="L423" s="32">
        <f t="shared" si="108"/>
        <v>0</v>
      </c>
      <c r="M423" s="32">
        <f>IF(AND(AND(T422="",A423&lt;=S422),A423=入力!$B$15),ROUND(MIN(入力!$B$16,MAX(0,C423-L423)),0),0)</f>
        <v>0</v>
      </c>
      <c r="N423" s="32">
        <f t="shared" si="109"/>
        <v>0</v>
      </c>
      <c r="O423" s="32">
        <f t="shared" si="110"/>
        <v>10725103</v>
      </c>
      <c r="P423" s="34" t="str">
        <f>IF(NOT(AND(T422="",A423&lt;=S422)),"",IF(FALSE,"繰上返済後再計算","")&amp;IF(AND(入力!$B$13="有効",A423&gt;1,MOD(A423-1,60)=0),IF(FALSE,"・","")&amp;"5年見直し","")&amp;IF(AND(A423=入力!$B$11,A423&gt;1),IF(OR(FALSE,AND(入力!$B$13="有効",A423&gt;1,MOD(A423-1,60)=0)),"・","")&amp;"金利変更","")&amp;IF(AND(OR(AND(入力!$B$13="有効",A423&gt;1,MOD(A423-1,60)=0),AND(A423=入力!$B$11,A423&gt;1)),入力!$B$14="有効",IF(E423=0,ROUND(C423/MAX(1,S422-A423+1),0),ROUND(-PMT(E423/12,MAX(1,S422-A423+1),C423),0))&gt;ROUND(G422*1.25,0),NOT(FALSE)),"・上限適用",""))</f>
        <v/>
      </c>
      <c r="Q423" s="35" t="str">
        <f>IF(AND(T422="",A423&lt;=S422),入力!$B$13,"")</f>
        <v/>
      </c>
      <c r="R423" s="32" t="str">
        <f>IF(AND(AND(T422="",A423&lt;=S422),OR(AND(入力!$B$13="有効",A423&gt;1,MOD(A423-1,60)=0),AND(A423=入力!$B$11,A423&gt;1)),入力!$B$14="有効"),ROUND(G422*1.25,0),"")</f>
        <v/>
      </c>
      <c r="S423" s="36">
        <f>IF(A423&lt;&gt;入力!$B$15,S422,IF(K423&lt;&gt;0,S422,IF(G423&lt;=F423,S422,IF(M423&lt;=0,S422,IF(AND(N423&gt;0,E423&gt;0,G423&lt;=N423*E423/12),S422,IF(A423+IF(N423=0,0,IF(E423=0,ROUNDUP(N423/G423,0),ROUNDUP(NPER(E423/12,-G423,N423),0)))&lt;S422,A423+IF(N423=0,0,IF(E423=0,ROUNDUP(N423/G423,0),ROUNDUP(NPER(E423/12,-G423,N423),0))),S422))))))</f>
        <v>359</v>
      </c>
      <c r="T423" s="35" t="str">
        <f t="shared" si="111"/>
        <v/>
      </c>
      <c r="U423" s="3">
        <f t="shared" si="96"/>
        <v>0</v>
      </c>
      <c r="V423" s="3">
        <f t="shared" si="97"/>
        <v>0</v>
      </c>
      <c r="W423" s="3">
        <f t="shared" si="98"/>
        <v>0</v>
      </c>
      <c r="X423" s="3">
        <f t="shared" si="99"/>
        <v>0</v>
      </c>
      <c r="Y423" s="3">
        <f>0</f>
        <v>0</v>
      </c>
      <c r="Z423" s="3">
        <f t="shared" si="100"/>
        <v>0</v>
      </c>
      <c r="AA423">
        <f>ROUND(IF(FALSE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,0)</f>
        <v>0</v>
      </c>
    </row>
    <row r="424" spans="1:27">
      <c r="A424" s="30">
        <f>419</f>
        <v>419</v>
      </c>
      <c r="B424" s="31">
        <f>EDATE(入力!$B$6,A424-1)</f>
        <v>58958</v>
      </c>
      <c r="C424" s="32">
        <f t="shared" si="101"/>
        <v>0</v>
      </c>
      <c r="D424" s="32">
        <f t="shared" si="102"/>
        <v>0</v>
      </c>
      <c r="E424" s="33">
        <f>IF(AND(T423="",A424&lt;=S423),IF(A424&lt;入力!$B$11,入力!$B$10,入力!$B$12),0)</f>
        <v>0</v>
      </c>
      <c r="F424" s="32">
        <f t="shared" si="103"/>
        <v>0</v>
      </c>
      <c r="G424" s="32">
        <f>ROUND(IF(NOT(AND(T423="",A424&lt;=S423)),0,IF(FALSE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),0)</f>
        <v>0</v>
      </c>
      <c r="H424" s="32">
        <f t="shared" si="104"/>
        <v>0</v>
      </c>
      <c r="I424" s="32">
        <f t="shared" si="105"/>
        <v>0</v>
      </c>
      <c r="J424" s="32">
        <f t="shared" si="106"/>
        <v>0</v>
      </c>
      <c r="K424" s="32">
        <f t="shared" si="107"/>
        <v>0</v>
      </c>
      <c r="L424" s="32">
        <f t="shared" si="108"/>
        <v>0</v>
      </c>
      <c r="M424" s="32">
        <f>IF(AND(AND(T423="",A424&lt;=S423),A424=入力!$B$15),ROUND(MIN(入力!$B$16,MAX(0,C424-L424)),0),0)</f>
        <v>0</v>
      </c>
      <c r="N424" s="32">
        <f t="shared" si="109"/>
        <v>0</v>
      </c>
      <c r="O424" s="32">
        <f t="shared" si="110"/>
        <v>10725103</v>
      </c>
      <c r="P424" s="34" t="str">
        <f>IF(NOT(AND(T423="",A424&lt;=S423)),"",IF(FALSE,"繰上返済後再計算","")&amp;IF(AND(入力!$B$13="有効",A424&gt;1,MOD(A424-1,60)=0),IF(FALSE,"・","")&amp;"5年見直し","")&amp;IF(AND(A424=入力!$B$11,A424&gt;1),IF(OR(FALSE,AND(入力!$B$13="有効",A424&gt;1,MOD(A424-1,60)=0)),"・","")&amp;"金利変更","")&amp;IF(AND(OR(AND(入力!$B$13="有効",A424&gt;1,MOD(A424-1,60)=0),AND(A424=入力!$B$11,A424&gt;1)),入力!$B$14="有効",IF(E424=0,ROUND(C424/MAX(1,S423-A424+1),0),ROUND(-PMT(E424/12,MAX(1,S423-A424+1),C424),0))&gt;ROUND(G423*1.25,0),NOT(FALSE)),"・上限適用",""))</f>
        <v/>
      </c>
      <c r="Q424" s="35" t="str">
        <f>IF(AND(T423="",A424&lt;=S423),入力!$B$13,"")</f>
        <v/>
      </c>
      <c r="R424" s="32" t="str">
        <f>IF(AND(AND(T423="",A424&lt;=S423),OR(AND(入力!$B$13="有効",A424&gt;1,MOD(A424-1,60)=0),AND(A424=入力!$B$11,A424&gt;1)),入力!$B$14="有効"),ROUND(G423*1.25,0),"")</f>
        <v/>
      </c>
      <c r="S424" s="36">
        <f>IF(A424&lt;&gt;入力!$B$15,S423,IF(K424&lt;&gt;0,S423,IF(G424&lt;=F424,S423,IF(M424&lt;=0,S423,IF(AND(N424&gt;0,E424&gt;0,G424&lt;=N424*E424/12),S423,IF(A424+IF(N424=0,0,IF(E424=0,ROUNDUP(N424/G424,0),ROUNDUP(NPER(E424/12,-G424,N424),0)))&lt;S423,A424+IF(N424=0,0,IF(E424=0,ROUNDUP(N424/G424,0),ROUNDUP(NPER(E424/12,-G424,N424),0))),S423))))))</f>
        <v>359</v>
      </c>
      <c r="T424" s="35" t="str">
        <f t="shared" si="111"/>
        <v/>
      </c>
      <c r="U424" s="3">
        <f t="shared" si="96"/>
        <v>0</v>
      </c>
      <c r="V424" s="3">
        <f t="shared" si="97"/>
        <v>0</v>
      </c>
      <c r="W424" s="3">
        <f t="shared" si="98"/>
        <v>0</v>
      </c>
      <c r="X424" s="3">
        <f t="shared" si="99"/>
        <v>0</v>
      </c>
      <c r="Y424" s="3">
        <f>0</f>
        <v>0</v>
      </c>
      <c r="Z424" s="3">
        <f t="shared" si="100"/>
        <v>0</v>
      </c>
      <c r="AA424">
        <f>ROUND(IF(FALSE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,0)</f>
        <v>0</v>
      </c>
    </row>
    <row r="425" spans="1:27">
      <c r="A425" s="30">
        <f>420</f>
        <v>420</v>
      </c>
      <c r="B425" s="31">
        <f>EDATE(入力!$B$6,A425-1)</f>
        <v>58988</v>
      </c>
      <c r="C425" s="32">
        <f t="shared" si="101"/>
        <v>0</v>
      </c>
      <c r="D425" s="32">
        <f t="shared" si="102"/>
        <v>0</v>
      </c>
      <c r="E425" s="33">
        <f>IF(AND(T424="",A425&lt;=S424),IF(A425&lt;入力!$B$11,入力!$B$10,入力!$B$12),0)</f>
        <v>0</v>
      </c>
      <c r="F425" s="32">
        <f t="shared" si="103"/>
        <v>0</v>
      </c>
      <c r="G425" s="32">
        <f>ROUND(IF(NOT(AND(T424="",A425&lt;=S424)),0,IF(FALSE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),0)</f>
        <v>0</v>
      </c>
      <c r="H425" s="32">
        <f t="shared" si="104"/>
        <v>0</v>
      </c>
      <c r="I425" s="32">
        <f t="shared" si="105"/>
        <v>0</v>
      </c>
      <c r="J425" s="32">
        <f t="shared" si="106"/>
        <v>0</v>
      </c>
      <c r="K425" s="32">
        <f t="shared" si="107"/>
        <v>0</v>
      </c>
      <c r="L425" s="32">
        <f t="shared" si="108"/>
        <v>0</v>
      </c>
      <c r="M425" s="32">
        <f>IF(AND(AND(T424="",A425&lt;=S424),A425=入力!$B$15),ROUND(MIN(入力!$B$16,MAX(0,C425-L425)),0),0)</f>
        <v>0</v>
      </c>
      <c r="N425" s="32">
        <f t="shared" si="109"/>
        <v>0</v>
      </c>
      <c r="O425" s="32">
        <f t="shared" si="110"/>
        <v>10725103</v>
      </c>
      <c r="P425" s="34" t="str">
        <f>IF(NOT(AND(T424="",A425&lt;=S424)),"",IF(FALSE,"繰上返済後再計算","")&amp;IF(AND(入力!$B$13="有効",A425&gt;1,MOD(A425-1,60)=0),IF(FALSE,"・","")&amp;"5年見直し","")&amp;IF(AND(A425=入力!$B$11,A425&gt;1),IF(OR(FALSE,AND(入力!$B$13="有効",A425&gt;1,MOD(A425-1,60)=0)),"・","")&amp;"金利変更","")&amp;IF(AND(OR(AND(入力!$B$13="有効",A425&gt;1,MOD(A425-1,60)=0),AND(A425=入力!$B$11,A425&gt;1)),入力!$B$14="有効",IF(E425=0,ROUND(C425/MAX(1,S424-A425+1),0),ROUND(-PMT(E425/12,MAX(1,S424-A425+1),C425),0))&gt;ROUND(G424*1.25,0),NOT(FALSE)),"・上限適用",""))</f>
        <v/>
      </c>
      <c r="Q425" s="35" t="str">
        <f>IF(AND(T424="",A425&lt;=S424),入力!$B$13,"")</f>
        <v/>
      </c>
      <c r="R425" s="32" t="str">
        <f>IF(AND(AND(T424="",A425&lt;=S424),OR(AND(入力!$B$13="有効",A425&gt;1,MOD(A425-1,60)=0),AND(A425=入力!$B$11,A425&gt;1)),入力!$B$14="有効"),ROUND(G424*1.25,0),"")</f>
        <v/>
      </c>
      <c r="S425" s="36">
        <f>IF(A425&lt;&gt;入力!$B$15,S424,IF(K425&lt;&gt;0,S424,IF(G425&lt;=F425,S424,IF(M425&lt;=0,S424,IF(AND(N425&gt;0,E425&gt;0,G425&lt;=N425*E425/12),S424,IF(A425+IF(N425=0,0,IF(E425=0,ROUNDUP(N425/G425,0),ROUNDUP(NPER(E425/12,-G425,N425),0)))&lt;S424,A425+IF(N425=0,0,IF(E425=0,ROUNDUP(N425/G425,0),ROUNDUP(NPER(E425/12,-G425,N425),0))),S424))))))</f>
        <v>359</v>
      </c>
      <c r="T425" s="35" t="str">
        <f t="shared" si="111"/>
        <v/>
      </c>
      <c r="U425" s="3">
        <f t="shared" si="96"/>
        <v>0</v>
      </c>
      <c r="V425" s="3">
        <f t="shared" si="97"/>
        <v>0</v>
      </c>
      <c r="W425" s="3">
        <f t="shared" si="98"/>
        <v>0</v>
      </c>
      <c r="X425" s="3">
        <f t="shared" si="99"/>
        <v>0</v>
      </c>
      <c r="Y425" s="3">
        <f>0</f>
        <v>0</v>
      </c>
      <c r="Z425" s="3">
        <f t="shared" si="100"/>
        <v>0</v>
      </c>
      <c r="AA425">
        <f>ROUND(IF(FALSE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,0)</f>
        <v>0</v>
      </c>
    </row>
    <row r="426" spans="1:27">
      <c r="A426" s="30">
        <f>421</f>
        <v>421</v>
      </c>
      <c r="B426" s="31">
        <f>EDATE(入力!$B$6,A426-1)</f>
        <v>59019</v>
      </c>
      <c r="C426" s="32">
        <f t="shared" si="101"/>
        <v>0</v>
      </c>
      <c r="D426" s="32">
        <f t="shared" si="102"/>
        <v>0</v>
      </c>
      <c r="E426" s="33">
        <f>IF(AND(T425="",A426&lt;=S425),IF(A426&lt;入力!$B$11,入力!$B$10,入力!$B$12),0)</f>
        <v>0</v>
      </c>
      <c r="F426" s="32">
        <f t="shared" si="103"/>
        <v>0</v>
      </c>
      <c r="G426" s="32">
        <f>ROUND(IF(NOT(AND(T425="",A426&lt;=S425)),0,IF(FALSE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),0)</f>
        <v>0</v>
      </c>
      <c r="H426" s="32">
        <f t="shared" si="104"/>
        <v>0</v>
      </c>
      <c r="I426" s="32">
        <f t="shared" si="105"/>
        <v>0</v>
      </c>
      <c r="J426" s="32">
        <f t="shared" si="106"/>
        <v>0</v>
      </c>
      <c r="K426" s="32">
        <f t="shared" si="107"/>
        <v>0</v>
      </c>
      <c r="L426" s="32">
        <f t="shared" si="108"/>
        <v>0</v>
      </c>
      <c r="M426" s="32">
        <f>IF(AND(AND(T425="",A426&lt;=S425),A426=入力!$B$15),ROUND(MIN(入力!$B$16,MAX(0,C426-L426)),0),0)</f>
        <v>0</v>
      </c>
      <c r="N426" s="32">
        <f t="shared" si="109"/>
        <v>0</v>
      </c>
      <c r="O426" s="32">
        <f t="shared" si="110"/>
        <v>10725103</v>
      </c>
      <c r="P426" s="34" t="str">
        <f>IF(NOT(AND(T425="",A426&lt;=S425)),"",IF(FALSE,"繰上返済後再計算","")&amp;IF(AND(入力!$B$13="有効",A426&gt;1,MOD(A426-1,60)=0),IF(FALSE,"・","")&amp;"5年見直し","")&amp;IF(AND(A426=入力!$B$11,A426&gt;1),IF(OR(FALSE,AND(入力!$B$13="有効",A426&gt;1,MOD(A426-1,60)=0)),"・","")&amp;"金利変更","")&amp;IF(AND(OR(AND(入力!$B$13="有効",A426&gt;1,MOD(A426-1,60)=0),AND(A426=入力!$B$11,A426&gt;1)),入力!$B$14="有効",IF(E426=0,ROUND(C426/MAX(1,S425-A426+1),0),ROUND(-PMT(E426/12,MAX(1,S425-A426+1),C426),0))&gt;ROUND(G425*1.25,0),NOT(FALSE)),"・上限適用",""))</f>
        <v/>
      </c>
      <c r="Q426" s="35" t="str">
        <f>IF(AND(T425="",A426&lt;=S425),入力!$B$13,"")</f>
        <v/>
      </c>
      <c r="R426" s="32" t="str">
        <f>IF(AND(AND(T425="",A426&lt;=S425),OR(AND(入力!$B$13="有効",A426&gt;1,MOD(A426-1,60)=0),AND(A426=入力!$B$11,A426&gt;1)),入力!$B$14="有効"),ROUND(G425*1.25,0),"")</f>
        <v/>
      </c>
      <c r="S426" s="36">
        <f>IF(A426&lt;&gt;入力!$B$15,S425,IF(K426&lt;&gt;0,S425,IF(G426&lt;=F426,S425,IF(M426&lt;=0,S425,IF(AND(N426&gt;0,E426&gt;0,G426&lt;=N426*E426/12),S425,IF(A426+IF(N426=0,0,IF(E426=0,ROUNDUP(N426/G426,0),ROUNDUP(NPER(E426/12,-G426,N426),0)))&lt;S425,A426+IF(N426=0,0,IF(E426=0,ROUNDUP(N426/G426,0),ROUNDUP(NPER(E426/12,-G426,N426),0))),S425))))))</f>
        <v>359</v>
      </c>
      <c r="T426" s="35" t="str">
        <f t="shared" si="111"/>
        <v/>
      </c>
      <c r="U426" s="3">
        <f t="shared" si="96"/>
        <v>0</v>
      </c>
      <c r="V426" s="3">
        <f t="shared" si="97"/>
        <v>0</v>
      </c>
      <c r="W426" s="3">
        <f t="shared" si="98"/>
        <v>0</v>
      </c>
      <c r="X426" s="3">
        <f t="shared" si="99"/>
        <v>0</v>
      </c>
      <c r="Y426" s="3">
        <f>0</f>
        <v>0</v>
      </c>
      <c r="Z426" s="3">
        <f t="shared" si="100"/>
        <v>0</v>
      </c>
      <c r="AA426">
        <f>ROUND(IF(FALSE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,0)</f>
        <v>0</v>
      </c>
    </row>
    <row r="427" spans="1:27">
      <c r="A427" s="30">
        <f>422</f>
        <v>422</v>
      </c>
      <c r="B427" s="31">
        <f>EDATE(入力!$B$6,A427-1)</f>
        <v>59050</v>
      </c>
      <c r="C427" s="32">
        <f t="shared" si="101"/>
        <v>0</v>
      </c>
      <c r="D427" s="32">
        <f t="shared" si="102"/>
        <v>0</v>
      </c>
      <c r="E427" s="33">
        <f>IF(AND(T426="",A427&lt;=S426),IF(A427&lt;入力!$B$11,入力!$B$10,入力!$B$12),0)</f>
        <v>0</v>
      </c>
      <c r="F427" s="32">
        <f t="shared" si="103"/>
        <v>0</v>
      </c>
      <c r="G427" s="32">
        <f>ROUND(IF(NOT(AND(T426="",A427&lt;=S426)),0,IF(FALSE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),0)</f>
        <v>0</v>
      </c>
      <c r="H427" s="32">
        <f t="shared" si="104"/>
        <v>0</v>
      </c>
      <c r="I427" s="32">
        <f t="shared" si="105"/>
        <v>0</v>
      </c>
      <c r="J427" s="32">
        <f t="shared" si="106"/>
        <v>0</v>
      </c>
      <c r="K427" s="32">
        <f t="shared" si="107"/>
        <v>0</v>
      </c>
      <c r="L427" s="32">
        <f t="shared" si="108"/>
        <v>0</v>
      </c>
      <c r="M427" s="32">
        <f>IF(AND(AND(T426="",A427&lt;=S426),A427=入力!$B$15),ROUND(MIN(入力!$B$16,MAX(0,C427-L427)),0),0)</f>
        <v>0</v>
      </c>
      <c r="N427" s="32">
        <f t="shared" si="109"/>
        <v>0</v>
      </c>
      <c r="O427" s="32">
        <f t="shared" si="110"/>
        <v>10725103</v>
      </c>
      <c r="P427" s="34" t="str">
        <f>IF(NOT(AND(T426="",A427&lt;=S426)),"",IF(FALSE,"繰上返済後再計算","")&amp;IF(AND(入力!$B$13="有効",A427&gt;1,MOD(A427-1,60)=0),IF(FALSE,"・","")&amp;"5年見直し","")&amp;IF(AND(A427=入力!$B$11,A427&gt;1),IF(OR(FALSE,AND(入力!$B$13="有効",A427&gt;1,MOD(A427-1,60)=0)),"・","")&amp;"金利変更","")&amp;IF(AND(OR(AND(入力!$B$13="有効",A427&gt;1,MOD(A427-1,60)=0),AND(A427=入力!$B$11,A427&gt;1)),入力!$B$14="有効",IF(E427=0,ROUND(C427/MAX(1,S426-A427+1),0),ROUND(-PMT(E427/12,MAX(1,S426-A427+1),C427),0))&gt;ROUND(G426*1.25,0),NOT(FALSE)),"・上限適用",""))</f>
        <v/>
      </c>
      <c r="Q427" s="35" t="str">
        <f>IF(AND(T426="",A427&lt;=S426),入力!$B$13,"")</f>
        <v/>
      </c>
      <c r="R427" s="32" t="str">
        <f>IF(AND(AND(T426="",A427&lt;=S426),OR(AND(入力!$B$13="有効",A427&gt;1,MOD(A427-1,60)=0),AND(A427=入力!$B$11,A427&gt;1)),入力!$B$14="有効"),ROUND(G426*1.25,0),"")</f>
        <v/>
      </c>
      <c r="S427" s="36">
        <f>IF(A427&lt;&gt;入力!$B$15,S426,IF(K427&lt;&gt;0,S426,IF(G427&lt;=F427,S426,IF(M427&lt;=0,S426,IF(AND(N427&gt;0,E427&gt;0,G427&lt;=N427*E427/12),S426,IF(A427+IF(N427=0,0,IF(E427=0,ROUNDUP(N427/G427,0),ROUNDUP(NPER(E427/12,-G427,N427),0)))&lt;S426,A427+IF(N427=0,0,IF(E427=0,ROUNDUP(N427/G427,0),ROUNDUP(NPER(E427/12,-G427,N427),0))),S426))))))</f>
        <v>359</v>
      </c>
      <c r="T427" s="35" t="str">
        <f t="shared" si="111"/>
        <v/>
      </c>
      <c r="U427" s="3">
        <f t="shared" si="96"/>
        <v>0</v>
      </c>
      <c r="V427" s="3">
        <f t="shared" si="97"/>
        <v>0</v>
      </c>
      <c r="W427" s="3">
        <f t="shared" si="98"/>
        <v>0</v>
      </c>
      <c r="X427" s="3">
        <f t="shared" si="99"/>
        <v>0</v>
      </c>
      <c r="Y427" s="3">
        <f>0</f>
        <v>0</v>
      </c>
      <c r="Z427" s="3">
        <f t="shared" si="100"/>
        <v>0</v>
      </c>
      <c r="AA427">
        <f>ROUND(IF(FALSE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,0)</f>
        <v>0</v>
      </c>
    </row>
    <row r="428" spans="1:27">
      <c r="A428" s="30">
        <f>423</f>
        <v>423</v>
      </c>
      <c r="B428" s="31">
        <f>EDATE(入力!$B$6,A428-1)</f>
        <v>59080</v>
      </c>
      <c r="C428" s="32">
        <f t="shared" si="101"/>
        <v>0</v>
      </c>
      <c r="D428" s="32">
        <f t="shared" si="102"/>
        <v>0</v>
      </c>
      <c r="E428" s="33">
        <f>IF(AND(T427="",A428&lt;=S427),IF(A428&lt;入力!$B$11,入力!$B$10,入力!$B$12),0)</f>
        <v>0</v>
      </c>
      <c r="F428" s="32">
        <f t="shared" si="103"/>
        <v>0</v>
      </c>
      <c r="G428" s="32">
        <f>ROUND(IF(NOT(AND(T427="",A428&lt;=S427)),0,IF(FALSE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),0)</f>
        <v>0</v>
      </c>
      <c r="H428" s="32">
        <f t="shared" si="104"/>
        <v>0</v>
      </c>
      <c r="I428" s="32">
        <f t="shared" si="105"/>
        <v>0</v>
      </c>
      <c r="J428" s="32">
        <f t="shared" si="106"/>
        <v>0</v>
      </c>
      <c r="K428" s="32">
        <f t="shared" si="107"/>
        <v>0</v>
      </c>
      <c r="L428" s="32">
        <f t="shared" si="108"/>
        <v>0</v>
      </c>
      <c r="M428" s="32">
        <f>IF(AND(AND(T427="",A428&lt;=S427),A428=入力!$B$15),ROUND(MIN(入力!$B$16,MAX(0,C428-L428)),0),0)</f>
        <v>0</v>
      </c>
      <c r="N428" s="32">
        <f t="shared" si="109"/>
        <v>0</v>
      </c>
      <c r="O428" s="32">
        <f t="shared" si="110"/>
        <v>10725103</v>
      </c>
      <c r="P428" s="34" t="str">
        <f>IF(NOT(AND(T427="",A428&lt;=S427)),"",IF(FALSE,"繰上返済後再計算","")&amp;IF(AND(入力!$B$13="有効",A428&gt;1,MOD(A428-1,60)=0),IF(FALSE,"・","")&amp;"5年見直し","")&amp;IF(AND(A428=入力!$B$11,A428&gt;1),IF(OR(FALSE,AND(入力!$B$13="有効",A428&gt;1,MOD(A428-1,60)=0)),"・","")&amp;"金利変更","")&amp;IF(AND(OR(AND(入力!$B$13="有効",A428&gt;1,MOD(A428-1,60)=0),AND(A428=入力!$B$11,A428&gt;1)),入力!$B$14="有効",IF(E428=0,ROUND(C428/MAX(1,S427-A428+1),0),ROUND(-PMT(E428/12,MAX(1,S427-A428+1),C428),0))&gt;ROUND(G427*1.25,0),NOT(FALSE)),"・上限適用",""))</f>
        <v/>
      </c>
      <c r="Q428" s="35" t="str">
        <f>IF(AND(T427="",A428&lt;=S427),入力!$B$13,"")</f>
        <v/>
      </c>
      <c r="R428" s="32" t="str">
        <f>IF(AND(AND(T427="",A428&lt;=S427),OR(AND(入力!$B$13="有効",A428&gt;1,MOD(A428-1,60)=0),AND(A428=入力!$B$11,A428&gt;1)),入力!$B$14="有効"),ROUND(G427*1.25,0),"")</f>
        <v/>
      </c>
      <c r="S428" s="36">
        <f>IF(A428&lt;&gt;入力!$B$15,S427,IF(K428&lt;&gt;0,S427,IF(G428&lt;=F428,S427,IF(M428&lt;=0,S427,IF(AND(N428&gt;0,E428&gt;0,G428&lt;=N428*E428/12),S427,IF(A428+IF(N428=0,0,IF(E428=0,ROUNDUP(N428/G428,0),ROUNDUP(NPER(E428/12,-G428,N428),0)))&lt;S427,A428+IF(N428=0,0,IF(E428=0,ROUNDUP(N428/G428,0),ROUNDUP(NPER(E428/12,-G428,N428),0))),S427))))))</f>
        <v>359</v>
      </c>
      <c r="T428" s="35" t="str">
        <f t="shared" si="111"/>
        <v/>
      </c>
      <c r="U428" s="3">
        <f t="shared" si="96"/>
        <v>0</v>
      </c>
      <c r="V428" s="3">
        <f t="shared" si="97"/>
        <v>0</v>
      </c>
      <c r="W428" s="3">
        <f t="shared" si="98"/>
        <v>0</v>
      </c>
      <c r="X428" s="3">
        <f t="shared" si="99"/>
        <v>0</v>
      </c>
      <c r="Y428" s="3">
        <f>0</f>
        <v>0</v>
      </c>
      <c r="Z428" s="3">
        <f t="shared" si="100"/>
        <v>0</v>
      </c>
      <c r="AA428">
        <f>ROUND(IF(FALSE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,0)</f>
        <v>0</v>
      </c>
    </row>
    <row r="429" spans="1:27">
      <c r="A429" s="30">
        <f>424</f>
        <v>424</v>
      </c>
      <c r="B429" s="31">
        <f>EDATE(入力!$B$6,A429-1)</f>
        <v>59111</v>
      </c>
      <c r="C429" s="32">
        <f t="shared" si="101"/>
        <v>0</v>
      </c>
      <c r="D429" s="32">
        <f t="shared" si="102"/>
        <v>0</v>
      </c>
      <c r="E429" s="33">
        <f>IF(AND(T428="",A429&lt;=S428),IF(A429&lt;入力!$B$11,入力!$B$10,入力!$B$12),0)</f>
        <v>0</v>
      </c>
      <c r="F429" s="32">
        <f t="shared" si="103"/>
        <v>0</v>
      </c>
      <c r="G429" s="32">
        <f>ROUND(IF(NOT(AND(T428="",A429&lt;=S428)),0,IF(FALSE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),0)</f>
        <v>0</v>
      </c>
      <c r="H429" s="32">
        <f t="shared" si="104"/>
        <v>0</v>
      </c>
      <c r="I429" s="32">
        <f t="shared" si="105"/>
        <v>0</v>
      </c>
      <c r="J429" s="32">
        <f t="shared" si="106"/>
        <v>0</v>
      </c>
      <c r="K429" s="32">
        <f t="shared" si="107"/>
        <v>0</v>
      </c>
      <c r="L429" s="32">
        <f t="shared" si="108"/>
        <v>0</v>
      </c>
      <c r="M429" s="32">
        <f>IF(AND(AND(T428="",A429&lt;=S428),A429=入力!$B$15),ROUND(MIN(入力!$B$16,MAX(0,C429-L429)),0),0)</f>
        <v>0</v>
      </c>
      <c r="N429" s="32">
        <f t="shared" si="109"/>
        <v>0</v>
      </c>
      <c r="O429" s="32">
        <f t="shared" si="110"/>
        <v>10725103</v>
      </c>
      <c r="P429" s="34" t="str">
        <f>IF(NOT(AND(T428="",A429&lt;=S428)),"",IF(FALSE,"繰上返済後再計算","")&amp;IF(AND(入力!$B$13="有効",A429&gt;1,MOD(A429-1,60)=0),IF(FALSE,"・","")&amp;"5年見直し","")&amp;IF(AND(A429=入力!$B$11,A429&gt;1),IF(OR(FALSE,AND(入力!$B$13="有効",A429&gt;1,MOD(A429-1,60)=0)),"・","")&amp;"金利変更","")&amp;IF(AND(OR(AND(入力!$B$13="有効",A429&gt;1,MOD(A429-1,60)=0),AND(A429=入力!$B$11,A429&gt;1)),入力!$B$14="有効",IF(E429=0,ROUND(C429/MAX(1,S428-A429+1),0),ROUND(-PMT(E429/12,MAX(1,S428-A429+1),C429),0))&gt;ROUND(G428*1.25,0),NOT(FALSE)),"・上限適用",""))</f>
        <v/>
      </c>
      <c r="Q429" s="35" t="str">
        <f>IF(AND(T428="",A429&lt;=S428),入力!$B$13,"")</f>
        <v/>
      </c>
      <c r="R429" s="32" t="str">
        <f>IF(AND(AND(T428="",A429&lt;=S428),OR(AND(入力!$B$13="有効",A429&gt;1,MOD(A429-1,60)=0),AND(A429=入力!$B$11,A429&gt;1)),入力!$B$14="有効"),ROUND(G428*1.25,0),"")</f>
        <v/>
      </c>
      <c r="S429" s="36">
        <f>IF(A429&lt;&gt;入力!$B$15,S428,IF(K429&lt;&gt;0,S428,IF(G429&lt;=F429,S428,IF(M429&lt;=0,S428,IF(AND(N429&gt;0,E429&gt;0,G429&lt;=N429*E429/12),S428,IF(A429+IF(N429=0,0,IF(E429=0,ROUNDUP(N429/G429,0),ROUNDUP(NPER(E429/12,-G429,N429),0)))&lt;S428,A429+IF(N429=0,0,IF(E429=0,ROUNDUP(N429/G429,0),ROUNDUP(NPER(E429/12,-G429,N429),0))),S428))))))</f>
        <v>359</v>
      </c>
      <c r="T429" s="35" t="str">
        <f t="shared" si="111"/>
        <v/>
      </c>
      <c r="U429" s="3">
        <f t="shared" si="96"/>
        <v>0</v>
      </c>
      <c r="V429" s="3">
        <f t="shared" si="97"/>
        <v>0</v>
      </c>
      <c r="W429" s="3">
        <f t="shared" si="98"/>
        <v>0</v>
      </c>
      <c r="X429" s="3">
        <f t="shared" si="99"/>
        <v>0</v>
      </c>
      <c r="Y429" s="3">
        <f>0</f>
        <v>0</v>
      </c>
      <c r="Z429" s="3">
        <f t="shared" si="100"/>
        <v>0</v>
      </c>
      <c r="AA429">
        <f>ROUND(IF(FALSE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,0)</f>
        <v>0</v>
      </c>
    </row>
    <row r="430" spans="1:27">
      <c r="A430" s="30">
        <f>425</f>
        <v>425</v>
      </c>
      <c r="B430" s="31">
        <f>EDATE(入力!$B$6,A430-1)</f>
        <v>59141</v>
      </c>
      <c r="C430" s="32">
        <f t="shared" si="101"/>
        <v>0</v>
      </c>
      <c r="D430" s="32">
        <f t="shared" si="102"/>
        <v>0</v>
      </c>
      <c r="E430" s="33">
        <f>IF(AND(T429="",A430&lt;=S429),IF(A430&lt;入力!$B$11,入力!$B$10,入力!$B$12),0)</f>
        <v>0</v>
      </c>
      <c r="F430" s="32">
        <f t="shared" si="103"/>
        <v>0</v>
      </c>
      <c r="G430" s="32">
        <f>ROUND(IF(NOT(AND(T429="",A430&lt;=S429)),0,IF(FALSE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),0)</f>
        <v>0</v>
      </c>
      <c r="H430" s="32">
        <f t="shared" si="104"/>
        <v>0</v>
      </c>
      <c r="I430" s="32">
        <f t="shared" si="105"/>
        <v>0</v>
      </c>
      <c r="J430" s="32">
        <f t="shared" si="106"/>
        <v>0</v>
      </c>
      <c r="K430" s="32">
        <f t="shared" si="107"/>
        <v>0</v>
      </c>
      <c r="L430" s="32">
        <f t="shared" si="108"/>
        <v>0</v>
      </c>
      <c r="M430" s="32">
        <f>IF(AND(AND(T429="",A430&lt;=S429),A430=入力!$B$15),ROUND(MIN(入力!$B$16,MAX(0,C430-L430)),0),0)</f>
        <v>0</v>
      </c>
      <c r="N430" s="32">
        <f t="shared" si="109"/>
        <v>0</v>
      </c>
      <c r="O430" s="32">
        <f t="shared" si="110"/>
        <v>10725103</v>
      </c>
      <c r="P430" s="34" t="str">
        <f>IF(NOT(AND(T429="",A430&lt;=S429)),"",IF(FALSE,"繰上返済後再計算","")&amp;IF(AND(入力!$B$13="有効",A430&gt;1,MOD(A430-1,60)=0),IF(FALSE,"・","")&amp;"5年見直し","")&amp;IF(AND(A430=入力!$B$11,A430&gt;1),IF(OR(FALSE,AND(入力!$B$13="有効",A430&gt;1,MOD(A430-1,60)=0)),"・","")&amp;"金利変更","")&amp;IF(AND(OR(AND(入力!$B$13="有効",A430&gt;1,MOD(A430-1,60)=0),AND(A430=入力!$B$11,A430&gt;1)),入力!$B$14="有効",IF(E430=0,ROUND(C430/MAX(1,S429-A430+1),0),ROUND(-PMT(E430/12,MAX(1,S429-A430+1),C430),0))&gt;ROUND(G429*1.25,0),NOT(FALSE)),"・上限適用",""))</f>
        <v/>
      </c>
      <c r="Q430" s="35" t="str">
        <f>IF(AND(T429="",A430&lt;=S429),入力!$B$13,"")</f>
        <v/>
      </c>
      <c r="R430" s="32" t="str">
        <f>IF(AND(AND(T429="",A430&lt;=S429),OR(AND(入力!$B$13="有効",A430&gt;1,MOD(A430-1,60)=0),AND(A430=入力!$B$11,A430&gt;1)),入力!$B$14="有効"),ROUND(G429*1.25,0),"")</f>
        <v/>
      </c>
      <c r="S430" s="36">
        <f>IF(A430&lt;&gt;入力!$B$15,S429,IF(K430&lt;&gt;0,S429,IF(G430&lt;=F430,S429,IF(M430&lt;=0,S429,IF(AND(N430&gt;0,E430&gt;0,G430&lt;=N430*E430/12),S429,IF(A430+IF(N430=0,0,IF(E430=0,ROUNDUP(N430/G430,0),ROUNDUP(NPER(E430/12,-G430,N430),0)))&lt;S429,A430+IF(N430=0,0,IF(E430=0,ROUNDUP(N430/G430,0),ROUNDUP(NPER(E430/12,-G430,N430),0))),S429))))))</f>
        <v>359</v>
      </c>
      <c r="T430" s="35" t="str">
        <f t="shared" si="111"/>
        <v/>
      </c>
      <c r="U430" s="3">
        <f t="shared" si="96"/>
        <v>0</v>
      </c>
      <c r="V430" s="3">
        <f t="shared" si="97"/>
        <v>0</v>
      </c>
      <c r="W430" s="3">
        <f t="shared" si="98"/>
        <v>0</v>
      </c>
      <c r="X430" s="3">
        <f t="shared" si="99"/>
        <v>0</v>
      </c>
      <c r="Y430" s="3">
        <f>0</f>
        <v>0</v>
      </c>
      <c r="Z430" s="3">
        <f t="shared" si="100"/>
        <v>0</v>
      </c>
      <c r="AA430">
        <f>ROUND(IF(FALSE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,0)</f>
        <v>0</v>
      </c>
    </row>
    <row r="431" spans="1:27">
      <c r="A431" s="30">
        <f>426</f>
        <v>426</v>
      </c>
      <c r="B431" s="31">
        <f>EDATE(入力!$B$6,A431-1)</f>
        <v>59172</v>
      </c>
      <c r="C431" s="32">
        <f t="shared" si="101"/>
        <v>0</v>
      </c>
      <c r="D431" s="32">
        <f t="shared" si="102"/>
        <v>0</v>
      </c>
      <c r="E431" s="33">
        <f>IF(AND(T430="",A431&lt;=S430),IF(A431&lt;入力!$B$11,入力!$B$10,入力!$B$12),0)</f>
        <v>0</v>
      </c>
      <c r="F431" s="32">
        <f t="shared" si="103"/>
        <v>0</v>
      </c>
      <c r="G431" s="32">
        <f>ROUND(IF(NOT(AND(T430="",A431&lt;=S430)),0,IF(FALSE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),0)</f>
        <v>0</v>
      </c>
      <c r="H431" s="32">
        <f t="shared" si="104"/>
        <v>0</v>
      </c>
      <c r="I431" s="32">
        <f t="shared" si="105"/>
        <v>0</v>
      </c>
      <c r="J431" s="32">
        <f t="shared" si="106"/>
        <v>0</v>
      </c>
      <c r="K431" s="32">
        <f t="shared" si="107"/>
        <v>0</v>
      </c>
      <c r="L431" s="32">
        <f t="shared" si="108"/>
        <v>0</v>
      </c>
      <c r="M431" s="32">
        <f>IF(AND(AND(T430="",A431&lt;=S430),A431=入力!$B$15),ROUND(MIN(入力!$B$16,MAX(0,C431-L431)),0),0)</f>
        <v>0</v>
      </c>
      <c r="N431" s="32">
        <f t="shared" si="109"/>
        <v>0</v>
      </c>
      <c r="O431" s="32">
        <f t="shared" si="110"/>
        <v>10725103</v>
      </c>
      <c r="P431" s="34" t="str">
        <f>IF(NOT(AND(T430="",A431&lt;=S430)),"",IF(FALSE,"繰上返済後再計算","")&amp;IF(AND(入力!$B$13="有効",A431&gt;1,MOD(A431-1,60)=0),IF(FALSE,"・","")&amp;"5年見直し","")&amp;IF(AND(A431=入力!$B$11,A431&gt;1),IF(OR(FALSE,AND(入力!$B$13="有効",A431&gt;1,MOD(A431-1,60)=0)),"・","")&amp;"金利変更","")&amp;IF(AND(OR(AND(入力!$B$13="有効",A431&gt;1,MOD(A431-1,60)=0),AND(A431=入力!$B$11,A431&gt;1)),入力!$B$14="有効",IF(E431=0,ROUND(C431/MAX(1,S430-A431+1),0),ROUND(-PMT(E431/12,MAX(1,S430-A431+1),C431),0))&gt;ROUND(G430*1.25,0),NOT(FALSE)),"・上限適用",""))</f>
        <v/>
      </c>
      <c r="Q431" s="35" t="str">
        <f>IF(AND(T430="",A431&lt;=S430),入力!$B$13,"")</f>
        <v/>
      </c>
      <c r="R431" s="32" t="str">
        <f>IF(AND(AND(T430="",A431&lt;=S430),OR(AND(入力!$B$13="有効",A431&gt;1,MOD(A431-1,60)=0),AND(A431=入力!$B$11,A431&gt;1)),入力!$B$14="有効"),ROUND(G430*1.25,0),"")</f>
        <v/>
      </c>
      <c r="S431" s="36">
        <f>IF(A431&lt;&gt;入力!$B$15,S430,IF(K431&lt;&gt;0,S430,IF(G431&lt;=F431,S430,IF(M431&lt;=0,S430,IF(AND(N431&gt;0,E431&gt;0,G431&lt;=N431*E431/12),S430,IF(A431+IF(N431=0,0,IF(E431=0,ROUNDUP(N431/G431,0),ROUNDUP(NPER(E431/12,-G431,N431),0)))&lt;S430,A431+IF(N431=0,0,IF(E431=0,ROUNDUP(N431/G431,0),ROUNDUP(NPER(E431/12,-G431,N431),0))),S430))))))</f>
        <v>359</v>
      </c>
      <c r="T431" s="35" t="str">
        <f t="shared" si="111"/>
        <v/>
      </c>
      <c r="U431" s="3">
        <f t="shared" si="96"/>
        <v>0</v>
      </c>
      <c r="V431" s="3">
        <f t="shared" si="97"/>
        <v>0</v>
      </c>
      <c r="W431" s="3">
        <f t="shared" si="98"/>
        <v>0</v>
      </c>
      <c r="X431" s="3">
        <f t="shared" si="99"/>
        <v>0</v>
      </c>
      <c r="Y431" s="3">
        <f>0</f>
        <v>0</v>
      </c>
      <c r="Z431" s="3">
        <f t="shared" si="100"/>
        <v>0</v>
      </c>
      <c r="AA431">
        <f>ROUND(IF(FALSE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,0)</f>
        <v>0</v>
      </c>
    </row>
    <row r="432" spans="1:27">
      <c r="A432" s="30">
        <f>427</f>
        <v>427</v>
      </c>
      <c r="B432" s="31">
        <f>EDATE(入力!$B$6,A432-1)</f>
        <v>59203</v>
      </c>
      <c r="C432" s="32">
        <f t="shared" si="101"/>
        <v>0</v>
      </c>
      <c r="D432" s="32">
        <f t="shared" si="102"/>
        <v>0</v>
      </c>
      <c r="E432" s="33">
        <f>IF(AND(T431="",A432&lt;=S431),IF(A432&lt;入力!$B$11,入力!$B$10,入力!$B$12),0)</f>
        <v>0</v>
      </c>
      <c r="F432" s="32">
        <f t="shared" si="103"/>
        <v>0</v>
      </c>
      <c r="G432" s="32">
        <f>ROUND(IF(NOT(AND(T431="",A432&lt;=S431)),0,IF(FALSE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),0)</f>
        <v>0</v>
      </c>
      <c r="H432" s="32">
        <f t="shared" si="104"/>
        <v>0</v>
      </c>
      <c r="I432" s="32">
        <f t="shared" si="105"/>
        <v>0</v>
      </c>
      <c r="J432" s="32">
        <f t="shared" si="106"/>
        <v>0</v>
      </c>
      <c r="K432" s="32">
        <f t="shared" si="107"/>
        <v>0</v>
      </c>
      <c r="L432" s="32">
        <f t="shared" si="108"/>
        <v>0</v>
      </c>
      <c r="M432" s="32">
        <f>IF(AND(AND(T431="",A432&lt;=S431),A432=入力!$B$15),ROUND(MIN(入力!$B$16,MAX(0,C432-L432)),0),0)</f>
        <v>0</v>
      </c>
      <c r="N432" s="32">
        <f t="shared" si="109"/>
        <v>0</v>
      </c>
      <c r="O432" s="32">
        <f t="shared" si="110"/>
        <v>10725103</v>
      </c>
      <c r="P432" s="34" t="str">
        <f>IF(NOT(AND(T431="",A432&lt;=S431)),"",IF(FALSE,"繰上返済後再計算","")&amp;IF(AND(入力!$B$13="有効",A432&gt;1,MOD(A432-1,60)=0),IF(FALSE,"・","")&amp;"5年見直し","")&amp;IF(AND(A432=入力!$B$11,A432&gt;1),IF(OR(FALSE,AND(入力!$B$13="有効",A432&gt;1,MOD(A432-1,60)=0)),"・","")&amp;"金利変更","")&amp;IF(AND(OR(AND(入力!$B$13="有効",A432&gt;1,MOD(A432-1,60)=0),AND(A432=入力!$B$11,A432&gt;1)),入力!$B$14="有効",IF(E432=0,ROUND(C432/MAX(1,S431-A432+1),0),ROUND(-PMT(E432/12,MAX(1,S431-A432+1),C432),0))&gt;ROUND(G431*1.25,0),NOT(FALSE)),"・上限適用",""))</f>
        <v/>
      </c>
      <c r="Q432" s="35" t="str">
        <f>IF(AND(T431="",A432&lt;=S431),入力!$B$13,"")</f>
        <v/>
      </c>
      <c r="R432" s="32" t="str">
        <f>IF(AND(AND(T431="",A432&lt;=S431),OR(AND(入力!$B$13="有効",A432&gt;1,MOD(A432-1,60)=0),AND(A432=入力!$B$11,A432&gt;1)),入力!$B$14="有効"),ROUND(G431*1.25,0),"")</f>
        <v/>
      </c>
      <c r="S432" s="36">
        <f>IF(A432&lt;&gt;入力!$B$15,S431,IF(K432&lt;&gt;0,S431,IF(G432&lt;=F432,S431,IF(M432&lt;=0,S431,IF(AND(N432&gt;0,E432&gt;0,G432&lt;=N432*E432/12),S431,IF(A432+IF(N432=0,0,IF(E432=0,ROUNDUP(N432/G432,0),ROUNDUP(NPER(E432/12,-G432,N432),0)))&lt;S431,A432+IF(N432=0,0,IF(E432=0,ROUNDUP(N432/G432,0),ROUNDUP(NPER(E432/12,-G432,N432),0))),S431))))))</f>
        <v>359</v>
      </c>
      <c r="T432" s="35" t="str">
        <f t="shared" si="111"/>
        <v/>
      </c>
      <c r="U432" s="3">
        <f t="shared" si="96"/>
        <v>0</v>
      </c>
      <c r="V432" s="3">
        <f t="shared" si="97"/>
        <v>0</v>
      </c>
      <c r="W432" s="3">
        <f t="shared" si="98"/>
        <v>0</v>
      </c>
      <c r="X432" s="3">
        <f t="shared" si="99"/>
        <v>0</v>
      </c>
      <c r="Y432" s="3">
        <f>0</f>
        <v>0</v>
      </c>
      <c r="Z432" s="3">
        <f t="shared" si="100"/>
        <v>0</v>
      </c>
      <c r="AA432">
        <f>ROUND(IF(FALSE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,0)</f>
        <v>0</v>
      </c>
    </row>
    <row r="433" spans="1:27">
      <c r="A433" s="30">
        <f>428</f>
        <v>428</v>
      </c>
      <c r="B433" s="31">
        <f>EDATE(入力!$B$6,A433-1)</f>
        <v>59231</v>
      </c>
      <c r="C433" s="32">
        <f t="shared" si="101"/>
        <v>0</v>
      </c>
      <c r="D433" s="32">
        <f t="shared" si="102"/>
        <v>0</v>
      </c>
      <c r="E433" s="33">
        <f>IF(AND(T432="",A433&lt;=S432),IF(A433&lt;入力!$B$11,入力!$B$10,入力!$B$12),0)</f>
        <v>0</v>
      </c>
      <c r="F433" s="32">
        <f t="shared" si="103"/>
        <v>0</v>
      </c>
      <c r="G433" s="32">
        <f>ROUND(IF(NOT(AND(T432="",A433&lt;=S432)),0,IF(FALSE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),0)</f>
        <v>0</v>
      </c>
      <c r="H433" s="32">
        <f t="shared" si="104"/>
        <v>0</v>
      </c>
      <c r="I433" s="32">
        <f t="shared" si="105"/>
        <v>0</v>
      </c>
      <c r="J433" s="32">
        <f t="shared" si="106"/>
        <v>0</v>
      </c>
      <c r="K433" s="32">
        <f t="shared" si="107"/>
        <v>0</v>
      </c>
      <c r="L433" s="32">
        <f t="shared" si="108"/>
        <v>0</v>
      </c>
      <c r="M433" s="32">
        <f>IF(AND(AND(T432="",A433&lt;=S432),A433=入力!$B$15),ROUND(MIN(入力!$B$16,MAX(0,C433-L433)),0),0)</f>
        <v>0</v>
      </c>
      <c r="N433" s="32">
        <f t="shared" si="109"/>
        <v>0</v>
      </c>
      <c r="O433" s="32">
        <f t="shared" si="110"/>
        <v>10725103</v>
      </c>
      <c r="P433" s="34" t="str">
        <f>IF(NOT(AND(T432="",A433&lt;=S432)),"",IF(FALSE,"繰上返済後再計算","")&amp;IF(AND(入力!$B$13="有効",A433&gt;1,MOD(A433-1,60)=0),IF(FALSE,"・","")&amp;"5年見直し","")&amp;IF(AND(A433=入力!$B$11,A433&gt;1),IF(OR(FALSE,AND(入力!$B$13="有効",A433&gt;1,MOD(A433-1,60)=0)),"・","")&amp;"金利変更","")&amp;IF(AND(OR(AND(入力!$B$13="有効",A433&gt;1,MOD(A433-1,60)=0),AND(A433=入力!$B$11,A433&gt;1)),入力!$B$14="有効",IF(E433=0,ROUND(C433/MAX(1,S432-A433+1),0),ROUND(-PMT(E433/12,MAX(1,S432-A433+1),C433),0))&gt;ROUND(G432*1.25,0),NOT(FALSE)),"・上限適用",""))</f>
        <v/>
      </c>
      <c r="Q433" s="35" t="str">
        <f>IF(AND(T432="",A433&lt;=S432),入力!$B$13,"")</f>
        <v/>
      </c>
      <c r="R433" s="32" t="str">
        <f>IF(AND(AND(T432="",A433&lt;=S432),OR(AND(入力!$B$13="有効",A433&gt;1,MOD(A433-1,60)=0),AND(A433=入力!$B$11,A433&gt;1)),入力!$B$14="有効"),ROUND(G432*1.25,0),"")</f>
        <v/>
      </c>
      <c r="S433" s="36">
        <f>IF(A433&lt;&gt;入力!$B$15,S432,IF(K433&lt;&gt;0,S432,IF(G433&lt;=F433,S432,IF(M433&lt;=0,S432,IF(AND(N433&gt;0,E433&gt;0,G433&lt;=N433*E433/12),S432,IF(A433+IF(N433=0,0,IF(E433=0,ROUNDUP(N433/G433,0),ROUNDUP(NPER(E433/12,-G433,N433),0)))&lt;S432,A433+IF(N433=0,0,IF(E433=0,ROUNDUP(N433/G433,0),ROUNDUP(NPER(E433/12,-G433,N433),0))),S432))))))</f>
        <v>359</v>
      </c>
      <c r="T433" s="35" t="str">
        <f t="shared" si="111"/>
        <v/>
      </c>
      <c r="U433" s="3">
        <f t="shared" si="96"/>
        <v>0</v>
      </c>
      <c r="V433" s="3">
        <f t="shared" si="97"/>
        <v>0</v>
      </c>
      <c r="W433" s="3">
        <f t="shared" si="98"/>
        <v>0</v>
      </c>
      <c r="X433" s="3">
        <f t="shared" si="99"/>
        <v>0</v>
      </c>
      <c r="Y433" s="3">
        <f>0</f>
        <v>0</v>
      </c>
      <c r="Z433" s="3">
        <f t="shared" si="100"/>
        <v>0</v>
      </c>
      <c r="AA433">
        <f>ROUND(IF(FALSE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,0)</f>
        <v>0</v>
      </c>
    </row>
    <row r="434" spans="1:27">
      <c r="A434" s="30">
        <f>429</f>
        <v>429</v>
      </c>
      <c r="B434" s="31">
        <f>EDATE(入力!$B$6,A434-1)</f>
        <v>59262</v>
      </c>
      <c r="C434" s="32">
        <f t="shared" si="101"/>
        <v>0</v>
      </c>
      <c r="D434" s="32">
        <f t="shared" si="102"/>
        <v>0</v>
      </c>
      <c r="E434" s="33">
        <f>IF(AND(T433="",A434&lt;=S433),IF(A434&lt;入力!$B$11,入力!$B$10,入力!$B$12),0)</f>
        <v>0</v>
      </c>
      <c r="F434" s="32">
        <f t="shared" si="103"/>
        <v>0</v>
      </c>
      <c r="G434" s="32">
        <f>ROUND(IF(NOT(AND(T433="",A434&lt;=S433)),0,IF(FALSE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),0)</f>
        <v>0</v>
      </c>
      <c r="H434" s="32">
        <f t="shared" si="104"/>
        <v>0</v>
      </c>
      <c r="I434" s="32">
        <f t="shared" si="105"/>
        <v>0</v>
      </c>
      <c r="J434" s="32">
        <f t="shared" si="106"/>
        <v>0</v>
      </c>
      <c r="K434" s="32">
        <f t="shared" si="107"/>
        <v>0</v>
      </c>
      <c r="L434" s="32">
        <f t="shared" si="108"/>
        <v>0</v>
      </c>
      <c r="M434" s="32">
        <f>IF(AND(AND(T433="",A434&lt;=S433),A434=入力!$B$15),ROUND(MIN(入力!$B$16,MAX(0,C434-L434)),0),0)</f>
        <v>0</v>
      </c>
      <c r="N434" s="32">
        <f t="shared" si="109"/>
        <v>0</v>
      </c>
      <c r="O434" s="32">
        <f t="shared" si="110"/>
        <v>10725103</v>
      </c>
      <c r="P434" s="34" t="str">
        <f>IF(NOT(AND(T433="",A434&lt;=S433)),"",IF(FALSE,"繰上返済後再計算","")&amp;IF(AND(入力!$B$13="有効",A434&gt;1,MOD(A434-1,60)=0),IF(FALSE,"・","")&amp;"5年見直し","")&amp;IF(AND(A434=入力!$B$11,A434&gt;1),IF(OR(FALSE,AND(入力!$B$13="有効",A434&gt;1,MOD(A434-1,60)=0)),"・","")&amp;"金利変更","")&amp;IF(AND(OR(AND(入力!$B$13="有効",A434&gt;1,MOD(A434-1,60)=0),AND(A434=入力!$B$11,A434&gt;1)),入力!$B$14="有効",IF(E434=0,ROUND(C434/MAX(1,S433-A434+1),0),ROUND(-PMT(E434/12,MAX(1,S433-A434+1),C434),0))&gt;ROUND(G433*1.25,0),NOT(FALSE)),"・上限適用",""))</f>
        <v/>
      </c>
      <c r="Q434" s="35" t="str">
        <f>IF(AND(T433="",A434&lt;=S433),入力!$B$13,"")</f>
        <v/>
      </c>
      <c r="R434" s="32" t="str">
        <f>IF(AND(AND(T433="",A434&lt;=S433),OR(AND(入力!$B$13="有効",A434&gt;1,MOD(A434-1,60)=0),AND(A434=入力!$B$11,A434&gt;1)),入力!$B$14="有効"),ROUND(G433*1.25,0),"")</f>
        <v/>
      </c>
      <c r="S434" s="36">
        <f>IF(A434&lt;&gt;入力!$B$15,S433,IF(K434&lt;&gt;0,S433,IF(G434&lt;=F434,S433,IF(M434&lt;=0,S433,IF(AND(N434&gt;0,E434&gt;0,G434&lt;=N434*E434/12),S433,IF(A434+IF(N434=0,0,IF(E434=0,ROUNDUP(N434/G434,0),ROUNDUP(NPER(E434/12,-G434,N434),0)))&lt;S433,A434+IF(N434=0,0,IF(E434=0,ROUNDUP(N434/G434,0),ROUNDUP(NPER(E434/12,-G434,N434),0))),S433))))))</f>
        <v>359</v>
      </c>
      <c r="T434" s="35" t="str">
        <f t="shared" si="111"/>
        <v/>
      </c>
      <c r="U434" s="3">
        <f t="shared" si="96"/>
        <v>0</v>
      </c>
      <c r="V434" s="3">
        <f t="shared" si="97"/>
        <v>0</v>
      </c>
      <c r="W434" s="3">
        <f t="shared" si="98"/>
        <v>0</v>
      </c>
      <c r="X434" s="3">
        <f t="shared" si="99"/>
        <v>0</v>
      </c>
      <c r="Y434" s="3">
        <f>0</f>
        <v>0</v>
      </c>
      <c r="Z434" s="3">
        <f t="shared" si="100"/>
        <v>0</v>
      </c>
      <c r="AA434">
        <f>ROUND(IF(FALSE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,0)</f>
        <v>0</v>
      </c>
    </row>
    <row r="435" spans="1:27">
      <c r="A435" s="30">
        <f>430</f>
        <v>430</v>
      </c>
      <c r="B435" s="31">
        <f>EDATE(入力!$B$6,A435-1)</f>
        <v>59292</v>
      </c>
      <c r="C435" s="32">
        <f t="shared" si="101"/>
        <v>0</v>
      </c>
      <c r="D435" s="32">
        <f t="shared" si="102"/>
        <v>0</v>
      </c>
      <c r="E435" s="33">
        <f>IF(AND(T434="",A435&lt;=S434),IF(A435&lt;入力!$B$11,入力!$B$10,入力!$B$12),0)</f>
        <v>0</v>
      </c>
      <c r="F435" s="32">
        <f t="shared" si="103"/>
        <v>0</v>
      </c>
      <c r="G435" s="32">
        <f>ROUND(IF(NOT(AND(T434="",A435&lt;=S434)),0,IF(FALSE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),0)</f>
        <v>0</v>
      </c>
      <c r="H435" s="32">
        <f t="shared" si="104"/>
        <v>0</v>
      </c>
      <c r="I435" s="32">
        <f t="shared" si="105"/>
        <v>0</v>
      </c>
      <c r="J435" s="32">
        <f t="shared" si="106"/>
        <v>0</v>
      </c>
      <c r="K435" s="32">
        <f t="shared" si="107"/>
        <v>0</v>
      </c>
      <c r="L435" s="32">
        <f t="shared" si="108"/>
        <v>0</v>
      </c>
      <c r="M435" s="32">
        <f>IF(AND(AND(T434="",A435&lt;=S434),A435=入力!$B$15),ROUND(MIN(入力!$B$16,MAX(0,C435-L435)),0),0)</f>
        <v>0</v>
      </c>
      <c r="N435" s="32">
        <f t="shared" si="109"/>
        <v>0</v>
      </c>
      <c r="O435" s="32">
        <f t="shared" si="110"/>
        <v>10725103</v>
      </c>
      <c r="P435" s="34" t="str">
        <f>IF(NOT(AND(T434="",A435&lt;=S434)),"",IF(FALSE,"繰上返済後再計算","")&amp;IF(AND(入力!$B$13="有効",A435&gt;1,MOD(A435-1,60)=0),IF(FALSE,"・","")&amp;"5年見直し","")&amp;IF(AND(A435=入力!$B$11,A435&gt;1),IF(OR(FALSE,AND(入力!$B$13="有効",A435&gt;1,MOD(A435-1,60)=0)),"・","")&amp;"金利変更","")&amp;IF(AND(OR(AND(入力!$B$13="有効",A435&gt;1,MOD(A435-1,60)=0),AND(A435=入力!$B$11,A435&gt;1)),入力!$B$14="有効",IF(E435=0,ROUND(C435/MAX(1,S434-A435+1),0),ROUND(-PMT(E435/12,MAX(1,S434-A435+1),C435),0))&gt;ROUND(G434*1.25,0),NOT(FALSE)),"・上限適用",""))</f>
        <v/>
      </c>
      <c r="Q435" s="35" t="str">
        <f>IF(AND(T434="",A435&lt;=S434),入力!$B$13,"")</f>
        <v/>
      </c>
      <c r="R435" s="32" t="str">
        <f>IF(AND(AND(T434="",A435&lt;=S434),OR(AND(入力!$B$13="有効",A435&gt;1,MOD(A435-1,60)=0),AND(A435=入力!$B$11,A435&gt;1)),入力!$B$14="有効"),ROUND(G434*1.25,0),"")</f>
        <v/>
      </c>
      <c r="S435" s="36">
        <f>IF(A435&lt;&gt;入力!$B$15,S434,IF(K435&lt;&gt;0,S434,IF(G435&lt;=F435,S434,IF(M435&lt;=0,S434,IF(AND(N435&gt;0,E435&gt;0,G435&lt;=N435*E435/12),S434,IF(A435+IF(N435=0,0,IF(E435=0,ROUNDUP(N435/G435,0),ROUNDUP(NPER(E435/12,-G435,N435),0)))&lt;S434,A435+IF(N435=0,0,IF(E435=0,ROUNDUP(N435/G435,0),ROUNDUP(NPER(E435/12,-G435,N435),0))),S434))))))</f>
        <v>359</v>
      </c>
      <c r="T435" s="35" t="str">
        <f t="shared" si="111"/>
        <v/>
      </c>
      <c r="U435" s="3">
        <f t="shared" si="96"/>
        <v>0</v>
      </c>
      <c r="V435" s="3">
        <f t="shared" si="97"/>
        <v>0</v>
      </c>
      <c r="W435" s="3">
        <f t="shared" si="98"/>
        <v>0</v>
      </c>
      <c r="X435" s="3">
        <f t="shared" si="99"/>
        <v>0</v>
      </c>
      <c r="Y435" s="3">
        <f>0</f>
        <v>0</v>
      </c>
      <c r="Z435" s="3">
        <f t="shared" si="100"/>
        <v>0</v>
      </c>
      <c r="AA435">
        <f>ROUND(IF(FALSE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,0)</f>
        <v>0</v>
      </c>
    </row>
    <row r="436" spans="1:27">
      <c r="A436" s="30">
        <f>431</f>
        <v>431</v>
      </c>
      <c r="B436" s="31">
        <f>EDATE(入力!$B$6,A436-1)</f>
        <v>59323</v>
      </c>
      <c r="C436" s="32">
        <f t="shared" si="101"/>
        <v>0</v>
      </c>
      <c r="D436" s="32">
        <f t="shared" si="102"/>
        <v>0</v>
      </c>
      <c r="E436" s="33">
        <f>IF(AND(T435="",A436&lt;=S435),IF(A436&lt;入力!$B$11,入力!$B$10,入力!$B$12),0)</f>
        <v>0</v>
      </c>
      <c r="F436" s="32">
        <f t="shared" si="103"/>
        <v>0</v>
      </c>
      <c r="G436" s="32">
        <f>ROUND(IF(NOT(AND(T435="",A436&lt;=S435)),0,IF(FALSE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),0)</f>
        <v>0</v>
      </c>
      <c r="H436" s="32">
        <f t="shared" si="104"/>
        <v>0</v>
      </c>
      <c r="I436" s="32">
        <f t="shared" si="105"/>
        <v>0</v>
      </c>
      <c r="J436" s="32">
        <f t="shared" si="106"/>
        <v>0</v>
      </c>
      <c r="K436" s="32">
        <f t="shared" si="107"/>
        <v>0</v>
      </c>
      <c r="L436" s="32">
        <f t="shared" si="108"/>
        <v>0</v>
      </c>
      <c r="M436" s="32">
        <f>IF(AND(AND(T435="",A436&lt;=S435),A436=入力!$B$15),ROUND(MIN(入力!$B$16,MAX(0,C436-L436)),0),0)</f>
        <v>0</v>
      </c>
      <c r="N436" s="32">
        <f t="shared" si="109"/>
        <v>0</v>
      </c>
      <c r="O436" s="32">
        <f t="shared" si="110"/>
        <v>10725103</v>
      </c>
      <c r="P436" s="34" t="str">
        <f>IF(NOT(AND(T435="",A436&lt;=S435)),"",IF(FALSE,"繰上返済後再計算","")&amp;IF(AND(入力!$B$13="有効",A436&gt;1,MOD(A436-1,60)=0),IF(FALSE,"・","")&amp;"5年見直し","")&amp;IF(AND(A436=入力!$B$11,A436&gt;1),IF(OR(FALSE,AND(入力!$B$13="有効",A436&gt;1,MOD(A436-1,60)=0)),"・","")&amp;"金利変更","")&amp;IF(AND(OR(AND(入力!$B$13="有効",A436&gt;1,MOD(A436-1,60)=0),AND(A436=入力!$B$11,A436&gt;1)),入力!$B$14="有効",IF(E436=0,ROUND(C436/MAX(1,S435-A436+1),0),ROUND(-PMT(E436/12,MAX(1,S435-A436+1),C436),0))&gt;ROUND(G435*1.25,0),NOT(FALSE)),"・上限適用",""))</f>
        <v/>
      </c>
      <c r="Q436" s="35" t="str">
        <f>IF(AND(T435="",A436&lt;=S435),入力!$B$13,"")</f>
        <v/>
      </c>
      <c r="R436" s="32" t="str">
        <f>IF(AND(AND(T435="",A436&lt;=S435),OR(AND(入力!$B$13="有効",A436&gt;1,MOD(A436-1,60)=0),AND(A436=入力!$B$11,A436&gt;1)),入力!$B$14="有効"),ROUND(G435*1.25,0),"")</f>
        <v/>
      </c>
      <c r="S436" s="36">
        <f>IF(A436&lt;&gt;入力!$B$15,S435,IF(K436&lt;&gt;0,S435,IF(G436&lt;=F436,S435,IF(M436&lt;=0,S435,IF(AND(N436&gt;0,E436&gt;0,G436&lt;=N436*E436/12),S435,IF(A436+IF(N436=0,0,IF(E436=0,ROUNDUP(N436/G436,0),ROUNDUP(NPER(E436/12,-G436,N436),0)))&lt;S435,A436+IF(N436=0,0,IF(E436=0,ROUNDUP(N436/G436,0),ROUNDUP(NPER(E436/12,-G436,N436),0))),S435))))))</f>
        <v>359</v>
      </c>
      <c r="T436" s="35" t="str">
        <f t="shared" si="111"/>
        <v/>
      </c>
      <c r="U436" s="3">
        <f t="shared" si="96"/>
        <v>0</v>
      </c>
      <c r="V436" s="3">
        <f t="shared" si="97"/>
        <v>0</v>
      </c>
      <c r="W436" s="3">
        <f t="shared" si="98"/>
        <v>0</v>
      </c>
      <c r="X436" s="3">
        <f t="shared" si="99"/>
        <v>0</v>
      </c>
      <c r="Y436" s="3">
        <f>0</f>
        <v>0</v>
      </c>
      <c r="Z436" s="3">
        <f t="shared" si="100"/>
        <v>0</v>
      </c>
      <c r="AA436">
        <f>ROUND(IF(FALSE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,0)</f>
        <v>0</v>
      </c>
    </row>
    <row r="437" spans="1:27">
      <c r="A437" s="30">
        <f>432</f>
        <v>432</v>
      </c>
      <c r="B437" s="31">
        <f>EDATE(入力!$B$6,A437-1)</f>
        <v>59353</v>
      </c>
      <c r="C437" s="32">
        <f t="shared" si="101"/>
        <v>0</v>
      </c>
      <c r="D437" s="32">
        <f t="shared" si="102"/>
        <v>0</v>
      </c>
      <c r="E437" s="33">
        <f>IF(AND(T436="",A437&lt;=S436),IF(A437&lt;入力!$B$11,入力!$B$10,入力!$B$12),0)</f>
        <v>0</v>
      </c>
      <c r="F437" s="32">
        <f t="shared" si="103"/>
        <v>0</v>
      </c>
      <c r="G437" s="32">
        <f>ROUND(IF(NOT(AND(T436="",A437&lt;=S436)),0,IF(FALSE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),0)</f>
        <v>0</v>
      </c>
      <c r="H437" s="32">
        <f t="shared" si="104"/>
        <v>0</v>
      </c>
      <c r="I437" s="32">
        <f t="shared" si="105"/>
        <v>0</v>
      </c>
      <c r="J437" s="32">
        <f t="shared" si="106"/>
        <v>0</v>
      </c>
      <c r="K437" s="32">
        <f t="shared" si="107"/>
        <v>0</v>
      </c>
      <c r="L437" s="32">
        <f t="shared" si="108"/>
        <v>0</v>
      </c>
      <c r="M437" s="32">
        <f>IF(AND(AND(T436="",A437&lt;=S436),A437=入力!$B$15),ROUND(MIN(入力!$B$16,MAX(0,C437-L437)),0),0)</f>
        <v>0</v>
      </c>
      <c r="N437" s="32">
        <f t="shared" si="109"/>
        <v>0</v>
      </c>
      <c r="O437" s="32">
        <f t="shared" si="110"/>
        <v>10725103</v>
      </c>
      <c r="P437" s="34" t="str">
        <f>IF(NOT(AND(T436="",A437&lt;=S436)),"",IF(FALSE,"繰上返済後再計算","")&amp;IF(AND(入力!$B$13="有効",A437&gt;1,MOD(A437-1,60)=0),IF(FALSE,"・","")&amp;"5年見直し","")&amp;IF(AND(A437=入力!$B$11,A437&gt;1),IF(OR(FALSE,AND(入力!$B$13="有効",A437&gt;1,MOD(A437-1,60)=0)),"・","")&amp;"金利変更","")&amp;IF(AND(OR(AND(入力!$B$13="有効",A437&gt;1,MOD(A437-1,60)=0),AND(A437=入力!$B$11,A437&gt;1)),入力!$B$14="有効",IF(E437=0,ROUND(C437/MAX(1,S436-A437+1),0),ROUND(-PMT(E437/12,MAX(1,S436-A437+1),C437),0))&gt;ROUND(G436*1.25,0),NOT(FALSE)),"・上限適用",""))</f>
        <v/>
      </c>
      <c r="Q437" s="35" t="str">
        <f>IF(AND(T436="",A437&lt;=S436),入力!$B$13,"")</f>
        <v/>
      </c>
      <c r="R437" s="32" t="str">
        <f>IF(AND(AND(T436="",A437&lt;=S436),OR(AND(入力!$B$13="有効",A437&gt;1,MOD(A437-1,60)=0),AND(A437=入力!$B$11,A437&gt;1)),入力!$B$14="有効"),ROUND(G436*1.25,0),"")</f>
        <v/>
      </c>
      <c r="S437" s="36">
        <f>IF(A437&lt;&gt;入力!$B$15,S436,IF(K437&lt;&gt;0,S436,IF(G437&lt;=F437,S436,IF(M437&lt;=0,S436,IF(AND(N437&gt;0,E437&gt;0,G437&lt;=N437*E437/12),S436,IF(A437+IF(N437=0,0,IF(E437=0,ROUNDUP(N437/G437,0),ROUNDUP(NPER(E437/12,-G437,N437),0)))&lt;S436,A437+IF(N437=0,0,IF(E437=0,ROUNDUP(N437/G437,0),ROUNDUP(NPER(E437/12,-G437,N437),0))),S436))))))</f>
        <v>359</v>
      </c>
      <c r="T437" s="35" t="str">
        <f t="shared" si="111"/>
        <v/>
      </c>
      <c r="U437" s="3">
        <f t="shared" si="96"/>
        <v>0</v>
      </c>
      <c r="V437" s="3">
        <f t="shared" si="97"/>
        <v>0</v>
      </c>
      <c r="W437" s="3">
        <f t="shared" si="98"/>
        <v>0</v>
      </c>
      <c r="X437" s="3">
        <f t="shared" si="99"/>
        <v>0</v>
      </c>
      <c r="Y437" s="3">
        <f>0</f>
        <v>0</v>
      </c>
      <c r="Z437" s="3">
        <f t="shared" si="100"/>
        <v>0</v>
      </c>
      <c r="AA437">
        <f>ROUND(IF(FALSE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,0)</f>
        <v>0</v>
      </c>
    </row>
    <row r="438" spans="1:27">
      <c r="A438" s="30">
        <f>433</f>
        <v>433</v>
      </c>
      <c r="B438" s="31">
        <f>EDATE(入力!$B$6,A438-1)</f>
        <v>59384</v>
      </c>
      <c r="C438" s="32">
        <f t="shared" si="101"/>
        <v>0</v>
      </c>
      <c r="D438" s="32">
        <f t="shared" si="102"/>
        <v>0</v>
      </c>
      <c r="E438" s="33">
        <f>IF(AND(T437="",A438&lt;=S437),IF(A438&lt;入力!$B$11,入力!$B$10,入力!$B$12),0)</f>
        <v>0</v>
      </c>
      <c r="F438" s="32">
        <f t="shared" si="103"/>
        <v>0</v>
      </c>
      <c r="G438" s="32">
        <f>ROUND(IF(NOT(AND(T437="",A438&lt;=S437)),0,IF(FALSE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),0)</f>
        <v>0</v>
      </c>
      <c r="H438" s="32">
        <f t="shared" si="104"/>
        <v>0</v>
      </c>
      <c r="I438" s="32">
        <f t="shared" si="105"/>
        <v>0</v>
      </c>
      <c r="J438" s="32">
        <f t="shared" si="106"/>
        <v>0</v>
      </c>
      <c r="K438" s="32">
        <f t="shared" si="107"/>
        <v>0</v>
      </c>
      <c r="L438" s="32">
        <f t="shared" si="108"/>
        <v>0</v>
      </c>
      <c r="M438" s="32">
        <f>IF(AND(AND(T437="",A438&lt;=S437),A438=入力!$B$15),ROUND(MIN(入力!$B$16,MAX(0,C438-L438)),0),0)</f>
        <v>0</v>
      </c>
      <c r="N438" s="32">
        <f t="shared" si="109"/>
        <v>0</v>
      </c>
      <c r="O438" s="32">
        <f t="shared" si="110"/>
        <v>10725103</v>
      </c>
      <c r="P438" s="34" t="str">
        <f>IF(NOT(AND(T437="",A438&lt;=S437)),"",IF(FALSE,"繰上返済後再計算","")&amp;IF(AND(入力!$B$13="有効",A438&gt;1,MOD(A438-1,60)=0),IF(FALSE,"・","")&amp;"5年見直し","")&amp;IF(AND(A438=入力!$B$11,A438&gt;1),IF(OR(FALSE,AND(入力!$B$13="有効",A438&gt;1,MOD(A438-1,60)=0)),"・","")&amp;"金利変更","")&amp;IF(AND(OR(AND(入力!$B$13="有効",A438&gt;1,MOD(A438-1,60)=0),AND(A438=入力!$B$11,A438&gt;1)),入力!$B$14="有効",IF(E438=0,ROUND(C438/MAX(1,S437-A438+1),0),ROUND(-PMT(E438/12,MAX(1,S437-A438+1),C438),0))&gt;ROUND(G437*1.25,0),NOT(FALSE)),"・上限適用",""))</f>
        <v/>
      </c>
      <c r="Q438" s="35" t="str">
        <f>IF(AND(T437="",A438&lt;=S437),入力!$B$13,"")</f>
        <v/>
      </c>
      <c r="R438" s="32" t="str">
        <f>IF(AND(AND(T437="",A438&lt;=S437),OR(AND(入力!$B$13="有効",A438&gt;1,MOD(A438-1,60)=0),AND(A438=入力!$B$11,A438&gt;1)),入力!$B$14="有効"),ROUND(G437*1.25,0),"")</f>
        <v/>
      </c>
      <c r="S438" s="36">
        <f>IF(A438&lt;&gt;入力!$B$15,S437,IF(K438&lt;&gt;0,S437,IF(G438&lt;=F438,S437,IF(M438&lt;=0,S437,IF(AND(N438&gt;0,E438&gt;0,G438&lt;=N438*E438/12),S437,IF(A438+IF(N438=0,0,IF(E438=0,ROUNDUP(N438/G438,0),ROUNDUP(NPER(E438/12,-G438,N438),0)))&lt;S437,A438+IF(N438=0,0,IF(E438=0,ROUNDUP(N438/G438,0),ROUNDUP(NPER(E438/12,-G438,N438),0))),S437))))))</f>
        <v>359</v>
      </c>
      <c r="T438" s="35" t="str">
        <f t="shared" si="111"/>
        <v/>
      </c>
      <c r="U438" s="3">
        <f t="shared" si="96"/>
        <v>0</v>
      </c>
      <c r="V438" s="3">
        <f t="shared" si="97"/>
        <v>0</v>
      </c>
      <c r="W438" s="3">
        <f t="shared" si="98"/>
        <v>0</v>
      </c>
      <c r="X438" s="3">
        <f t="shared" si="99"/>
        <v>0</v>
      </c>
      <c r="Y438" s="3">
        <f>0</f>
        <v>0</v>
      </c>
      <c r="Z438" s="3">
        <f t="shared" si="100"/>
        <v>0</v>
      </c>
      <c r="AA438">
        <f>ROUND(IF(FALSE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,0)</f>
        <v>0</v>
      </c>
    </row>
    <row r="439" spans="1:27">
      <c r="A439" s="30">
        <f>434</f>
        <v>434</v>
      </c>
      <c r="B439" s="31">
        <f>EDATE(入力!$B$6,A439-1)</f>
        <v>59415</v>
      </c>
      <c r="C439" s="32">
        <f t="shared" si="101"/>
        <v>0</v>
      </c>
      <c r="D439" s="32">
        <f t="shared" si="102"/>
        <v>0</v>
      </c>
      <c r="E439" s="33">
        <f>IF(AND(T438="",A439&lt;=S438),IF(A439&lt;入力!$B$11,入力!$B$10,入力!$B$12),0)</f>
        <v>0</v>
      </c>
      <c r="F439" s="32">
        <f t="shared" si="103"/>
        <v>0</v>
      </c>
      <c r="G439" s="32">
        <f>ROUND(IF(NOT(AND(T438="",A439&lt;=S438)),0,IF(FALSE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),0)</f>
        <v>0</v>
      </c>
      <c r="H439" s="32">
        <f t="shared" si="104"/>
        <v>0</v>
      </c>
      <c r="I439" s="32">
        <f t="shared" si="105"/>
        <v>0</v>
      </c>
      <c r="J439" s="32">
        <f t="shared" si="106"/>
        <v>0</v>
      </c>
      <c r="K439" s="32">
        <f t="shared" si="107"/>
        <v>0</v>
      </c>
      <c r="L439" s="32">
        <f t="shared" si="108"/>
        <v>0</v>
      </c>
      <c r="M439" s="32">
        <f>IF(AND(AND(T438="",A439&lt;=S438),A439=入力!$B$15),ROUND(MIN(入力!$B$16,MAX(0,C439-L439)),0),0)</f>
        <v>0</v>
      </c>
      <c r="N439" s="32">
        <f t="shared" si="109"/>
        <v>0</v>
      </c>
      <c r="O439" s="32">
        <f t="shared" si="110"/>
        <v>10725103</v>
      </c>
      <c r="P439" s="34" t="str">
        <f>IF(NOT(AND(T438="",A439&lt;=S438)),"",IF(FALSE,"繰上返済後再計算","")&amp;IF(AND(入力!$B$13="有効",A439&gt;1,MOD(A439-1,60)=0),IF(FALSE,"・","")&amp;"5年見直し","")&amp;IF(AND(A439=入力!$B$11,A439&gt;1),IF(OR(FALSE,AND(入力!$B$13="有効",A439&gt;1,MOD(A439-1,60)=0)),"・","")&amp;"金利変更","")&amp;IF(AND(OR(AND(入力!$B$13="有効",A439&gt;1,MOD(A439-1,60)=0),AND(A439=入力!$B$11,A439&gt;1)),入力!$B$14="有効",IF(E439=0,ROUND(C439/MAX(1,S438-A439+1),0),ROUND(-PMT(E439/12,MAX(1,S438-A439+1),C439),0))&gt;ROUND(G438*1.25,0),NOT(FALSE)),"・上限適用",""))</f>
        <v/>
      </c>
      <c r="Q439" s="35" t="str">
        <f>IF(AND(T438="",A439&lt;=S438),入力!$B$13,"")</f>
        <v/>
      </c>
      <c r="R439" s="32" t="str">
        <f>IF(AND(AND(T438="",A439&lt;=S438),OR(AND(入力!$B$13="有効",A439&gt;1,MOD(A439-1,60)=0),AND(A439=入力!$B$11,A439&gt;1)),入力!$B$14="有効"),ROUND(G438*1.25,0),"")</f>
        <v/>
      </c>
      <c r="S439" s="36">
        <f>IF(A439&lt;&gt;入力!$B$15,S438,IF(K439&lt;&gt;0,S438,IF(G439&lt;=F439,S438,IF(M439&lt;=0,S438,IF(AND(N439&gt;0,E439&gt;0,G439&lt;=N439*E439/12),S438,IF(A439+IF(N439=0,0,IF(E439=0,ROUNDUP(N439/G439,0),ROUNDUP(NPER(E439/12,-G439,N439),0)))&lt;S438,A439+IF(N439=0,0,IF(E439=0,ROUNDUP(N439/G439,0),ROUNDUP(NPER(E439/12,-G439,N439),0))),S438))))))</f>
        <v>359</v>
      </c>
      <c r="T439" s="35" t="str">
        <f t="shared" si="111"/>
        <v/>
      </c>
      <c r="U439" s="3">
        <f t="shared" si="96"/>
        <v>0</v>
      </c>
      <c r="V439" s="3">
        <f t="shared" si="97"/>
        <v>0</v>
      </c>
      <c r="W439" s="3">
        <f t="shared" si="98"/>
        <v>0</v>
      </c>
      <c r="X439" s="3">
        <f t="shared" si="99"/>
        <v>0</v>
      </c>
      <c r="Y439" s="3">
        <f>0</f>
        <v>0</v>
      </c>
      <c r="Z439" s="3">
        <f t="shared" si="100"/>
        <v>0</v>
      </c>
      <c r="AA439">
        <f>ROUND(IF(FALSE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,0)</f>
        <v>0</v>
      </c>
    </row>
    <row r="440" spans="1:27">
      <c r="A440" s="30">
        <f>435</f>
        <v>435</v>
      </c>
      <c r="B440" s="31">
        <f>EDATE(入力!$B$6,A440-1)</f>
        <v>59445</v>
      </c>
      <c r="C440" s="32">
        <f t="shared" si="101"/>
        <v>0</v>
      </c>
      <c r="D440" s="32">
        <f t="shared" si="102"/>
        <v>0</v>
      </c>
      <c r="E440" s="33">
        <f>IF(AND(T439="",A440&lt;=S439),IF(A440&lt;入力!$B$11,入力!$B$10,入力!$B$12),0)</f>
        <v>0</v>
      </c>
      <c r="F440" s="32">
        <f t="shared" si="103"/>
        <v>0</v>
      </c>
      <c r="G440" s="32">
        <f>ROUND(IF(NOT(AND(T439="",A440&lt;=S439)),0,IF(FALSE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),0)</f>
        <v>0</v>
      </c>
      <c r="H440" s="32">
        <f t="shared" si="104"/>
        <v>0</v>
      </c>
      <c r="I440" s="32">
        <f t="shared" si="105"/>
        <v>0</v>
      </c>
      <c r="J440" s="32">
        <f t="shared" si="106"/>
        <v>0</v>
      </c>
      <c r="K440" s="32">
        <f t="shared" si="107"/>
        <v>0</v>
      </c>
      <c r="L440" s="32">
        <f t="shared" si="108"/>
        <v>0</v>
      </c>
      <c r="M440" s="32">
        <f>IF(AND(AND(T439="",A440&lt;=S439),A440=入力!$B$15),ROUND(MIN(入力!$B$16,MAX(0,C440-L440)),0),0)</f>
        <v>0</v>
      </c>
      <c r="N440" s="32">
        <f t="shared" si="109"/>
        <v>0</v>
      </c>
      <c r="O440" s="32">
        <f t="shared" si="110"/>
        <v>10725103</v>
      </c>
      <c r="P440" s="34" t="str">
        <f>IF(NOT(AND(T439="",A440&lt;=S439)),"",IF(FALSE,"繰上返済後再計算","")&amp;IF(AND(入力!$B$13="有効",A440&gt;1,MOD(A440-1,60)=0),IF(FALSE,"・","")&amp;"5年見直し","")&amp;IF(AND(A440=入力!$B$11,A440&gt;1),IF(OR(FALSE,AND(入力!$B$13="有効",A440&gt;1,MOD(A440-1,60)=0)),"・","")&amp;"金利変更","")&amp;IF(AND(OR(AND(入力!$B$13="有効",A440&gt;1,MOD(A440-1,60)=0),AND(A440=入力!$B$11,A440&gt;1)),入力!$B$14="有効",IF(E440=0,ROUND(C440/MAX(1,S439-A440+1),0),ROUND(-PMT(E440/12,MAX(1,S439-A440+1),C440),0))&gt;ROUND(G439*1.25,0),NOT(FALSE)),"・上限適用",""))</f>
        <v/>
      </c>
      <c r="Q440" s="35" t="str">
        <f>IF(AND(T439="",A440&lt;=S439),入力!$B$13,"")</f>
        <v/>
      </c>
      <c r="R440" s="32" t="str">
        <f>IF(AND(AND(T439="",A440&lt;=S439),OR(AND(入力!$B$13="有効",A440&gt;1,MOD(A440-1,60)=0),AND(A440=入力!$B$11,A440&gt;1)),入力!$B$14="有効"),ROUND(G439*1.25,0),"")</f>
        <v/>
      </c>
      <c r="S440" s="36">
        <f>IF(A440&lt;&gt;入力!$B$15,S439,IF(K440&lt;&gt;0,S439,IF(G440&lt;=F440,S439,IF(M440&lt;=0,S439,IF(AND(N440&gt;0,E440&gt;0,G440&lt;=N440*E440/12),S439,IF(A440+IF(N440=0,0,IF(E440=0,ROUNDUP(N440/G440,0),ROUNDUP(NPER(E440/12,-G440,N440),0)))&lt;S439,A440+IF(N440=0,0,IF(E440=0,ROUNDUP(N440/G440,0),ROUNDUP(NPER(E440/12,-G440,N440),0))),S439))))))</f>
        <v>359</v>
      </c>
      <c r="T440" s="35" t="str">
        <f t="shared" si="111"/>
        <v/>
      </c>
      <c r="U440" s="3">
        <f t="shared" si="96"/>
        <v>0</v>
      </c>
      <c r="V440" s="3">
        <f t="shared" si="97"/>
        <v>0</v>
      </c>
      <c r="W440" s="3">
        <f t="shared" si="98"/>
        <v>0</v>
      </c>
      <c r="X440" s="3">
        <f t="shared" si="99"/>
        <v>0</v>
      </c>
      <c r="Y440" s="3">
        <f>0</f>
        <v>0</v>
      </c>
      <c r="Z440" s="3">
        <f t="shared" si="100"/>
        <v>0</v>
      </c>
      <c r="AA440">
        <f>ROUND(IF(FALSE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,0)</f>
        <v>0</v>
      </c>
    </row>
    <row r="441" spans="1:27">
      <c r="A441" s="30">
        <f>436</f>
        <v>436</v>
      </c>
      <c r="B441" s="31">
        <f>EDATE(入力!$B$6,A441-1)</f>
        <v>59476</v>
      </c>
      <c r="C441" s="32">
        <f t="shared" si="101"/>
        <v>0</v>
      </c>
      <c r="D441" s="32">
        <f t="shared" si="102"/>
        <v>0</v>
      </c>
      <c r="E441" s="33">
        <f>IF(AND(T440="",A441&lt;=S440),IF(A441&lt;入力!$B$11,入力!$B$10,入力!$B$12),0)</f>
        <v>0</v>
      </c>
      <c r="F441" s="32">
        <f t="shared" si="103"/>
        <v>0</v>
      </c>
      <c r="G441" s="32">
        <f>ROUND(IF(NOT(AND(T440="",A441&lt;=S440)),0,IF(FALSE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),0)</f>
        <v>0</v>
      </c>
      <c r="H441" s="32">
        <f t="shared" si="104"/>
        <v>0</v>
      </c>
      <c r="I441" s="32">
        <f t="shared" si="105"/>
        <v>0</v>
      </c>
      <c r="J441" s="32">
        <f t="shared" si="106"/>
        <v>0</v>
      </c>
      <c r="K441" s="32">
        <f t="shared" si="107"/>
        <v>0</v>
      </c>
      <c r="L441" s="32">
        <f t="shared" si="108"/>
        <v>0</v>
      </c>
      <c r="M441" s="32">
        <f>IF(AND(AND(T440="",A441&lt;=S440),A441=入力!$B$15),ROUND(MIN(入力!$B$16,MAX(0,C441-L441)),0),0)</f>
        <v>0</v>
      </c>
      <c r="N441" s="32">
        <f t="shared" si="109"/>
        <v>0</v>
      </c>
      <c r="O441" s="32">
        <f t="shared" si="110"/>
        <v>10725103</v>
      </c>
      <c r="P441" s="34" t="str">
        <f>IF(NOT(AND(T440="",A441&lt;=S440)),"",IF(FALSE,"繰上返済後再計算","")&amp;IF(AND(入力!$B$13="有効",A441&gt;1,MOD(A441-1,60)=0),IF(FALSE,"・","")&amp;"5年見直し","")&amp;IF(AND(A441=入力!$B$11,A441&gt;1),IF(OR(FALSE,AND(入力!$B$13="有効",A441&gt;1,MOD(A441-1,60)=0)),"・","")&amp;"金利変更","")&amp;IF(AND(OR(AND(入力!$B$13="有効",A441&gt;1,MOD(A441-1,60)=0),AND(A441=入力!$B$11,A441&gt;1)),入力!$B$14="有効",IF(E441=0,ROUND(C441/MAX(1,S440-A441+1),0),ROUND(-PMT(E441/12,MAX(1,S440-A441+1),C441),0))&gt;ROUND(G440*1.25,0),NOT(FALSE)),"・上限適用",""))</f>
        <v/>
      </c>
      <c r="Q441" s="35" t="str">
        <f>IF(AND(T440="",A441&lt;=S440),入力!$B$13,"")</f>
        <v/>
      </c>
      <c r="R441" s="32" t="str">
        <f>IF(AND(AND(T440="",A441&lt;=S440),OR(AND(入力!$B$13="有効",A441&gt;1,MOD(A441-1,60)=0),AND(A441=入力!$B$11,A441&gt;1)),入力!$B$14="有効"),ROUND(G440*1.25,0),"")</f>
        <v/>
      </c>
      <c r="S441" s="36">
        <f>IF(A441&lt;&gt;入力!$B$15,S440,IF(K441&lt;&gt;0,S440,IF(G441&lt;=F441,S440,IF(M441&lt;=0,S440,IF(AND(N441&gt;0,E441&gt;0,G441&lt;=N441*E441/12),S440,IF(A441+IF(N441=0,0,IF(E441=0,ROUNDUP(N441/G441,0),ROUNDUP(NPER(E441/12,-G441,N441),0)))&lt;S440,A441+IF(N441=0,0,IF(E441=0,ROUNDUP(N441/G441,0),ROUNDUP(NPER(E441/12,-G441,N441),0))),S440))))))</f>
        <v>359</v>
      </c>
      <c r="T441" s="35" t="str">
        <f t="shared" si="111"/>
        <v/>
      </c>
      <c r="U441" s="3">
        <f t="shared" si="96"/>
        <v>0</v>
      </c>
      <c r="V441" s="3">
        <f t="shared" si="97"/>
        <v>0</v>
      </c>
      <c r="W441" s="3">
        <f t="shared" si="98"/>
        <v>0</v>
      </c>
      <c r="X441" s="3">
        <f t="shared" si="99"/>
        <v>0</v>
      </c>
      <c r="Y441" s="3">
        <f>0</f>
        <v>0</v>
      </c>
      <c r="Z441" s="3">
        <f t="shared" si="100"/>
        <v>0</v>
      </c>
      <c r="AA441">
        <f>ROUND(IF(FALSE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,0)</f>
        <v>0</v>
      </c>
    </row>
    <row r="442" spans="1:27">
      <c r="A442" s="30">
        <f>437</f>
        <v>437</v>
      </c>
      <c r="B442" s="31">
        <f>EDATE(入力!$B$6,A442-1)</f>
        <v>59506</v>
      </c>
      <c r="C442" s="32">
        <f t="shared" si="101"/>
        <v>0</v>
      </c>
      <c r="D442" s="32">
        <f t="shared" si="102"/>
        <v>0</v>
      </c>
      <c r="E442" s="33">
        <f>IF(AND(T441="",A442&lt;=S441),IF(A442&lt;入力!$B$11,入力!$B$10,入力!$B$12),0)</f>
        <v>0</v>
      </c>
      <c r="F442" s="32">
        <f t="shared" si="103"/>
        <v>0</v>
      </c>
      <c r="G442" s="32">
        <f>ROUND(IF(NOT(AND(T441="",A442&lt;=S441)),0,IF(FALSE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),0)</f>
        <v>0</v>
      </c>
      <c r="H442" s="32">
        <f t="shared" si="104"/>
        <v>0</v>
      </c>
      <c r="I442" s="32">
        <f t="shared" si="105"/>
        <v>0</v>
      </c>
      <c r="J442" s="32">
        <f t="shared" si="106"/>
        <v>0</v>
      </c>
      <c r="K442" s="32">
        <f t="shared" si="107"/>
        <v>0</v>
      </c>
      <c r="L442" s="32">
        <f t="shared" si="108"/>
        <v>0</v>
      </c>
      <c r="M442" s="32">
        <f>IF(AND(AND(T441="",A442&lt;=S441),A442=入力!$B$15),ROUND(MIN(入力!$B$16,MAX(0,C442-L442)),0),0)</f>
        <v>0</v>
      </c>
      <c r="N442" s="32">
        <f t="shared" si="109"/>
        <v>0</v>
      </c>
      <c r="O442" s="32">
        <f t="shared" si="110"/>
        <v>10725103</v>
      </c>
      <c r="P442" s="34" t="str">
        <f>IF(NOT(AND(T441="",A442&lt;=S441)),"",IF(FALSE,"繰上返済後再計算","")&amp;IF(AND(入力!$B$13="有効",A442&gt;1,MOD(A442-1,60)=0),IF(FALSE,"・","")&amp;"5年見直し","")&amp;IF(AND(A442=入力!$B$11,A442&gt;1),IF(OR(FALSE,AND(入力!$B$13="有効",A442&gt;1,MOD(A442-1,60)=0)),"・","")&amp;"金利変更","")&amp;IF(AND(OR(AND(入力!$B$13="有効",A442&gt;1,MOD(A442-1,60)=0),AND(A442=入力!$B$11,A442&gt;1)),入力!$B$14="有効",IF(E442=0,ROUND(C442/MAX(1,S441-A442+1),0),ROUND(-PMT(E442/12,MAX(1,S441-A442+1),C442),0))&gt;ROUND(G441*1.25,0),NOT(FALSE)),"・上限適用",""))</f>
        <v/>
      </c>
      <c r="Q442" s="35" t="str">
        <f>IF(AND(T441="",A442&lt;=S441),入力!$B$13,"")</f>
        <v/>
      </c>
      <c r="R442" s="32" t="str">
        <f>IF(AND(AND(T441="",A442&lt;=S441),OR(AND(入力!$B$13="有効",A442&gt;1,MOD(A442-1,60)=0),AND(A442=入力!$B$11,A442&gt;1)),入力!$B$14="有効"),ROUND(G441*1.25,0),"")</f>
        <v/>
      </c>
      <c r="S442" s="36">
        <f>IF(A442&lt;&gt;入力!$B$15,S441,IF(K442&lt;&gt;0,S441,IF(G442&lt;=F442,S441,IF(M442&lt;=0,S441,IF(AND(N442&gt;0,E442&gt;0,G442&lt;=N442*E442/12),S441,IF(A442+IF(N442=0,0,IF(E442=0,ROUNDUP(N442/G442,0),ROUNDUP(NPER(E442/12,-G442,N442),0)))&lt;S441,A442+IF(N442=0,0,IF(E442=0,ROUNDUP(N442/G442,0),ROUNDUP(NPER(E442/12,-G442,N442),0))),S441))))))</f>
        <v>359</v>
      </c>
      <c r="T442" s="35" t="str">
        <f t="shared" si="111"/>
        <v/>
      </c>
      <c r="U442" s="3">
        <f t="shared" si="96"/>
        <v>0</v>
      </c>
      <c r="V442" s="3">
        <f t="shared" si="97"/>
        <v>0</v>
      </c>
      <c r="W442" s="3">
        <f t="shared" si="98"/>
        <v>0</v>
      </c>
      <c r="X442" s="3">
        <f t="shared" si="99"/>
        <v>0</v>
      </c>
      <c r="Y442" s="3">
        <f>0</f>
        <v>0</v>
      </c>
      <c r="Z442" s="3">
        <f t="shared" si="100"/>
        <v>0</v>
      </c>
      <c r="AA442">
        <f>ROUND(IF(FALSE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,0)</f>
        <v>0</v>
      </c>
    </row>
    <row r="443" spans="1:27">
      <c r="A443" s="30">
        <f>438</f>
        <v>438</v>
      </c>
      <c r="B443" s="31">
        <f>EDATE(入力!$B$6,A443-1)</f>
        <v>59537</v>
      </c>
      <c r="C443" s="32">
        <f t="shared" si="101"/>
        <v>0</v>
      </c>
      <c r="D443" s="32">
        <f t="shared" si="102"/>
        <v>0</v>
      </c>
      <c r="E443" s="33">
        <f>IF(AND(T442="",A443&lt;=S442),IF(A443&lt;入力!$B$11,入力!$B$10,入力!$B$12),0)</f>
        <v>0</v>
      </c>
      <c r="F443" s="32">
        <f t="shared" si="103"/>
        <v>0</v>
      </c>
      <c r="G443" s="32">
        <f>ROUND(IF(NOT(AND(T442="",A443&lt;=S442)),0,IF(FALSE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),0)</f>
        <v>0</v>
      </c>
      <c r="H443" s="32">
        <f t="shared" si="104"/>
        <v>0</v>
      </c>
      <c r="I443" s="32">
        <f t="shared" si="105"/>
        <v>0</v>
      </c>
      <c r="J443" s="32">
        <f t="shared" si="106"/>
        <v>0</v>
      </c>
      <c r="K443" s="32">
        <f t="shared" si="107"/>
        <v>0</v>
      </c>
      <c r="L443" s="32">
        <f t="shared" si="108"/>
        <v>0</v>
      </c>
      <c r="M443" s="32">
        <f>IF(AND(AND(T442="",A443&lt;=S442),A443=入力!$B$15),ROUND(MIN(入力!$B$16,MAX(0,C443-L443)),0),0)</f>
        <v>0</v>
      </c>
      <c r="N443" s="32">
        <f t="shared" si="109"/>
        <v>0</v>
      </c>
      <c r="O443" s="32">
        <f t="shared" si="110"/>
        <v>10725103</v>
      </c>
      <c r="P443" s="34" t="str">
        <f>IF(NOT(AND(T442="",A443&lt;=S442)),"",IF(FALSE,"繰上返済後再計算","")&amp;IF(AND(入力!$B$13="有効",A443&gt;1,MOD(A443-1,60)=0),IF(FALSE,"・","")&amp;"5年見直し","")&amp;IF(AND(A443=入力!$B$11,A443&gt;1),IF(OR(FALSE,AND(入力!$B$13="有効",A443&gt;1,MOD(A443-1,60)=0)),"・","")&amp;"金利変更","")&amp;IF(AND(OR(AND(入力!$B$13="有効",A443&gt;1,MOD(A443-1,60)=0),AND(A443=入力!$B$11,A443&gt;1)),入力!$B$14="有効",IF(E443=0,ROUND(C443/MAX(1,S442-A443+1),0),ROUND(-PMT(E443/12,MAX(1,S442-A443+1),C443),0))&gt;ROUND(G442*1.25,0),NOT(FALSE)),"・上限適用",""))</f>
        <v/>
      </c>
      <c r="Q443" s="35" t="str">
        <f>IF(AND(T442="",A443&lt;=S442),入力!$B$13,"")</f>
        <v/>
      </c>
      <c r="R443" s="32" t="str">
        <f>IF(AND(AND(T442="",A443&lt;=S442),OR(AND(入力!$B$13="有効",A443&gt;1,MOD(A443-1,60)=0),AND(A443=入力!$B$11,A443&gt;1)),入力!$B$14="有効"),ROUND(G442*1.25,0),"")</f>
        <v/>
      </c>
      <c r="S443" s="36">
        <f>IF(A443&lt;&gt;入力!$B$15,S442,IF(K443&lt;&gt;0,S442,IF(G443&lt;=F443,S442,IF(M443&lt;=0,S442,IF(AND(N443&gt;0,E443&gt;0,G443&lt;=N443*E443/12),S442,IF(A443+IF(N443=0,0,IF(E443=0,ROUNDUP(N443/G443,0),ROUNDUP(NPER(E443/12,-G443,N443),0)))&lt;S442,A443+IF(N443=0,0,IF(E443=0,ROUNDUP(N443/G443,0),ROUNDUP(NPER(E443/12,-G443,N443),0))),S442))))))</f>
        <v>359</v>
      </c>
      <c r="T443" s="35" t="str">
        <f t="shared" si="111"/>
        <v/>
      </c>
      <c r="U443" s="3">
        <f t="shared" si="96"/>
        <v>0</v>
      </c>
      <c r="V443" s="3">
        <f t="shared" si="97"/>
        <v>0</v>
      </c>
      <c r="W443" s="3">
        <f t="shared" si="98"/>
        <v>0</v>
      </c>
      <c r="X443" s="3">
        <f t="shared" si="99"/>
        <v>0</v>
      </c>
      <c r="Y443" s="3">
        <f>0</f>
        <v>0</v>
      </c>
      <c r="Z443" s="3">
        <f t="shared" si="100"/>
        <v>0</v>
      </c>
      <c r="AA443">
        <f>ROUND(IF(FALSE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,0)</f>
        <v>0</v>
      </c>
    </row>
    <row r="444" spans="1:27">
      <c r="A444" s="30">
        <f>439</f>
        <v>439</v>
      </c>
      <c r="B444" s="31">
        <f>EDATE(入力!$B$6,A444-1)</f>
        <v>59568</v>
      </c>
      <c r="C444" s="32">
        <f t="shared" si="101"/>
        <v>0</v>
      </c>
      <c r="D444" s="32">
        <f t="shared" si="102"/>
        <v>0</v>
      </c>
      <c r="E444" s="33">
        <f>IF(AND(T443="",A444&lt;=S443),IF(A444&lt;入力!$B$11,入力!$B$10,入力!$B$12),0)</f>
        <v>0</v>
      </c>
      <c r="F444" s="32">
        <f t="shared" si="103"/>
        <v>0</v>
      </c>
      <c r="G444" s="32">
        <f>ROUND(IF(NOT(AND(T443="",A444&lt;=S443)),0,IF(FALSE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),0)</f>
        <v>0</v>
      </c>
      <c r="H444" s="32">
        <f t="shared" si="104"/>
        <v>0</v>
      </c>
      <c r="I444" s="32">
        <f t="shared" si="105"/>
        <v>0</v>
      </c>
      <c r="J444" s="32">
        <f t="shared" si="106"/>
        <v>0</v>
      </c>
      <c r="K444" s="32">
        <f t="shared" si="107"/>
        <v>0</v>
      </c>
      <c r="L444" s="32">
        <f t="shared" si="108"/>
        <v>0</v>
      </c>
      <c r="M444" s="32">
        <f>IF(AND(AND(T443="",A444&lt;=S443),A444=入力!$B$15),ROUND(MIN(入力!$B$16,MAX(0,C444-L444)),0),0)</f>
        <v>0</v>
      </c>
      <c r="N444" s="32">
        <f t="shared" si="109"/>
        <v>0</v>
      </c>
      <c r="O444" s="32">
        <f t="shared" si="110"/>
        <v>10725103</v>
      </c>
      <c r="P444" s="34" t="str">
        <f>IF(NOT(AND(T443="",A444&lt;=S443)),"",IF(FALSE,"繰上返済後再計算","")&amp;IF(AND(入力!$B$13="有効",A444&gt;1,MOD(A444-1,60)=0),IF(FALSE,"・","")&amp;"5年見直し","")&amp;IF(AND(A444=入力!$B$11,A444&gt;1),IF(OR(FALSE,AND(入力!$B$13="有効",A444&gt;1,MOD(A444-1,60)=0)),"・","")&amp;"金利変更","")&amp;IF(AND(OR(AND(入力!$B$13="有効",A444&gt;1,MOD(A444-1,60)=0),AND(A444=入力!$B$11,A444&gt;1)),入力!$B$14="有効",IF(E444=0,ROUND(C444/MAX(1,S443-A444+1),0),ROUND(-PMT(E444/12,MAX(1,S443-A444+1),C444),0))&gt;ROUND(G443*1.25,0),NOT(FALSE)),"・上限適用",""))</f>
        <v/>
      </c>
      <c r="Q444" s="35" t="str">
        <f>IF(AND(T443="",A444&lt;=S443),入力!$B$13,"")</f>
        <v/>
      </c>
      <c r="R444" s="32" t="str">
        <f>IF(AND(AND(T443="",A444&lt;=S443),OR(AND(入力!$B$13="有効",A444&gt;1,MOD(A444-1,60)=0),AND(A444=入力!$B$11,A444&gt;1)),入力!$B$14="有効"),ROUND(G443*1.25,0),"")</f>
        <v/>
      </c>
      <c r="S444" s="36">
        <f>IF(A444&lt;&gt;入力!$B$15,S443,IF(K444&lt;&gt;0,S443,IF(G444&lt;=F444,S443,IF(M444&lt;=0,S443,IF(AND(N444&gt;0,E444&gt;0,G444&lt;=N444*E444/12),S443,IF(A444+IF(N444=0,0,IF(E444=0,ROUNDUP(N444/G444,0),ROUNDUP(NPER(E444/12,-G444,N444),0)))&lt;S443,A444+IF(N444=0,0,IF(E444=0,ROUNDUP(N444/G444,0),ROUNDUP(NPER(E444/12,-G444,N444),0))),S443))))))</f>
        <v>359</v>
      </c>
      <c r="T444" s="35" t="str">
        <f t="shared" si="111"/>
        <v/>
      </c>
      <c r="U444" s="3">
        <f t="shared" si="96"/>
        <v>0</v>
      </c>
      <c r="V444" s="3">
        <f t="shared" si="97"/>
        <v>0</v>
      </c>
      <c r="W444" s="3">
        <f t="shared" si="98"/>
        <v>0</v>
      </c>
      <c r="X444" s="3">
        <f t="shared" si="99"/>
        <v>0</v>
      </c>
      <c r="Y444" s="3">
        <f>0</f>
        <v>0</v>
      </c>
      <c r="Z444" s="3">
        <f t="shared" si="100"/>
        <v>0</v>
      </c>
      <c r="AA444">
        <f>ROUND(IF(FALSE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,0)</f>
        <v>0</v>
      </c>
    </row>
    <row r="445" spans="1:27">
      <c r="A445" s="30">
        <f>440</f>
        <v>440</v>
      </c>
      <c r="B445" s="31">
        <f>EDATE(入力!$B$6,A445-1)</f>
        <v>59596</v>
      </c>
      <c r="C445" s="32">
        <f t="shared" si="101"/>
        <v>0</v>
      </c>
      <c r="D445" s="32">
        <f t="shared" si="102"/>
        <v>0</v>
      </c>
      <c r="E445" s="33">
        <f>IF(AND(T444="",A445&lt;=S444),IF(A445&lt;入力!$B$11,入力!$B$10,入力!$B$12),0)</f>
        <v>0</v>
      </c>
      <c r="F445" s="32">
        <f t="shared" si="103"/>
        <v>0</v>
      </c>
      <c r="G445" s="32">
        <f>ROUND(IF(NOT(AND(T444="",A445&lt;=S444)),0,IF(FALSE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),0)</f>
        <v>0</v>
      </c>
      <c r="H445" s="32">
        <f t="shared" si="104"/>
        <v>0</v>
      </c>
      <c r="I445" s="32">
        <f t="shared" si="105"/>
        <v>0</v>
      </c>
      <c r="J445" s="32">
        <f t="shared" si="106"/>
        <v>0</v>
      </c>
      <c r="K445" s="32">
        <f t="shared" si="107"/>
        <v>0</v>
      </c>
      <c r="L445" s="32">
        <f t="shared" si="108"/>
        <v>0</v>
      </c>
      <c r="M445" s="32">
        <f>IF(AND(AND(T444="",A445&lt;=S444),A445=入力!$B$15),ROUND(MIN(入力!$B$16,MAX(0,C445-L445)),0),0)</f>
        <v>0</v>
      </c>
      <c r="N445" s="32">
        <f t="shared" si="109"/>
        <v>0</v>
      </c>
      <c r="O445" s="32">
        <f t="shared" si="110"/>
        <v>10725103</v>
      </c>
      <c r="P445" s="34" t="str">
        <f>IF(NOT(AND(T444="",A445&lt;=S444)),"",IF(FALSE,"繰上返済後再計算","")&amp;IF(AND(入力!$B$13="有効",A445&gt;1,MOD(A445-1,60)=0),IF(FALSE,"・","")&amp;"5年見直し","")&amp;IF(AND(A445=入力!$B$11,A445&gt;1),IF(OR(FALSE,AND(入力!$B$13="有効",A445&gt;1,MOD(A445-1,60)=0)),"・","")&amp;"金利変更","")&amp;IF(AND(OR(AND(入力!$B$13="有効",A445&gt;1,MOD(A445-1,60)=0),AND(A445=入力!$B$11,A445&gt;1)),入力!$B$14="有効",IF(E445=0,ROUND(C445/MAX(1,S444-A445+1),0),ROUND(-PMT(E445/12,MAX(1,S444-A445+1),C445),0))&gt;ROUND(G444*1.25,0),NOT(FALSE)),"・上限適用",""))</f>
        <v/>
      </c>
      <c r="Q445" s="35" t="str">
        <f>IF(AND(T444="",A445&lt;=S444),入力!$B$13,"")</f>
        <v/>
      </c>
      <c r="R445" s="32" t="str">
        <f>IF(AND(AND(T444="",A445&lt;=S444),OR(AND(入力!$B$13="有効",A445&gt;1,MOD(A445-1,60)=0),AND(A445=入力!$B$11,A445&gt;1)),入力!$B$14="有効"),ROUND(G444*1.25,0),"")</f>
        <v/>
      </c>
      <c r="S445" s="36">
        <f>IF(A445&lt;&gt;入力!$B$15,S444,IF(K445&lt;&gt;0,S444,IF(G445&lt;=F445,S444,IF(M445&lt;=0,S444,IF(AND(N445&gt;0,E445&gt;0,G445&lt;=N445*E445/12),S444,IF(A445+IF(N445=0,0,IF(E445=0,ROUNDUP(N445/G445,0),ROUNDUP(NPER(E445/12,-G445,N445),0)))&lt;S444,A445+IF(N445=0,0,IF(E445=0,ROUNDUP(N445/G445,0),ROUNDUP(NPER(E445/12,-G445,N445),0))),S444))))))</f>
        <v>359</v>
      </c>
      <c r="T445" s="35" t="str">
        <f t="shared" si="111"/>
        <v/>
      </c>
      <c r="U445" s="3">
        <f t="shared" si="96"/>
        <v>0</v>
      </c>
      <c r="V445" s="3">
        <f t="shared" si="97"/>
        <v>0</v>
      </c>
      <c r="W445" s="3">
        <f t="shared" si="98"/>
        <v>0</v>
      </c>
      <c r="X445" s="3">
        <f t="shared" si="99"/>
        <v>0</v>
      </c>
      <c r="Y445" s="3">
        <f>0</f>
        <v>0</v>
      </c>
      <c r="Z445" s="3">
        <f t="shared" si="100"/>
        <v>0</v>
      </c>
      <c r="AA445">
        <f>ROUND(IF(FALSE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,0)</f>
        <v>0</v>
      </c>
    </row>
    <row r="446" spans="1:27">
      <c r="A446" s="30">
        <f>441</f>
        <v>441</v>
      </c>
      <c r="B446" s="31">
        <f>EDATE(入力!$B$6,A446-1)</f>
        <v>59627</v>
      </c>
      <c r="C446" s="32">
        <f t="shared" si="101"/>
        <v>0</v>
      </c>
      <c r="D446" s="32">
        <f t="shared" si="102"/>
        <v>0</v>
      </c>
      <c r="E446" s="33">
        <f>IF(AND(T445="",A446&lt;=S445),IF(A446&lt;入力!$B$11,入力!$B$10,入力!$B$12),0)</f>
        <v>0</v>
      </c>
      <c r="F446" s="32">
        <f t="shared" si="103"/>
        <v>0</v>
      </c>
      <c r="G446" s="32">
        <f>ROUND(IF(NOT(AND(T445="",A446&lt;=S445)),0,IF(FALSE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),0)</f>
        <v>0</v>
      </c>
      <c r="H446" s="32">
        <f t="shared" si="104"/>
        <v>0</v>
      </c>
      <c r="I446" s="32">
        <f t="shared" si="105"/>
        <v>0</v>
      </c>
      <c r="J446" s="32">
        <f t="shared" si="106"/>
        <v>0</v>
      </c>
      <c r="K446" s="32">
        <f t="shared" si="107"/>
        <v>0</v>
      </c>
      <c r="L446" s="32">
        <f t="shared" si="108"/>
        <v>0</v>
      </c>
      <c r="M446" s="32">
        <f>IF(AND(AND(T445="",A446&lt;=S445),A446=入力!$B$15),ROUND(MIN(入力!$B$16,MAX(0,C446-L446)),0),0)</f>
        <v>0</v>
      </c>
      <c r="N446" s="32">
        <f t="shared" si="109"/>
        <v>0</v>
      </c>
      <c r="O446" s="32">
        <f t="shared" si="110"/>
        <v>10725103</v>
      </c>
      <c r="P446" s="34" t="str">
        <f>IF(NOT(AND(T445="",A446&lt;=S445)),"",IF(FALSE,"繰上返済後再計算","")&amp;IF(AND(入力!$B$13="有効",A446&gt;1,MOD(A446-1,60)=0),IF(FALSE,"・","")&amp;"5年見直し","")&amp;IF(AND(A446=入力!$B$11,A446&gt;1),IF(OR(FALSE,AND(入力!$B$13="有効",A446&gt;1,MOD(A446-1,60)=0)),"・","")&amp;"金利変更","")&amp;IF(AND(OR(AND(入力!$B$13="有効",A446&gt;1,MOD(A446-1,60)=0),AND(A446=入力!$B$11,A446&gt;1)),入力!$B$14="有効",IF(E446=0,ROUND(C446/MAX(1,S445-A446+1),0),ROUND(-PMT(E446/12,MAX(1,S445-A446+1),C446),0))&gt;ROUND(G445*1.25,0),NOT(FALSE)),"・上限適用",""))</f>
        <v/>
      </c>
      <c r="Q446" s="35" t="str">
        <f>IF(AND(T445="",A446&lt;=S445),入力!$B$13,"")</f>
        <v/>
      </c>
      <c r="R446" s="32" t="str">
        <f>IF(AND(AND(T445="",A446&lt;=S445),OR(AND(入力!$B$13="有効",A446&gt;1,MOD(A446-1,60)=0),AND(A446=入力!$B$11,A446&gt;1)),入力!$B$14="有効"),ROUND(G445*1.25,0),"")</f>
        <v/>
      </c>
      <c r="S446" s="36">
        <f>IF(A446&lt;&gt;入力!$B$15,S445,IF(K446&lt;&gt;0,S445,IF(G446&lt;=F446,S445,IF(M446&lt;=0,S445,IF(AND(N446&gt;0,E446&gt;0,G446&lt;=N446*E446/12),S445,IF(A446+IF(N446=0,0,IF(E446=0,ROUNDUP(N446/G446,0),ROUNDUP(NPER(E446/12,-G446,N446),0)))&lt;S445,A446+IF(N446=0,0,IF(E446=0,ROUNDUP(N446/G446,0),ROUNDUP(NPER(E446/12,-G446,N446),0))),S445))))))</f>
        <v>359</v>
      </c>
      <c r="T446" s="35" t="str">
        <f t="shared" si="111"/>
        <v/>
      </c>
      <c r="U446" s="3">
        <f t="shared" si="96"/>
        <v>0</v>
      </c>
      <c r="V446" s="3">
        <f t="shared" si="97"/>
        <v>0</v>
      </c>
      <c r="W446" s="3">
        <f t="shared" si="98"/>
        <v>0</v>
      </c>
      <c r="X446" s="3">
        <f t="shared" si="99"/>
        <v>0</v>
      </c>
      <c r="Y446" s="3">
        <f>0</f>
        <v>0</v>
      </c>
      <c r="Z446" s="3">
        <f t="shared" si="100"/>
        <v>0</v>
      </c>
      <c r="AA446">
        <f>ROUND(IF(FALSE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,0)</f>
        <v>0</v>
      </c>
    </row>
    <row r="447" spans="1:27">
      <c r="A447" s="30">
        <f>442</f>
        <v>442</v>
      </c>
      <c r="B447" s="31">
        <f>EDATE(入力!$B$6,A447-1)</f>
        <v>59657</v>
      </c>
      <c r="C447" s="32">
        <f t="shared" si="101"/>
        <v>0</v>
      </c>
      <c r="D447" s="32">
        <f t="shared" si="102"/>
        <v>0</v>
      </c>
      <c r="E447" s="33">
        <f>IF(AND(T446="",A447&lt;=S446),IF(A447&lt;入力!$B$11,入力!$B$10,入力!$B$12),0)</f>
        <v>0</v>
      </c>
      <c r="F447" s="32">
        <f t="shared" si="103"/>
        <v>0</v>
      </c>
      <c r="G447" s="32">
        <f>ROUND(IF(NOT(AND(T446="",A447&lt;=S446)),0,IF(FALSE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),0)</f>
        <v>0</v>
      </c>
      <c r="H447" s="32">
        <f t="shared" si="104"/>
        <v>0</v>
      </c>
      <c r="I447" s="32">
        <f t="shared" si="105"/>
        <v>0</v>
      </c>
      <c r="J447" s="32">
        <f t="shared" si="106"/>
        <v>0</v>
      </c>
      <c r="K447" s="32">
        <f t="shared" si="107"/>
        <v>0</v>
      </c>
      <c r="L447" s="32">
        <f t="shared" si="108"/>
        <v>0</v>
      </c>
      <c r="M447" s="32">
        <f>IF(AND(AND(T446="",A447&lt;=S446),A447=入力!$B$15),ROUND(MIN(入力!$B$16,MAX(0,C447-L447)),0),0)</f>
        <v>0</v>
      </c>
      <c r="N447" s="32">
        <f t="shared" si="109"/>
        <v>0</v>
      </c>
      <c r="O447" s="32">
        <f t="shared" si="110"/>
        <v>10725103</v>
      </c>
      <c r="P447" s="34" t="str">
        <f>IF(NOT(AND(T446="",A447&lt;=S446)),"",IF(FALSE,"繰上返済後再計算","")&amp;IF(AND(入力!$B$13="有効",A447&gt;1,MOD(A447-1,60)=0),IF(FALSE,"・","")&amp;"5年見直し","")&amp;IF(AND(A447=入力!$B$11,A447&gt;1),IF(OR(FALSE,AND(入力!$B$13="有効",A447&gt;1,MOD(A447-1,60)=0)),"・","")&amp;"金利変更","")&amp;IF(AND(OR(AND(入力!$B$13="有効",A447&gt;1,MOD(A447-1,60)=0),AND(A447=入力!$B$11,A447&gt;1)),入力!$B$14="有効",IF(E447=0,ROUND(C447/MAX(1,S446-A447+1),0),ROUND(-PMT(E447/12,MAX(1,S446-A447+1),C447),0))&gt;ROUND(G446*1.25,0),NOT(FALSE)),"・上限適用",""))</f>
        <v/>
      </c>
      <c r="Q447" s="35" t="str">
        <f>IF(AND(T446="",A447&lt;=S446),入力!$B$13,"")</f>
        <v/>
      </c>
      <c r="R447" s="32" t="str">
        <f>IF(AND(AND(T446="",A447&lt;=S446),OR(AND(入力!$B$13="有効",A447&gt;1,MOD(A447-1,60)=0),AND(A447=入力!$B$11,A447&gt;1)),入力!$B$14="有効"),ROUND(G446*1.25,0),"")</f>
        <v/>
      </c>
      <c r="S447" s="36">
        <f>IF(A447&lt;&gt;入力!$B$15,S446,IF(K447&lt;&gt;0,S446,IF(G447&lt;=F447,S446,IF(M447&lt;=0,S446,IF(AND(N447&gt;0,E447&gt;0,G447&lt;=N447*E447/12),S446,IF(A447+IF(N447=0,0,IF(E447=0,ROUNDUP(N447/G447,0),ROUNDUP(NPER(E447/12,-G447,N447),0)))&lt;S446,A447+IF(N447=0,0,IF(E447=0,ROUNDUP(N447/G447,0),ROUNDUP(NPER(E447/12,-G447,N447),0))),S446))))))</f>
        <v>359</v>
      </c>
      <c r="T447" s="35" t="str">
        <f t="shared" si="111"/>
        <v/>
      </c>
      <c r="U447" s="3">
        <f t="shared" si="96"/>
        <v>0</v>
      </c>
      <c r="V447" s="3">
        <f t="shared" si="97"/>
        <v>0</v>
      </c>
      <c r="W447" s="3">
        <f t="shared" si="98"/>
        <v>0</v>
      </c>
      <c r="X447" s="3">
        <f t="shared" si="99"/>
        <v>0</v>
      </c>
      <c r="Y447" s="3">
        <f>0</f>
        <v>0</v>
      </c>
      <c r="Z447" s="3">
        <f t="shared" si="100"/>
        <v>0</v>
      </c>
      <c r="AA447">
        <f>ROUND(IF(FALSE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,0)</f>
        <v>0</v>
      </c>
    </row>
    <row r="448" spans="1:27">
      <c r="A448" s="30">
        <f>443</f>
        <v>443</v>
      </c>
      <c r="B448" s="31">
        <f>EDATE(入力!$B$6,A448-1)</f>
        <v>59688</v>
      </c>
      <c r="C448" s="32">
        <f t="shared" si="101"/>
        <v>0</v>
      </c>
      <c r="D448" s="32">
        <f t="shared" si="102"/>
        <v>0</v>
      </c>
      <c r="E448" s="33">
        <f>IF(AND(T447="",A448&lt;=S447),IF(A448&lt;入力!$B$11,入力!$B$10,入力!$B$12),0)</f>
        <v>0</v>
      </c>
      <c r="F448" s="32">
        <f t="shared" si="103"/>
        <v>0</v>
      </c>
      <c r="G448" s="32">
        <f>ROUND(IF(NOT(AND(T447="",A448&lt;=S447)),0,IF(FALSE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),0)</f>
        <v>0</v>
      </c>
      <c r="H448" s="32">
        <f t="shared" si="104"/>
        <v>0</v>
      </c>
      <c r="I448" s="32">
        <f t="shared" si="105"/>
        <v>0</v>
      </c>
      <c r="J448" s="32">
        <f t="shared" si="106"/>
        <v>0</v>
      </c>
      <c r="K448" s="32">
        <f t="shared" si="107"/>
        <v>0</v>
      </c>
      <c r="L448" s="32">
        <f t="shared" si="108"/>
        <v>0</v>
      </c>
      <c r="M448" s="32">
        <f>IF(AND(AND(T447="",A448&lt;=S447),A448=入力!$B$15),ROUND(MIN(入力!$B$16,MAX(0,C448-L448)),0),0)</f>
        <v>0</v>
      </c>
      <c r="N448" s="32">
        <f t="shared" si="109"/>
        <v>0</v>
      </c>
      <c r="O448" s="32">
        <f t="shared" si="110"/>
        <v>10725103</v>
      </c>
      <c r="P448" s="34" t="str">
        <f>IF(NOT(AND(T447="",A448&lt;=S447)),"",IF(FALSE,"繰上返済後再計算","")&amp;IF(AND(入力!$B$13="有効",A448&gt;1,MOD(A448-1,60)=0),IF(FALSE,"・","")&amp;"5年見直し","")&amp;IF(AND(A448=入力!$B$11,A448&gt;1),IF(OR(FALSE,AND(入力!$B$13="有効",A448&gt;1,MOD(A448-1,60)=0)),"・","")&amp;"金利変更","")&amp;IF(AND(OR(AND(入力!$B$13="有効",A448&gt;1,MOD(A448-1,60)=0),AND(A448=入力!$B$11,A448&gt;1)),入力!$B$14="有効",IF(E448=0,ROUND(C448/MAX(1,S447-A448+1),0),ROUND(-PMT(E448/12,MAX(1,S447-A448+1),C448),0))&gt;ROUND(G447*1.25,0),NOT(FALSE)),"・上限適用",""))</f>
        <v/>
      </c>
      <c r="Q448" s="35" t="str">
        <f>IF(AND(T447="",A448&lt;=S447),入力!$B$13,"")</f>
        <v/>
      </c>
      <c r="R448" s="32" t="str">
        <f>IF(AND(AND(T447="",A448&lt;=S447),OR(AND(入力!$B$13="有効",A448&gt;1,MOD(A448-1,60)=0),AND(A448=入力!$B$11,A448&gt;1)),入力!$B$14="有効"),ROUND(G447*1.25,0),"")</f>
        <v/>
      </c>
      <c r="S448" s="36">
        <f>IF(A448&lt;&gt;入力!$B$15,S447,IF(K448&lt;&gt;0,S447,IF(G448&lt;=F448,S447,IF(M448&lt;=0,S447,IF(AND(N448&gt;0,E448&gt;0,G448&lt;=N448*E448/12),S447,IF(A448+IF(N448=0,0,IF(E448=0,ROUNDUP(N448/G448,0),ROUNDUP(NPER(E448/12,-G448,N448),0)))&lt;S447,A448+IF(N448=0,0,IF(E448=0,ROUNDUP(N448/G448,0),ROUNDUP(NPER(E448/12,-G448,N448),0))),S447))))))</f>
        <v>359</v>
      </c>
      <c r="T448" s="35" t="str">
        <f t="shared" si="111"/>
        <v/>
      </c>
      <c r="U448" s="3">
        <f t="shared" si="96"/>
        <v>0</v>
      </c>
      <c r="V448" s="3">
        <f t="shared" si="97"/>
        <v>0</v>
      </c>
      <c r="W448" s="3">
        <f t="shared" si="98"/>
        <v>0</v>
      </c>
      <c r="X448" s="3">
        <f t="shared" si="99"/>
        <v>0</v>
      </c>
      <c r="Y448" s="3">
        <f>0</f>
        <v>0</v>
      </c>
      <c r="Z448" s="3">
        <f t="shared" si="100"/>
        <v>0</v>
      </c>
      <c r="AA448">
        <f>ROUND(IF(FALSE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,0)</f>
        <v>0</v>
      </c>
    </row>
    <row r="449" spans="1:27">
      <c r="A449" s="30">
        <f>444</f>
        <v>444</v>
      </c>
      <c r="B449" s="31">
        <f>EDATE(入力!$B$6,A449-1)</f>
        <v>59718</v>
      </c>
      <c r="C449" s="32">
        <f t="shared" si="101"/>
        <v>0</v>
      </c>
      <c r="D449" s="32">
        <f t="shared" si="102"/>
        <v>0</v>
      </c>
      <c r="E449" s="33">
        <f>IF(AND(T448="",A449&lt;=S448),IF(A449&lt;入力!$B$11,入力!$B$10,入力!$B$12),0)</f>
        <v>0</v>
      </c>
      <c r="F449" s="32">
        <f t="shared" si="103"/>
        <v>0</v>
      </c>
      <c r="G449" s="32">
        <f>ROUND(IF(NOT(AND(T448="",A449&lt;=S448)),0,IF(FALSE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),0)</f>
        <v>0</v>
      </c>
      <c r="H449" s="32">
        <f t="shared" si="104"/>
        <v>0</v>
      </c>
      <c r="I449" s="32">
        <f t="shared" si="105"/>
        <v>0</v>
      </c>
      <c r="J449" s="32">
        <f t="shared" si="106"/>
        <v>0</v>
      </c>
      <c r="K449" s="32">
        <f t="shared" si="107"/>
        <v>0</v>
      </c>
      <c r="L449" s="32">
        <f t="shared" si="108"/>
        <v>0</v>
      </c>
      <c r="M449" s="32">
        <f>IF(AND(AND(T448="",A449&lt;=S448),A449=入力!$B$15),ROUND(MIN(入力!$B$16,MAX(0,C449-L449)),0),0)</f>
        <v>0</v>
      </c>
      <c r="N449" s="32">
        <f t="shared" si="109"/>
        <v>0</v>
      </c>
      <c r="O449" s="32">
        <f t="shared" si="110"/>
        <v>10725103</v>
      </c>
      <c r="P449" s="34" t="str">
        <f>IF(NOT(AND(T448="",A449&lt;=S448)),"",IF(FALSE,"繰上返済後再計算","")&amp;IF(AND(入力!$B$13="有効",A449&gt;1,MOD(A449-1,60)=0),IF(FALSE,"・","")&amp;"5年見直し","")&amp;IF(AND(A449=入力!$B$11,A449&gt;1),IF(OR(FALSE,AND(入力!$B$13="有効",A449&gt;1,MOD(A449-1,60)=0)),"・","")&amp;"金利変更","")&amp;IF(AND(OR(AND(入力!$B$13="有効",A449&gt;1,MOD(A449-1,60)=0),AND(A449=入力!$B$11,A449&gt;1)),入力!$B$14="有効",IF(E449=0,ROUND(C449/MAX(1,S448-A449+1),0),ROUND(-PMT(E449/12,MAX(1,S448-A449+1),C449),0))&gt;ROUND(G448*1.25,0),NOT(FALSE)),"・上限適用",""))</f>
        <v/>
      </c>
      <c r="Q449" s="35" t="str">
        <f>IF(AND(T448="",A449&lt;=S448),入力!$B$13,"")</f>
        <v/>
      </c>
      <c r="R449" s="32" t="str">
        <f>IF(AND(AND(T448="",A449&lt;=S448),OR(AND(入力!$B$13="有効",A449&gt;1,MOD(A449-1,60)=0),AND(A449=入力!$B$11,A449&gt;1)),入力!$B$14="有効"),ROUND(G448*1.25,0),"")</f>
        <v/>
      </c>
      <c r="S449" s="36">
        <f>IF(A449&lt;&gt;入力!$B$15,S448,IF(K449&lt;&gt;0,S448,IF(G449&lt;=F449,S448,IF(M449&lt;=0,S448,IF(AND(N449&gt;0,E449&gt;0,G449&lt;=N449*E449/12),S448,IF(A449+IF(N449=0,0,IF(E449=0,ROUNDUP(N449/G449,0),ROUNDUP(NPER(E449/12,-G449,N449),0)))&lt;S448,A449+IF(N449=0,0,IF(E449=0,ROUNDUP(N449/G449,0),ROUNDUP(NPER(E449/12,-G449,N449),0))),S448))))))</f>
        <v>359</v>
      </c>
      <c r="T449" s="35" t="str">
        <f t="shared" si="111"/>
        <v/>
      </c>
      <c r="U449" s="3">
        <f t="shared" si="96"/>
        <v>0</v>
      </c>
      <c r="V449" s="3">
        <f t="shared" si="97"/>
        <v>0</v>
      </c>
      <c r="W449" s="3">
        <f t="shared" si="98"/>
        <v>0</v>
      </c>
      <c r="X449" s="3">
        <f t="shared" si="99"/>
        <v>0</v>
      </c>
      <c r="Y449" s="3">
        <f>0</f>
        <v>0</v>
      </c>
      <c r="Z449" s="3">
        <f t="shared" si="100"/>
        <v>0</v>
      </c>
      <c r="AA449">
        <f>ROUND(IF(FALSE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,0)</f>
        <v>0</v>
      </c>
    </row>
    <row r="450" spans="1:27">
      <c r="A450" s="30">
        <f>445</f>
        <v>445</v>
      </c>
      <c r="B450" s="31">
        <f>EDATE(入力!$B$6,A450-1)</f>
        <v>59749</v>
      </c>
      <c r="C450" s="32">
        <f t="shared" si="101"/>
        <v>0</v>
      </c>
      <c r="D450" s="32">
        <f t="shared" si="102"/>
        <v>0</v>
      </c>
      <c r="E450" s="33">
        <f>IF(AND(T449="",A450&lt;=S449),IF(A450&lt;入力!$B$11,入力!$B$10,入力!$B$12),0)</f>
        <v>0</v>
      </c>
      <c r="F450" s="32">
        <f t="shared" si="103"/>
        <v>0</v>
      </c>
      <c r="G450" s="32">
        <f>ROUND(IF(NOT(AND(T449="",A450&lt;=S449)),0,IF(FALSE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),0)</f>
        <v>0</v>
      </c>
      <c r="H450" s="32">
        <f t="shared" si="104"/>
        <v>0</v>
      </c>
      <c r="I450" s="32">
        <f t="shared" si="105"/>
        <v>0</v>
      </c>
      <c r="J450" s="32">
        <f t="shared" si="106"/>
        <v>0</v>
      </c>
      <c r="K450" s="32">
        <f t="shared" si="107"/>
        <v>0</v>
      </c>
      <c r="L450" s="32">
        <f t="shared" si="108"/>
        <v>0</v>
      </c>
      <c r="M450" s="32">
        <f>IF(AND(AND(T449="",A450&lt;=S449),A450=入力!$B$15),ROUND(MIN(入力!$B$16,MAX(0,C450-L450)),0),0)</f>
        <v>0</v>
      </c>
      <c r="N450" s="32">
        <f t="shared" si="109"/>
        <v>0</v>
      </c>
      <c r="O450" s="32">
        <f t="shared" si="110"/>
        <v>10725103</v>
      </c>
      <c r="P450" s="34" t="str">
        <f>IF(NOT(AND(T449="",A450&lt;=S449)),"",IF(FALSE,"繰上返済後再計算","")&amp;IF(AND(入力!$B$13="有効",A450&gt;1,MOD(A450-1,60)=0),IF(FALSE,"・","")&amp;"5年見直し","")&amp;IF(AND(A450=入力!$B$11,A450&gt;1),IF(OR(FALSE,AND(入力!$B$13="有効",A450&gt;1,MOD(A450-1,60)=0)),"・","")&amp;"金利変更","")&amp;IF(AND(OR(AND(入力!$B$13="有効",A450&gt;1,MOD(A450-1,60)=0),AND(A450=入力!$B$11,A450&gt;1)),入力!$B$14="有効",IF(E450=0,ROUND(C450/MAX(1,S449-A450+1),0),ROUND(-PMT(E450/12,MAX(1,S449-A450+1),C450),0))&gt;ROUND(G449*1.25,0),NOT(FALSE)),"・上限適用",""))</f>
        <v/>
      </c>
      <c r="Q450" s="35" t="str">
        <f>IF(AND(T449="",A450&lt;=S449),入力!$B$13,"")</f>
        <v/>
      </c>
      <c r="R450" s="32" t="str">
        <f>IF(AND(AND(T449="",A450&lt;=S449),OR(AND(入力!$B$13="有効",A450&gt;1,MOD(A450-1,60)=0),AND(A450=入力!$B$11,A450&gt;1)),入力!$B$14="有効"),ROUND(G449*1.25,0),"")</f>
        <v/>
      </c>
      <c r="S450" s="36">
        <f>IF(A450&lt;&gt;入力!$B$15,S449,IF(K450&lt;&gt;0,S449,IF(G450&lt;=F450,S449,IF(M450&lt;=0,S449,IF(AND(N450&gt;0,E450&gt;0,G450&lt;=N450*E450/12),S449,IF(A450+IF(N450=0,0,IF(E450=0,ROUNDUP(N450/G450,0),ROUNDUP(NPER(E450/12,-G450,N450),0)))&lt;S449,A450+IF(N450=0,0,IF(E450=0,ROUNDUP(N450/G450,0),ROUNDUP(NPER(E450/12,-G450,N450),0))),S449))))))</f>
        <v>359</v>
      </c>
      <c r="T450" s="35" t="str">
        <f t="shared" si="111"/>
        <v/>
      </c>
      <c r="U450" s="3">
        <f t="shared" si="96"/>
        <v>0</v>
      </c>
      <c r="V450" s="3">
        <f t="shared" si="97"/>
        <v>0</v>
      </c>
      <c r="W450" s="3">
        <f t="shared" si="98"/>
        <v>0</v>
      </c>
      <c r="X450" s="3">
        <f t="shared" si="99"/>
        <v>0</v>
      </c>
      <c r="Y450" s="3">
        <f>0</f>
        <v>0</v>
      </c>
      <c r="Z450" s="3">
        <f t="shared" si="100"/>
        <v>0</v>
      </c>
      <c r="AA450">
        <f>ROUND(IF(FALSE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,0)</f>
        <v>0</v>
      </c>
    </row>
    <row r="451" spans="1:27">
      <c r="A451" s="30">
        <f>446</f>
        <v>446</v>
      </c>
      <c r="B451" s="31">
        <f>EDATE(入力!$B$6,A451-1)</f>
        <v>59780</v>
      </c>
      <c r="C451" s="32">
        <f t="shared" si="101"/>
        <v>0</v>
      </c>
      <c r="D451" s="32">
        <f t="shared" si="102"/>
        <v>0</v>
      </c>
      <c r="E451" s="33">
        <f>IF(AND(T450="",A451&lt;=S450),IF(A451&lt;入力!$B$11,入力!$B$10,入力!$B$12),0)</f>
        <v>0</v>
      </c>
      <c r="F451" s="32">
        <f t="shared" si="103"/>
        <v>0</v>
      </c>
      <c r="G451" s="32">
        <f>ROUND(IF(NOT(AND(T450="",A451&lt;=S450)),0,IF(FALSE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),0)</f>
        <v>0</v>
      </c>
      <c r="H451" s="32">
        <f t="shared" si="104"/>
        <v>0</v>
      </c>
      <c r="I451" s="32">
        <f t="shared" si="105"/>
        <v>0</v>
      </c>
      <c r="J451" s="32">
        <f t="shared" si="106"/>
        <v>0</v>
      </c>
      <c r="K451" s="32">
        <f t="shared" si="107"/>
        <v>0</v>
      </c>
      <c r="L451" s="32">
        <f t="shared" si="108"/>
        <v>0</v>
      </c>
      <c r="M451" s="32">
        <f>IF(AND(AND(T450="",A451&lt;=S450),A451=入力!$B$15),ROUND(MIN(入力!$B$16,MAX(0,C451-L451)),0),0)</f>
        <v>0</v>
      </c>
      <c r="N451" s="32">
        <f t="shared" si="109"/>
        <v>0</v>
      </c>
      <c r="O451" s="32">
        <f t="shared" si="110"/>
        <v>10725103</v>
      </c>
      <c r="P451" s="34" t="str">
        <f>IF(NOT(AND(T450="",A451&lt;=S450)),"",IF(FALSE,"繰上返済後再計算","")&amp;IF(AND(入力!$B$13="有効",A451&gt;1,MOD(A451-1,60)=0),IF(FALSE,"・","")&amp;"5年見直し","")&amp;IF(AND(A451=入力!$B$11,A451&gt;1),IF(OR(FALSE,AND(入力!$B$13="有効",A451&gt;1,MOD(A451-1,60)=0)),"・","")&amp;"金利変更","")&amp;IF(AND(OR(AND(入力!$B$13="有効",A451&gt;1,MOD(A451-1,60)=0),AND(A451=入力!$B$11,A451&gt;1)),入力!$B$14="有効",IF(E451=0,ROUND(C451/MAX(1,S450-A451+1),0),ROUND(-PMT(E451/12,MAX(1,S450-A451+1),C451),0))&gt;ROUND(G450*1.25,0),NOT(FALSE)),"・上限適用",""))</f>
        <v/>
      </c>
      <c r="Q451" s="35" t="str">
        <f>IF(AND(T450="",A451&lt;=S450),入力!$B$13,"")</f>
        <v/>
      </c>
      <c r="R451" s="32" t="str">
        <f>IF(AND(AND(T450="",A451&lt;=S450),OR(AND(入力!$B$13="有効",A451&gt;1,MOD(A451-1,60)=0),AND(A451=入力!$B$11,A451&gt;1)),入力!$B$14="有効"),ROUND(G450*1.25,0),"")</f>
        <v/>
      </c>
      <c r="S451" s="36">
        <f>IF(A451&lt;&gt;入力!$B$15,S450,IF(K451&lt;&gt;0,S450,IF(G451&lt;=F451,S450,IF(M451&lt;=0,S450,IF(AND(N451&gt;0,E451&gt;0,G451&lt;=N451*E451/12),S450,IF(A451+IF(N451=0,0,IF(E451=0,ROUNDUP(N451/G451,0),ROUNDUP(NPER(E451/12,-G451,N451),0)))&lt;S450,A451+IF(N451=0,0,IF(E451=0,ROUNDUP(N451/G451,0),ROUNDUP(NPER(E451/12,-G451,N451),0))),S450))))))</f>
        <v>359</v>
      </c>
      <c r="T451" s="35" t="str">
        <f t="shared" si="111"/>
        <v/>
      </c>
      <c r="U451" s="3">
        <f t="shared" si="96"/>
        <v>0</v>
      </c>
      <c r="V451" s="3">
        <f t="shared" si="97"/>
        <v>0</v>
      </c>
      <c r="W451" s="3">
        <f t="shared" si="98"/>
        <v>0</v>
      </c>
      <c r="X451" s="3">
        <f t="shared" si="99"/>
        <v>0</v>
      </c>
      <c r="Y451" s="3">
        <f>0</f>
        <v>0</v>
      </c>
      <c r="Z451" s="3">
        <f t="shared" si="100"/>
        <v>0</v>
      </c>
      <c r="AA451">
        <f>ROUND(IF(FALSE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,0)</f>
        <v>0</v>
      </c>
    </row>
    <row r="452" spans="1:27">
      <c r="A452" s="30">
        <f>447</f>
        <v>447</v>
      </c>
      <c r="B452" s="31">
        <f>EDATE(入力!$B$6,A452-1)</f>
        <v>59810</v>
      </c>
      <c r="C452" s="32">
        <f t="shared" si="101"/>
        <v>0</v>
      </c>
      <c r="D452" s="32">
        <f t="shared" si="102"/>
        <v>0</v>
      </c>
      <c r="E452" s="33">
        <f>IF(AND(T451="",A452&lt;=S451),IF(A452&lt;入力!$B$11,入力!$B$10,入力!$B$12),0)</f>
        <v>0</v>
      </c>
      <c r="F452" s="32">
        <f t="shared" si="103"/>
        <v>0</v>
      </c>
      <c r="G452" s="32">
        <f>ROUND(IF(NOT(AND(T451="",A452&lt;=S451)),0,IF(FALSE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),0)</f>
        <v>0</v>
      </c>
      <c r="H452" s="32">
        <f t="shared" si="104"/>
        <v>0</v>
      </c>
      <c r="I452" s="32">
        <f t="shared" si="105"/>
        <v>0</v>
      </c>
      <c r="J452" s="32">
        <f t="shared" si="106"/>
        <v>0</v>
      </c>
      <c r="K452" s="32">
        <f t="shared" si="107"/>
        <v>0</v>
      </c>
      <c r="L452" s="32">
        <f t="shared" si="108"/>
        <v>0</v>
      </c>
      <c r="M452" s="32">
        <f>IF(AND(AND(T451="",A452&lt;=S451),A452=入力!$B$15),ROUND(MIN(入力!$B$16,MAX(0,C452-L452)),0),0)</f>
        <v>0</v>
      </c>
      <c r="N452" s="32">
        <f t="shared" si="109"/>
        <v>0</v>
      </c>
      <c r="O452" s="32">
        <f t="shared" si="110"/>
        <v>10725103</v>
      </c>
      <c r="P452" s="34" t="str">
        <f>IF(NOT(AND(T451="",A452&lt;=S451)),"",IF(FALSE,"繰上返済後再計算","")&amp;IF(AND(入力!$B$13="有効",A452&gt;1,MOD(A452-1,60)=0),IF(FALSE,"・","")&amp;"5年見直し","")&amp;IF(AND(A452=入力!$B$11,A452&gt;1),IF(OR(FALSE,AND(入力!$B$13="有効",A452&gt;1,MOD(A452-1,60)=0)),"・","")&amp;"金利変更","")&amp;IF(AND(OR(AND(入力!$B$13="有効",A452&gt;1,MOD(A452-1,60)=0),AND(A452=入力!$B$11,A452&gt;1)),入力!$B$14="有効",IF(E452=0,ROUND(C452/MAX(1,S451-A452+1),0),ROUND(-PMT(E452/12,MAX(1,S451-A452+1),C452),0))&gt;ROUND(G451*1.25,0),NOT(FALSE)),"・上限適用",""))</f>
        <v/>
      </c>
      <c r="Q452" s="35" t="str">
        <f>IF(AND(T451="",A452&lt;=S451),入力!$B$13,"")</f>
        <v/>
      </c>
      <c r="R452" s="32" t="str">
        <f>IF(AND(AND(T451="",A452&lt;=S451),OR(AND(入力!$B$13="有効",A452&gt;1,MOD(A452-1,60)=0),AND(A452=入力!$B$11,A452&gt;1)),入力!$B$14="有効"),ROUND(G451*1.25,0),"")</f>
        <v/>
      </c>
      <c r="S452" s="36">
        <f>IF(A452&lt;&gt;入力!$B$15,S451,IF(K452&lt;&gt;0,S451,IF(G452&lt;=F452,S451,IF(M452&lt;=0,S451,IF(AND(N452&gt;0,E452&gt;0,G452&lt;=N452*E452/12),S451,IF(A452+IF(N452=0,0,IF(E452=0,ROUNDUP(N452/G452,0),ROUNDUP(NPER(E452/12,-G452,N452),0)))&lt;S451,A452+IF(N452=0,0,IF(E452=0,ROUNDUP(N452/G452,0),ROUNDUP(NPER(E452/12,-G452,N452),0))),S451))))))</f>
        <v>359</v>
      </c>
      <c r="T452" s="35" t="str">
        <f t="shared" si="111"/>
        <v/>
      </c>
      <c r="U452" s="3">
        <f t="shared" si="96"/>
        <v>0</v>
      </c>
      <c r="V452" s="3">
        <f t="shared" si="97"/>
        <v>0</v>
      </c>
      <c r="W452" s="3">
        <f t="shared" si="98"/>
        <v>0</v>
      </c>
      <c r="X452" s="3">
        <f t="shared" si="99"/>
        <v>0</v>
      </c>
      <c r="Y452" s="3">
        <f>0</f>
        <v>0</v>
      </c>
      <c r="Z452" s="3">
        <f t="shared" si="100"/>
        <v>0</v>
      </c>
      <c r="AA452">
        <f>ROUND(IF(FALSE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,0)</f>
        <v>0</v>
      </c>
    </row>
    <row r="453" spans="1:27">
      <c r="A453" s="30">
        <f>448</f>
        <v>448</v>
      </c>
      <c r="B453" s="31">
        <f>EDATE(入力!$B$6,A453-1)</f>
        <v>59841</v>
      </c>
      <c r="C453" s="32">
        <f t="shared" si="101"/>
        <v>0</v>
      </c>
      <c r="D453" s="32">
        <f t="shared" si="102"/>
        <v>0</v>
      </c>
      <c r="E453" s="33">
        <f>IF(AND(T452="",A453&lt;=S452),IF(A453&lt;入力!$B$11,入力!$B$10,入力!$B$12),0)</f>
        <v>0</v>
      </c>
      <c r="F453" s="32">
        <f t="shared" si="103"/>
        <v>0</v>
      </c>
      <c r="G453" s="32">
        <f>ROUND(IF(NOT(AND(T452="",A453&lt;=S452)),0,IF(FALSE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),0)</f>
        <v>0</v>
      </c>
      <c r="H453" s="32">
        <f t="shared" si="104"/>
        <v>0</v>
      </c>
      <c r="I453" s="32">
        <f t="shared" si="105"/>
        <v>0</v>
      </c>
      <c r="J453" s="32">
        <f t="shared" si="106"/>
        <v>0</v>
      </c>
      <c r="K453" s="32">
        <f t="shared" si="107"/>
        <v>0</v>
      </c>
      <c r="L453" s="32">
        <f t="shared" si="108"/>
        <v>0</v>
      </c>
      <c r="M453" s="32">
        <f>IF(AND(AND(T452="",A453&lt;=S452),A453=入力!$B$15),ROUND(MIN(入力!$B$16,MAX(0,C453-L453)),0),0)</f>
        <v>0</v>
      </c>
      <c r="N453" s="32">
        <f t="shared" si="109"/>
        <v>0</v>
      </c>
      <c r="O453" s="32">
        <f t="shared" si="110"/>
        <v>10725103</v>
      </c>
      <c r="P453" s="34" t="str">
        <f>IF(NOT(AND(T452="",A453&lt;=S452)),"",IF(FALSE,"繰上返済後再計算","")&amp;IF(AND(入力!$B$13="有効",A453&gt;1,MOD(A453-1,60)=0),IF(FALSE,"・","")&amp;"5年見直し","")&amp;IF(AND(A453=入力!$B$11,A453&gt;1),IF(OR(FALSE,AND(入力!$B$13="有効",A453&gt;1,MOD(A453-1,60)=0)),"・","")&amp;"金利変更","")&amp;IF(AND(OR(AND(入力!$B$13="有効",A453&gt;1,MOD(A453-1,60)=0),AND(A453=入力!$B$11,A453&gt;1)),入力!$B$14="有効",IF(E453=0,ROUND(C453/MAX(1,S452-A453+1),0),ROUND(-PMT(E453/12,MAX(1,S452-A453+1),C453),0))&gt;ROUND(G452*1.25,0),NOT(FALSE)),"・上限適用",""))</f>
        <v/>
      </c>
      <c r="Q453" s="35" t="str">
        <f>IF(AND(T452="",A453&lt;=S452),入力!$B$13,"")</f>
        <v/>
      </c>
      <c r="R453" s="32" t="str">
        <f>IF(AND(AND(T452="",A453&lt;=S452),OR(AND(入力!$B$13="有効",A453&gt;1,MOD(A453-1,60)=0),AND(A453=入力!$B$11,A453&gt;1)),入力!$B$14="有効"),ROUND(G452*1.25,0),"")</f>
        <v/>
      </c>
      <c r="S453" s="36">
        <f>IF(A453&lt;&gt;入力!$B$15,S452,IF(K453&lt;&gt;0,S452,IF(G453&lt;=F453,S452,IF(M453&lt;=0,S452,IF(AND(N453&gt;0,E453&gt;0,G453&lt;=N453*E453/12),S452,IF(A453+IF(N453=0,0,IF(E453=0,ROUNDUP(N453/G453,0),ROUNDUP(NPER(E453/12,-G453,N453),0)))&lt;S452,A453+IF(N453=0,0,IF(E453=0,ROUNDUP(N453/G453,0),ROUNDUP(NPER(E453/12,-G453,N453),0))),S452))))))</f>
        <v>359</v>
      </c>
      <c r="T453" s="35" t="str">
        <f t="shared" si="111"/>
        <v/>
      </c>
      <c r="U453" s="3">
        <f t="shared" si="96"/>
        <v>0</v>
      </c>
      <c r="V453" s="3">
        <f t="shared" si="97"/>
        <v>0</v>
      </c>
      <c r="W453" s="3">
        <f t="shared" si="98"/>
        <v>0</v>
      </c>
      <c r="X453" s="3">
        <f t="shared" si="99"/>
        <v>0</v>
      </c>
      <c r="Y453" s="3">
        <f>0</f>
        <v>0</v>
      </c>
      <c r="Z453" s="3">
        <f t="shared" si="100"/>
        <v>0</v>
      </c>
      <c r="AA453">
        <f>ROUND(IF(FALSE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,0)</f>
        <v>0</v>
      </c>
    </row>
    <row r="454" spans="1:27">
      <c r="A454" s="30">
        <f>449</f>
        <v>449</v>
      </c>
      <c r="B454" s="31">
        <f>EDATE(入力!$B$6,A454-1)</f>
        <v>59871</v>
      </c>
      <c r="C454" s="32">
        <f t="shared" si="101"/>
        <v>0</v>
      </c>
      <c r="D454" s="32">
        <f t="shared" si="102"/>
        <v>0</v>
      </c>
      <c r="E454" s="33">
        <f>IF(AND(T453="",A454&lt;=S453),IF(A454&lt;入力!$B$11,入力!$B$10,入力!$B$12),0)</f>
        <v>0</v>
      </c>
      <c r="F454" s="32">
        <f t="shared" si="103"/>
        <v>0</v>
      </c>
      <c r="G454" s="32">
        <f>ROUND(IF(NOT(AND(T453="",A454&lt;=S453)),0,IF(FALSE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),0)</f>
        <v>0</v>
      </c>
      <c r="H454" s="32">
        <f t="shared" si="104"/>
        <v>0</v>
      </c>
      <c r="I454" s="32">
        <f t="shared" si="105"/>
        <v>0</v>
      </c>
      <c r="J454" s="32">
        <f t="shared" si="106"/>
        <v>0</v>
      </c>
      <c r="K454" s="32">
        <f t="shared" si="107"/>
        <v>0</v>
      </c>
      <c r="L454" s="32">
        <f t="shared" si="108"/>
        <v>0</v>
      </c>
      <c r="M454" s="32">
        <f>IF(AND(AND(T453="",A454&lt;=S453),A454=入力!$B$15),ROUND(MIN(入力!$B$16,MAX(0,C454-L454)),0),0)</f>
        <v>0</v>
      </c>
      <c r="N454" s="32">
        <f t="shared" si="109"/>
        <v>0</v>
      </c>
      <c r="O454" s="32">
        <f t="shared" si="110"/>
        <v>10725103</v>
      </c>
      <c r="P454" s="34" t="str">
        <f>IF(NOT(AND(T453="",A454&lt;=S453)),"",IF(FALSE,"繰上返済後再計算","")&amp;IF(AND(入力!$B$13="有効",A454&gt;1,MOD(A454-1,60)=0),IF(FALSE,"・","")&amp;"5年見直し","")&amp;IF(AND(A454=入力!$B$11,A454&gt;1),IF(OR(FALSE,AND(入力!$B$13="有効",A454&gt;1,MOD(A454-1,60)=0)),"・","")&amp;"金利変更","")&amp;IF(AND(OR(AND(入力!$B$13="有効",A454&gt;1,MOD(A454-1,60)=0),AND(A454=入力!$B$11,A454&gt;1)),入力!$B$14="有効",IF(E454=0,ROUND(C454/MAX(1,S453-A454+1),0),ROUND(-PMT(E454/12,MAX(1,S453-A454+1),C454),0))&gt;ROUND(G453*1.25,0),NOT(FALSE)),"・上限適用",""))</f>
        <v/>
      </c>
      <c r="Q454" s="35" t="str">
        <f>IF(AND(T453="",A454&lt;=S453),入力!$B$13,"")</f>
        <v/>
      </c>
      <c r="R454" s="32" t="str">
        <f>IF(AND(AND(T453="",A454&lt;=S453),OR(AND(入力!$B$13="有効",A454&gt;1,MOD(A454-1,60)=0),AND(A454=入力!$B$11,A454&gt;1)),入力!$B$14="有効"),ROUND(G453*1.25,0),"")</f>
        <v/>
      </c>
      <c r="S454" s="36">
        <f>IF(A454&lt;&gt;入力!$B$15,S453,IF(K454&lt;&gt;0,S453,IF(G454&lt;=F454,S453,IF(M454&lt;=0,S453,IF(AND(N454&gt;0,E454&gt;0,G454&lt;=N454*E454/12),S453,IF(A454+IF(N454=0,0,IF(E454=0,ROUNDUP(N454/G454,0),ROUNDUP(NPER(E454/12,-G454,N454),0)))&lt;S453,A454+IF(N454=0,0,IF(E454=0,ROUNDUP(N454/G454,0),ROUNDUP(NPER(E454/12,-G454,N454),0))),S453))))))</f>
        <v>359</v>
      </c>
      <c r="T454" s="35" t="str">
        <f t="shared" si="111"/>
        <v/>
      </c>
      <c r="U454" s="3">
        <f t="shared" ref="U454:U517" si="112">ABS(I454-MIN(H454,D454+F454))</f>
        <v>0</v>
      </c>
      <c r="V454" s="3">
        <f t="shared" ref="V454:V517" si="113">ABS(L454-(H454-I454))</f>
        <v>0</v>
      </c>
      <c r="W454" s="3">
        <f t="shared" ref="W454:W517" si="114">ABS(K454-(D454+J454))</f>
        <v>0</v>
      </c>
      <c r="X454" s="3">
        <f t="shared" ref="X454:X517" si="115">ABS(F454-ROUND(F454,0))+ABS(G454-ROUND(G454,0))+ABS(H454-ROUND(H454,0))+ABS(I454-ROUND(I454,0))+ABS(J454-ROUND(J454,0))+ABS(K454-ROUND(K454,0))+ABS(L454-ROUND(L454,0))+ABS(M454-ROUND(M454,0))+ABS(N454-ROUND(N454,0))+ABS(O454-ROUND(O454,0))</f>
        <v>0</v>
      </c>
      <c r="Y454" s="3">
        <f>0</f>
        <v>0</v>
      </c>
      <c r="Z454" s="3">
        <f t="shared" ref="Z454:Z517" si="116">SUM(--ISERROR(A454),--ISERROR(B454),--ISERROR(C454),--ISERROR(D454),--ISERROR(E454),--ISERROR(F454),--ISERROR(G454),--ISERROR(H454),--ISERROR(I454),--ISERROR(J454),--ISERROR(K454),--ISERROR(L454),--ISERROR(M454),--ISERROR(N454),--ISERROR(O454),--ISERROR(P454),--ISERROR(Q454),--ISERROR(R454),--ISERROR(S454),--ISERROR(T454))</f>
        <v>0</v>
      </c>
      <c r="AA454">
        <f>ROUND(IF(FALSE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,0)</f>
        <v>0</v>
      </c>
    </row>
    <row r="455" spans="1:27">
      <c r="A455" s="30">
        <f>450</f>
        <v>450</v>
      </c>
      <c r="B455" s="31">
        <f>EDATE(入力!$B$6,A455-1)</f>
        <v>59902</v>
      </c>
      <c r="C455" s="32">
        <f t="shared" ref="C455:C518" si="117">IF(AND(T454="",A455&lt;=S454),N454,0)</f>
        <v>0</v>
      </c>
      <c r="D455" s="32">
        <f t="shared" ref="D455:D518" si="118">IF(AND(T454="",A455&lt;=S454),K454,0)</f>
        <v>0</v>
      </c>
      <c r="E455" s="33">
        <f>IF(AND(T454="",A455&lt;=S454),IF(A455&lt;入力!$B$11,入力!$B$10,入力!$B$12),0)</f>
        <v>0</v>
      </c>
      <c r="F455" s="32">
        <f t="shared" ref="F455:F518" si="119">IF(AND(T454="",A455&lt;=S454),ROUND(C455*E455/12,0),0)</f>
        <v>0</v>
      </c>
      <c r="G455" s="32">
        <f>ROUND(IF(NOT(AND(T454="",A455&lt;=S454)),0,IF(FALSE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),0)</f>
        <v>0</v>
      </c>
      <c r="H455" s="32">
        <f t="shared" ref="H455:H518" si="120">IF(AND(T454="",A455&lt;=S454),ROUND(MIN(G455,C455+D455+F455),0),0)</f>
        <v>0</v>
      </c>
      <c r="I455" s="32">
        <f t="shared" ref="I455:I518" si="121">IF(AND(T454="",A455&lt;=S454),ROUND(MIN(H455,D455+F455),0),0)</f>
        <v>0</v>
      </c>
      <c r="J455" s="32">
        <f t="shared" ref="J455:J518" si="122">IF(AND(T454="",A455&lt;=S454),ROUND(F455-I455,0),0)</f>
        <v>0</v>
      </c>
      <c r="K455" s="32">
        <f t="shared" ref="K455:K518" si="123">IF(AND(T454="",A455&lt;=S454),ROUND(D455+J455,0),0)</f>
        <v>0</v>
      </c>
      <c r="L455" s="32">
        <f t="shared" ref="L455:L518" si="124">IF(AND(T454="",A455&lt;=S454),ROUND(H455-I455,0),0)</f>
        <v>0</v>
      </c>
      <c r="M455" s="32">
        <f>IF(AND(AND(T454="",A455&lt;=S454),A455=入力!$B$15),ROUND(MIN(入力!$B$16,MAX(0,C455-L455)),0),0)</f>
        <v>0</v>
      </c>
      <c r="N455" s="32">
        <f t="shared" ref="N455:N518" si="125">IF(AND(T454="",A455&lt;=S454),ROUND(MAX(0,C455-L455-M455),0),0)</f>
        <v>0</v>
      </c>
      <c r="O455" s="32">
        <f t="shared" ref="O455:O518" si="126">IF(AND(T454="",A455&lt;=S454),ROUND(O454+F455,0),O454)</f>
        <v>10725103</v>
      </c>
      <c r="P455" s="34" t="str">
        <f>IF(NOT(AND(T454="",A455&lt;=S454)),"",IF(FALSE,"繰上返済後再計算","")&amp;IF(AND(入力!$B$13="有効",A455&gt;1,MOD(A455-1,60)=0),IF(FALSE,"・","")&amp;"5年見直し","")&amp;IF(AND(A455=入力!$B$11,A455&gt;1),IF(OR(FALSE,AND(入力!$B$13="有効",A455&gt;1,MOD(A455-1,60)=0)),"・","")&amp;"金利変更","")&amp;IF(AND(OR(AND(入力!$B$13="有効",A455&gt;1,MOD(A455-1,60)=0),AND(A455=入力!$B$11,A455&gt;1)),入力!$B$14="有効",IF(E455=0,ROUND(C455/MAX(1,S454-A455+1),0),ROUND(-PMT(E455/12,MAX(1,S454-A455+1),C455),0))&gt;ROUND(G454*1.25,0),NOT(FALSE)),"・上限適用",""))</f>
        <v/>
      </c>
      <c r="Q455" s="35" t="str">
        <f>IF(AND(T454="",A455&lt;=S454),入力!$B$13,"")</f>
        <v/>
      </c>
      <c r="R455" s="32" t="str">
        <f>IF(AND(AND(T454="",A455&lt;=S454),OR(AND(入力!$B$13="有効",A455&gt;1,MOD(A455-1,60)=0),AND(A455=入力!$B$11,A455&gt;1)),入力!$B$14="有効"),ROUND(G454*1.25,0),"")</f>
        <v/>
      </c>
      <c r="S455" s="36">
        <f>IF(A455&lt;&gt;入力!$B$15,S454,IF(K455&lt;&gt;0,S454,IF(G455&lt;=F455,S454,IF(M455&lt;=0,S454,IF(AND(N455&gt;0,E455&gt;0,G455&lt;=N455*E455/12),S454,IF(A455+IF(N455=0,0,IF(E455=0,ROUNDUP(N455/G455,0),ROUNDUP(NPER(E455/12,-G455,N455),0)))&lt;S454,A455+IF(N455=0,0,IF(E455=0,ROUNDUP(N455/G455,0),ROUNDUP(NPER(E455/12,-G455,N455),0))),S454))))))</f>
        <v>359</v>
      </c>
      <c r="T455" s="35" t="str">
        <f t="shared" ref="T455:T518" si="127">IF(NOT(AND(T454="",A455&lt;=S454)),"",IF(AND(N455=0,K455=0),"完済",IF(A455=S455,"最終回清算","")))</f>
        <v/>
      </c>
      <c r="U455" s="3">
        <f t="shared" si="112"/>
        <v>0</v>
      </c>
      <c r="V455" s="3">
        <f t="shared" si="113"/>
        <v>0</v>
      </c>
      <c r="W455" s="3">
        <f t="shared" si="114"/>
        <v>0</v>
      </c>
      <c r="X455" s="3">
        <f t="shared" si="115"/>
        <v>0</v>
      </c>
      <c r="Y455" s="3">
        <f>0</f>
        <v>0</v>
      </c>
      <c r="Z455" s="3">
        <f t="shared" si="116"/>
        <v>0</v>
      </c>
      <c r="AA455">
        <f>ROUND(IF(FALSE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,0)</f>
        <v>0</v>
      </c>
    </row>
    <row r="456" spans="1:27">
      <c r="A456" s="30">
        <f>451</f>
        <v>451</v>
      </c>
      <c r="B456" s="31">
        <f>EDATE(入力!$B$6,A456-1)</f>
        <v>59933</v>
      </c>
      <c r="C456" s="32">
        <f t="shared" si="117"/>
        <v>0</v>
      </c>
      <c r="D456" s="32">
        <f t="shared" si="118"/>
        <v>0</v>
      </c>
      <c r="E456" s="33">
        <f>IF(AND(T455="",A456&lt;=S455),IF(A456&lt;入力!$B$11,入力!$B$10,入力!$B$12),0)</f>
        <v>0</v>
      </c>
      <c r="F456" s="32">
        <f t="shared" si="119"/>
        <v>0</v>
      </c>
      <c r="G456" s="32">
        <f>ROUND(IF(NOT(AND(T455="",A456&lt;=S455)),0,IF(FALSE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),0)</f>
        <v>0</v>
      </c>
      <c r="H456" s="32">
        <f t="shared" si="120"/>
        <v>0</v>
      </c>
      <c r="I456" s="32">
        <f t="shared" si="121"/>
        <v>0</v>
      </c>
      <c r="J456" s="32">
        <f t="shared" si="122"/>
        <v>0</v>
      </c>
      <c r="K456" s="32">
        <f t="shared" si="123"/>
        <v>0</v>
      </c>
      <c r="L456" s="32">
        <f t="shared" si="124"/>
        <v>0</v>
      </c>
      <c r="M456" s="32">
        <f>IF(AND(AND(T455="",A456&lt;=S455),A456=入力!$B$15),ROUND(MIN(入力!$B$16,MAX(0,C456-L456)),0),0)</f>
        <v>0</v>
      </c>
      <c r="N456" s="32">
        <f t="shared" si="125"/>
        <v>0</v>
      </c>
      <c r="O456" s="32">
        <f t="shared" si="126"/>
        <v>10725103</v>
      </c>
      <c r="P456" s="34" t="str">
        <f>IF(NOT(AND(T455="",A456&lt;=S455)),"",IF(FALSE,"繰上返済後再計算","")&amp;IF(AND(入力!$B$13="有効",A456&gt;1,MOD(A456-1,60)=0),IF(FALSE,"・","")&amp;"5年見直し","")&amp;IF(AND(A456=入力!$B$11,A456&gt;1),IF(OR(FALSE,AND(入力!$B$13="有効",A456&gt;1,MOD(A456-1,60)=0)),"・","")&amp;"金利変更","")&amp;IF(AND(OR(AND(入力!$B$13="有効",A456&gt;1,MOD(A456-1,60)=0),AND(A456=入力!$B$11,A456&gt;1)),入力!$B$14="有効",IF(E456=0,ROUND(C456/MAX(1,S455-A456+1),0),ROUND(-PMT(E456/12,MAX(1,S455-A456+1),C456),0))&gt;ROUND(G455*1.25,0),NOT(FALSE)),"・上限適用",""))</f>
        <v/>
      </c>
      <c r="Q456" s="35" t="str">
        <f>IF(AND(T455="",A456&lt;=S455),入力!$B$13,"")</f>
        <v/>
      </c>
      <c r="R456" s="32" t="str">
        <f>IF(AND(AND(T455="",A456&lt;=S455),OR(AND(入力!$B$13="有効",A456&gt;1,MOD(A456-1,60)=0),AND(A456=入力!$B$11,A456&gt;1)),入力!$B$14="有効"),ROUND(G455*1.25,0),"")</f>
        <v/>
      </c>
      <c r="S456" s="36">
        <f>IF(A456&lt;&gt;入力!$B$15,S455,IF(K456&lt;&gt;0,S455,IF(G456&lt;=F456,S455,IF(M456&lt;=0,S455,IF(AND(N456&gt;0,E456&gt;0,G456&lt;=N456*E456/12),S455,IF(A456+IF(N456=0,0,IF(E456=0,ROUNDUP(N456/G456,0),ROUNDUP(NPER(E456/12,-G456,N456),0)))&lt;S455,A456+IF(N456=0,0,IF(E456=0,ROUNDUP(N456/G456,0),ROUNDUP(NPER(E456/12,-G456,N456),0))),S455))))))</f>
        <v>359</v>
      </c>
      <c r="T456" s="35" t="str">
        <f t="shared" si="127"/>
        <v/>
      </c>
      <c r="U456" s="3">
        <f t="shared" si="112"/>
        <v>0</v>
      </c>
      <c r="V456" s="3">
        <f t="shared" si="113"/>
        <v>0</v>
      </c>
      <c r="W456" s="3">
        <f t="shared" si="114"/>
        <v>0</v>
      </c>
      <c r="X456" s="3">
        <f t="shared" si="115"/>
        <v>0</v>
      </c>
      <c r="Y456" s="3">
        <f>0</f>
        <v>0</v>
      </c>
      <c r="Z456" s="3">
        <f t="shared" si="116"/>
        <v>0</v>
      </c>
      <c r="AA456">
        <f>ROUND(IF(FALSE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,0)</f>
        <v>0</v>
      </c>
    </row>
    <row r="457" spans="1:27">
      <c r="A457" s="30">
        <f>452</f>
        <v>452</v>
      </c>
      <c r="B457" s="31">
        <f>EDATE(入力!$B$6,A457-1)</f>
        <v>59962</v>
      </c>
      <c r="C457" s="32">
        <f t="shared" si="117"/>
        <v>0</v>
      </c>
      <c r="D457" s="32">
        <f t="shared" si="118"/>
        <v>0</v>
      </c>
      <c r="E457" s="33">
        <f>IF(AND(T456="",A457&lt;=S456),IF(A457&lt;入力!$B$11,入力!$B$10,入力!$B$12),0)</f>
        <v>0</v>
      </c>
      <c r="F457" s="32">
        <f t="shared" si="119"/>
        <v>0</v>
      </c>
      <c r="G457" s="32">
        <f>ROUND(IF(NOT(AND(T456="",A457&lt;=S456)),0,IF(FALSE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),0)</f>
        <v>0</v>
      </c>
      <c r="H457" s="32">
        <f t="shared" si="120"/>
        <v>0</v>
      </c>
      <c r="I457" s="32">
        <f t="shared" si="121"/>
        <v>0</v>
      </c>
      <c r="J457" s="32">
        <f t="shared" si="122"/>
        <v>0</v>
      </c>
      <c r="K457" s="32">
        <f t="shared" si="123"/>
        <v>0</v>
      </c>
      <c r="L457" s="32">
        <f t="shared" si="124"/>
        <v>0</v>
      </c>
      <c r="M457" s="32">
        <f>IF(AND(AND(T456="",A457&lt;=S456),A457=入力!$B$15),ROUND(MIN(入力!$B$16,MAX(0,C457-L457)),0),0)</f>
        <v>0</v>
      </c>
      <c r="N457" s="32">
        <f t="shared" si="125"/>
        <v>0</v>
      </c>
      <c r="O457" s="32">
        <f t="shared" si="126"/>
        <v>10725103</v>
      </c>
      <c r="P457" s="34" t="str">
        <f>IF(NOT(AND(T456="",A457&lt;=S456)),"",IF(FALSE,"繰上返済後再計算","")&amp;IF(AND(入力!$B$13="有効",A457&gt;1,MOD(A457-1,60)=0),IF(FALSE,"・","")&amp;"5年見直し","")&amp;IF(AND(A457=入力!$B$11,A457&gt;1),IF(OR(FALSE,AND(入力!$B$13="有効",A457&gt;1,MOD(A457-1,60)=0)),"・","")&amp;"金利変更","")&amp;IF(AND(OR(AND(入力!$B$13="有効",A457&gt;1,MOD(A457-1,60)=0),AND(A457=入力!$B$11,A457&gt;1)),入力!$B$14="有効",IF(E457=0,ROUND(C457/MAX(1,S456-A457+1),0),ROUND(-PMT(E457/12,MAX(1,S456-A457+1),C457),0))&gt;ROUND(G456*1.25,0),NOT(FALSE)),"・上限適用",""))</f>
        <v/>
      </c>
      <c r="Q457" s="35" t="str">
        <f>IF(AND(T456="",A457&lt;=S456),入力!$B$13,"")</f>
        <v/>
      </c>
      <c r="R457" s="32" t="str">
        <f>IF(AND(AND(T456="",A457&lt;=S456),OR(AND(入力!$B$13="有効",A457&gt;1,MOD(A457-1,60)=0),AND(A457=入力!$B$11,A457&gt;1)),入力!$B$14="有効"),ROUND(G456*1.25,0),"")</f>
        <v/>
      </c>
      <c r="S457" s="36">
        <f>IF(A457&lt;&gt;入力!$B$15,S456,IF(K457&lt;&gt;0,S456,IF(G457&lt;=F457,S456,IF(M457&lt;=0,S456,IF(AND(N457&gt;0,E457&gt;0,G457&lt;=N457*E457/12),S456,IF(A457+IF(N457=0,0,IF(E457=0,ROUNDUP(N457/G457,0),ROUNDUP(NPER(E457/12,-G457,N457),0)))&lt;S456,A457+IF(N457=0,0,IF(E457=0,ROUNDUP(N457/G457,0),ROUNDUP(NPER(E457/12,-G457,N457),0))),S456))))))</f>
        <v>359</v>
      </c>
      <c r="T457" s="35" t="str">
        <f t="shared" si="127"/>
        <v/>
      </c>
      <c r="U457" s="3">
        <f t="shared" si="112"/>
        <v>0</v>
      </c>
      <c r="V457" s="3">
        <f t="shared" si="113"/>
        <v>0</v>
      </c>
      <c r="W457" s="3">
        <f t="shared" si="114"/>
        <v>0</v>
      </c>
      <c r="X457" s="3">
        <f t="shared" si="115"/>
        <v>0</v>
      </c>
      <c r="Y457" s="3">
        <f>0</f>
        <v>0</v>
      </c>
      <c r="Z457" s="3">
        <f t="shared" si="116"/>
        <v>0</v>
      </c>
      <c r="AA457">
        <f>ROUND(IF(FALSE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,0)</f>
        <v>0</v>
      </c>
    </row>
    <row r="458" spans="1:27">
      <c r="A458" s="30">
        <f>453</f>
        <v>453</v>
      </c>
      <c r="B458" s="31">
        <f>EDATE(入力!$B$6,A458-1)</f>
        <v>59993</v>
      </c>
      <c r="C458" s="32">
        <f t="shared" si="117"/>
        <v>0</v>
      </c>
      <c r="D458" s="32">
        <f t="shared" si="118"/>
        <v>0</v>
      </c>
      <c r="E458" s="33">
        <f>IF(AND(T457="",A458&lt;=S457),IF(A458&lt;入力!$B$11,入力!$B$10,入力!$B$12),0)</f>
        <v>0</v>
      </c>
      <c r="F458" s="32">
        <f t="shared" si="119"/>
        <v>0</v>
      </c>
      <c r="G458" s="32">
        <f>ROUND(IF(NOT(AND(T457="",A458&lt;=S457)),0,IF(FALSE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),0)</f>
        <v>0</v>
      </c>
      <c r="H458" s="32">
        <f t="shared" si="120"/>
        <v>0</v>
      </c>
      <c r="I458" s="32">
        <f t="shared" si="121"/>
        <v>0</v>
      </c>
      <c r="J458" s="32">
        <f t="shared" si="122"/>
        <v>0</v>
      </c>
      <c r="K458" s="32">
        <f t="shared" si="123"/>
        <v>0</v>
      </c>
      <c r="L458" s="32">
        <f t="shared" si="124"/>
        <v>0</v>
      </c>
      <c r="M458" s="32">
        <f>IF(AND(AND(T457="",A458&lt;=S457),A458=入力!$B$15),ROUND(MIN(入力!$B$16,MAX(0,C458-L458)),0),0)</f>
        <v>0</v>
      </c>
      <c r="N458" s="32">
        <f t="shared" si="125"/>
        <v>0</v>
      </c>
      <c r="O458" s="32">
        <f t="shared" si="126"/>
        <v>10725103</v>
      </c>
      <c r="P458" s="34" t="str">
        <f>IF(NOT(AND(T457="",A458&lt;=S457)),"",IF(FALSE,"繰上返済後再計算","")&amp;IF(AND(入力!$B$13="有効",A458&gt;1,MOD(A458-1,60)=0),IF(FALSE,"・","")&amp;"5年見直し","")&amp;IF(AND(A458=入力!$B$11,A458&gt;1),IF(OR(FALSE,AND(入力!$B$13="有効",A458&gt;1,MOD(A458-1,60)=0)),"・","")&amp;"金利変更","")&amp;IF(AND(OR(AND(入力!$B$13="有効",A458&gt;1,MOD(A458-1,60)=0),AND(A458=入力!$B$11,A458&gt;1)),入力!$B$14="有効",IF(E458=0,ROUND(C458/MAX(1,S457-A458+1),0),ROUND(-PMT(E458/12,MAX(1,S457-A458+1),C458),0))&gt;ROUND(G457*1.25,0),NOT(FALSE)),"・上限適用",""))</f>
        <v/>
      </c>
      <c r="Q458" s="35" t="str">
        <f>IF(AND(T457="",A458&lt;=S457),入力!$B$13,"")</f>
        <v/>
      </c>
      <c r="R458" s="32" t="str">
        <f>IF(AND(AND(T457="",A458&lt;=S457),OR(AND(入力!$B$13="有効",A458&gt;1,MOD(A458-1,60)=0),AND(A458=入力!$B$11,A458&gt;1)),入力!$B$14="有効"),ROUND(G457*1.25,0),"")</f>
        <v/>
      </c>
      <c r="S458" s="36">
        <f>IF(A458&lt;&gt;入力!$B$15,S457,IF(K458&lt;&gt;0,S457,IF(G458&lt;=F458,S457,IF(M458&lt;=0,S457,IF(AND(N458&gt;0,E458&gt;0,G458&lt;=N458*E458/12),S457,IF(A458+IF(N458=0,0,IF(E458=0,ROUNDUP(N458/G458,0),ROUNDUP(NPER(E458/12,-G458,N458),0)))&lt;S457,A458+IF(N458=0,0,IF(E458=0,ROUNDUP(N458/G458,0),ROUNDUP(NPER(E458/12,-G458,N458),0))),S457))))))</f>
        <v>359</v>
      </c>
      <c r="T458" s="35" t="str">
        <f t="shared" si="127"/>
        <v/>
      </c>
      <c r="U458" s="3">
        <f t="shared" si="112"/>
        <v>0</v>
      </c>
      <c r="V458" s="3">
        <f t="shared" si="113"/>
        <v>0</v>
      </c>
      <c r="W458" s="3">
        <f t="shared" si="114"/>
        <v>0</v>
      </c>
      <c r="X458" s="3">
        <f t="shared" si="115"/>
        <v>0</v>
      </c>
      <c r="Y458" s="3">
        <f>0</f>
        <v>0</v>
      </c>
      <c r="Z458" s="3">
        <f t="shared" si="116"/>
        <v>0</v>
      </c>
      <c r="AA458">
        <f>ROUND(IF(FALSE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,0)</f>
        <v>0</v>
      </c>
    </row>
    <row r="459" spans="1:27">
      <c r="A459" s="30">
        <f>454</f>
        <v>454</v>
      </c>
      <c r="B459" s="31">
        <f>EDATE(入力!$B$6,A459-1)</f>
        <v>60023</v>
      </c>
      <c r="C459" s="32">
        <f t="shared" si="117"/>
        <v>0</v>
      </c>
      <c r="D459" s="32">
        <f t="shared" si="118"/>
        <v>0</v>
      </c>
      <c r="E459" s="33">
        <f>IF(AND(T458="",A459&lt;=S458),IF(A459&lt;入力!$B$11,入力!$B$10,入力!$B$12),0)</f>
        <v>0</v>
      </c>
      <c r="F459" s="32">
        <f t="shared" si="119"/>
        <v>0</v>
      </c>
      <c r="G459" s="32">
        <f>ROUND(IF(NOT(AND(T458="",A459&lt;=S458)),0,IF(FALSE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),0)</f>
        <v>0</v>
      </c>
      <c r="H459" s="32">
        <f t="shared" si="120"/>
        <v>0</v>
      </c>
      <c r="I459" s="32">
        <f t="shared" si="121"/>
        <v>0</v>
      </c>
      <c r="J459" s="32">
        <f t="shared" si="122"/>
        <v>0</v>
      </c>
      <c r="K459" s="32">
        <f t="shared" si="123"/>
        <v>0</v>
      </c>
      <c r="L459" s="32">
        <f t="shared" si="124"/>
        <v>0</v>
      </c>
      <c r="M459" s="32">
        <f>IF(AND(AND(T458="",A459&lt;=S458),A459=入力!$B$15),ROUND(MIN(入力!$B$16,MAX(0,C459-L459)),0),0)</f>
        <v>0</v>
      </c>
      <c r="N459" s="32">
        <f t="shared" si="125"/>
        <v>0</v>
      </c>
      <c r="O459" s="32">
        <f t="shared" si="126"/>
        <v>10725103</v>
      </c>
      <c r="P459" s="34" t="str">
        <f>IF(NOT(AND(T458="",A459&lt;=S458)),"",IF(FALSE,"繰上返済後再計算","")&amp;IF(AND(入力!$B$13="有効",A459&gt;1,MOD(A459-1,60)=0),IF(FALSE,"・","")&amp;"5年見直し","")&amp;IF(AND(A459=入力!$B$11,A459&gt;1),IF(OR(FALSE,AND(入力!$B$13="有効",A459&gt;1,MOD(A459-1,60)=0)),"・","")&amp;"金利変更","")&amp;IF(AND(OR(AND(入力!$B$13="有効",A459&gt;1,MOD(A459-1,60)=0),AND(A459=入力!$B$11,A459&gt;1)),入力!$B$14="有効",IF(E459=0,ROUND(C459/MAX(1,S458-A459+1),0),ROUND(-PMT(E459/12,MAX(1,S458-A459+1),C459),0))&gt;ROUND(G458*1.25,0),NOT(FALSE)),"・上限適用",""))</f>
        <v/>
      </c>
      <c r="Q459" s="35" t="str">
        <f>IF(AND(T458="",A459&lt;=S458),入力!$B$13,"")</f>
        <v/>
      </c>
      <c r="R459" s="32" t="str">
        <f>IF(AND(AND(T458="",A459&lt;=S458),OR(AND(入力!$B$13="有効",A459&gt;1,MOD(A459-1,60)=0),AND(A459=入力!$B$11,A459&gt;1)),入力!$B$14="有効"),ROUND(G458*1.25,0),"")</f>
        <v/>
      </c>
      <c r="S459" s="36">
        <f>IF(A459&lt;&gt;入力!$B$15,S458,IF(K459&lt;&gt;0,S458,IF(G459&lt;=F459,S458,IF(M459&lt;=0,S458,IF(AND(N459&gt;0,E459&gt;0,G459&lt;=N459*E459/12),S458,IF(A459+IF(N459=0,0,IF(E459=0,ROUNDUP(N459/G459,0),ROUNDUP(NPER(E459/12,-G459,N459),0)))&lt;S458,A459+IF(N459=0,0,IF(E459=0,ROUNDUP(N459/G459,0),ROUNDUP(NPER(E459/12,-G459,N459),0))),S458))))))</f>
        <v>359</v>
      </c>
      <c r="T459" s="35" t="str">
        <f t="shared" si="127"/>
        <v/>
      </c>
      <c r="U459" s="3">
        <f t="shared" si="112"/>
        <v>0</v>
      </c>
      <c r="V459" s="3">
        <f t="shared" si="113"/>
        <v>0</v>
      </c>
      <c r="W459" s="3">
        <f t="shared" si="114"/>
        <v>0</v>
      </c>
      <c r="X459" s="3">
        <f t="shared" si="115"/>
        <v>0</v>
      </c>
      <c r="Y459" s="3">
        <f>0</f>
        <v>0</v>
      </c>
      <c r="Z459" s="3">
        <f t="shared" si="116"/>
        <v>0</v>
      </c>
      <c r="AA459">
        <f>ROUND(IF(FALSE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,0)</f>
        <v>0</v>
      </c>
    </row>
    <row r="460" spans="1:27">
      <c r="A460" s="30">
        <f>455</f>
        <v>455</v>
      </c>
      <c r="B460" s="31">
        <f>EDATE(入力!$B$6,A460-1)</f>
        <v>60054</v>
      </c>
      <c r="C460" s="32">
        <f t="shared" si="117"/>
        <v>0</v>
      </c>
      <c r="D460" s="32">
        <f t="shared" si="118"/>
        <v>0</v>
      </c>
      <c r="E460" s="33">
        <f>IF(AND(T459="",A460&lt;=S459),IF(A460&lt;入力!$B$11,入力!$B$10,入力!$B$12),0)</f>
        <v>0</v>
      </c>
      <c r="F460" s="32">
        <f t="shared" si="119"/>
        <v>0</v>
      </c>
      <c r="G460" s="32">
        <f>ROUND(IF(NOT(AND(T459="",A460&lt;=S459)),0,IF(FALSE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),0)</f>
        <v>0</v>
      </c>
      <c r="H460" s="32">
        <f t="shared" si="120"/>
        <v>0</v>
      </c>
      <c r="I460" s="32">
        <f t="shared" si="121"/>
        <v>0</v>
      </c>
      <c r="J460" s="32">
        <f t="shared" si="122"/>
        <v>0</v>
      </c>
      <c r="K460" s="32">
        <f t="shared" si="123"/>
        <v>0</v>
      </c>
      <c r="L460" s="32">
        <f t="shared" si="124"/>
        <v>0</v>
      </c>
      <c r="M460" s="32">
        <f>IF(AND(AND(T459="",A460&lt;=S459),A460=入力!$B$15),ROUND(MIN(入力!$B$16,MAX(0,C460-L460)),0),0)</f>
        <v>0</v>
      </c>
      <c r="N460" s="32">
        <f t="shared" si="125"/>
        <v>0</v>
      </c>
      <c r="O460" s="32">
        <f t="shared" si="126"/>
        <v>10725103</v>
      </c>
      <c r="P460" s="34" t="str">
        <f>IF(NOT(AND(T459="",A460&lt;=S459)),"",IF(FALSE,"繰上返済後再計算","")&amp;IF(AND(入力!$B$13="有効",A460&gt;1,MOD(A460-1,60)=0),IF(FALSE,"・","")&amp;"5年見直し","")&amp;IF(AND(A460=入力!$B$11,A460&gt;1),IF(OR(FALSE,AND(入力!$B$13="有効",A460&gt;1,MOD(A460-1,60)=0)),"・","")&amp;"金利変更","")&amp;IF(AND(OR(AND(入力!$B$13="有効",A460&gt;1,MOD(A460-1,60)=0),AND(A460=入力!$B$11,A460&gt;1)),入力!$B$14="有効",IF(E460=0,ROUND(C460/MAX(1,S459-A460+1),0),ROUND(-PMT(E460/12,MAX(1,S459-A460+1),C460),0))&gt;ROUND(G459*1.25,0),NOT(FALSE)),"・上限適用",""))</f>
        <v/>
      </c>
      <c r="Q460" s="35" t="str">
        <f>IF(AND(T459="",A460&lt;=S459),入力!$B$13,"")</f>
        <v/>
      </c>
      <c r="R460" s="32" t="str">
        <f>IF(AND(AND(T459="",A460&lt;=S459),OR(AND(入力!$B$13="有効",A460&gt;1,MOD(A460-1,60)=0),AND(A460=入力!$B$11,A460&gt;1)),入力!$B$14="有効"),ROUND(G459*1.25,0),"")</f>
        <v/>
      </c>
      <c r="S460" s="36">
        <f>IF(A460&lt;&gt;入力!$B$15,S459,IF(K460&lt;&gt;0,S459,IF(G460&lt;=F460,S459,IF(M460&lt;=0,S459,IF(AND(N460&gt;0,E460&gt;0,G460&lt;=N460*E460/12),S459,IF(A460+IF(N460=0,0,IF(E460=0,ROUNDUP(N460/G460,0),ROUNDUP(NPER(E460/12,-G460,N460),0)))&lt;S459,A460+IF(N460=0,0,IF(E460=0,ROUNDUP(N460/G460,0),ROUNDUP(NPER(E460/12,-G460,N460),0))),S459))))))</f>
        <v>359</v>
      </c>
      <c r="T460" s="35" t="str">
        <f t="shared" si="127"/>
        <v/>
      </c>
      <c r="U460" s="3">
        <f t="shared" si="112"/>
        <v>0</v>
      </c>
      <c r="V460" s="3">
        <f t="shared" si="113"/>
        <v>0</v>
      </c>
      <c r="W460" s="3">
        <f t="shared" si="114"/>
        <v>0</v>
      </c>
      <c r="X460" s="3">
        <f t="shared" si="115"/>
        <v>0</v>
      </c>
      <c r="Y460" s="3">
        <f>0</f>
        <v>0</v>
      </c>
      <c r="Z460" s="3">
        <f t="shared" si="116"/>
        <v>0</v>
      </c>
      <c r="AA460">
        <f>ROUND(IF(FALSE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,0)</f>
        <v>0</v>
      </c>
    </row>
    <row r="461" spans="1:27">
      <c r="A461" s="30">
        <f>456</f>
        <v>456</v>
      </c>
      <c r="B461" s="31">
        <f>EDATE(入力!$B$6,A461-1)</f>
        <v>60084</v>
      </c>
      <c r="C461" s="32">
        <f t="shared" si="117"/>
        <v>0</v>
      </c>
      <c r="D461" s="32">
        <f t="shared" si="118"/>
        <v>0</v>
      </c>
      <c r="E461" s="33">
        <f>IF(AND(T460="",A461&lt;=S460),IF(A461&lt;入力!$B$11,入力!$B$10,入力!$B$12),0)</f>
        <v>0</v>
      </c>
      <c r="F461" s="32">
        <f t="shared" si="119"/>
        <v>0</v>
      </c>
      <c r="G461" s="32">
        <f>ROUND(IF(NOT(AND(T460="",A461&lt;=S460)),0,IF(FALSE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),0)</f>
        <v>0</v>
      </c>
      <c r="H461" s="32">
        <f t="shared" si="120"/>
        <v>0</v>
      </c>
      <c r="I461" s="32">
        <f t="shared" si="121"/>
        <v>0</v>
      </c>
      <c r="J461" s="32">
        <f t="shared" si="122"/>
        <v>0</v>
      </c>
      <c r="K461" s="32">
        <f t="shared" si="123"/>
        <v>0</v>
      </c>
      <c r="L461" s="32">
        <f t="shared" si="124"/>
        <v>0</v>
      </c>
      <c r="M461" s="32">
        <f>IF(AND(AND(T460="",A461&lt;=S460),A461=入力!$B$15),ROUND(MIN(入力!$B$16,MAX(0,C461-L461)),0),0)</f>
        <v>0</v>
      </c>
      <c r="N461" s="32">
        <f t="shared" si="125"/>
        <v>0</v>
      </c>
      <c r="O461" s="32">
        <f t="shared" si="126"/>
        <v>10725103</v>
      </c>
      <c r="P461" s="34" t="str">
        <f>IF(NOT(AND(T460="",A461&lt;=S460)),"",IF(FALSE,"繰上返済後再計算","")&amp;IF(AND(入力!$B$13="有効",A461&gt;1,MOD(A461-1,60)=0),IF(FALSE,"・","")&amp;"5年見直し","")&amp;IF(AND(A461=入力!$B$11,A461&gt;1),IF(OR(FALSE,AND(入力!$B$13="有効",A461&gt;1,MOD(A461-1,60)=0)),"・","")&amp;"金利変更","")&amp;IF(AND(OR(AND(入力!$B$13="有効",A461&gt;1,MOD(A461-1,60)=0),AND(A461=入力!$B$11,A461&gt;1)),入力!$B$14="有効",IF(E461=0,ROUND(C461/MAX(1,S460-A461+1),0),ROUND(-PMT(E461/12,MAX(1,S460-A461+1),C461),0))&gt;ROUND(G460*1.25,0),NOT(FALSE)),"・上限適用",""))</f>
        <v/>
      </c>
      <c r="Q461" s="35" t="str">
        <f>IF(AND(T460="",A461&lt;=S460),入力!$B$13,"")</f>
        <v/>
      </c>
      <c r="R461" s="32" t="str">
        <f>IF(AND(AND(T460="",A461&lt;=S460),OR(AND(入力!$B$13="有効",A461&gt;1,MOD(A461-1,60)=0),AND(A461=入力!$B$11,A461&gt;1)),入力!$B$14="有効"),ROUND(G460*1.25,0),"")</f>
        <v/>
      </c>
      <c r="S461" s="36">
        <f>IF(A461&lt;&gt;入力!$B$15,S460,IF(K461&lt;&gt;0,S460,IF(G461&lt;=F461,S460,IF(M461&lt;=0,S460,IF(AND(N461&gt;0,E461&gt;0,G461&lt;=N461*E461/12),S460,IF(A461+IF(N461=0,0,IF(E461=0,ROUNDUP(N461/G461,0),ROUNDUP(NPER(E461/12,-G461,N461),0)))&lt;S460,A461+IF(N461=0,0,IF(E461=0,ROUNDUP(N461/G461,0),ROUNDUP(NPER(E461/12,-G461,N461),0))),S460))))))</f>
        <v>359</v>
      </c>
      <c r="T461" s="35" t="str">
        <f t="shared" si="127"/>
        <v/>
      </c>
      <c r="U461" s="3">
        <f t="shared" si="112"/>
        <v>0</v>
      </c>
      <c r="V461" s="3">
        <f t="shared" si="113"/>
        <v>0</v>
      </c>
      <c r="W461" s="3">
        <f t="shared" si="114"/>
        <v>0</v>
      </c>
      <c r="X461" s="3">
        <f t="shared" si="115"/>
        <v>0</v>
      </c>
      <c r="Y461" s="3">
        <f>0</f>
        <v>0</v>
      </c>
      <c r="Z461" s="3">
        <f t="shared" si="116"/>
        <v>0</v>
      </c>
      <c r="AA461">
        <f>ROUND(IF(FALSE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,0)</f>
        <v>0</v>
      </c>
    </row>
    <row r="462" spans="1:27">
      <c r="A462" s="30">
        <f>457</f>
        <v>457</v>
      </c>
      <c r="B462" s="31">
        <f>EDATE(入力!$B$6,A462-1)</f>
        <v>60115</v>
      </c>
      <c r="C462" s="32">
        <f t="shared" si="117"/>
        <v>0</v>
      </c>
      <c r="D462" s="32">
        <f t="shared" si="118"/>
        <v>0</v>
      </c>
      <c r="E462" s="33">
        <f>IF(AND(T461="",A462&lt;=S461),IF(A462&lt;入力!$B$11,入力!$B$10,入力!$B$12),0)</f>
        <v>0</v>
      </c>
      <c r="F462" s="32">
        <f t="shared" si="119"/>
        <v>0</v>
      </c>
      <c r="G462" s="32">
        <f>ROUND(IF(NOT(AND(T461="",A462&lt;=S461)),0,IF(FALSE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),0)</f>
        <v>0</v>
      </c>
      <c r="H462" s="32">
        <f t="shared" si="120"/>
        <v>0</v>
      </c>
      <c r="I462" s="32">
        <f t="shared" si="121"/>
        <v>0</v>
      </c>
      <c r="J462" s="32">
        <f t="shared" si="122"/>
        <v>0</v>
      </c>
      <c r="K462" s="32">
        <f t="shared" si="123"/>
        <v>0</v>
      </c>
      <c r="L462" s="32">
        <f t="shared" si="124"/>
        <v>0</v>
      </c>
      <c r="M462" s="32">
        <f>IF(AND(AND(T461="",A462&lt;=S461),A462=入力!$B$15),ROUND(MIN(入力!$B$16,MAX(0,C462-L462)),0),0)</f>
        <v>0</v>
      </c>
      <c r="N462" s="32">
        <f t="shared" si="125"/>
        <v>0</v>
      </c>
      <c r="O462" s="32">
        <f t="shared" si="126"/>
        <v>10725103</v>
      </c>
      <c r="P462" s="34" t="str">
        <f>IF(NOT(AND(T461="",A462&lt;=S461)),"",IF(FALSE,"繰上返済後再計算","")&amp;IF(AND(入力!$B$13="有効",A462&gt;1,MOD(A462-1,60)=0),IF(FALSE,"・","")&amp;"5年見直し","")&amp;IF(AND(A462=入力!$B$11,A462&gt;1),IF(OR(FALSE,AND(入力!$B$13="有効",A462&gt;1,MOD(A462-1,60)=0)),"・","")&amp;"金利変更","")&amp;IF(AND(OR(AND(入力!$B$13="有効",A462&gt;1,MOD(A462-1,60)=0),AND(A462=入力!$B$11,A462&gt;1)),入力!$B$14="有効",IF(E462=0,ROUND(C462/MAX(1,S461-A462+1),0),ROUND(-PMT(E462/12,MAX(1,S461-A462+1),C462),0))&gt;ROUND(G461*1.25,0),NOT(FALSE)),"・上限適用",""))</f>
        <v/>
      </c>
      <c r="Q462" s="35" t="str">
        <f>IF(AND(T461="",A462&lt;=S461),入力!$B$13,"")</f>
        <v/>
      </c>
      <c r="R462" s="32" t="str">
        <f>IF(AND(AND(T461="",A462&lt;=S461),OR(AND(入力!$B$13="有効",A462&gt;1,MOD(A462-1,60)=0),AND(A462=入力!$B$11,A462&gt;1)),入力!$B$14="有効"),ROUND(G461*1.25,0),"")</f>
        <v/>
      </c>
      <c r="S462" s="36">
        <f>IF(A462&lt;&gt;入力!$B$15,S461,IF(K462&lt;&gt;0,S461,IF(G462&lt;=F462,S461,IF(M462&lt;=0,S461,IF(AND(N462&gt;0,E462&gt;0,G462&lt;=N462*E462/12),S461,IF(A462+IF(N462=0,0,IF(E462=0,ROUNDUP(N462/G462,0),ROUNDUP(NPER(E462/12,-G462,N462),0)))&lt;S461,A462+IF(N462=0,0,IF(E462=0,ROUNDUP(N462/G462,0),ROUNDUP(NPER(E462/12,-G462,N462),0))),S461))))))</f>
        <v>359</v>
      </c>
      <c r="T462" s="35" t="str">
        <f t="shared" si="127"/>
        <v/>
      </c>
      <c r="U462" s="3">
        <f t="shared" si="112"/>
        <v>0</v>
      </c>
      <c r="V462" s="3">
        <f t="shared" si="113"/>
        <v>0</v>
      </c>
      <c r="W462" s="3">
        <f t="shared" si="114"/>
        <v>0</v>
      </c>
      <c r="X462" s="3">
        <f t="shared" si="115"/>
        <v>0</v>
      </c>
      <c r="Y462" s="3">
        <f>0</f>
        <v>0</v>
      </c>
      <c r="Z462" s="3">
        <f t="shared" si="116"/>
        <v>0</v>
      </c>
      <c r="AA462">
        <f>ROUND(IF(FALSE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,0)</f>
        <v>0</v>
      </c>
    </row>
    <row r="463" spans="1:27">
      <c r="A463" s="30">
        <f>458</f>
        <v>458</v>
      </c>
      <c r="B463" s="31">
        <f>EDATE(入力!$B$6,A463-1)</f>
        <v>60146</v>
      </c>
      <c r="C463" s="32">
        <f t="shared" si="117"/>
        <v>0</v>
      </c>
      <c r="D463" s="32">
        <f t="shared" si="118"/>
        <v>0</v>
      </c>
      <c r="E463" s="33">
        <f>IF(AND(T462="",A463&lt;=S462),IF(A463&lt;入力!$B$11,入力!$B$10,入力!$B$12),0)</f>
        <v>0</v>
      </c>
      <c r="F463" s="32">
        <f t="shared" si="119"/>
        <v>0</v>
      </c>
      <c r="G463" s="32">
        <f>ROUND(IF(NOT(AND(T462="",A463&lt;=S462)),0,IF(FALSE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),0)</f>
        <v>0</v>
      </c>
      <c r="H463" s="32">
        <f t="shared" si="120"/>
        <v>0</v>
      </c>
      <c r="I463" s="32">
        <f t="shared" si="121"/>
        <v>0</v>
      </c>
      <c r="J463" s="32">
        <f t="shared" si="122"/>
        <v>0</v>
      </c>
      <c r="K463" s="32">
        <f t="shared" si="123"/>
        <v>0</v>
      </c>
      <c r="L463" s="32">
        <f t="shared" si="124"/>
        <v>0</v>
      </c>
      <c r="M463" s="32">
        <f>IF(AND(AND(T462="",A463&lt;=S462),A463=入力!$B$15),ROUND(MIN(入力!$B$16,MAX(0,C463-L463)),0),0)</f>
        <v>0</v>
      </c>
      <c r="N463" s="32">
        <f t="shared" si="125"/>
        <v>0</v>
      </c>
      <c r="O463" s="32">
        <f t="shared" si="126"/>
        <v>10725103</v>
      </c>
      <c r="P463" s="34" t="str">
        <f>IF(NOT(AND(T462="",A463&lt;=S462)),"",IF(FALSE,"繰上返済後再計算","")&amp;IF(AND(入力!$B$13="有効",A463&gt;1,MOD(A463-1,60)=0),IF(FALSE,"・","")&amp;"5年見直し","")&amp;IF(AND(A463=入力!$B$11,A463&gt;1),IF(OR(FALSE,AND(入力!$B$13="有効",A463&gt;1,MOD(A463-1,60)=0)),"・","")&amp;"金利変更","")&amp;IF(AND(OR(AND(入力!$B$13="有効",A463&gt;1,MOD(A463-1,60)=0),AND(A463=入力!$B$11,A463&gt;1)),入力!$B$14="有効",IF(E463=0,ROUND(C463/MAX(1,S462-A463+1),0),ROUND(-PMT(E463/12,MAX(1,S462-A463+1),C463),0))&gt;ROUND(G462*1.25,0),NOT(FALSE)),"・上限適用",""))</f>
        <v/>
      </c>
      <c r="Q463" s="35" t="str">
        <f>IF(AND(T462="",A463&lt;=S462),入力!$B$13,"")</f>
        <v/>
      </c>
      <c r="R463" s="32" t="str">
        <f>IF(AND(AND(T462="",A463&lt;=S462),OR(AND(入力!$B$13="有効",A463&gt;1,MOD(A463-1,60)=0),AND(A463=入力!$B$11,A463&gt;1)),入力!$B$14="有効"),ROUND(G462*1.25,0),"")</f>
        <v/>
      </c>
      <c r="S463" s="36">
        <f>IF(A463&lt;&gt;入力!$B$15,S462,IF(K463&lt;&gt;0,S462,IF(G463&lt;=F463,S462,IF(M463&lt;=0,S462,IF(AND(N463&gt;0,E463&gt;0,G463&lt;=N463*E463/12),S462,IF(A463+IF(N463=0,0,IF(E463=0,ROUNDUP(N463/G463,0),ROUNDUP(NPER(E463/12,-G463,N463),0)))&lt;S462,A463+IF(N463=0,0,IF(E463=0,ROUNDUP(N463/G463,0),ROUNDUP(NPER(E463/12,-G463,N463),0))),S462))))))</f>
        <v>359</v>
      </c>
      <c r="T463" s="35" t="str">
        <f t="shared" si="127"/>
        <v/>
      </c>
      <c r="U463" s="3">
        <f t="shared" si="112"/>
        <v>0</v>
      </c>
      <c r="V463" s="3">
        <f t="shared" si="113"/>
        <v>0</v>
      </c>
      <c r="W463" s="3">
        <f t="shared" si="114"/>
        <v>0</v>
      </c>
      <c r="X463" s="3">
        <f t="shared" si="115"/>
        <v>0</v>
      </c>
      <c r="Y463" s="3">
        <f>0</f>
        <v>0</v>
      </c>
      <c r="Z463" s="3">
        <f t="shared" si="116"/>
        <v>0</v>
      </c>
      <c r="AA463">
        <f>ROUND(IF(FALSE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,0)</f>
        <v>0</v>
      </c>
    </row>
    <row r="464" spans="1:27">
      <c r="A464" s="30">
        <f>459</f>
        <v>459</v>
      </c>
      <c r="B464" s="31">
        <f>EDATE(入力!$B$6,A464-1)</f>
        <v>60176</v>
      </c>
      <c r="C464" s="32">
        <f t="shared" si="117"/>
        <v>0</v>
      </c>
      <c r="D464" s="32">
        <f t="shared" si="118"/>
        <v>0</v>
      </c>
      <c r="E464" s="33">
        <f>IF(AND(T463="",A464&lt;=S463),IF(A464&lt;入力!$B$11,入力!$B$10,入力!$B$12),0)</f>
        <v>0</v>
      </c>
      <c r="F464" s="32">
        <f t="shared" si="119"/>
        <v>0</v>
      </c>
      <c r="G464" s="32">
        <f>ROUND(IF(NOT(AND(T463="",A464&lt;=S463)),0,IF(FALSE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),0)</f>
        <v>0</v>
      </c>
      <c r="H464" s="32">
        <f t="shared" si="120"/>
        <v>0</v>
      </c>
      <c r="I464" s="32">
        <f t="shared" si="121"/>
        <v>0</v>
      </c>
      <c r="J464" s="32">
        <f t="shared" si="122"/>
        <v>0</v>
      </c>
      <c r="K464" s="32">
        <f t="shared" si="123"/>
        <v>0</v>
      </c>
      <c r="L464" s="32">
        <f t="shared" si="124"/>
        <v>0</v>
      </c>
      <c r="M464" s="32">
        <f>IF(AND(AND(T463="",A464&lt;=S463),A464=入力!$B$15),ROUND(MIN(入力!$B$16,MAX(0,C464-L464)),0),0)</f>
        <v>0</v>
      </c>
      <c r="N464" s="32">
        <f t="shared" si="125"/>
        <v>0</v>
      </c>
      <c r="O464" s="32">
        <f t="shared" si="126"/>
        <v>10725103</v>
      </c>
      <c r="P464" s="34" t="str">
        <f>IF(NOT(AND(T463="",A464&lt;=S463)),"",IF(FALSE,"繰上返済後再計算","")&amp;IF(AND(入力!$B$13="有効",A464&gt;1,MOD(A464-1,60)=0),IF(FALSE,"・","")&amp;"5年見直し","")&amp;IF(AND(A464=入力!$B$11,A464&gt;1),IF(OR(FALSE,AND(入力!$B$13="有効",A464&gt;1,MOD(A464-1,60)=0)),"・","")&amp;"金利変更","")&amp;IF(AND(OR(AND(入力!$B$13="有効",A464&gt;1,MOD(A464-1,60)=0),AND(A464=入力!$B$11,A464&gt;1)),入力!$B$14="有効",IF(E464=0,ROUND(C464/MAX(1,S463-A464+1),0),ROUND(-PMT(E464/12,MAX(1,S463-A464+1),C464),0))&gt;ROUND(G463*1.25,0),NOT(FALSE)),"・上限適用",""))</f>
        <v/>
      </c>
      <c r="Q464" s="35" t="str">
        <f>IF(AND(T463="",A464&lt;=S463),入力!$B$13,"")</f>
        <v/>
      </c>
      <c r="R464" s="32" t="str">
        <f>IF(AND(AND(T463="",A464&lt;=S463),OR(AND(入力!$B$13="有効",A464&gt;1,MOD(A464-1,60)=0),AND(A464=入力!$B$11,A464&gt;1)),入力!$B$14="有効"),ROUND(G463*1.25,0),"")</f>
        <v/>
      </c>
      <c r="S464" s="36">
        <f>IF(A464&lt;&gt;入力!$B$15,S463,IF(K464&lt;&gt;0,S463,IF(G464&lt;=F464,S463,IF(M464&lt;=0,S463,IF(AND(N464&gt;0,E464&gt;0,G464&lt;=N464*E464/12),S463,IF(A464+IF(N464=0,0,IF(E464=0,ROUNDUP(N464/G464,0),ROUNDUP(NPER(E464/12,-G464,N464),0)))&lt;S463,A464+IF(N464=0,0,IF(E464=0,ROUNDUP(N464/G464,0),ROUNDUP(NPER(E464/12,-G464,N464),0))),S463))))))</f>
        <v>359</v>
      </c>
      <c r="T464" s="35" t="str">
        <f t="shared" si="127"/>
        <v/>
      </c>
      <c r="U464" s="3">
        <f t="shared" si="112"/>
        <v>0</v>
      </c>
      <c r="V464" s="3">
        <f t="shared" si="113"/>
        <v>0</v>
      </c>
      <c r="W464" s="3">
        <f t="shared" si="114"/>
        <v>0</v>
      </c>
      <c r="X464" s="3">
        <f t="shared" si="115"/>
        <v>0</v>
      </c>
      <c r="Y464" s="3">
        <f>0</f>
        <v>0</v>
      </c>
      <c r="Z464" s="3">
        <f t="shared" si="116"/>
        <v>0</v>
      </c>
      <c r="AA464">
        <f>ROUND(IF(FALSE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,0)</f>
        <v>0</v>
      </c>
    </row>
    <row r="465" spans="1:27">
      <c r="A465" s="30">
        <f>460</f>
        <v>460</v>
      </c>
      <c r="B465" s="31">
        <f>EDATE(入力!$B$6,A465-1)</f>
        <v>60207</v>
      </c>
      <c r="C465" s="32">
        <f t="shared" si="117"/>
        <v>0</v>
      </c>
      <c r="D465" s="32">
        <f t="shared" si="118"/>
        <v>0</v>
      </c>
      <c r="E465" s="33">
        <f>IF(AND(T464="",A465&lt;=S464),IF(A465&lt;入力!$B$11,入力!$B$10,入力!$B$12),0)</f>
        <v>0</v>
      </c>
      <c r="F465" s="32">
        <f t="shared" si="119"/>
        <v>0</v>
      </c>
      <c r="G465" s="32">
        <f>ROUND(IF(NOT(AND(T464="",A465&lt;=S464)),0,IF(FALSE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),0)</f>
        <v>0</v>
      </c>
      <c r="H465" s="32">
        <f t="shared" si="120"/>
        <v>0</v>
      </c>
      <c r="I465" s="32">
        <f t="shared" si="121"/>
        <v>0</v>
      </c>
      <c r="J465" s="32">
        <f t="shared" si="122"/>
        <v>0</v>
      </c>
      <c r="K465" s="32">
        <f t="shared" si="123"/>
        <v>0</v>
      </c>
      <c r="L465" s="32">
        <f t="shared" si="124"/>
        <v>0</v>
      </c>
      <c r="M465" s="32">
        <f>IF(AND(AND(T464="",A465&lt;=S464),A465=入力!$B$15),ROUND(MIN(入力!$B$16,MAX(0,C465-L465)),0),0)</f>
        <v>0</v>
      </c>
      <c r="N465" s="32">
        <f t="shared" si="125"/>
        <v>0</v>
      </c>
      <c r="O465" s="32">
        <f t="shared" si="126"/>
        <v>10725103</v>
      </c>
      <c r="P465" s="34" t="str">
        <f>IF(NOT(AND(T464="",A465&lt;=S464)),"",IF(FALSE,"繰上返済後再計算","")&amp;IF(AND(入力!$B$13="有効",A465&gt;1,MOD(A465-1,60)=0),IF(FALSE,"・","")&amp;"5年見直し","")&amp;IF(AND(A465=入力!$B$11,A465&gt;1),IF(OR(FALSE,AND(入力!$B$13="有効",A465&gt;1,MOD(A465-1,60)=0)),"・","")&amp;"金利変更","")&amp;IF(AND(OR(AND(入力!$B$13="有効",A465&gt;1,MOD(A465-1,60)=0),AND(A465=入力!$B$11,A465&gt;1)),入力!$B$14="有効",IF(E465=0,ROUND(C465/MAX(1,S464-A465+1),0),ROUND(-PMT(E465/12,MAX(1,S464-A465+1),C465),0))&gt;ROUND(G464*1.25,0),NOT(FALSE)),"・上限適用",""))</f>
        <v/>
      </c>
      <c r="Q465" s="35" t="str">
        <f>IF(AND(T464="",A465&lt;=S464),入力!$B$13,"")</f>
        <v/>
      </c>
      <c r="R465" s="32" t="str">
        <f>IF(AND(AND(T464="",A465&lt;=S464),OR(AND(入力!$B$13="有効",A465&gt;1,MOD(A465-1,60)=0),AND(A465=入力!$B$11,A465&gt;1)),入力!$B$14="有効"),ROUND(G464*1.25,0),"")</f>
        <v/>
      </c>
      <c r="S465" s="36">
        <f>IF(A465&lt;&gt;入力!$B$15,S464,IF(K465&lt;&gt;0,S464,IF(G465&lt;=F465,S464,IF(M465&lt;=0,S464,IF(AND(N465&gt;0,E465&gt;0,G465&lt;=N465*E465/12),S464,IF(A465+IF(N465=0,0,IF(E465=0,ROUNDUP(N465/G465,0),ROUNDUP(NPER(E465/12,-G465,N465),0)))&lt;S464,A465+IF(N465=0,0,IF(E465=0,ROUNDUP(N465/G465,0),ROUNDUP(NPER(E465/12,-G465,N465),0))),S464))))))</f>
        <v>359</v>
      </c>
      <c r="T465" s="35" t="str">
        <f t="shared" si="127"/>
        <v/>
      </c>
      <c r="U465" s="3">
        <f t="shared" si="112"/>
        <v>0</v>
      </c>
      <c r="V465" s="3">
        <f t="shared" si="113"/>
        <v>0</v>
      </c>
      <c r="W465" s="3">
        <f t="shared" si="114"/>
        <v>0</v>
      </c>
      <c r="X465" s="3">
        <f t="shared" si="115"/>
        <v>0</v>
      </c>
      <c r="Y465" s="3">
        <f>0</f>
        <v>0</v>
      </c>
      <c r="Z465" s="3">
        <f t="shared" si="116"/>
        <v>0</v>
      </c>
      <c r="AA465">
        <f>ROUND(IF(FALSE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,0)</f>
        <v>0</v>
      </c>
    </row>
    <row r="466" spans="1:27">
      <c r="A466" s="30">
        <f>461</f>
        <v>461</v>
      </c>
      <c r="B466" s="31">
        <f>EDATE(入力!$B$6,A466-1)</f>
        <v>60237</v>
      </c>
      <c r="C466" s="32">
        <f t="shared" si="117"/>
        <v>0</v>
      </c>
      <c r="D466" s="32">
        <f t="shared" si="118"/>
        <v>0</v>
      </c>
      <c r="E466" s="33">
        <f>IF(AND(T465="",A466&lt;=S465),IF(A466&lt;入力!$B$11,入力!$B$10,入力!$B$12),0)</f>
        <v>0</v>
      </c>
      <c r="F466" s="32">
        <f t="shared" si="119"/>
        <v>0</v>
      </c>
      <c r="G466" s="32">
        <f>ROUND(IF(NOT(AND(T465="",A466&lt;=S465)),0,IF(FALSE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),0)</f>
        <v>0</v>
      </c>
      <c r="H466" s="32">
        <f t="shared" si="120"/>
        <v>0</v>
      </c>
      <c r="I466" s="32">
        <f t="shared" si="121"/>
        <v>0</v>
      </c>
      <c r="J466" s="32">
        <f t="shared" si="122"/>
        <v>0</v>
      </c>
      <c r="K466" s="32">
        <f t="shared" si="123"/>
        <v>0</v>
      </c>
      <c r="L466" s="32">
        <f t="shared" si="124"/>
        <v>0</v>
      </c>
      <c r="M466" s="32">
        <f>IF(AND(AND(T465="",A466&lt;=S465),A466=入力!$B$15),ROUND(MIN(入力!$B$16,MAX(0,C466-L466)),0),0)</f>
        <v>0</v>
      </c>
      <c r="N466" s="32">
        <f t="shared" si="125"/>
        <v>0</v>
      </c>
      <c r="O466" s="32">
        <f t="shared" si="126"/>
        <v>10725103</v>
      </c>
      <c r="P466" s="34" t="str">
        <f>IF(NOT(AND(T465="",A466&lt;=S465)),"",IF(FALSE,"繰上返済後再計算","")&amp;IF(AND(入力!$B$13="有効",A466&gt;1,MOD(A466-1,60)=0),IF(FALSE,"・","")&amp;"5年見直し","")&amp;IF(AND(A466=入力!$B$11,A466&gt;1),IF(OR(FALSE,AND(入力!$B$13="有効",A466&gt;1,MOD(A466-1,60)=0)),"・","")&amp;"金利変更","")&amp;IF(AND(OR(AND(入力!$B$13="有効",A466&gt;1,MOD(A466-1,60)=0),AND(A466=入力!$B$11,A466&gt;1)),入力!$B$14="有効",IF(E466=0,ROUND(C466/MAX(1,S465-A466+1),0),ROUND(-PMT(E466/12,MAX(1,S465-A466+1),C466),0))&gt;ROUND(G465*1.25,0),NOT(FALSE)),"・上限適用",""))</f>
        <v/>
      </c>
      <c r="Q466" s="35" t="str">
        <f>IF(AND(T465="",A466&lt;=S465),入力!$B$13,"")</f>
        <v/>
      </c>
      <c r="R466" s="32" t="str">
        <f>IF(AND(AND(T465="",A466&lt;=S465),OR(AND(入力!$B$13="有効",A466&gt;1,MOD(A466-1,60)=0),AND(A466=入力!$B$11,A466&gt;1)),入力!$B$14="有効"),ROUND(G465*1.25,0),"")</f>
        <v/>
      </c>
      <c r="S466" s="36">
        <f>IF(A466&lt;&gt;入力!$B$15,S465,IF(K466&lt;&gt;0,S465,IF(G466&lt;=F466,S465,IF(M466&lt;=0,S465,IF(AND(N466&gt;0,E466&gt;0,G466&lt;=N466*E466/12),S465,IF(A466+IF(N466=0,0,IF(E466=0,ROUNDUP(N466/G466,0),ROUNDUP(NPER(E466/12,-G466,N466),0)))&lt;S465,A466+IF(N466=0,0,IF(E466=0,ROUNDUP(N466/G466,0),ROUNDUP(NPER(E466/12,-G466,N466),0))),S465))))))</f>
        <v>359</v>
      </c>
      <c r="T466" s="35" t="str">
        <f t="shared" si="127"/>
        <v/>
      </c>
      <c r="U466" s="3">
        <f t="shared" si="112"/>
        <v>0</v>
      </c>
      <c r="V466" s="3">
        <f t="shared" si="113"/>
        <v>0</v>
      </c>
      <c r="W466" s="3">
        <f t="shared" si="114"/>
        <v>0</v>
      </c>
      <c r="X466" s="3">
        <f t="shared" si="115"/>
        <v>0</v>
      </c>
      <c r="Y466" s="3">
        <f>0</f>
        <v>0</v>
      </c>
      <c r="Z466" s="3">
        <f t="shared" si="116"/>
        <v>0</v>
      </c>
      <c r="AA466">
        <f>ROUND(IF(FALSE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,0)</f>
        <v>0</v>
      </c>
    </row>
    <row r="467" spans="1:27">
      <c r="A467" s="30">
        <f>462</f>
        <v>462</v>
      </c>
      <c r="B467" s="31">
        <f>EDATE(入力!$B$6,A467-1)</f>
        <v>60268</v>
      </c>
      <c r="C467" s="32">
        <f t="shared" si="117"/>
        <v>0</v>
      </c>
      <c r="D467" s="32">
        <f t="shared" si="118"/>
        <v>0</v>
      </c>
      <c r="E467" s="33">
        <f>IF(AND(T466="",A467&lt;=S466),IF(A467&lt;入力!$B$11,入力!$B$10,入力!$B$12),0)</f>
        <v>0</v>
      </c>
      <c r="F467" s="32">
        <f t="shared" si="119"/>
        <v>0</v>
      </c>
      <c r="G467" s="32">
        <f>ROUND(IF(NOT(AND(T466="",A467&lt;=S466)),0,IF(FALSE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),0)</f>
        <v>0</v>
      </c>
      <c r="H467" s="32">
        <f t="shared" si="120"/>
        <v>0</v>
      </c>
      <c r="I467" s="32">
        <f t="shared" si="121"/>
        <v>0</v>
      </c>
      <c r="J467" s="32">
        <f t="shared" si="122"/>
        <v>0</v>
      </c>
      <c r="K467" s="32">
        <f t="shared" si="123"/>
        <v>0</v>
      </c>
      <c r="L467" s="32">
        <f t="shared" si="124"/>
        <v>0</v>
      </c>
      <c r="M467" s="32">
        <f>IF(AND(AND(T466="",A467&lt;=S466),A467=入力!$B$15),ROUND(MIN(入力!$B$16,MAX(0,C467-L467)),0),0)</f>
        <v>0</v>
      </c>
      <c r="N467" s="32">
        <f t="shared" si="125"/>
        <v>0</v>
      </c>
      <c r="O467" s="32">
        <f t="shared" si="126"/>
        <v>10725103</v>
      </c>
      <c r="P467" s="34" t="str">
        <f>IF(NOT(AND(T466="",A467&lt;=S466)),"",IF(FALSE,"繰上返済後再計算","")&amp;IF(AND(入力!$B$13="有効",A467&gt;1,MOD(A467-1,60)=0),IF(FALSE,"・","")&amp;"5年見直し","")&amp;IF(AND(A467=入力!$B$11,A467&gt;1),IF(OR(FALSE,AND(入力!$B$13="有効",A467&gt;1,MOD(A467-1,60)=0)),"・","")&amp;"金利変更","")&amp;IF(AND(OR(AND(入力!$B$13="有効",A467&gt;1,MOD(A467-1,60)=0),AND(A467=入力!$B$11,A467&gt;1)),入力!$B$14="有効",IF(E467=0,ROUND(C467/MAX(1,S466-A467+1),0),ROUND(-PMT(E467/12,MAX(1,S466-A467+1),C467),0))&gt;ROUND(G466*1.25,0),NOT(FALSE)),"・上限適用",""))</f>
        <v/>
      </c>
      <c r="Q467" s="35" t="str">
        <f>IF(AND(T466="",A467&lt;=S466),入力!$B$13,"")</f>
        <v/>
      </c>
      <c r="R467" s="32" t="str">
        <f>IF(AND(AND(T466="",A467&lt;=S466),OR(AND(入力!$B$13="有効",A467&gt;1,MOD(A467-1,60)=0),AND(A467=入力!$B$11,A467&gt;1)),入力!$B$14="有効"),ROUND(G466*1.25,0),"")</f>
        <v/>
      </c>
      <c r="S467" s="36">
        <f>IF(A467&lt;&gt;入力!$B$15,S466,IF(K467&lt;&gt;0,S466,IF(G467&lt;=F467,S466,IF(M467&lt;=0,S466,IF(AND(N467&gt;0,E467&gt;0,G467&lt;=N467*E467/12),S466,IF(A467+IF(N467=0,0,IF(E467=0,ROUNDUP(N467/G467,0),ROUNDUP(NPER(E467/12,-G467,N467),0)))&lt;S466,A467+IF(N467=0,0,IF(E467=0,ROUNDUP(N467/G467,0),ROUNDUP(NPER(E467/12,-G467,N467),0))),S466))))))</f>
        <v>359</v>
      </c>
      <c r="T467" s="35" t="str">
        <f t="shared" si="127"/>
        <v/>
      </c>
      <c r="U467" s="3">
        <f t="shared" si="112"/>
        <v>0</v>
      </c>
      <c r="V467" s="3">
        <f t="shared" si="113"/>
        <v>0</v>
      </c>
      <c r="W467" s="3">
        <f t="shared" si="114"/>
        <v>0</v>
      </c>
      <c r="X467" s="3">
        <f t="shared" si="115"/>
        <v>0</v>
      </c>
      <c r="Y467" s="3">
        <f>0</f>
        <v>0</v>
      </c>
      <c r="Z467" s="3">
        <f t="shared" si="116"/>
        <v>0</v>
      </c>
      <c r="AA467">
        <f>ROUND(IF(FALSE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,0)</f>
        <v>0</v>
      </c>
    </row>
    <row r="468" spans="1:27">
      <c r="A468" s="30">
        <f>463</f>
        <v>463</v>
      </c>
      <c r="B468" s="31">
        <f>EDATE(入力!$B$6,A468-1)</f>
        <v>60299</v>
      </c>
      <c r="C468" s="32">
        <f t="shared" si="117"/>
        <v>0</v>
      </c>
      <c r="D468" s="32">
        <f t="shared" si="118"/>
        <v>0</v>
      </c>
      <c r="E468" s="33">
        <f>IF(AND(T467="",A468&lt;=S467),IF(A468&lt;入力!$B$11,入力!$B$10,入力!$B$12),0)</f>
        <v>0</v>
      </c>
      <c r="F468" s="32">
        <f t="shared" si="119"/>
        <v>0</v>
      </c>
      <c r="G468" s="32">
        <f>ROUND(IF(NOT(AND(T467="",A468&lt;=S467)),0,IF(FALSE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),0)</f>
        <v>0</v>
      </c>
      <c r="H468" s="32">
        <f t="shared" si="120"/>
        <v>0</v>
      </c>
      <c r="I468" s="32">
        <f t="shared" si="121"/>
        <v>0</v>
      </c>
      <c r="J468" s="32">
        <f t="shared" si="122"/>
        <v>0</v>
      </c>
      <c r="K468" s="32">
        <f t="shared" si="123"/>
        <v>0</v>
      </c>
      <c r="L468" s="32">
        <f t="shared" si="124"/>
        <v>0</v>
      </c>
      <c r="M468" s="32">
        <f>IF(AND(AND(T467="",A468&lt;=S467),A468=入力!$B$15),ROUND(MIN(入力!$B$16,MAX(0,C468-L468)),0),0)</f>
        <v>0</v>
      </c>
      <c r="N468" s="32">
        <f t="shared" si="125"/>
        <v>0</v>
      </c>
      <c r="O468" s="32">
        <f t="shared" si="126"/>
        <v>10725103</v>
      </c>
      <c r="P468" s="34" t="str">
        <f>IF(NOT(AND(T467="",A468&lt;=S467)),"",IF(FALSE,"繰上返済後再計算","")&amp;IF(AND(入力!$B$13="有効",A468&gt;1,MOD(A468-1,60)=0),IF(FALSE,"・","")&amp;"5年見直し","")&amp;IF(AND(A468=入力!$B$11,A468&gt;1),IF(OR(FALSE,AND(入力!$B$13="有効",A468&gt;1,MOD(A468-1,60)=0)),"・","")&amp;"金利変更","")&amp;IF(AND(OR(AND(入力!$B$13="有効",A468&gt;1,MOD(A468-1,60)=0),AND(A468=入力!$B$11,A468&gt;1)),入力!$B$14="有効",IF(E468=0,ROUND(C468/MAX(1,S467-A468+1),0),ROUND(-PMT(E468/12,MAX(1,S467-A468+1),C468),0))&gt;ROUND(G467*1.25,0),NOT(FALSE)),"・上限適用",""))</f>
        <v/>
      </c>
      <c r="Q468" s="35" t="str">
        <f>IF(AND(T467="",A468&lt;=S467),入力!$B$13,"")</f>
        <v/>
      </c>
      <c r="R468" s="32" t="str">
        <f>IF(AND(AND(T467="",A468&lt;=S467),OR(AND(入力!$B$13="有効",A468&gt;1,MOD(A468-1,60)=0),AND(A468=入力!$B$11,A468&gt;1)),入力!$B$14="有効"),ROUND(G467*1.25,0),"")</f>
        <v/>
      </c>
      <c r="S468" s="36">
        <f>IF(A468&lt;&gt;入力!$B$15,S467,IF(K468&lt;&gt;0,S467,IF(G468&lt;=F468,S467,IF(M468&lt;=0,S467,IF(AND(N468&gt;0,E468&gt;0,G468&lt;=N468*E468/12),S467,IF(A468+IF(N468=0,0,IF(E468=0,ROUNDUP(N468/G468,0),ROUNDUP(NPER(E468/12,-G468,N468),0)))&lt;S467,A468+IF(N468=0,0,IF(E468=0,ROUNDUP(N468/G468,0),ROUNDUP(NPER(E468/12,-G468,N468),0))),S467))))))</f>
        <v>359</v>
      </c>
      <c r="T468" s="35" t="str">
        <f t="shared" si="127"/>
        <v/>
      </c>
      <c r="U468" s="3">
        <f t="shared" si="112"/>
        <v>0</v>
      </c>
      <c r="V468" s="3">
        <f t="shared" si="113"/>
        <v>0</v>
      </c>
      <c r="W468" s="3">
        <f t="shared" si="114"/>
        <v>0</v>
      </c>
      <c r="X468" s="3">
        <f t="shared" si="115"/>
        <v>0</v>
      </c>
      <c r="Y468" s="3">
        <f>0</f>
        <v>0</v>
      </c>
      <c r="Z468" s="3">
        <f t="shared" si="116"/>
        <v>0</v>
      </c>
      <c r="AA468">
        <f>ROUND(IF(FALSE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,0)</f>
        <v>0</v>
      </c>
    </row>
    <row r="469" spans="1:27">
      <c r="A469" s="30">
        <f>464</f>
        <v>464</v>
      </c>
      <c r="B469" s="31">
        <f>EDATE(入力!$B$6,A469-1)</f>
        <v>60327</v>
      </c>
      <c r="C469" s="32">
        <f t="shared" si="117"/>
        <v>0</v>
      </c>
      <c r="D469" s="32">
        <f t="shared" si="118"/>
        <v>0</v>
      </c>
      <c r="E469" s="33">
        <f>IF(AND(T468="",A469&lt;=S468),IF(A469&lt;入力!$B$11,入力!$B$10,入力!$B$12),0)</f>
        <v>0</v>
      </c>
      <c r="F469" s="32">
        <f t="shared" si="119"/>
        <v>0</v>
      </c>
      <c r="G469" s="32">
        <f>ROUND(IF(NOT(AND(T468="",A469&lt;=S468)),0,IF(FALSE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),0)</f>
        <v>0</v>
      </c>
      <c r="H469" s="32">
        <f t="shared" si="120"/>
        <v>0</v>
      </c>
      <c r="I469" s="32">
        <f t="shared" si="121"/>
        <v>0</v>
      </c>
      <c r="J469" s="32">
        <f t="shared" si="122"/>
        <v>0</v>
      </c>
      <c r="K469" s="32">
        <f t="shared" si="123"/>
        <v>0</v>
      </c>
      <c r="L469" s="32">
        <f t="shared" si="124"/>
        <v>0</v>
      </c>
      <c r="M469" s="32">
        <f>IF(AND(AND(T468="",A469&lt;=S468),A469=入力!$B$15),ROUND(MIN(入力!$B$16,MAX(0,C469-L469)),0),0)</f>
        <v>0</v>
      </c>
      <c r="N469" s="32">
        <f t="shared" si="125"/>
        <v>0</v>
      </c>
      <c r="O469" s="32">
        <f t="shared" si="126"/>
        <v>10725103</v>
      </c>
      <c r="P469" s="34" t="str">
        <f>IF(NOT(AND(T468="",A469&lt;=S468)),"",IF(FALSE,"繰上返済後再計算","")&amp;IF(AND(入力!$B$13="有効",A469&gt;1,MOD(A469-1,60)=0),IF(FALSE,"・","")&amp;"5年見直し","")&amp;IF(AND(A469=入力!$B$11,A469&gt;1),IF(OR(FALSE,AND(入力!$B$13="有効",A469&gt;1,MOD(A469-1,60)=0)),"・","")&amp;"金利変更","")&amp;IF(AND(OR(AND(入力!$B$13="有効",A469&gt;1,MOD(A469-1,60)=0),AND(A469=入力!$B$11,A469&gt;1)),入力!$B$14="有効",IF(E469=0,ROUND(C469/MAX(1,S468-A469+1),0),ROUND(-PMT(E469/12,MAX(1,S468-A469+1),C469),0))&gt;ROUND(G468*1.25,0),NOT(FALSE)),"・上限適用",""))</f>
        <v/>
      </c>
      <c r="Q469" s="35" t="str">
        <f>IF(AND(T468="",A469&lt;=S468),入力!$B$13,"")</f>
        <v/>
      </c>
      <c r="R469" s="32" t="str">
        <f>IF(AND(AND(T468="",A469&lt;=S468),OR(AND(入力!$B$13="有効",A469&gt;1,MOD(A469-1,60)=0),AND(A469=入力!$B$11,A469&gt;1)),入力!$B$14="有効"),ROUND(G468*1.25,0),"")</f>
        <v/>
      </c>
      <c r="S469" s="36">
        <f>IF(A469&lt;&gt;入力!$B$15,S468,IF(K469&lt;&gt;0,S468,IF(G469&lt;=F469,S468,IF(M469&lt;=0,S468,IF(AND(N469&gt;0,E469&gt;0,G469&lt;=N469*E469/12),S468,IF(A469+IF(N469=0,0,IF(E469=0,ROUNDUP(N469/G469,0),ROUNDUP(NPER(E469/12,-G469,N469),0)))&lt;S468,A469+IF(N469=0,0,IF(E469=0,ROUNDUP(N469/G469,0),ROUNDUP(NPER(E469/12,-G469,N469),0))),S468))))))</f>
        <v>359</v>
      </c>
      <c r="T469" s="35" t="str">
        <f t="shared" si="127"/>
        <v/>
      </c>
      <c r="U469" s="3">
        <f t="shared" si="112"/>
        <v>0</v>
      </c>
      <c r="V469" s="3">
        <f t="shared" si="113"/>
        <v>0</v>
      </c>
      <c r="W469" s="3">
        <f t="shared" si="114"/>
        <v>0</v>
      </c>
      <c r="X469" s="3">
        <f t="shared" si="115"/>
        <v>0</v>
      </c>
      <c r="Y469" s="3">
        <f>0</f>
        <v>0</v>
      </c>
      <c r="Z469" s="3">
        <f t="shared" si="116"/>
        <v>0</v>
      </c>
      <c r="AA469">
        <f>ROUND(IF(FALSE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,0)</f>
        <v>0</v>
      </c>
    </row>
    <row r="470" spans="1:27">
      <c r="A470" s="30">
        <f>465</f>
        <v>465</v>
      </c>
      <c r="B470" s="31">
        <f>EDATE(入力!$B$6,A470-1)</f>
        <v>60358</v>
      </c>
      <c r="C470" s="32">
        <f t="shared" si="117"/>
        <v>0</v>
      </c>
      <c r="D470" s="32">
        <f t="shared" si="118"/>
        <v>0</v>
      </c>
      <c r="E470" s="33">
        <f>IF(AND(T469="",A470&lt;=S469),IF(A470&lt;入力!$B$11,入力!$B$10,入力!$B$12),0)</f>
        <v>0</v>
      </c>
      <c r="F470" s="32">
        <f t="shared" si="119"/>
        <v>0</v>
      </c>
      <c r="G470" s="32">
        <f>ROUND(IF(NOT(AND(T469="",A470&lt;=S469)),0,IF(FALSE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),0)</f>
        <v>0</v>
      </c>
      <c r="H470" s="32">
        <f t="shared" si="120"/>
        <v>0</v>
      </c>
      <c r="I470" s="32">
        <f t="shared" si="121"/>
        <v>0</v>
      </c>
      <c r="J470" s="32">
        <f t="shared" si="122"/>
        <v>0</v>
      </c>
      <c r="K470" s="32">
        <f t="shared" si="123"/>
        <v>0</v>
      </c>
      <c r="L470" s="32">
        <f t="shared" si="124"/>
        <v>0</v>
      </c>
      <c r="M470" s="32">
        <f>IF(AND(AND(T469="",A470&lt;=S469),A470=入力!$B$15),ROUND(MIN(入力!$B$16,MAX(0,C470-L470)),0),0)</f>
        <v>0</v>
      </c>
      <c r="N470" s="32">
        <f t="shared" si="125"/>
        <v>0</v>
      </c>
      <c r="O470" s="32">
        <f t="shared" si="126"/>
        <v>10725103</v>
      </c>
      <c r="P470" s="34" t="str">
        <f>IF(NOT(AND(T469="",A470&lt;=S469)),"",IF(FALSE,"繰上返済後再計算","")&amp;IF(AND(入力!$B$13="有効",A470&gt;1,MOD(A470-1,60)=0),IF(FALSE,"・","")&amp;"5年見直し","")&amp;IF(AND(A470=入力!$B$11,A470&gt;1),IF(OR(FALSE,AND(入力!$B$13="有効",A470&gt;1,MOD(A470-1,60)=0)),"・","")&amp;"金利変更","")&amp;IF(AND(OR(AND(入力!$B$13="有効",A470&gt;1,MOD(A470-1,60)=0),AND(A470=入力!$B$11,A470&gt;1)),入力!$B$14="有効",IF(E470=0,ROUND(C470/MAX(1,S469-A470+1),0),ROUND(-PMT(E470/12,MAX(1,S469-A470+1),C470),0))&gt;ROUND(G469*1.25,0),NOT(FALSE)),"・上限適用",""))</f>
        <v/>
      </c>
      <c r="Q470" s="35" t="str">
        <f>IF(AND(T469="",A470&lt;=S469),入力!$B$13,"")</f>
        <v/>
      </c>
      <c r="R470" s="32" t="str">
        <f>IF(AND(AND(T469="",A470&lt;=S469),OR(AND(入力!$B$13="有効",A470&gt;1,MOD(A470-1,60)=0),AND(A470=入力!$B$11,A470&gt;1)),入力!$B$14="有効"),ROUND(G469*1.25,0),"")</f>
        <v/>
      </c>
      <c r="S470" s="36">
        <f>IF(A470&lt;&gt;入力!$B$15,S469,IF(K470&lt;&gt;0,S469,IF(G470&lt;=F470,S469,IF(M470&lt;=0,S469,IF(AND(N470&gt;0,E470&gt;0,G470&lt;=N470*E470/12),S469,IF(A470+IF(N470=0,0,IF(E470=0,ROUNDUP(N470/G470,0),ROUNDUP(NPER(E470/12,-G470,N470),0)))&lt;S469,A470+IF(N470=0,0,IF(E470=0,ROUNDUP(N470/G470,0),ROUNDUP(NPER(E470/12,-G470,N470),0))),S469))))))</f>
        <v>359</v>
      </c>
      <c r="T470" s="35" t="str">
        <f t="shared" si="127"/>
        <v/>
      </c>
      <c r="U470" s="3">
        <f t="shared" si="112"/>
        <v>0</v>
      </c>
      <c r="V470" s="3">
        <f t="shared" si="113"/>
        <v>0</v>
      </c>
      <c r="W470" s="3">
        <f t="shared" si="114"/>
        <v>0</v>
      </c>
      <c r="X470" s="3">
        <f t="shared" si="115"/>
        <v>0</v>
      </c>
      <c r="Y470" s="3">
        <f>0</f>
        <v>0</v>
      </c>
      <c r="Z470" s="3">
        <f t="shared" si="116"/>
        <v>0</v>
      </c>
      <c r="AA470">
        <f>ROUND(IF(FALSE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,0)</f>
        <v>0</v>
      </c>
    </row>
    <row r="471" spans="1:27">
      <c r="A471" s="30">
        <f>466</f>
        <v>466</v>
      </c>
      <c r="B471" s="31">
        <f>EDATE(入力!$B$6,A471-1)</f>
        <v>60388</v>
      </c>
      <c r="C471" s="32">
        <f t="shared" si="117"/>
        <v>0</v>
      </c>
      <c r="D471" s="32">
        <f t="shared" si="118"/>
        <v>0</v>
      </c>
      <c r="E471" s="33">
        <f>IF(AND(T470="",A471&lt;=S470),IF(A471&lt;入力!$B$11,入力!$B$10,入力!$B$12),0)</f>
        <v>0</v>
      </c>
      <c r="F471" s="32">
        <f t="shared" si="119"/>
        <v>0</v>
      </c>
      <c r="G471" s="32">
        <f>ROUND(IF(NOT(AND(T470="",A471&lt;=S470)),0,IF(FALSE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),0)</f>
        <v>0</v>
      </c>
      <c r="H471" s="32">
        <f t="shared" si="120"/>
        <v>0</v>
      </c>
      <c r="I471" s="32">
        <f t="shared" si="121"/>
        <v>0</v>
      </c>
      <c r="J471" s="32">
        <f t="shared" si="122"/>
        <v>0</v>
      </c>
      <c r="K471" s="32">
        <f t="shared" si="123"/>
        <v>0</v>
      </c>
      <c r="L471" s="32">
        <f t="shared" si="124"/>
        <v>0</v>
      </c>
      <c r="M471" s="32">
        <f>IF(AND(AND(T470="",A471&lt;=S470),A471=入力!$B$15),ROUND(MIN(入力!$B$16,MAX(0,C471-L471)),0),0)</f>
        <v>0</v>
      </c>
      <c r="N471" s="32">
        <f t="shared" si="125"/>
        <v>0</v>
      </c>
      <c r="O471" s="32">
        <f t="shared" si="126"/>
        <v>10725103</v>
      </c>
      <c r="P471" s="34" t="str">
        <f>IF(NOT(AND(T470="",A471&lt;=S470)),"",IF(FALSE,"繰上返済後再計算","")&amp;IF(AND(入力!$B$13="有効",A471&gt;1,MOD(A471-1,60)=0),IF(FALSE,"・","")&amp;"5年見直し","")&amp;IF(AND(A471=入力!$B$11,A471&gt;1),IF(OR(FALSE,AND(入力!$B$13="有効",A471&gt;1,MOD(A471-1,60)=0)),"・","")&amp;"金利変更","")&amp;IF(AND(OR(AND(入力!$B$13="有効",A471&gt;1,MOD(A471-1,60)=0),AND(A471=入力!$B$11,A471&gt;1)),入力!$B$14="有効",IF(E471=0,ROUND(C471/MAX(1,S470-A471+1),0),ROUND(-PMT(E471/12,MAX(1,S470-A471+1),C471),0))&gt;ROUND(G470*1.25,0),NOT(FALSE)),"・上限適用",""))</f>
        <v/>
      </c>
      <c r="Q471" s="35" t="str">
        <f>IF(AND(T470="",A471&lt;=S470),入力!$B$13,"")</f>
        <v/>
      </c>
      <c r="R471" s="32" t="str">
        <f>IF(AND(AND(T470="",A471&lt;=S470),OR(AND(入力!$B$13="有効",A471&gt;1,MOD(A471-1,60)=0),AND(A471=入力!$B$11,A471&gt;1)),入力!$B$14="有効"),ROUND(G470*1.25,0),"")</f>
        <v/>
      </c>
      <c r="S471" s="36">
        <f>IF(A471&lt;&gt;入力!$B$15,S470,IF(K471&lt;&gt;0,S470,IF(G471&lt;=F471,S470,IF(M471&lt;=0,S470,IF(AND(N471&gt;0,E471&gt;0,G471&lt;=N471*E471/12),S470,IF(A471+IF(N471=0,0,IF(E471=0,ROUNDUP(N471/G471,0),ROUNDUP(NPER(E471/12,-G471,N471),0)))&lt;S470,A471+IF(N471=0,0,IF(E471=0,ROUNDUP(N471/G471,0),ROUNDUP(NPER(E471/12,-G471,N471),0))),S470))))))</f>
        <v>359</v>
      </c>
      <c r="T471" s="35" t="str">
        <f t="shared" si="127"/>
        <v/>
      </c>
      <c r="U471" s="3">
        <f t="shared" si="112"/>
        <v>0</v>
      </c>
      <c r="V471" s="3">
        <f t="shared" si="113"/>
        <v>0</v>
      </c>
      <c r="W471" s="3">
        <f t="shared" si="114"/>
        <v>0</v>
      </c>
      <c r="X471" s="3">
        <f t="shared" si="115"/>
        <v>0</v>
      </c>
      <c r="Y471" s="3">
        <f>0</f>
        <v>0</v>
      </c>
      <c r="Z471" s="3">
        <f t="shared" si="116"/>
        <v>0</v>
      </c>
      <c r="AA471">
        <f>ROUND(IF(FALSE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,0)</f>
        <v>0</v>
      </c>
    </row>
    <row r="472" spans="1:27">
      <c r="A472" s="30">
        <f>467</f>
        <v>467</v>
      </c>
      <c r="B472" s="31">
        <f>EDATE(入力!$B$6,A472-1)</f>
        <v>60419</v>
      </c>
      <c r="C472" s="32">
        <f t="shared" si="117"/>
        <v>0</v>
      </c>
      <c r="D472" s="32">
        <f t="shared" si="118"/>
        <v>0</v>
      </c>
      <c r="E472" s="33">
        <f>IF(AND(T471="",A472&lt;=S471),IF(A472&lt;入力!$B$11,入力!$B$10,入力!$B$12),0)</f>
        <v>0</v>
      </c>
      <c r="F472" s="32">
        <f t="shared" si="119"/>
        <v>0</v>
      </c>
      <c r="G472" s="32">
        <f>ROUND(IF(NOT(AND(T471="",A472&lt;=S471)),0,IF(FALSE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),0)</f>
        <v>0</v>
      </c>
      <c r="H472" s="32">
        <f t="shared" si="120"/>
        <v>0</v>
      </c>
      <c r="I472" s="32">
        <f t="shared" si="121"/>
        <v>0</v>
      </c>
      <c r="J472" s="32">
        <f t="shared" si="122"/>
        <v>0</v>
      </c>
      <c r="K472" s="32">
        <f t="shared" si="123"/>
        <v>0</v>
      </c>
      <c r="L472" s="32">
        <f t="shared" si="124"/>
        <v>0</v>
      </c>
      <c r="M472" s="32">
        <f>IF(AND(AND(T471="",A472&lt;=S471),A472=入力!$B$15),ROUND(MIN(入力!$B$16,MAX(0,C472-L472)),0),0)</f>
        <v>0</v>
      </c>
      <c r="N472" s="32">
        <f t="shared" si="125"/>
        <v>0</v>
      </c>
      <c r="O472" s="32">
        <f t="shared" si="126"/>
        <v>10725103</v>
      </c>
      <c r="P472" s="34" t="str">
        <f>IF(NOT(AND(T471="",A472&lt;=S471)),"",IF(FALSE,"繰上返済後再計算","")&amp;IF(AND(入力!$B$13="有効",A472&gt;1,MOD(A472-1,60)=0),IF(FALSE,"・","")&amp;"5年見直し","")&amp;IF(AND(A472=入力!$B$11,A472&gt;1),IF(OR(FALSE,AND(入力!$B$13="有効",A472&gt;1,MOD(A472-1,60)=0)),"・","")&amp;"金利変更","")&amp;IF(AND(OR(AND(入力!$B$13="有効",A472&gt;1,MOD(A472-1,60)=0),AND(A472=入力!$B$11,A472&gt;1)),入力!$B$14="有効",IF(E472=0,ROUND(C472/MAX(1,S471-A472+1),0),ROUND(-PMT(E472/12,MAX(1,S471-A472+1),C472),0))&gt;ROUND(G471*1.25,0),NOT(FALSE)),"・上限適用",""))</f>
        <v/>
      </c>
      <c r="Q472" s="35" t="str">
        <f>IF(AND(T471="",A472&lt;=S471),入力!$B$13,"")</f>
        <v/>
      </c>
      <c r="R472" s="32" t="str">
        <f>IF(AND(AND(T471="",A472&lt;=S471),OR(AND(入力!$B$13="有効",A472&gt;1,MOD(A472-1,60)=0),AND(A472=入力!$B$11,A472&gt;1)),入力!$B$14="有効"),ROUND(G471*1.25,0),"")</f>
        <v/>
      </c>
      <c r="S472" s="36">
        <f>IF(A472&lt;&gt;入力!$B$15,S471,IF(K472&lt;&gt;0,S471,IF(G472&lt;=F472,S471,IF(M472&lt;=0,S471,IF(AND(N472&gt;0,E472&gt;0,G472&lt;=N472*E472/12),S471,IF(A472+IF(N472=0,0,IF(E472=0,ROUNDUP(N472/G472,0),ROUNDUP(NPER(E472/12,-G472,N472),0)))&lt;S471,A472+IF(N472=0,0,IF(E472=0,ROUNDUP(N472/G472,0),ROUNDUP(NPER(E472/12,-G472,N472),0))),S471))))))</f>
        <v>359</v>
      </c>
      <c r="T472" s="35" t="str">
        <f t="shared" si="127"/>
        <v/>
      </c>
      <c r="U472" s="3">
        <f t="shared" si="112"/>
        <v>0</v>
      </c>
      <c r="V472" s="3">
        <f t="shared" si="113"/>
        <v>0</v>
      </c>
      <c r="W472" s="3">
        <f t="shared" si="114"/>
        <v>0</v>
      </c>
      <c r="X472" s="3">
        <f t="shared" si="115"/>
        <v>0</v>
      </c>
      <c r="Y472" s="3">
        <f>0</f>
        <v>0</v>
      </c>
      <c r="Z472" s="3">
        <f t="shared" si="116"/>
        <v>0</v>
      </c>
      <c r="AA472">
        <f>ROUND(IF(FALSE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,0)</f>
        <v>0</v>
      </c>
    </row>
    <row r="473" spans="1:27">
      <c r="A473" s="30">
        <f>468</f>
        <v>468</v>
      </c>
      <c r="B473" s="31">
        <f>EDATE(入力!$B$6,A473-1)</f>
        <v>60449</v>
      </c>
      <c r="C473" s="32">
        <f t="shared" si="117"/>
        <v>0</v>
      </c>
      <c r="D473" s="32">
        <f t="shared" si="118"/>
        <v>0</v>
      </c>
      <c r="E473" s="33">
        <f>IF(AND(T472="",A473&lt;=S472),IF(A473&lt;入力!$B$11,入力!$B$10,入力!$B$12),0)</f>
        <v>0</v>
      </c>
      <c r="F473" s="32">
        <f t="shared" si="119"/>
        <v>0</v>
      </c>
      <c r="G473" s="32">
        <f>ROUND(IF(NOT(AND(T472="",A473&lt;=S472)),0,IF(FALSE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),0)</f>
        <v>0</v>
      </c>
      <c r="H473" s="32">
        <f t="shared" si="120"/>
        <v>0</v>
      </c>
      <c r="I473" s="32">
        <f t="shared" si="121"/>
        <v>0</v>
      </c>
      <c r="J473" s="32">
        <f t="shared" si="122"/>
        <v>0</v>
      </c>
      <c r="K473" s="32">
        <f t="shared" si="123"/>
        <v>0</v>
      </c>
      <c r="L473" s="32">
        <f t="shared" si="124"/>
        <v>0</v>
      </c>
      <c r="M473" s="32">
        <f>IF(AND(AND(T472="",A473&lt;=S472),A473=入力!$B$15),ROUND(MIN(入力!$B$16,MAX(0,C473-L473)),0),0)</f>
        <v>0</v>
      </c>
      <c r="N473" s="32">
        <f t="shared" si="125"/>
        <v>0</v>
      </c>
      <c r="O473" s="32">
        <f t="shared" si="126"/>
        <v>10725103</v>
      </c>
      <c r="P473" s="34" t="str">
        <f>IF(NOT(AND(T472="",A473&lt;=S472)),"",IF(FALSE,"繰上返済後再計算","")&amp;IF(AND(入力!$B$13="有効",A473&gt;1,MOD(A473-1,60)=0),IF(FALSE,"・","")&amp;"5年見直し","")&amp;IF(AND(A473=入力!$B$11,A473&gt;1),IF(OR(FALSE,AND(入力!$B$13="有効",A473&gt;1,MOD(A473-1,60)=0)),"・","")&amp;"金利変更","")&amp;IF(AND(OR(AND(入力!$B$13="有効",A473&gt;1,MOD(A473-1,60)=0),AND(A473=入力!$B$11,A473&gt;1)),入力!$B$14="有効",IF(E473=0,ROUND(C473/MAX(1,S472-A473+1),0),ROUND(-PMT(E473/12,MAX(1,S472-A473+1),C473),0))&gt;ROUND(G472*1.25,0),NOT(FALSE)),"・上限適用",""))</f>
        <v/>
      </c>
      <c r="Q473" s="35" t="str">
        <f>IF(AND(T472="",A473&lt;=S472),入力!$B$13,"")</f>
        <v/>
      </c>
      <c r="R473" s="32" t="str">
        <f>IF(AND(AND(T472="",A473&lt;=S472),OR(AND(入力!$B$13="有効",A473&gt;1,MOD(A473-1,60)=0),AND(A473=入力!$B$11,A473&gt;1)),入力!$B$14="有効"),ROUND(G472*1.25,0),"")</f>
        <v/>
      </c>
      <c r="S473" s="36">
        <f>IF(A473&lt;&gt;入力!$B$15,S472,IF(K473&lt;&gt;0,S472,IF(G473&lt;=F473,S472,IF(M473&lt;=0,S472,IF(AND(N473&gt;0,E473&gt;0,G473&lt;=N473*E473/12),S472,IF(A473+IF(N473=0,0,IF(E473=0,ROUNDUP(N473/G473,0),ROUNDUP(NPER(E473/12,-G473,N473),0)))&lt;S472,A473+IF(N473=0,0,IF(E473=0,ROUNDUP(N473/G473,0),ROUNDUP(NPER(E473/12,-G473,N473),0))),S472))))))</f>
        <v>359</v>
      </c>
      <c r="T473" s="35" t="str">
        <f t="shared" si="127"/>
        <v/>
      </c>
      <c r="U473" s="3">
        <f t="shared" si="112"/>
        <v>0</v>
      </c>
      <c r="V473" s="3">
        <f t="shared" si="113"/>
        <v>0</v>
      </c>
      <c r="W473" s="3">
        <f t="shared" si="114"/>
        <v>0</v>
      </c>
      <c r="X473" s="3">
        <f t="shared" si="115"/>
        <v>0</v>
      </c>
      <c r="Y473" s="3">
        <f>0</f>
        <v>0</v>
      </c>
      <c r="Z473" s="3">
        <f t="shared" si="116"/>
        <v>0</v>
      </c>
      <c r="AA473">
        <f>ROUND(IF(FALSE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,0)</f>
        <v>0</v>
      </c>
    </row>
    <row r="474" spans="1:27">
      <c r="A474" s="30">
        <f>469</f>
        <v>469</v>
      </c>
      <c r="B474" s="31">
        <f>EDATE(入力!$B$6,A474-1)</f>
        <v>60480</v>
      </c>
      <c r="C474" s="32">
        <f t="shared" si="117"/>
        <v>0</v>
      </c>
      <c r="D474" s="32">
        <f t="shared" si="118"/>
        <v>0</v>
      </c>
      <c r="E474" s="33">
        <f>IF(AND(T473="",A474&lt;=S473),IF(A474&lt;入力!$B$11,入力!$B$10,入力!$B$12),0)</f>
        <v>0</v>
      </c>
      <c r="F474" s="32">
        <f t="shared" si="119"/>
        <v>0</v>
      </c>
      <c r="G474" s="32">
        <f>ROUND(IF(NOT(AND(T473="",A474&lt;=S473)),0,IF(FALSE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),0)</f>
        <v>0</v>
      </c>
      <c r="H474" s="32">
        <f t="shared" si="120"/>
        <v>0</v>
      </c>
      <c r="I474" s="32">
        <f t="shared" si="121"/>
        <v>0</v>
      </c>
      <c r="J474" s="32">
        <f t="shared" si="122"/>
        <v>0</v>
      </c>
      <c r="K474" s="32">
        <f t="shared" si="123"/>
        <v>0</v>
      </c>
      <c r="L474" s="32">
        <f t="shared" si="124"/>
        <v>0</v>
      </c>
      <c r="M474" s="32">
        <f>IF(AND(AND(T473="",A474&lt;=S473),A474=入力!$B$15),ROUND(MIN(入力!$B$16,MAX(0,C474-L474)),0),0)</f>
        <v>0</v>
      </c>
      <c r="N474" s="32">
        <f t="shared" si="125"/>
        <v>0</v>
      </c>
      <c r="O474" s="32">
        <f t="shared" si="126"/>
        <v>10725103</v>
      </c>
      <c r="P474" s="34" t="str">
        <f>IF(NOT(AND(T473="",A474&lt;=S473)),"",IF(FALSE,"繰上返済後再計算","")&amp;IF(AND(入力!$B$13="有効",A474&gt;1,MOD(A474-1,60)=0),IF(FALSE,"・","")&amp;"5年見直し","")&amp;IF(AND(A474=入力!$B$11,A474&gt;1),IF(OR(FALSE,AND(入力!$B$13="有効",A474&gt;1,MOD(A474-1,60)=0)),"・","")&amp;"金利変更","")&amp;IF(AND(OR(AND(入力!$B$13="有効",A474&gt;1,MOD(A474-1,60)=0),AND(A474=入力!$B$11,A474&gt;1)),入力!$B$14="有効",IF(E474=0,ROUND(C474/MAX(1,S473-A474+1),0),ROUND(-PMT(E474/12,MAX(1,S473-A474+1),C474),0))&gt;ROUND(G473*1.25,0),NOT(FALSE)),"・上限適用",""))</f>
        <v/>
      </c>
      <c r="Q474" s="35" t="str">
        <f>IF(AND(T473="",A474&lt;=S473),入力!$B$13,"")</f>
        <v/>
      </c>
      <c r="R474" s="32" t="str">
        <f>IF(AND(AND(T473="",A474&lt;=S473),OR(AND(入力!$B$13="有効",A474&gt;1,MOD(A474-1,60)=0),AND(A474=入力!$B$11,A474&gt;1)),入力!$B$14="有効"),ROUND(G473*1.25,0),"")</f>
        <v/>
      </c>
      <c r="S474" s="36">
        <f>IF(A474&lt;&gt;入力!$B$15,S473,IF(K474&lt;&gt;0,S473,IF(G474&lt;=F474,S473,IF(M474&lt;=0,S473,IF(AND(N474&gt;0,E474&gt;0,G474&lt;=N474*E474/12),S473,IF(A474+IF(N474=0,0,IF(E474=0,ROUNDUP(N474/G474,0),ROUNDUP(NPER(E474/12,-G474,N474),0)))&lt;S473,A474+IF(N474=0,0,IF(E474=0,ROUNDUP(N474/G474,0),ROUNDUP(NPER(E474/12,-G474,N474),0))),S473))))))</f>
        <v>359</v>
      </c>
      <c r="T474" s="35" t="str">
        <f t="shared" si="127"/>
        <v/>
      </c>
      <c r="U474" s="3">
        <f t="shared" si="112"/>
        <v>0</v>
      </c>
      <c r="V474" s="3">
        <f t="shared" si="113"/>
        <v>0</v>
      </c>
      <c r="W474" s="3">
        <f t="shared" si="114"/>
        <v>0</v>
      </c>
      <c r="X474" s="3">
        <f t="shared" si="115"/>
        <v>0</v>
      </c>
      <c r="Y474" s="3">
        <f>0</f>
        <v>0</v>
      </c>
      <c r="Z474" s="3">
        <f t="shared" si="116"/>
        <v>0</v>
      </c>
      <c r="AA474">
        <f>ROUND(IF(FALSE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,0)</f>
        <v>0</v>
      </c>
    </row>
    <row r="475" spans="1:27">
      <c r="A475" s="30">
        <f>470</f>
        <v>470</v>
      </c>
      <c r="B475" s="31">
        <f>EDATE(入力!$B$6,A475-1)</f>
        <v>60511</v>
      </c>
      <c r="C475" s="32">
        <f t="shared" si="117"/>
        <v>0</v>
      </c>
      <c r="D475" s="32">
        <f t="shared" si="118"/>
        <v>0</v>
      </c>
      <c r="E475" s="33">
        <f>IF(AND(T474="",A475&lt;=S474),IF(A475&lt;入力!$B$11,入力!$B$10,入力!$B$12),0)</f>
        <v>0</v>
      </c>
      <c r="F475" s="32">
        <f t="shared" si="119"/>
        <v>0</v>
      </c>
      <c r="G475" s="32">
        <f>ROUND(IF(NOT(AND(T474="",A475&lt;=S474)),0,IF(FALSE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),0)</f>
        <v>0</v>
      </c>
      <c r="H475" s="32">
        <f t="shared" si="120"/>
        <v>0</v>
      </c>
      <c r="I475" s="32">
        <f t="shared" si="121"/>
        <v>0</v>
      </c>
      <c r="J475" s="32">
        <f t="shared" si="122"/>
        <v>0</v>
      </c>
      <c r="K475" s="32">
        <f t="shared" si="123"/>
        <v>0</v>
      </c>
      <c r="L475" s="32">
        <f t="shared" si="124"/>
        <v>0</v>
      </c>
      <c r="M475" s="32">
        <f>IF(AND(AND(T474="",A475&lt;=S474),A475=入力!$B$15),ROUND(MIN(入力!$B$16,MAX(0,C475-L475)),0),0)</f>
        <v>0</v>
      </c>
      <c r="N475" s="32">
        <f t="shared" si="125"/>
        <v>0</v>
      </c>
      <c r="O475" s="32">
        <f t="shared" si="126"/>
        <v>10725103</v>
      </c>
      <c r="P475" s="34" t="str">
        <f>IF(NOT(AND(T474="",A475&lt;=S474)),"",IF(FALSE,"繰上返済後再計算","")&amp;IF(AND(入力!$B$13="有効",A475&gt;1,MOD(A475-1,60)=0),IF(FALSE,"・","")&amp;"5年見直し","")&amp;IF(AND(A475=入力!$B$11,A475&gt;1),IF(OR(FALSE,AND(入力!$B$13="有効",A475&gt;1,MOD(A475-1,60)=0)),"・","")&amp;"金利変更","")&amp;IF(AND(OR(AND(入力!$B$13="有効",A475&gt;1,MOD(A475-1,60)=0),AND(A475=入力!$B$11,A475&gt;1)),入力!$B$14="有効",IF(E475=0,ROUND(C475/MAX(1,S474-A475+1),0),ROUND(-PMT(E475/12,MAX(1,S474-A475+1),C475),0))&gt;ROUND(G474*1.25,0),NOT(FALSE)),"・上限適用",""))</f>
        <v/>
      </c>
      <c r="Q475" s="35" t="str">
        <f>IF(AND(T474="",A475&lt;=S474),入力!$B$13,"")</f>
        <v/>
      </c>
      <c r="R475" s="32" t="str">
        <f>IF(AND(AND(T474="",A475&lt;=S474),OR(AND(入力!$B$13="有効",A475&gt;1,MOD(A475-1,60)=0),AND(A475=入力!$B$11,A475&gt;1)),入力!$B$14="有効"),ROUND(G474*1.25,0),"")</f>
        <v/>
      </c>
      <c r="S475" s="36">
        <f>IF(A475&lt;&gt;入力!$B$15,S474,IF(K475&lt;&gt;0,S474,IF(G475&lt;=F475,S474,IF(M475&lt;=0,S474,IF(AND(N475&gt;0,E475&gt;0,G475&lt;=N475*E475/12),S474,IF(A475+IF(N475=0,0,IF(E475=0,ROUNDUP(N475/G475,0),ROUNDUP(NPER(E475/12,-G475,N475),0)))&lt;S474,A475+IF(N475=0,0,IF(E475=0,ROUNDUP(N475/G475,0),ROUNDUP(NPER(E475/12,-G475,N475),0))),S474))))))</f>
        <v>359</v>
      </c>
      <c r="T475" s="35" t="str">
        <f t="shared" si="127"/>
        <v/>
      </c>
      <c r="U475" s="3">
        <f t="shared" si="112"/>
        <v>0</v>
      </c>
      <c r="V475" s="3">
        <f t="shared" si="113"/>
        <v>0</v>
      </c>
      <c r="W475" s="3">
        <f t="shared" si="114"/>
        <v>0</v>
      </c>
      <c r="X475" s="3">
        <f t="shared" si="115"/>
        <v>0</v>
      </c>
      <c r="Y475" s="3">
        <f>0</f>
        <v>0</v>
      </c>
      <c r="Z475" s="3">
        <f t="shared" si="116"/>
        <v>0</v>
      </c>
      <c r="AA475">
        <f>ROUND(IF(FALSE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,0)</f>
        <v>0</v>
      </c>
    </row>
    <row r="476" spans="1:27">
      <c r="A476" s="30">
        <f>471</f>
        <v>471</v>
      </c>
      <c r="B476" s="31">
        <f>EDATE(入力!$B$6,A476-1)</f>
        <v>60541</v>
      </c>
      <c r="C476" s="32">
        <f t="shared" si="117"/>
        <v>0</v>
      </c>
      <c r="D476" s="32">
        <f t="shared" si="118"/>
        <v>0</v>
      </c>
      <c r="E476" s="33">
        <f>IF(AND(T475="",A476&lt;=S475),IF(A476&lt;入力!$B$11,入力!$B$10,入力!$B$12),0)</f>
        <v>0</v>
      </c>
      <c r="F476" s="32">
        <f t="shared" si="119"/>
        <v>0</v>
      </c>
      <c r="G476" s="32">
        <f>ROUND(IF(NOT(AND(T475="",A476&lt;=S475)),0,IF(FALSE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),0)</f>
        <v>0</v>
      </c>
      <c r="H476" s="32">
        <f t="shared" si="120"/>
        <v>0</v>
      </c>
      <c r="I476" s="32">
        <f t="shared" si="121"/>
        <v>0</v>
      </c>
      <c r="J476" s="32">
        <f t="shared" si="122"/>
        <v>0</v>
      </c>
      <c r="K476" s="32">
        <f t="shared" si="123"/>
        <v>0</v>
      </c>
      <c r="L476" s="32">
        <f t="shared" si="124"/>
        <v>0</v>
      </c>
      <c r="M476" s="32">
        <f>IF(AND(AND(T475="",A476&lt;=S475),A476=入力!$B$15),ROUND(MIN(入力!$B$16,MAX(0,C476-L476)),0),0)</f>
        <v>0</v>
      </c>
      <c r="N476" s="32">
        <f t="shared" si="125"/>
        <v>0</v>
      </c>
      <c r="O476" s="32">
        <f t="shared" si="126"/>
        <v>10725103</v>
      </c>
      <c r="P476" s="34" t="str">
        <f>IF(NOT(AND(T475="",A476&lt;=S475)),"",IF(FALSE,"繰上返済後再計算","")&amp;IF(AND(入力!$B$13="有効",A476&gt;1,MOD(A476-1,60)=0),IF(FALSE,"・","")&amp;"5年見直し","")&amp;IF(AND(A476=入力!$B$11,A476&gt;1),IF(OR(FALSE,AND(入力!$B$13="有効",A476&gt;1,MOD(A476-1,60)=0)),"・","")&amp;"金利変更","")&amp;IF(AND(OR(AND(入力!$B$13="有効",A476&gt;1,MOD(A476-1,60)=0),AND(A476=入力!$B$11,A476&gt;1)),入力!$B$14="有効",IF(E476=0,ROUND(C476/MAX(1,S475-A476+1),0),ROUND(-PMT(E476/12,MAX(1,S475-A476+1),C476),0))&gt;ROUND(G475*1.25,0),NOT(FALSE)),"・上限適用",""))</f>
        <v/>
      </c>
      <c r="Q476" s="35" t="str">
        <f>IF(AND(T475="",A476&lt;=S475),入力!$B$13,"")</f>
        <v/>
      </c>
      <c r="R476" s="32" t="str">
        <f>IF(AND(AND(T475="",A476&lt;=S475),OR(AND(入力!$B$13="有効",A476&gt;1,MOD(A476-1,60)=0),AND(A476=入力!$B$11,A476&gt;1)),入力!$B$14="有効"),ROUND(G475*1.25,0),"")</f>
        <v/>
      </c>
      <c r="S476" s="36">
        <f>IF(A476&lt;&gt;入力!$B$15,S475,IF(K476&lt;&gt;0,S475,IF(G476&lt;=F476,S475,IF(M476&lt;=0,S475,IF(AND(N476&gt;0,E476&gt;0,G476&lt;=N476*E476/12),S475,IF(A476+IF(N476=0,0,IF(E476=0,ROUNDUP(N476/G476,0),ROUNDUP(NPER(E476/12,-G476,N476),0)))&lt;S475,A476+IF(N476=0,0,IF(E476=0,ROUNDUP(N476/G476,0),ROUNDUP(NPER(E476/12,-G476,N476),0))),S475))))))</f>
        <v>359</v>
      </c>
      <c r="T476" s="35" t="str">
        <f t="shared" si="127"/>
        <v/>
      </c>
      <c r="U476" s="3">
        <f t="shared" si="112"/>
        <v>0</v>
      </c>
      <c r="V476" s="3">
        <f t="shared" si="113"/>
        <v>0</v>
      </c>
      <c r="W476" s="3">
        <f t="shared" si="114"/>
        <v>0</v>
      </c>
      <c r="X476" s="3">
        <f t="shared" si="115"/>
        <v>0</v>
      </c>
      <c r="Y476" s="3">
        <f>0</f>
        <v>0</v>
      </c>
      <c r="Z476" s="3">
        <f t="shared" si="116"/>
        <v>0</v>
      </c>
      <c r="AA476">
        <f>ROUND(IF(FALSE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,0)</f>
        <v>0</v>
      </c>
    </row>
    <row r="477" spans="1:27">
      <c r="A477" s="30">
        <f>472</f>
        <v>472</v>
      </c>
      <c r="B477" s="31">
        <f>EDATE(入力!$B$6,A477-1)</f>
        <v>60572</v>
      </c>
      <c r="C477" s="32">
        <f t="shared" si="117"/>
        <v>0</v>
      </c>
      <c r="D477" s="32">
        <f t="shared" si="118"/>
        <v>0</v>
      </c>
      <c r="E477" s="33">
        <f>IF(AND(T476="",A477&lt;=S476),IF(A477&lt;入力!$B$11,入力!$B$10,入力!$B$12),0)</f>
        <v>0</v>
      </c>
      <c r="F477" s="32">
        <f t="shared" si="119"/>
        <v>0</v>
      </c>
      <c r="G477" s="32">
        <f>ROUND(IF(NOT(AND(T476="",A477&lt;=S476)),0,IF(FALSE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),0)</f>
        <v>0</v>
      </c>
      <c r="H477" s="32">
        <f t="shared" si="120"/>
        <v>0</v>
      </c>
      <c r="I477" s="32">
        <f t="shared" si="121"/>
        <v>0</v>
      </c>
      <c r="J477" s="32">
        <f t="shared" si="122"/>
        <v>0</v>
      </c>
      <c r="K477" s="32">
        <f t="shared" si="123"/>
        <v>0</v>
      </c>
      <c r="L477" s="32">
        <f t="shared" si="124"/>
        <v>0</v>
      </c>
      <c r="M477" s="32">
        <f>IF(AND(AND(T476="",A477&lt;=S476),A477=入力!$B$15),ROUND(MIN(入力!$B$16,MAX(0,C477-L477)),0),0)</f>
        <v>0</v>
      </c>
      <c r="N477" s="32">
        <f t="shared" si="125"/>
        <v>0</v>
      </c>
      <c r="O477" s="32">
        <f t="shared" si="126"/>
        <v>10725103</v>
      </c>
      <c r="P477" s="34" t="str">
        <f>IF(NOT(AND(T476="",A477&lt;=S476)),"",IF(FALSE,"繰上返済後再計算","")&amp;IF(AND(入力!$B$13="有効",A477&gt;1,MOD(A477-1,60)=0),IF(FALSE,"・","")&amp;"5年見直し","")&amp;IF(AND(A477=入力!$B$11,A477&gt;1),IF(OR(FALSE,AND(入力!$B$13="有効",A477&gt;1,MOD(A477-1,60)=0)),"・","")&amp;"金利変更","")&amp;IF(AND(OR(AND(入力!$B$13="有効",A477&gt;1,MOD(A477-1,60)=0),AND(A477=入力!$B$11,A477&gt;1)),入力!$B$14="有効",IF(E477=0,ROUND(C477/MAX(1,S476-A477+1),0),ROUND(-PMT(E477/12,MAX(1,S476-A477+1),C477),0))&gt;ROUND(G476*1.25,0),NOT(FALSE)),"・上限適用",""))</f>
        <v/>
      </c>
      <c r="Q477" s="35" t="str">
        <f>IF(AND(T476="",A477&lt;=S476),入力!$B$13,"")</f>
        <v/>
      </c>
      <c r="R477" s="32" t="str">
        <f>IF(AND(AND(T476="",A477&lt;=S476),OR(AND(入力!$B$13="有効",A477&gt;1,MOD(A477-1,60)=0),AND(A477=入力!$B$11,A477&gt;1)),入力!$B$14="有効"),ROUND(G476*1.25,0),"")</f>
        <v/>
      </c>
      <c r="S477" s="36">
        <f>IF(A477&lt;&gt;入力!$B$15,S476,IF(K477&lt;&gt;0,S476,IF(G477&lt;=F477,S476,IF(M477&lt;=0,S476,IF(AND(N477&gt;0,E477&gt;0,G477&lt;=N477*E477/12),S476,IF(A477+IF(N477=0,0,IF(E477=0,ROUNDUP(N477/G477,0),ROUNDUP(NPER(E477/12,-G477,N477),0)))&lt;S476,A477+IF(N477=0,0,IF(E477=0,ROUNDUP(N477/G477,0),ROUNDUP(NPER(E477/12,-G477,N477),0))),S476))))))</f>
        <v>359</v>
      </c>
      <c r="T477" s="35" t="str">
        <f t="shared" si="127"/>
        <v/>
      </c>
      <c r="U477" s="3">
        <f t="shared" si="112"/>
        <v>0</v>
      </c>
      <c r="V477" s="3">
        <f t="shared" si="113"/>
        <v>0</v>
      </c>
      <c r="W477" s="3">
        <f t="shared" si="114"/>
        <v>0</v>
      </c>
      <c r="X477" s="3">
        <f t="shared" si="115"/>
        <v>0</v>
      </c>
      <c r="Y477" s="3">
        <f>0</f>
        <v>0</v>
      </c>
      <c r="Z477" s="3">
        <f t="shared" si="116"/>
        <v>0</v>
      </c>
      <c r="AA477">
        <f>ROUND(IF(FALSE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,0)</f>
        <v>0</v>
      </c>
    </row>
    <row r="478" spans="1:27">
      <c r="A478" s="30">
        <f>473</f>
        <v>473</v>
      </c>
      <c r="B478" s="31">
        <f>EDATE(入力!$B$6,A478-1)</f>
        <v>60602</v>
      </c>
      <c r="C478" s="32">
        <f t="shared" si="117"/>
        <v>0</v>
      </c>
      <c r="D478" s="32">
        <f t="shared" si="118"/>
        <v>0</v>
      </c>
      <c r="E478" s="33">
        <f>IF(AND(T477="",A478&lt;=S477),IF(A478&lt;入力!$B$11,入力!$B$10,入力!$B$12),0)</f>
        <v>0</v>
      </c>
      <c r="F478" s="32">
        <f t="shared" si="119"/>
        <v>0</v>
      </c>
      <c r="G478" s="32">
        <f>ROUND(IF(NOT(AND(T477="",A478&lt;=S477)),0,IF(FALSE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),0)</f>
        <v>0</v>
      </c>
      <c r="H478" s="32">
        <f t="shared" si="120"/>
        <v>0</v>
      </c>
      <c r="I478" s="32">
        <f t="shared" si="121"/>
        <v>0</v>
      </c>
      <c r="J478" s="32">
        <f t="shared" si="122"/>
        <v>0</v>
      </c>
      <c r="K478" s="32">
        <f t="shared" si="123"/>
        <v>0</v>
      </c>
      <c r="L478" s="32">
        <f t="shared" si="124"/>
        <v>0</v>
      </c>
      <c r="M478" s="32">
        <f>IF(AND(AND(T477="",A478&lt;=S477),A478=入力!$B$15),ROUND(MIN(入力!$B$16,MAX(0,C478-L478)),0),0)</f>
        <v>0</v>
      </c>
      <c r="N478" s="32">
        <f t="shared" si="125"/>
        <v>0</v>
      </c>
      <c r="O478" s="32">
        <f t="shared" si="126"/>
        <v>10725103</v>
      </c>
      <c r="P478" s="34" t="str">
        <f>IF(NOT(AND(T477="",A478&lt;=S477)),"",IF(FALSE,"繰上返済後再計算","")&amp;IF(AND(入力!$B$13="有効",A478&gt;1,MOD(A478-1,60)=0),IF(FALSE,"・","")&amp;"5年見直し","")&amp;IF(AND(A478=入力!$B$11,A478&gt;1),IF(OR(FALSE,AND(入力!$B$13="有効",A478&gt;1,MOD(A478-1,60)=0)),"・","")&amp;"金利変更","")&amp;IF(AND(OR(AND(入力!$B$13="有効",A478&gt;1,MOD(A478-1,60)=0),AND(A478=入力!$B$11,A478&gt;1)),入力!$B$14="有効",IF(E478=0,ROUND(C478/MAX(1,S477-A478+1),0),ROUND(-PMT(E478/12,MAX(1,S477-A478+1),C478),0))&gt;ROUND(G477*1.25,0),NOT(FALSE)),"・上限適用",""))</f>
        <v/>
      </c>
      <c r="Q478" s="35" t="str">
        <f>IF(AND(T477="",A478&lt;=S477),入力!$B$13,"")</f>
        <v/>
      </c>
      <c r="R478" s="32" t="str">
        <f>IF(AND(AND(T477="",A478&lt;=S477),OR(AND(入力!$B$13="有効",A478&gt;1,MOD(A478-1,60)=0),AND(A478=入力!$B$11,A478&gt;1)),入力!$B$14="有効"),ROUND(G477*1.25,0),"")</f>
        <v/>
      </c>
      <c r="S478" s="36">
        <f>IF(A478&lt;&gt;入力!$B$15,S477,IF(K478&lt;&gt;0,S477,IF(G478&lt;=F478,S477,IF(M478&lt;=0,S477,IF(AND(N478&gt;0,E478&gt;0,G478&lt;=N478*E478/12),S477,IF(A478+IF(N478=0,0,IF(E478=0,ROUNDUP(N478/G478,0),ROUNDUP(NPER(E478/12,-G478,N478),0)))&lt;S477,A478+IF(N478=0,0,IF(E478=0,ROUNDUP(N478/G478,0),ROUNDUP(NPER(E478/12,-G478,N478),0))),S477))))))</f>
        <v>359</v>
      </c>
      <c r="T478" s="35" t="str">
        <f t="shared" si="127"/>
        <v/>
      </c>
      <c r="U478" s="3">
        <f t="shared" si="112"/>
        <v>0</v>
      </c>
      <c r="V478" s="3">
        <f t="shared" si="113"/>
        <v>0</v>
      </c>
      <c r="W478" s="3">
        <f t="shared" si="114"/>
        <v>0</v>
      </c>
      <c r="X478" s="3">
        <f t="shared" si="115"/>
        <v>0</v>
      </c>
      <c r="Y478" s="3">
        <f>0</f>
        <v>0</v>
      </c>
      <c r="Z478" s="3">
        <f t="shared" si="116"/>
        <v>0</v>
      </c>
      <c r="AA478">
        <f>ROUND(IF(FALSE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,0)</f>
        <v>0</v>
      </c>
    </row>
    <row r="479" spans="1:27">
      <c r="A479" s="30">
        <f>474</f>
        <v>474</v>
      </c>
      <c r="B479" s="31">
        <f>EDATE(入力!$B$6,A479-1)</f>
        <v>60633</v>
      </c>
      <c r="C479" s="32">
        <f t="shared" si="117"/>
        <v>0</v>
      </c>
      <c r="D479" s="32">
        <f t="shared" si="118"/>
        <v>0</v>
      </c>
      <c r="E479" s="33">
        <f>IF(AND(T478="",A479&lt;=S478),IF(A479&lt;入力!$B$11,入力!$B$10,入力!$B$12),0)</f>
        <v>0</v>
      </c>
      <c r="F479" s="32">
        <f t="shared" si="119"/>
        <v>0</v>
      </c>
      <c r="G479" s="32">
        <f>ROUND(IF(NOT(AND(T478="",A479&lt;=S478)),0,IF(FALSE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),0)</f>
        <v>0</v>
      </c>
      <c r="H479" s="32">
        <f t="shared" si="120"/>
        <v>0</v>
      </c>
      <c r="I479" s="32">
        <f t="shared" si="121"/>
        <v>0</v>
      </c>
      <c r="J479" s="32">
        <f t="shared" si="122"/>
        <v>0</v>
      </c>
      <c r="K479" s="32">
        <f t="shared" si="123"/>
        <v>0</v>
      </c>
      <c r="L479" s="32">
        <f t="shared" si="124"/>
        <v>0</v>
      </c>
      <c r="M479" s="32">
        <f>IF(AND(AND(T478="",A479&lt;=S478),A479=入力!$B$15),ROUND(MIN(入力!$B$16,MAX(0,C479-L479)),0),0)</f>
        <v>0</v>
      </c>
      <c r="N479" s="32">
        <f t="shared" si="125"/>
        <v>0</v>
      </c>
      <c r="O479" s="32">
        <f t="shared" si="126"/>
        <v>10725103</v>
      </c>
      <c r="P479" s="34" t="str">
        <f>IF(NOT(AND(T478="",A479&lt;=S478)),"",IF(FALSE,"繰上返済後再計算","")&amp;IF(AND(入力!$B$13="有効",A479&gt;1,MOD(A479-1,60)=0),IF(FALSE,"・","")&amp;"5年見直し","")&amp;IF(AND(A479=入力!$B$11,A479&gt;1),IF(OR(FALSE,AND(入力!$B$13="有効",A479&gt;1,MOD(A479-1,60)=0)),"・","")&amp;"金利変更","")&amp;IF(AND(OR(AND(入力!$B$13="有効",A479&gt;1,MOD(A479-1,60)=0),AND(A479=入力!$B$11,A479&gt;1)),入力!$B$14="有効",IF(E479=0,ROUND(C479/MAX(1,S478-A479+1),0),ROUND(-PMT(E479/12,MAX(1,S478-A479+1),C479),0))&gt;ROUND(G478*1.25,0),NOT(FALSE)),"・上限適用",""))</f>
        <v/>
      </c>
      <c r="Q479" s="35" t="str">
        <f>IF(AND(T478="",A479&lt;=S478),入力!$B$13,"")</f>
        <v/>
      </c>
      <c r="R479" s="32" t="str">
        <f>IF(AND(AND(T478="",A479&lt;=S478),OR(AND(入力!$B$13="有効",A479&gt;1,MOD(A479-1,60)=0),AND(A479=入力!$B$11,A479&gt;1)),入力!$B$14="有効"),ROUND(G478*1.25,0),"")</f>
        <v/>
      </c>
      <c r="S479" s="36">
        <f>IF(A479&lt;&gt;入力!$B$15,S478,IF(K479&lt;&gt;0,S478,IF(G479&lt;=F479,S478,IF(M479&lt;=0,S478,IF(AND(N479&gt;0,E479&gt;0,G479&lt;=N479*E479/12),S478,IF(A479+IF(N479=0,0,IF(E479=0,ROUNDUP(N479/G479,0),ROUNDUP(NPER(E479/12,-G479,N479),0)))&lt;S478,A479+IF(N479=0,0,IF(E479=0,ROUNDUP(N479/G479,0),ROUNDUP(NPER(E479/12,-G479,N479),0))),S478))))))</f>
        <v>359</v>
      </c>
      <c r="T479" s="35" t="str">
        <f t="shared" si="127"/>
        <v/>
      </c>
      <c r="U479" s="3">
        <f t="shared" si="112"/>
        <v>0</v>
      </c>
      <c r="V479" s="3">
        <f t="shared" si="113"/>
        <v>0</v>
      </c>
      <c r="W479" s="3">
        <f t="shared" si="114"/>
        <v>0</v>
      </c>
      <c r="X479" s="3">
        <f t="shared" si="115"/>
        <v>0</v>
      </c>
      <c r="Y479" s="3">
        <f>0</f>
        <v>0</v>
      </c>
      <c r="Z479" s="3">
        <f t="shared" si="116"/>
        <v>0</v>
      </c>
      <c r="AA479">
        <f>ROUND(IF(FALSE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,0)</f>
        <v>0</v>
      </c>
    </row>
    <row r="480" spans="1:27">
      <c r="A480" s="30">
        <f>475</f>
        <v>475</v>
      </c>
      <c r="B480" s="31">
        <f>EDATE(入力!$B$6,A480-1)</f>
        <v>60664</v>
      </c>
      <c r="C480" s="32">
        <f t="shared" si="117"/>
        <v>0</v>
      </c>
      <c r="D480" s="32">
        <f t="shared" si="118"/>
        <v>0</v>
      </c>
      <c r="E480" s="33">
        <f>IF(AND(T479="",A480&lt;=S479),IF(A480&lt;入力!$B$11,入力!$B$10,入力!$B$12),0)</f>
        <v>0</v>
      </c>
      <c r="F480" s="32">
        <f t="shared" si="119"/>
        <v>0</v>
      </c>
      <c r="G480" s="32">
        <f>ROUND(IF(NOT(AND(T479="",A480&lt;=S479)),0,IF(FALSE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),0)</f>
        <v>0</v>
      </c>
      <c r="H480" s="32">
        <f t="shared" si="120"/>
        <v>0</v>
      </c>
      <c r="I480" s="32">
        <f t="shared" si="121"/>
        <v>0</v>
      </c>
      <c r="J480" s="32">
        <f t="shared" si="122"/>
        <v>0</v>
      </c>
      <c r="K480" s="32">
        <f t="shared" si="123"/>
        <v>0</v>
      </c>
      <c r="L480" s="32">
        <f t="shared" si="124"/>
        <v>0</v>
      </c>
      <c r="M480" s="32">
        <f>IF(AND(AND(T479="",A480&lt;=S479),A480=入力!$B$15),ROUND(MIN(入力!$B$16,MAX(0,C480-L480)),0),0)</f>
        <v>0</v>
      </c>
      <c r="N480" s="32">
        <f t="shared" si="125"/>
        <v>0</v>
      </c>
      <c r="O480" s="32">
        <f t="shared" si="126"/>
        <v>10725103</v>
      </c>
      <c r="P480" s="34" t="str">
        <f>IF(NOT(AND(T479="",A480&lt;=S479)),"",IF(FALSE,"繰上返済後再計算","")&amp;IF(AND(入力!$B$13="有効",A480&gt;1,MOD(A480-1,60)=0),IF(FALSE,"・","")&amp;"5年見直し","")&amp;IF(AND(A480=入力!$B$11,A480&gt;1),IF(OR(FALSE,AND(入力!$B$13="有効",A480&gt;1,MOD(A480-1,60)=0)),"・","")&amp;"金利変更","")&amp;IF(AND(OR(AND(入力!$B$13="有効",A480&gt;1,MOD(A480-1,60)=0),AND(A480=入力!$B$11,A480&gt;1)),入力!$B$14="有効",IF(E480=0,ROUND(C480/MAX(1,S479-A480+1),0),ROUND(-PMT(E480/12,MAX(1,S479-A480+1),C480),0))&gt;ROUND(G479*1.25,0),NOT(FALSE)),"・上限適用",""))</f>
        <v/>
      </c>
      <c r="Q480" s="35" t="str">
        <f>IF(AND(T479="",A480&lt;=S479),入力!$B$13,"")</f>
        <v/>
      </c>
      <c r="R480" s="32" t="str">
        <f>IF(AND(AND(T479="",A480&lt;=S479),OR(AND(入力!$B$13="有効",A480&gt;1,MOD(A480-1,60)=0),AND(A480=入力!$B$11,A480&gt;1)),入力!$B$14="有効"),ROUND(G479*1.25,0),"")</f>
        <v/>
      </c>
      <c r="S480" s="36">
        <f>IF(A480&lt;&gt;入力!$B$15,S479,IF(K480&lt;&gt;0,S479,IF(G480&lt;=F480,S479,IF(M480&lt;=0,S479,IF(AND(N480&gt;0,E480&gt;0,G480&lt;=N480*E480/12),S479,IF(A480+IF(N480=0,0,IF(E480=0,ROUNDUP(N480/G480,0),ROUNDUP(NPER(E480/12,-G480,N480),0)))&lt;S479,A480+IF(N480=0,0,IF(E480=0,ROUNDUP(N480/G480,0),ROUNDUP(NPER(E480/12,-G480,N480),0))),S479))))))</f>
        <v>359</v>
      </c>
      <c r="T480" s="35" t="str">
        <f t="shared" si="127"/>
        <v/>
      </c>
      <c r="U480" s="3">
        <f t="shared" si="112"/>
        <v>0</v>
      </c>
      <c r="V480" s="3">
        <f t="shared" si="113"/>
        <v>0</v>
      </c>
      <c r="W480" s="3">
        <f t="shared" si="114"/>
        <v>0</v>
      </c>
      <c r="X480" s="3">
        <f t="shared" si="115"/>
        <v>0</v>
      </c>
      <c r="Y480" s="3">
        <f>0</f>
        <v>0</v>
      </c>
      <c r="Z480" s="3">
        <f t="shared" si="116"/>
        <v>0</v>
      </c>
      <c r="AA480">
        <f>ROUND(IF(FALSE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,0)</f>
        <v>0</v>
      </c>
    </row>
    <row r="481" spans="1:27">
      <c r="A481" s="30">
        <f>476</f>
        <v>476</v>
      </c>
      <c r="B481" s="31">
        <f>EDATE(入力!$B$6,A481-1)</f>
        <v>60692</v>
      </c>
      <c r="C481" s="32">
        <f t="shared" si="117"/>
        <v>0</v>
      </c>
      <c r="D481" s="32">
        <f t="shared" si="118"/>
        <v>0</v>
      </c>
      <c r="E481" s="33">
        <f>IF(AND(T480="",A481&lt;=S480),IF(A481&lt;入力!$B$11,入力!$B$10,入力!$B$12),0)</f>
        <v>0</v>
      </c>
      <c r="F481" s="32">
        <f t="shared" si="119"/>
        <v>0</v>
      </c>
      <c r="G481" s="32">
        <f>ROUND(IF(NOT(AND(T480="",A481&lt;=S480)),0,IF(FALSE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),0)</f>
        <v>0</v>
      </c>
      <c r="H481" s="32">
        <f t="shared" si="120"/>
        <v>0</v>
      </c>
      <c r="I481" s="32">
        <f t="shared" si="121"/>
        <v>0</v>
      </c>
      <c r="J481" s="32">
        <f t="shared" si="122"/>
        <v>0</v>
      </c>
      <c r="K481" s="32">
        <f t="shared" si="123"/>
        <v>0</v>
      </c>
      <c r="L481" s="32">
        <f t="shared" si="124"/>
        <v>0</v>
      </c>
      <c r="M481" s="32">
        <f>IF(AND(AND(T480="",A481&lt;=S480),A481=入力!$B$15),ROUND(MIN(入力!$B$16,MAX(0,C481-L481)),0),0)</f>
        <v>0</v>
      </c>
      <c r="N481" s="32">
        <f t="shared" si="125"/>
        <v>0</v>
      </c>
      <c r="O481" s="32">
        <f t="shared" si="126"/>
        <v>10725103</v>
      </c>
      <c r="P481" s="34" t="str">
        <f>IF(NOT(AND(T480="",A481&lt;=S480)),"",IF(FALSE,"繰上返済後再計算","")&amp;IF(AND(入力!$B$13="有効",A481&gt;1,MOD(A481-1,60)=0),IF(FALSE,"・","")&amp;"5年見直し","")&amp;IF(AND(A481=入力!$B$11,A481&gt;1),IF(OR(FALSE,AND(入力!$B$13="有効",A481&gt;1,MOD(A481-1,60)=0)),"・","")&amp;"金利変更","")&amp;IF(AND(OR(AND(入力!$B$13="有効",A481&gt;1,MOD(A481-1,60)=0),AND(A481=入力!$B$11,A481&gt;1)),入力!$B$14="有効",IF(E481=0,ROUND(C481/MAX(1,S480-A481+1),0),ROUND(-PMT(E481/12,MAX(1,S480-A481+1),C481),0))&gt;ROUND(G480*1.25,0),NOT(FALSE)),"・上限適用",""))</f>
        <v/>
      </c>
      <c r="Q481" s="35" t="str">
        <f>IF(AND(T480="",A481&lt;=S480),入力!$B$13,"")</f>
        <v/>
      </c>
      <c r="R481" s="32" t="str">
        <f>IF(AND(AND(T480="",A481&lt;=S480),OR(AND(入力!$B$13="有効",A481&gt;1,MOD(A481-1,60)=0),AND(A481=入力!$B$11,A481&gt;1)),入力!$B$14="有効"),ROUND(G480*1.25,0),"")</f>
        <v/>
      </c>
      <c r="S481" s="36">
        <f>IF(A481&lt;&gt;入力!$B$15,S480,IF(K481&lt;&gt;0,S480,IF(G481&lt;=F481,S480,IF(M481&lt;=0,S480,IF(AND(N481&gt;0,E481&gt;0,G481&lt;=N481*E481/12),S480,IF(A481+IF(N481=0,0,IF(E481=0,ROUNDUP(N481/G481,0),ROUNDUP(NPER(E481/12,-G481,N481),0)))&lt;S480,A481+IF(N481=0,0,IF(E481=0,ROUNDUP(N481/G481,0),ROUNDUP(NPER(E481/12,-G481,N481),0))),S480))))))</f>
        <v>359</v>
      </c>
      <c r="T481" s="35" t="str">
        <f t="shared" si="127"/>
        <v/>
      </c>
      <c r="U481" s="3">
        <f t="shared" si="112"/>
        <v>0</v>
      </c>
      <c r="V481" s="3">
        <f t="shared" si="113"/>
        <v>0</v>
      </c>
      <c r="W481" s="3">
        <f t="shared" si="114"/>
        <v>0</v>
      </c>
      <c r="X481" s="3">
        <f t="shared" si="115"/>
        <v>0</v>
      </c>
      <c r="Y481" s="3">
        <f>0</f>
        <v>0</v>
      </c>
      <c r="Z481" s="3">
        <f t="shared" si="116"/>
        <v>0</v>
      </c>
      <c r="AA481">
        <f>ROUND(IF(FALSE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,0)</f>
        <v>0</v>
      </c>
    </row>
    <row r="482" spans="1:27">
      <c r="A482" s="30">
        <f>477</f>
        <v>477</v>
      </c>
      <c r="B482" s="31">
        <f>EDATE(入力!$B$6,A482-1)</f>
        <v>60723</v>
      </c>
      <c r="C482" s="32">
        <f t="shared" si="117"/>
        <v>0</v>
      </c>
      <c r="D482" s="32">
        <f t="shared" si="118"/>
        <v>0</v>
      </c>
      <c r="E482" s="33">
        <f>IF(AND(T481="",A482&lt;=S481),IF(A482&lt;入力!$B$11,入力!$B$10,入力!$B$12),0)</f>
        <v>0</v>
      </c>
      <c r="F482" s="32">
        <f t="shared" si="119"/>
        <v>0</v>
      </c>
      <c r="G482" s="32">
        <f>ROUND(IF(NOT(AND(T481="",A482&lt;=S481)),0,IF(FALSE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),0)</f>
        <v>0</v>
      </c>
      <c r="H482" s="32">
        <f t="shared" si="120"/>
        <v>0</v>
      </c>
      <c r="I482" s="32">
        <f t="shared" si="121"/>
        <v>0</v>
      </c>
      <c r="J482" s="32">
        <f t="shared" si="122"/>
        <v>0</v>
      </c>
      <c r="K482" s="32">
        <f t="shared" si="123"/>
        <v>0</v>
      </c>
      <c r="L482" s="32">
        <f t="shared" si="124"/>
        <v>0</v>
      </c>
      <c r="M482" s="32">
        <f>IF(AND(AND(T481="",A482&lt;=S481),A482=入力!$B$15),ROUND(MIN(入力!$B$16,MAX(0,C482-L482)),0),0)</f>
        <v>0</v>
      </c>
      <c r="N482" s="32">
        <f t="shared" si="125"/>
        <v>0</v>
      </c>
      <c r="O482" s="32">
        <f t="shared" si="126"/>
        <v>10725103</v>
      </c>
      <c r="P482" s="34" t="str">
        <f>IF(NOT(AND(T481="",A482&lt;=S481)),"",IF(FALSE,"繰上返済後再計算","")&amp;IF(AND(入力!$B$13="有効",A482&gt;1,MOD(A482-1,60)=0),IF(FALSE,"・","")&amp;"5年見直し","")&amp;IF(AND(A482=入力!$B$11,A482&gt;1),IF(OR(FALSE,AND(入力!$B$13="有効",A482&gt;1,MOD(A482-1,60)=0)),"・","")&amp;"金利変更","")&amp;IF(AND(OR(AND(入力!$B$13="有効",A482&gt;1,MOD(A482-1,60)=0),AND(A482=入力!$B$11,A482&gt;1)),入力!$B$14="有効",IF(E482=0,ROUND(C482/MAX(1,S481-A482+1),0),ROUND(-PMT(E482/12,MAX(1,S481-A482+1),C482),0))&gt;ROUND(G481*1.25,0),NOT(FALSE)),"・上限適用",""))</f>
        <v/>
      </c>
      <c r="Q482" s="35" t="str">
        <f>IF(AND(T481="",A482&lt;=S481),入力!$B$13,"")</f>
        <v/>
      </c>
      <c r="R482" s="32" t="str">
        <f>IF(AND(AND(T481="",A482&lt;=S481),OR(AND(入力!$B$13="有効",A482&gt;1,MOD(A482-1,60)=0),AND(A482=入力!$B$11,A482&gt;1)),入力!$B$14="有効"),ROUND(G481*1.25,0),"")</f>
        <v/>
      </c>
      <c r="S482" s="36">
        <f>IF(A482&lt;&gt;入力!$B$15,S481,IF(K482&lt;&gt;0,S481,IF(G482&lt;=F482,S481,IF(M482&lt;=0,S481,IF(AND(N482&gt;0,E482&gt;0,G482&lt;=N482*E482/12),S481,IF(A482+IF(N482=0,0,IF(E482=0,ROUNDUP(N482/G482,0),ROUNDUP(NPER(E482/12,-G482,N482),0)))&lt;S481,A482+IF(N482=0,0,IF(E482=0,ROUNDUP(N482/G482,0),ROUNDUP(NPER(E482/12,-G482,N482),0))),S481))))))</f>
        <v>359</v>
      </c>
      <c r="T482" s="35" t="str">
        <f t="shared" si="127"/>
        <v/>
      </c>
      <c r="U482" s="3">
        <f t="shared" si="112"/>
        <v>0</v>
      </c>
      <c r="V482" s="3">
        <f t="shared" si="113"/>
        <v>0</v>
      </c>
      <c r="W482" s="3">
        <f t="shared" si="114"/>
        <v>0</v>
      </c>
      <c r="X482" s="3">
        <f t="shared" si="115"/>
        <v>0</v>
      </c>
      <c r="Y482" s="3">
        <f>0</f>
        <v>0</v>
      </c>
      <c r="Z482" s="3">
        <f t="shared" si="116"/>
        <v>0</v>
      </c>
      <c r="AA482">
        <f>ROUND(IF(FALSE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,0)</f>
        <v>0</v>
      </c>
    </row>
    <row r="483" spans="1:27">
      <c r="A483" s="30">
        <f>478</f>
        <v>478</v>
      </c>
      <c r="B483" s="31">
        <f>EDATE(入力!$B$6,A483-1)</f>
        <v>60753</v>
      </c>
      <c r="C483" s="32">
        <f t="shared" si="117"/>
        <v>0</v>
      </c>
      <c r="D483" s="32">
        <f t="shared" si="118"/>
        <v>0</v>
      </c>
      <c r="E483" s="33">
        <f>IF(AND(T482="",A483&lt;=S482),IF(A483&lt;入力!$B$11,入力!$B$10,入力!$B$12),0)</f>
        <v>0</v>
      </c>
      <c r="F483" s="32">
        <f t="shared" si="119"/>
        <v>0</v>
      </c>
      <c r="G483" s="32">
        <f>ROUND(IF(NOT(AND(T482="",A483&lt;=S482)),0,IF(FALSE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),0)</f>
        <v>0</v>
      </c>
      <c r="H483" s="32">
        <f t="shared" si="120"/>
        <v>0</v>
      </c>
      <c r="I483" s="32">
        <f t="shared" si="121"/>
        <v>0</v>
      </c>
      <c r="J483" s="32">
        <f t="shared" si="122"/>
        <v>0</v>
      </c>
      <c r="K483" s="32">
        <f t="shared" si="123"/>
        <v>0</v>
      </c>
      <c r="L483" s="32">
        <f t="shared" si="124"/>
        <v>0</v>
      </c>
      <c r="M483" s="32">
        <f>IF(AND(AND(T482="",A483&lt;=S482),A483=入力!$B$15),ROUND(MIN(入力!$B$16,MAX(0,C483-L483)),0),0)</f>
        <v>0</v>
      </c>
      <c r="N483" s="32">
        <f t="shared" si="125"/>
        <v>0</v>
      </c>
      <c r="O483" s="32">
        <f t="shared" si="126"/>
        <v>10725103</v>
      </c>
      <c r="P483" s="34" t="str">
        <f>IF(NOT(AND(T482="",A483&lt;=S482)),"",IF(FALSE,"繰上返済後再計算","")&amp;IF(AND(入力!$B$13="有効",A483&gt;1,MOD(A483-1,60)=0),IF(FALSE,"・","")&amp;"5年見直し","")&amp;IF(AND(A483=入力!$B$11,A483&gt;1),IF(OR(FALSE,AND(入力!$B$13="有効",A483&gt;1,MOD(A483-1,60)=0)),"・","")&amp;"金利変更","")&amp;IF(AND(OR(AND(入力!$B$13="有効",A483&gt;1,MOD(A483-1,60)=0),AND(A483=入力!$B$11,A483&gt;1)),入力!$B$14="有効",IF(E483=0,ROUND(C483/MAX(1,S482-A483+1),0),ROUND(-PMT(E483/12,MAX(1,S482-A483+1),C483),0))&gt;ROUND(G482*1.25,0),NOT(FALSE)),"・上限適用",""))</f>
        <v/>
      </c>
      <c r="Q483" s="35" t="str">
        <f>IF(AND(T482="",A483&lt;=S482),入力!$B$13,"")</f>
        <v/>
      </c>
      <c r="R483" s="32" t="str">
        <f>IF(AND(AND(T482="",A483&lt;=S482),OR(AND(入力!$B$13="有効",A483&gt;1,MOD(A483-1,60)=0),AND(A483=入力!$B$11,A483&gt;1)),入力!$B$14="有効"),ROUND(G482*1.25,0),"")</f>
        <v/>
      </c>
      <c r="S483" s="36">
        <f>IF(A483&lt;&gt;入力!$B$15,S482,IF(K483&lt;&gt;0,S482,IF(G483&lt;=F483,S482,IF(M483&lt;=0,S482,IF(AND(N483&gt;0,E483&gt;0,G483&lt;=N483*E483/12),S482,IF(A483+IF(N483=0,0,IF(E483=0,ROUNDUP(N483/G483,0),ROUNDUP(NPER(E483/12,-G483,N483),0)))&lt;S482,A483+IF(N483=0,0,IF(E483=0,ROUNDUP(N483/G483,0),ROUNDUP(NPER(E483/12,-G483,N483),0))),S482))))))</f>
        <v>359</v>
      </c>
      <c r="T483" s="35" t="str">
        <f t="shared" si="127"/>
        <v/>
      </c>
      <c r="U483" s="3">
        <f t="shared" si="112"/>
        <v>0</v>
      </c>
      <c r="V483" s="3">
        <f t="shared" si="113"/>
        <v>0</v>
      </c>
      <c r="W483" s="3">
        <f t="shared" si="114"/>
        <v>0</v>
      </c>
      <c r="X483" s="3">
        <f t="shared" si="115"/>
        <v>0</v>
      </c>
      <c r="Y483" s="3">
        <f>0</f>
        <v>0</v>
      </c>
      <c r="Z483" s="3">
        <f t="shared" si="116"/>
        <v>0</v>
      </c>
      <c r="AA483">
        <f>ROUND(IF(FALSE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,0)</f>
        <v>0</v>
      </c>
    </row>
    <row r="484" spans="1:27">
      <c r="A484" s="30">
        <f>479</f>
        <v>479</v>
      </c>
      <c r="B484" s="31">
        <f>EDATE(入力!$B$6,A484-1)</f>
        <v>60784</v>
      </c>
      <c r="C484" s="32">
        <f t="shared" si="117"/>
        <v>0</v>
      </c>
      <c r="D484" s="32">
        <f t="shared" si="118"/>
        <v>0</v>
      </c>
      <c r="E484" s="33">
        <f>IF(AND(T483="",A484&lt;=S483),IF(A484&lt;入力!$B$11,入力!$B$10,入力!$B$12),0)</f>
        <v>0</v>
      </c>
      <c r="F484" s="32">
        <f t="shared" si="119"/>
        <v>0</v>
      </c>
      <c r="G484" s="32">
        <f>ROUND(IF(NOT(AND(T483="",A484&lt;=S483)),0,IF(FALSE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),0)</f>
        <v>0</v>
      </c>
      <c r="H484" s="32">
        <f t="shared" si="120"/>
        <v>0</v>
      </c>
      <c r="I484" s="32">
        <f t="shared" si="121"/>
        <v>0</v>
      </c>
      <c r="J484" s="32">
        <f t="shared" si="122"/>
        <v>0</v>
      </c>
      <c r="K484" s="32">
        <f t="shared" si="123"/>
        <v>0</v>
      </c>
      <c r="L484" s="32">
        <f t="shared" si="124"/>
        <v>0</v>
      </c>
      <c r="M484" s="32">
        <f>IF(AND(AND(T483="",A484&lt;=S483),A484=入力!$B$15),ROUND(MIN(入力!$B$16,MAX(0,C484-L484)),0),0)</f>
        <v>0</v>
      </c>
      <c r="N484" s="32">
        <f t="shared" si="125"/>
        <v>0</v>
      </c>
      <c r="O484" s="32">
        <f t="shared" si="126"/>
        <v>10725103</v>
      </c>
      <c r="P484" s="34" t="str">
        <f>IF(NOT(AND(T483="",A484&lt;=S483)),"",IF(FALSE,"繰上返済後再計算","")&amp;IF(AND(入力!$B$13="有効",A484&gt;1,MOD(A484-1,60)=0),IF(FALSE,"・","")&amp;"5年見直し","")&amp;IF(AND(A484=入力!$B$11,A484&gt;1),IF(OR(FALSE,AND(入力!$B$13="有効",A484&gt;1,MOD(A484-1,60)=0)),"・","")&amp;"金利変更","")&amp;IF(AND(OR(AND(入力!$B$13="有効",A484&gt;1,MOD(A484-1,60)=0),AND(A484=入力!$B$11,A484&gt;1)),入力!$B$14="有効",IF(E484=0,ROUND(C484/MAX(1,S483-A484+1),0),ROUND(-PMT(E484/12,MAX(1,S483-A484+1),C484),0))&gt;ROUND(G483*1.25,0),NOT(FALSE)),"・上限適用",""))</f>
        <v/>
      </c>
      <c r="Q484" s="35" t="str">
        <f>IF(AND(T483="",A484&lt;=S483),入力!$B$13,"")</f>
        <v/>
      </c>
      <c r="R484" s="32" t="str">
        <f>IF(AND(AND(T483="",A484&lt;=S483),OR(AND(入力!$B$13="有効",A484&gt;1,MOD(A484-1,60)=0),AND(A484=入力!$B$11,A484&gt;1)),入力!$B$14="有効"),ROUND(G483*1.25,0),"")</f>
        <v/>
      </c>
      <c r="S484" s="36">
        <f>IF(A484&lt;&gt;入力!$B$15,S483,IF(K484&lt;&gt;0,S483,IF(G484&lt;=F484,S483,IF(M484&lt;=0,S483,IF(AND(N484&gt;0,E484&gt;0,G484&lt;=N484*E484/12),S483,IF(A484+IF(N484=0,0,IF(E484=0,ROUNDUP(N484/G484,0),ROUNDUP(NPER(E484/12,-G484,N484),0)))&lt;S483,A484+IF(N484=0,0,IF(E484=0,ROUNDUP(N484/G484,0),ROUNDUP(NPER(E484/12,-G484,N484),0))),S483))))))</f>
        <v>359</v>
      </c>
      <c r="T484" s="35" t="str">
        <f t="shared" si="127"/>
        <v/>
      </c>
      <c r="U484" s="3">
        <f t="shared" si="112"/>
        <v>0</v>
      </c>
      <c r="V484" s="3">
        <f t="shared" si="113"/>
        <v>0</v>
      </c>
      <c r="W484" s="3">
        <f t="shared" si="114"/>
        <v>0</v>
      </c>
      <c r="X484" s="3">
        <f t="shared" si="115"/>
        <v>0</v>
      </c>
      <c r="Y484" s="3">
        <f>0</f>
        <v>0</v>
      </c>
      <c r="Z484" s="3">
        <f t="shared" si="116"/>
        <v>0</v>
      </c>
      <c r="AA484">
        <f>ROUND(IF(FALSE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,0)</f>
        <v>0</v>
      </c>
    </row>
    <row r="485" spans="1:27">
      <c r="A485" s="30">
        <f>480</f>
        <v>480</v>
      </c>
      <c r="B485" s="31">
        <f>EDATE(入力!$B$6,A485-1)</f>
        <v>60814</v>
      </c>
      <c r="C485" s="32">
        <f t="shared" si="117"/>
        <v>0</v>
      </c>
      <c r="D485" s="32">
        <f t="shared" si="118"/>
        <v>0</v>
      </c>
      <c r="E485" s="33">
        <f>IF(AND(T484="",A485&lt;=S484),IF(A485&lt;入力!$B$11,入力!$B$10,入力!$B$12),0)</f>
        <v>0</v>
      </c>
      <c r="F485" s="32">
        <f t="shared" si="119"/>
        <v>0</v>
      </c>
      <c r="G485" s="32">
        <f>ROUND(IF(NOT(AND(T484="",A485&lt;=S484)),0,IF(FALSE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),0)</f>
        <v>0</v>
      </c>
      <c r="H485" s="32">
        <f t="shared" si="120"/>
        <v>0</v>
      </c>
      <c r="I485" s="32">
        <f t="shared" si="121"/>
        <v>0</v>
      </c>
      <c r="J485" s="32">
        <f t="shared" si="122"/>
        <v>0</v>
      </c>
      <c r="K485" s="32">
        <f t="shared" si="123"/>
        <v>0</v>
      </c>
      <c r="L485" s="32">
        <f t="shared" si="124"/>
        <v>0</v>
      </c>
      <c r="M485" s="32">
        <f>IF(AND(AND(T484="",A485&lt;=S484),A485=入力!$B$15),ROUND(MIN(入力!$B$16,MAX(0,C485-L485)),0),0)</f>
        <v>0</v>
      </c>
      <c r="N485" s="32">
        <f t="shared" si="125"/>
        <v>0</v>
      </c>
      <c r="O485" s="32">
        <f t="shared" si="126"/>
        <v>10725103</v>
      </c>
      <c r="P485" s="34" t="str">
        <f>IF(NOT(AND(T484="",A485&lt;=S484)),"",IF(FALSE,"繰上返済後再計算","")&amp;IF(AND(入力!$B$13="有効",A485&gt;1,MOD(A485-1,60)=0),IF(FALSE,"・","")&amp;"5年見直し","")&amp;IF(AND(A485=入力!$B$11,A485&gt;1),IF(OR(FALSE,AND(入力!$B$13="有効",A485&gt;1,MOD(A485-1,60)=0)),"・","")&amp;"金利変更","")&amp;IF(AND(OR(AND(入力!$B$13="有効",A485&gt;1,MOD(A485-1,60)=0),AND(A485=入力!$B$11,A485&gt;1)),入力!$B$14="有効",IF(E485=0,ROUND(C485/MAX(1,S484-A485+1),0),ROUND(-PMT(E485/12,MAX(1,S484-A485+1),C485),0))&gt;ROUND(G484*1.25,0),NOT(FALSE)),"・上限適用",""))</f>
        <v/>
      </c>
      <c r="Q485" s="35" t="str">
        <f>IF(AND(T484="",A485&lt;=S484),入力!$B$13,"")</f>
        <v/>
      </c>
      <c r="R485" s="32" t="str">
        <f>IF(AND(AND(T484="",A485&lt;=S484),OR(AND(入力!$B$13="有効",A485&gt;1,MOD(A485-1,60)=0),AND(A485=入力!$B$11,A485&gt;1)),入力!$B$14="有効"),ROUND(G484*1.25,0),"")</f>
        <v/>
      </c>
      <c r="S485" s="36">
        <f>IF(A485&lt;&gt;入力!$B$15,S484,IF(K485&lt;&gt;0,S484,IF(G485&lt;=F485,S484,IF(M485&lt;=0,S484,IF(AND(N485&gt;0,E485&gt;0,G485&lt;=N485*E485/12),S484,IF(A485+IF(N485=0,0,IF(E485=0,ROUNDUP(N485/G485,0),ROUNDUP(NPER(E485/12,-G485,N485),0)))&lt;S484,A485+IF(N485=0,0,IF(E485=0,ROUNDUP(N485/G485,0),ROUNDUP(NPER(E485/12,-G485,N485),0))),S484))))))</f>
        <v>359</v>
      </c>
      <c r="T485" s="35" t="str">
        <f t="shared" si="127"/>
        <v/>
      </c>
      <c r="U485" s="3">
        <f t="shared" si="112"/>
        <v>0</v>
      </c>
      <c r="V485" s="3">
        <f t="shared" si="113"/>
        <v>0</v>
      </c>
      <c r="W485" s="3">
        <f t="shared" si="114"/>
        <v>0</v>
      </c>
      <c r="X485" s="3">
        <f t="shared" si="115"/>
        <v>0</v>
      </c>
      <c r="Y485" s="3">
        <f>0</f>
        <v>0</v>
      </c>
      <c r="Z485" s="3">
        <f t="shared" si="116"/>
        <v>0</v>
      </c>
      <c r="AA485">
        <f>ROUND(IF(FALSE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,0)</f>
        <v>0</v>
      </c>
    </row>
    <row r="486" spans="1:27">
      <c r="A486" s="30">
        <f>481</f>
        <v>481</v>
      </c>
      <c r="B486" s="31">
        <f>EDATE(入力!$B$6,A486-1)</f>
        <v>60845</v>
      </c>
      <c r="C486" s="32">
        <f t="shared" si="117"/>
        <v>0</v>
      </c>
      <c r="D486" s="32">
        <f t="shared" si="118"/>
        <v>0</v>
      </c>
      <c r="E486" s="33">
        <f>IF(AND(T485="",A486&lt;=S485),IF(A486&lt;入力!$B$11,入力!$B$10,入力!$B$12),0)</f>
        <v>0</v>
      </c>
      <c r="F486" s="32">
        <f t="shared" si="119"/>
        <v>0</v>
      </c>
      <c r="G486" s="32">
        <f>ROUND(IF(NOT(AND(T485="",A486&lt;=S485)),0,IF(FALSE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),0)</f>
        <v>0</v>
      </c>
      <c r="H486" s="32">
        <f t="shared" si="120"/>
        <v>0</v>
      </c>
      <c r="I486" s="32">
        <f t="shared" si="121"/>
        <v>0</v>
      </c>
      <c r="J486" s="32">
        <f t="shared" si="122"/>
        <v>0</v>
      </c>
      <c r="K486" s="32">
        <f t="shared" si="123"/>
        <v>0</v>
      </c>
      <c r="L486" s="32">
        <f t="shared" si="124"/>
        <v>0</v>
      </c>
      <c r="M486" s="32">
        <f>IF(AND(AND(T485="",A486&lt;=S485),A486=入力!$B$15),ROUND(MIN(入力!$B$16,MAX(0,C486-L486)),0),0)</f>
        <v>0</v>
      </c>
      <c r="N486" s="32">
        <f t="shared" si="125"/>
        <v>0</v>
      </c>
      <c r="O486" s="32">
        <f t="shared" si="126"/>
        <v>10725103</v>
      </c>
      <c r="P486" s="34" t="str">
        <f>IF(NOT(AND(T485="",A486&lt;=S485)),"",IF(FALSE,"繰上返済後再計算","")&amp;IF(AND(入力!$B$13="有効",A486&gt;1,MOD(A486-1,60)=0),IF(FALSE,"・","")&amp;"5年見直し","")&amp;IF(AND(A486=入力!$B$11,A486&gt;1),IF(OR(FALSE,AND(入力!$B$13="有効",A486&gt;1,MOD(A486-1,60)=0)),"・","")&amp;"金利変更","")&amp;IF(AND(OR(AND(入力!$B$13="有効",A486&gt;1,MOD(A486-1,60)=0),AND(A486=入力!$B$11,A486&gt;1)),入力!$B$14="有効",IF(E486=0,ROUND(C486/MAX(1,S485-A486+1),0),ROUND(-PMT(E486/12,MAX(1,S485-A486+1),C486),0))&gt;ROUND(G485*1.25,0),NOT(FALSE)),"・上限適用",""))</f>
        <v/>
      </c>
      <c r="Q486" s="35" t="str">
        <f>IF(AND(T485="",A486&lt;=S485),入力!$B$13,"")</f>
        <v/>
      </c>
      <c r="R486" s="32" t="str">
        <f>IF(AND(AND(T485="",A486&lt;=S485),OR(AND(入力!$B$13="有効",A486&gt;1,MOD(A486-1,60)=0),AND(A486=入力!$B$11,A486&gt;1)),入力!$B$14="有効"),ROUND(G485*1.25,0),"")</f>
        <v/>
      </c>
      <c r="S486" s="36">
        <f>IF(A486&lt;&gt;入力!$B$15,S485,IF(K486&lt;&gt;0,S485,IF(G486&lt;=F486,S485,IF(M486&lt;=0,S485,IF(AND(N486&gt;0,E486&gt;0,G486&lt;=N486*E486/12),S485,IF(A486+IF(N486=0,0,IF(E486=0,ROUNDUP(N486/G486,0),ROUNDUP(NPER(E486/12,-G486,N486),0)))&lt;S485,A486+IF(N486=0,0,IF(E486=0,ROUNDUP(N486/G486,0),ROUNDUP(NPER(E486/12,-G486,N486),0))),S485))))))</f>
        <v>359</v>
      </c>
      <c r="T486" s="35" t="str">
        <f t="shared" si="127"/>
        <v/>
      </c>
      <c r="U486" s="3">
        <f t="shared" si="112"/>
        <v>0</v>
      </c>
      <c r="V486" s="3">
        <f t="shared" si="113"/>
        <v>0</v>
      </c>
      <c r="W486" s="3">
        <f t="shared" si="114"/>
        <v>0</v>
      </c>
      <c r="X486" s="3">
        <f t="shared" si="115"/>
        <v>0</v>
      </c>
      <c r="Y486" s="3">
        <f>0</f>
        <v>0</v>
      </c>
      <c r="Z486" s="3">
        <f t="shared" si="116"/>
        <v>0</v>
      </c>
      <c r="AA486">
        <f>ROUND(IF(FALSE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,0)</f>
        <v>0</v>
      </c>
    </row>
    <row r="487" spans="1:27">
      <c r="A487" s="30">
        <f>482</f>
        <v>482</v>
      </c>
      <c r="B487" s="31">
        <f>EDATE(入力!$B$6,A487-1)</f>
        <v>60876</v>
      </c>
      <c r="C487" s="32">
        <f t="shared" si="117"/>
        <v>0</v>
      </c>
      <c r="D487" s="32">
        <f t="shared" si="118"/>
        <v>0</v>
      </c>
      <c r="E487" s="33">
        <f>IF(AND(T486="",A487&lt;=S486),IF(A487&lt;入力!$B$11,入力!$B$10,入力!$B$12),0)</f>
        <v>0</v>
      </c>
      <c r="F487" s="32">
        <f t="shared" si="119"/>
        <v>0</v>
      </c>
      <c r="G487" s="32">
        <f>ROUND(IF(NOT(AND(T486="",A487&lt;=S486)),0,IF(FALSE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),0)</f>
        <v>0</v>
      </c>
      <c r="H487" s="32">
        <f t="shared" si="120"/>
        <v>0</v>
      </c>
      <c r="I487" s="32">
        <f t="shared" si="121"/>
        <v>0</v>
      </c>
      <c r="J487" s="32">
        <f t="shared" si="122"/>
        <v>0</v>
      </c>
      <c r="K487" s="32">
        <f t="shared" si="123"/>
        <v>0</v>
      </c>
      <c r="L487" s="32">
        <f t="shared" si="124"/>
        <v>0</v>
      </c>
      <c r="M487" s="32">
        <f>IF(AND(AND(T486="",A487&lt;=S486),A487=入力!$B$15),ROUND(MIN(入力!$B$16,MAX(0,C487-L487)),0),0)</f>
        <v>0</v>
      </c>
      <c r="N487" s="32">
        <f t="shared" si="125"/>
        <v>0</v>
      </c>
      <c r="O487" s="32">
        <f t="shared" si="126"/>
        <v>10725103</v>
      </c>
      <c r="P487" s="34" t="str">
        <f>IF(NOT(AND(T486="",A487&lt;=S486)),"",IF(FALSE,"繰上返済後再計算","")&amp;IF(AND(入力!$B$13="有効",A487&gt;1,MOD(A487-1,60)=0),IF(FALSE,"・","")&amp;"5年見直し","")&amp;IF(AND(A487=入力!$B$11,A487&gt;1),IF(OR(FALSE,AND(入力!$B$13="有効",A487&gt;1,MOD(A487-1,60)=0)),"・","")&amp;"金利変更","")&amp;IF(AND(OR(AND(入力!$B$13="有効",A487&gt;1,MOD(A487-1,60)=0),AND(A487=入力!$B$11,A487&gt;1)),入力!$B$14="有効",IF(E487=0,ROUND(C487/MAX(1,S486-A487+1),0),ROUND(-PMT(E487/12,MAX(1,S486-A487+1),C487),0))&gt;ROUND(G486*1.25,0),NOT(FALSE)),"・上限適用",""))</f>
        <v/>
      </c>
      <c r="Q487" s="35" t="str">
        <f>IF(AND(T486="",A487&lt;=S486),入力!$B$13,"")</f>
        <v/>
      </c>
      <c r="R487" s="32" t="str">
        <f>IF(AND(AND(T486="",A487&lt;=S486),OR(AND(入力!$B$13="有効",A487&gt;1,MOD(A487-1,60)=0),AND(A487=入力!$B$11,A487&gt;1)),入力!$B$14="有効"),ROUND(G486*1.25,0),"")</f>
        <v/>
      </c>
      <c r="S487" s="36">
        <f>IF(A487&lt;&gt;入力!$B$15,S486,IF(K487&lt;&gt;0,S486,IF(G487&lt;=F487,S486,IF(M487&lt;=0,S486,IF(AND(N487&gt;0,E487&gt;0,G487&lt;=N487*E487/12),S486,IF(A487+IF(N487=0,0,IF(E487=0,ROUNDUP(N487/G487,0),ROUNDUP(NPER(E487/12,-G487,N487),0)))&lt;S486,A487+IF(N487=0,0,IF(E487=0,ROUNDUP(N487/G487,0),ROUNDUP(NPER(E487/12,-G487,N487),0))),S486))))))</f>
        <v>359</v>
      </c>
      <c r="T487" s="35" t="str">
        <f t="shared" si="127"/>
        <v/>
      </c>
      <c r="U487" s="3">
        <f t="shared" si="112"/>
        <v>0</v>
      </c>
      <c r="V487" s="3">
        <f t="shared" si="113"/>
        <v>0</v>
      </c>
      <c r="W487" s="3">
        <f t="shared" si="114"/>
        <v>0</v>
      </c>
      <c r="X487" s="3">
        <f t="shared" si="115"/>
        <v>0</v>
      </c>
      <c r="Y487" s="3">
        <f>0</f>
        <v>0</v>
      </c>
      <c r="Z487" s="3">
        <f t="shared" si="116"/>
        <v>0</v>
      </c>
      <c r="AA487">
        <f>ROUND(IF(FALSE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,0)</f>
        <v>0</v>
      </c>
    </row>
    <row r="488" spans="1:27">
      <c r="A488" s="30">
        <f>483</f>
        <v>483</v>
      </c>
      <c r="B488" s="31">
        <f>EDATE(入力!$B$6,A488-1)</f>
        <v>60906</v>
      </c>
      <c r="C488" s="32">
        <f t="shared" si="117"/>
        <v>0</v>
      </c>
      <c r="D488" s="32">
        <f t="shared" si="118"/>
        <v>0</v>
      </c>
      <c r="E488" s="33">
        <f>IF(AND(T487="",A488&lt;=S487),IF(A488&lt;入力!$B$11,入力!$B$10,入力!$B$12),0)</f>
        <v>0</v>
      </c>
      <c r="F488" s="32">
        <f t="shared" si="119"/>
        <v>0</v>
      </c>
      <c r="G488" s="32">
        <f>ROUND(IF(NOT(AND(T487="",A488&lt;=S487)),0,IF(FALSE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),0)</f>
        <v>0</v>
      </c>
      <c r="H488" s="32">
        <f t="shared" si="120"/>
        <v>0</v>
      </c>
      <c r="I488" s="32">
        <f t="shared" si="121"/>
        <v>0</v>
      </c>
      <c r="J488" s="32">
        <f t="shared" si="122"/>
        <v>0</v>
      </c>
      <c r="K488" s="32">
        <f t="shared" si="123"/>
        <v>0</v>
      </c>
      <c r="L488" s="32">
        <f t="shared" si="124"/>
        <v>0</v>
      </c>
      <c r="M488" s="32">
        <f>IF(AND(AND(T487="",A488&lt;=S487),A488=入力!$B$15),ROUND(MIN(入力!$B$16,MAX(0,C488-L488)),0),0)</f>
        <v>0</v>
      </c>
      <c r="N488" s="32">
        <f t="shared" si="125"/>
        <v>0</v>
      </c>
      <c r="O488" s="32">
        <f t="shared" si="126"/>
        <v>10725103</v>
      </c>
      <c r="P488" s="34" t="str">
        <f>IF(NOT(AND(T487="",A488&lt;=S487)),"",IF(FALSE,"繰上返済後再計算","")&amp;IF(AND(入力!$B$13="有効",A488&gt;1,MOD(A488-1,60)=0),IF(FALSE,"・","")&amp;"5年見直し","")&amp;IF(AND(A488=入力!$B$11,A488&gt;1),IF(OR(FALSE,AND(入力!$B$13="有効",A488&gt;1,MOD(A488-1,60)=0)),"・","")&amp;"金利変更","")&amp;IF(AND(OR(AND(入力!$B$13="有効",A488&gt;1,MOD(A488-1,60)=0),AND(A488=入力!$B$11,A488&gt;1)),入力!$B$14="有効",IF(E488=0,ROUND(C488/MAX(1,S487-A488+1),0),ROUND(-PMT(E488/12,MAX(1,S487-A488+1),C488),0))&gt;ROUND(G487*1.25,0),NOT(FALSE)),"・上限適用",""))</f>
        <v/>
      </c>
      <c r="Q488" s="35" t="str">
        <f>IF(AND(T487="",A488&lt;=S487),入力!$B$13,"")</f>
        <v/>
      </c>
      <c r="R488" s="32" t="str">
        <f>IF(AND(AND(T487="",A488&lt;=S487),OR(AND(入力!$B$13="有効",A488&gt;1,MOD(A488-1,60)=0),AND(A488=入力!$B$11,A488&gt;1)),入力!$B$14="有効"),ROUND(G487*1.25,0),"")</f>
        <v/>
      </c>
      <c r="S488" s="36">
        <f>IF(A488&lt;&gt;入力!$B$15,S487,IF(K488&lt;&gt;0,S487,IF(G488&lt;=F488,S487,IF(M488&lt;=0,S487,IF(AND(N488&gt;0,E488&gt;0,G488&lt;=N488*E488/12),S487,IF(A488+IF(N488=0,0,IF(E488=0,ROUNDUP(N488/G488,0),ROUNDUP(NPER(E488/12,-G488,N488),0)))&lt;S487,A488+IF(N488=0,0,IF(E488=0,ROUNDUP(N488/G488,0),ROUNDUP(NPER(E488/12,-G488,N488),0))),S487))))))</f>
        <v>359</v>
      </c>
      <c r="T488" s="35" t="str">
        <f t="shared" si="127"/>
        <v/>
      </c>
      <c r="U488" s="3">
        <f t="shared" si="112"/>
        <v>0</v>
      </c>
      <c r="V488" s="3">
        <f t="shared" si="113"/>
        <v>0</v>
      </c>
      <c r="W488" s="3">
        <f t="shared" si="114"/>
        <v>0</v>
      </c>
      <c r="X488" s="3">
        <f t="shared" si="115"/>
        <v>0</v>
      </c>
      <c r="Y488" s="3">
        <f>0</f>
        <v>0</v>
      </c>
      <c r="Z488" s="3">
        <f t="shared" si="116"/>
        <v>0</v>
      </c>
      <c r="AA488">
        <f>ROUND(IF(FALSE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,0)</f>
        <v>0</v>
      </c>
    </row>
    <row r="489" spans="1:27">
      <c r="A489" s="30">
        <f>484</f>
        <v>484</v>
      </c>
      <c r="B489" s="31">
        <f>EDATE(入力!$B$6,A489-1)</f>
        <v>60937</v>
      </c>
      <c r="C489" s="32">
        <f t="shared" si="117"/>
        <v>0</v>
      </c>
      <c r="D489" s="32">
        <f t="shared" si="118"/>
        <v>0</v>
      </c>
      <c r="E489" s="33">
        <f>IF(AND(T488="",A489&lt;=S488),IF(A489&lt;入力!$B$11,入力!$B$10,入力!$B$12),0)</f>
        <v>0</v>
      </c>
      <c r="F489" s="32">
        <f t="shared" si="119"/>
        <v>0</v>
      </c>
      <c r="G489" s="32">
        <f>ROUND(IF(NOT(AND(T488="",A489&lt;=S488)),0,IF(FALSE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),0)</f>
        <v>0</v>
      </c>
      <c r="H489" s="32">
        <f t="shared" si="120"/>
        <v>0</v>
      </c>
      <c r="I489" s="32">
        <f t="shared" si="121"/>
        <v>0</v>
      </c>
      <c r="J489" s="32">
        <f t="shared" si="122"/>
        <v>0</v>
      </c>
      <c r="K489" s="32">
        <f t="shared" si="123"/>
        <v>0</v>
      </c>
      <c r="L489" s="32">
        <f t="shared" si="124"/>
        <v>0</v>
      </c>
      <c r="M489" s="32">
        <f>IF(AND(AND(T488="",A489&lt;=S488),A489=入力!$B$15),ROUND(MIN(入力!$B$16,MAX(0,C489-L489)),0),0)</f>
        <v>0</v>
      </c>
      <c r="N489" s="32">
        <f t="shared" si="125"/>
        <v>0</v>
      </c>
      <c r="O489" s="32">
        <f t="shared" si="126"/>
        <v>10725103</v>
      </c>
      <c r="P489" s="34" t="str">
        <f>IF(NOT(AND(T488="",A489&lt;=S488)),"",IF(FALSE,"繰上返済後再計算","")&amp;IF(AND(入力!$B$13="有効",A489&gt;1,MOD(A489-1,60)=0),IF(FALSE,"・","")&amp;"5年見直し","")&amp;IF(AND(A489=入力!$B$11,A489&gt;1),IF(OR(FALSE,AND(入力!$B$13="有効",A489&gt;1,MOD(A489-1,60)=0)),"・","")&amp;"金利変更","")&amp;IF(AND(OR(AND(入力!$B$13="有効",A489&gt;1,MOD(A489-1,60)=0),AND(A489=入力!$B$11,A489&gt;1)),入力!$B$14="有効",IF(E489=0,ROUND(C489/MAX(1,S488-A489+1),0),ROUND(-PMT(E489/12,MAX(1,S488-A489+1),C489),0))&gt;ROUND(G488*1.25,0),NOT(FALSE)),"・上限適用",""))</f>
        <v/>
      </c>
      <c r="Q489" s="35" t="str">
        <f>IF(AND(T488="",A489&lt;=S488),入力!$B$13,"")</f>
        <v/>
      </c>
      <c r="R489" s="32" t="str">
        <f>IF(AND(AND(T488="",A489&lt;=S488),OR(AND(入力!$B$13="有効",A489&gt;1,MOD(A489-1,60)=0),AND(A489=入力!$B$11,A489&gt;1)),入力!$B$14="有効"),ROUND(G488*1.25,0),"")</f>
        <v/>
      </c>
      <c r="S489" s="36">
        <f>IF(A489&lt;&gt;入力!$B$15,S488,IF(K489&lt;&gt;0,S488,IF(G489&lt;=F489,S488,IF(M489&lt;=0,S488,IF(AND(N489&gt;0,E489&gt;0,G489&lt;=N489*E489/12),S488,IF(A489+IF(N489=0,0,IF(E489=0,ROUNDUP(N489/G489,0),ROUNDUP(NPER(E489/12,-G489,N489),0)))&lt;S488,A489+IF(N489=0,0,IF(E489=0,ROUNDUP(N489/G489,0),ROUNDUP(NPER(E489/12,-G489,N489),0))),S488))))))</f>
        <v>359</v>
      </c>
      <c r="T489" s="35" t="str">
        <f t="shared" si="127"/>
        <v/>
      </c>
      <c r="U489" s="3">
        <f t="shared" si="112"/>
        <v>0</v>
      </c>
      <c r="V489" s="3">
        <f t="shared" si="113"/>
        <v>0</v>
      </c>
      <c r="W489" s="3">
        <f t="shared" si="114"/>
        <v>0</v>
      </c>
      <c r="X489" s="3">
        <f t="shared" si="115"/>
        <v>0</v>
      </c>
      <c r="Y489" s="3">
        <f>0</f>
        <v>0</v>
      </c>
      <c r="Z489" s="3">
        <f t="shared" si="116"/>
        <v>0</v>
      </c>
      <c r="AA489">
        <f>ROUND(IF(FALSE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,0)</f>
        <v>0</v>
      </c>
    </row>
    <row r="490" spans="1:27">
      <c r="A490" s="30">
        <f>485</f>
        <v>485</v>
      </c>
      <c r="B490" s="31">
        <f>EDATE(入力!$B$6,A490-1)</f>
        <v>60967</v>
      </c>
      <c r="C490" s="32">
        <f t="shared" si="117"/>
        <v>0</v>
      </c>
      <c r="D490" s="32">
        <f t="shared" si="118"/>
        <v>0</v>
      </c>
      <c r="E490" s="33">
        <f>IF(AND(T489="",A490&lt;=S489),IF(A490&lt;入力!$B$11,入力!$B$10,入力!$B$12),0)</f>
        <v>0</v>
      </c>
      <c r="F490" s="32">
        <f t="shared" si="119"/>
        <v>0</v>
      </c>
      <c r="G490" s="32">
        <f>ROUND(IF(NOT(AND(T489="",A490&lt;=S489)),0,IF(FALSE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),0)</f>
        <v>0</v>
      </c>
      <c r="H490" s="32">
        <f t="shared" si="120"/>
        <v>0</v>
      </c>
      <c r="I490" s="32">
        <f t="shared" si="121"/>
        <v>0</v>
      </c>
      <c r="J490" s="32">
        <f t="shared" si="122"/>
        <v>0</v>
      </c>
      <c r="K490" s="32">
        <f t="shared" si="123"/>
        <v>0</v>
      </c>
      <c r="L490" s="32">
        <f t="shared" si="124"/>
        <v>0</v>
      </c>
      <c r="M490" s="32">
        <f>IF(AND(AND(T489="",A490&lt;=S489),A490=入力!$B$15),ROUND(MIN(入力!$B$16,MAX(0,C490-L490)),0),0)</f>
        <v>0</v>
      </c>
      <c r="N490" s="32">
        <f t="shared" si="125"/>
        <v>0</v>
      </c>
      <c r="O490" s="32">
        <f t="shared" si="126"/>
        <v>10725103</v>
      </c>
      <c r="P490" s="34" t="str">
        <f>IF(NOT(AND(T489="",A490&lt;=S489)),"",IF(FALSE,"繰上返済後再計算","")&amp;IF(AND(入力!$B$13="有効",A490&gt;1,MOD(A490-1,60)=0),IF(FALSE,"・","")&amp;"5年見直し","")&amp;IF(AND(A490=入力!$B$11,A490&gt;1),IF(OR(FALSE,AND(入力!$B$13="有効",A490&gt;1,MOD(A490-1,60)=0)),"・","")&amp;"金利変更","")&amp;IF(AND(OR(AND(入力!$B$13="有効",A490&gt;1,MOD(A490-1,60)=0),AND(A490=入力!$B$11,A490&gt;1)),入力!$B$14="有効",IF(E490=0,ROUND(C490/MAX(1,S489-A490+1),0),ROUND(-PMT(E490/12,MAX(1,S489-A490+1),C490),0))&gt;ROUND(G489*1.25,0),NOT(FALSE)),"・上限適用",""))</f>
        <v/>
      </c>
      <c r="Q490" s="35" t="str">
        <f>IF(AND(T489="",A490&lt;=S489),入力!$B$13,"")</f>
        <v/>
      </c>
      <c r="R490" s="32" t="str">
        <f>IF(AND(AND(T489="",A490&lt;=S489),OR(AND(入力!$B$13="有効",A490&gt;1,MOD(A490-1,60)=0),AND(A490=入力!$B$11,A490&gt;1)),入力!$B$14="有効"),ROUND(G489*1.25,0),"")</f>
        <v/>
      </c>
      <c r="S490" s="36">
        <f>IF(A490&lt;&gt;入力!$B$15,S489,IF(K490&lt;&gt;0,S489,IF(G490&lt;=F490,S489,IF(M490&lt;=0,S489,IF(AND(N490&gt;0,E490&gt;0,G490&lt;=N490*E490/12),S489,IF(A490+IF(N490=0,0,IF(E490=0,ROUNDUP(N490/G490,0),ROUNDUP(NPER(E490/12,-G490,N490),0)))&lt;S489,A490+IF(N490=0,0,IF(E490=0,ROUNDUP(N490/G490,0),ROUNDUP(NPER(E490/12,-G490,N490),0))),S489))))))</f>
        <v>359</v>
      </c>
      <c r="T490" s="35" t="str">
        <f t="shared" si="127"/>
        <v/>
      </c>
      <c r="U490" s="3">
        <f t="shared" si="112"/>
        <v>0</v>
      </c>
      <c r="V490" s="3">
        <f t="shared" si="113"/>
        <v>0</v>
      </c>
      <c r="W490" s="3">
        <f t="shared" si="114"/>
        <v>0</v>
      </c>
      <c r="X490" s="3">
        <f t="shared" si="115"/>
        <v>0</v>
      </c>
      <c r="Y490" s="3">
        <f>0</f>
        <v>0</v>
      </c>
      <c r="Z490" s="3">
        <f t="shared" si="116"/>
        <v>0</v>
      </c>
      <c r="AA490">
        <f>ROUND(IF(FALSE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,0)</f>
        <v>0</v>
      </c>
    </row>
    <row r="491" spans="1:27">
      <c r="A491" s="30">
        <f>486</f>
        <v>486</v>
      </c>
      <c r="B491" s="31">
        <f>EDATE(入力!$B$6,A491-1)</f>
        <v>60998</v>
      </c>
      <c r="C491" s="32">
        <f t="shared" si="117"/>
        <v>0</v>
      </c>
      <c r="D491" s="32">
        <f t="shared" si="118"/>
        <v>0</v>
      </c>
      <c r="E491" s="33">
        <f>IF(AND(T490="",A491&lt;=S490),IF(A491&lt;入力!$B$11,入力!$B$10,入力!$B$12),0)</f>
        <v>0</v>
      </c>
      <c r="F491" s="32">
        <f t="shared" si="119"/>
        <v>0</v>
      </c>
      <c r="G491" s="32">
        <f>ROUND(IF(NOT(AND(T490="",A491&lt;=S490)),0,IF(FALSE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),0)</f>
        <v>0</v>
      </c>
      <c r="H491" s="32">
        <f t="shared" si="120"/>
        <v>0</v>
      </c>
      <c r="I491" s="32">
        <f t="shared" si="121"/>
        <v>0</v>
      </c>
      <c r="J491" s="32">
        <f t="shared" si="122"/>
        <v>0</v>
      </c>
      <c r="K491" s="32">
        <f t="shared" si="123"/>
        <v>0</v>
      </c>
      <c r="L491" s="32">
        <f t="shared" si="124"/>
        <v>0</v>
      </c>
      <c r="M491" s="32">
        <f>IF(AND(AND(T490="",A491&lt;=S490),A491=入力!$B$15),ROUND(MIN(入力!$B$16,MAX(0,C491-L491)),0),0)</f>
        <v>0</v>
      </c>
      <c r="N491" s="32">
        <f t="shared" si="125"/>
        <v>0</v>
      </c>
      <c r="O491" s="32">
        <f t="shared" si="126"/>
        <v>10725103</v>
      </c>
      <c r="P491" s="34" t="str">
        <f>IF(NOT(AND(T490="",A491&lt;=S490)),"",IF(FALSE,"繰上返済後再計算","")&amp;IF(AND(入力!$B$13="有効",A491&gt;1,MOD(A491-1,60)=0),IF(FALSE,"・","")&amp;"5年見直し","")&amp;IF(AND(A491=入力!$B$11,A491&gt;1),IF(OR(FALSE,AND(入力!$B$13="有効",A491&gt;1,MOD(A491-1,60)=0)),"・","")&amp;"金利変更","")&amp;IF(AND(OR(AND(入力!$B$13="有効",A491&gt;1,MOD(A491-1,60)=0),AND(A491=入力!$B$11,A491&gt;1)),入力!$B$14="有効",IF(E491=0,ROUND(C491/MAX(1,S490-A491+1),0),ROUND(-PMT(E491/12,MAX(1,S490-A491+1),C491),0))&gt;ROUND(G490*1.25,0),NOT(FALSE)),"・上限適用",""))</f>
        <v/>
      </c>
      <c r="Q491" s="35" t="str">
        <f>IF(AND(T490="",A491&lt;=S490),入力!$B$13,"")</f>
        <v/>
      </c>
      <c r="R491" s="32" t="str">
        <f>IF(AND(AND(T490="",A491&lt;=S490),OR(AND(入力!$B$13="有効",A491&gt;1,MOD(A491-1,60)=0),AND(A491=入力!$B$11,A491&gt;1)),入力!$B$14="有効"),ROUND(G490*1.25,0),"")</f>
        <v/>
      </c>
      <c r="S491" s="36">
        <f>IF(A491&lt;&gt;入力!$B$15,S490,IF(K491&lt;&gt;0,S490,IF(G491&lt;=F491,S490,IF(M491&lt;=0,S490,IF(AND(N491&gt;0,E491&gt;0,G491&lt;=N491*E491/12),S490,IF(A491+IF(N491=0,0,IF(E491=0,ROUNDUP(N491/G491,0),ROUNDUP(NPER(E491/12,-G491,N491),0)))&lt;S490,A491+IF(N491=0,0,IF(E491=0,ROUNDUP(N491/G491,0),ROUNDUP(NPER(E491/12,-G491,N491),0))),S490))))))</f>
        <v>359</v>
      </c>
      <c r="T491" s="35" t="str">
        <f t="shared" si="127"/>
        <v/>
      </c>
      <c r="U491" s="3">
        <f t="shared" si="112"/>
        <v>0</v>
      </c>
      <c r="V491" s="3">
        <f t="shared" si="113"/>
        <v>0</v>
      </c>
      <c r="W491" s="3">
        <f t="shared" si="114"/>
        <v>0</v>
      </c>
      <c r="X491" s="3">
        <f t="shared" si="115"/>
        <v>0</v>
      </c>
      <c r="Y491" s="3">
        <f>0</f>
        <v>0</v>
      </c>
      <c r="Z491" s="3">
        <f t="shared" si="116"/>
        <v>0</v>
      </c>
      <c r="AA491">
        <f>ROUND(IF(FALSE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,0)</f>
        <v>0</v>
      </c>
    </row>
    <row r="492" spans="1:27">
      <c r="A492" s="30">
        <f>487</f>
        <v>487</v>
      </c>
      <c r="B492" s="31">
        <f>EDATE(入力!$B$6,A492-1)</f>
        <v>61029</v>
      </c>
      <c r="C492" s="32">
        <f t="shared" si="117"/>
        <v>0</v>
      </c>
      <c r="D492" s="32">
        <f t="shared" si="118"/>
        <v>0</v>
      </c>
      <c r="E492" s="33">
        <f>IF(AND(T491="",A492&lt;=S491),IF(A492&lt;入力!$B$11,入力!$B$10,入力!$B$12),0)</f>
        <v>0</v>
      </c>
      <c r="F492" s="32">
        <f t="shared" si="119"/>
        <v>0</v>
      </c>
      <c r="G492" s="32">
        <f>ROUND(IF(NOT(AND(T491="",A492&lt;=S491)),0,IF(FALSE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),0)</f>
        <v>0</v>
      </c>
      <c r="H492" s="32">
        <f t="shared" si="120"/>
        <v>0</v>
      </c>
      <c r="I492" s="32">
        <f t="shared" si="121"/>
        <v>0</v>
      </c>
      <c r="J492" s="32">
        <f t="shared" si="122"/>
        <v>0</v>
      </c>
      <c r="K492" s="32">
        <f t="shared" si="123"/>
        <v>0</v>
      </c>
      <c r="L492" s="32">
        <f t="shared" si="124"/>
        <v>0</v>
      </c>
      <c r="M492" s="32">
        <f>IF(AND(AND(T491="",A492&lt;=S491),A492=入力!$B$15),ROUND(MIN(入力!$B$16,MAX(0,C492-L492)),0),0)</f>
        <v>0</v>
      </c>
      <c r="N492" s="32">
        <f t="shared" si="125"/>
        <v>0</v>
      </c>
      <c r="O492" s="32">
        <f t="shared" si="126"/>
        <v>10725103</v>
      </c>
      <c r="P492" s="34" t="str">
        <f>IF(NOT(AND(T491="",A492&lt;=S491)),"",IF(FALSE,"繰上返済後再計算","")&amp;IF(AND(入力!$B$13="有効",A492&gt;1,MOD(A492-1,60)=0),IF(FALSE,"・","")&amp;"5年見直し","")&amp;IF(AND(A492=入力!$B$11,A492&gt;1),IF(OR(FALSE,AND(入力!$B$13="有効",A492&gt;1,MOD(A492-1,60)=0)),"・","")&amp;"金利変更","")&amp;IF(AND(OR(AND(入力!$B$13="有効",A492&gt;1,MOD(A492-1,60)=0),AND(A492=入力!$B$11,A492&gt;1)),入力!$B$14="有効",IF(E492=0,ROUND(C492/MAX(1,S491-A492+1),0),ROUND(-PMT(E492/12,MAX(1,S491-A492+1),C492),0))&gt;ROUND(G491*1.25,0),NOT(FALSE)),"・上限適用",""))</f>
        <v/>
      </c>
      <c r="Q492" s="35" t="str">
        <f>IF(AND(T491="",A492&lt;=S491),入力!$B$13,"")</f>
        <v/>
      </c>
      <c r="R492" s="32" t="str">
        <f>IF(AND(AND(T491="",A492&lt;=S491),OR(AND(入力!$B$13="有効",A492&gt;1,MOD(A492-1,60)=0),AND(A492=入力!$B$11,A492&gt;1)),入力!$B$14="有効"),ROUND(G491*1.25,0),"")</f>
        <v/>
      </c>
      <c r="S492" s="36">
        <f>IF(A492&lt;&gt;入力!$B$15,S491,IF(K492&lt;&gt;0,S491,IF(G492&lt;=F492,S491,IF(M492&lt;=0,S491,IF(AND(N492&gt;0,E492&gt;0,G492&lt;=N492*E492/12),S491,IF(A492+IF(N492=0,0,IF(E492=0,ROUNDUP(N492/G492,0),ROUNDUP(NPER(E492/12,-G492,N492),0)))&lt;S491,A492+IF(N492=0,0,IF(E492=0,ROUNDUP(N492/G492,0),ROUNDUP(NPER(E492/12,-G492,N492),0))),S491))))))</f>
        <v>359</v>
      </c>
      <c r="T492" s="35" t="str">
        <f t="shared" si="127"/>
        <v/>
      </c>
      <c r="U492" s="3">
        <f t="shared" si="112"/>
        <v>0</v>
      </c>
      <c r="V492" s="3">
        <f t="shared" si="113"/>
        <v>0</v>
      </c>
      <c r="W492" s="3">
        <f t="shared" si="114"/>
        <v>0</v>
      </c>
      <c r="X492" s="3">
        <f t="shared" si="115"/>
        <v>0</v>
      </c>
      <c r="Y492" s="3">
        <f>0</f>
        <v>0</v>
      </c>
      <c r="Z492" s="3">
        <f t="shared" si="116"/>
        <v>0</v>
      </c>
      <c r="AA492">
        <f>ROUND(IF(FALSE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,0)</f>
        <v>0</v>
      </c>
    </row>
    <row r="493" spans="1:27">
      <c r="A493" s="30">
        <f>488</f>
        <v>488</v>
      </c>
      <c r="B493" s="31">
        <f>EDATE(入力!$B$6,A493-1)</f>
        <v>61057</v>
      </c>
      <c r="C493" s="32">
        <f t="shared" si="117"/>
        <v>0</v>
      </c>
      <c r="D493" s="32">
        <f t="shared" si="118"/>
        <v>0</v>
      </c>
      <c r="E493" s="33">
        <f>IF(AND(T492="",A493&lt;=S492),IF(A493&lt;入力!$B$11,入力!$B$10,入力!$B$12),0)</f>
        <v>0</v>
      </c>
      <c r="F493" s="32">
        <f t="shared" si="119"/>
        <v>0</v>
      </c>
      <c r="G493" s="32">
        <f>ROUND(IF(NOT(AND(T492="",A493&lt;=S492)),0,IF(FALSE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),0)</f>
        <v>0</v>
      </c>
      <c r="H493" s="32">
        <f t="shared" si="120"/>
        <v>0</v>
      </c>
      <c r="I493" s="32">
        <f t="shared" si="121"/>
        <v>0</v>
      </c>
      <c r="J493" s="32">
        <f t="shared" si="122"/>
        <v>0</v>
      </c>
      <c r="K493" s="32">
        <f t="shared" si="123"/>
        <v>0</v>
      </c>
      <c r="L493" s="32">
        <f t="shared" si="124"/>
        <v>0</v>
      </c>
      <c r="M493" s="32">
        <f>IF(AND(AND(T492="",A493&lt;=S492),A493=入力!$B$15),ROUND(MIN(入力!$B$16,MAX(0,C493-L493)),0),0)</f>
        <v>0</v>
      </c>
      <c r="N493" s="32">
        <f t="shared" si="125"/>
        <v>0</v>
      </c>
      <c r="O493" s="32">
        <f t="shared" si="126"/>
        <v>10725103</v>
      </c>
      <c r="P493" s="34" t="str">
        <f>IF(NOT(AND(T492="",A493&lt;=S492)),"",IF(FALSE,"繰上返済後再計算","")&amp;IF(AND(入力!$B$13="有効",A493&gt;1,MOD(A493-1,60)=0),IF(FALSE,"・","")&amp;"5年見直し","")&amp;IF(AND(A493=入力!$B$11,A493&gt;1),IF(OR(FALSE,AND(入力!$B$13="有効",A493&gt;1,MOD(A493-1,60)=0)),"・","")&amp;"金利変更","")&amp;IF(AND(OR(AND(入力!$B$13="有効",A493&gt;1,MOD(A493-1,60)=0),AND(A493=入力!$B$11,A493&gt;1)),入力!$B$14="有効",IF(E493=0,ROUND(C493/MAX(1,S492-A493+1),0),ROUND(-PMT(E493/12,MAX(1,S492-A493+1),C493),0))&gt;ROUND(G492*1.25,0),NOT(FALSE)),"・上限適用",""))</f>
        <v/>
      </c>
      <c r="Q493" s="35" t="str">
        <f>IF(AND(T492="",A493&lt;=S492),入力!$B$13,"")</f>
        <v/>
      </c>
      <c r="R493" s="32" t="str">
        <f>IF(AND(AND(T492="",A493&lt;=S492),OR(AND(入力!$B$13="有効",A493&gt;1,MOD(A493-1,60)=0),AND(A493=入力!$B$11,A493&gt;1)),入力!$B$14="有効"),ROUND(G492*1.25,0),"")</f>
        <v/>
      </c>
      <c r="S493" s="36">
        <f>IF(A493&lt;&gt;入力!$B$15,S492,IF(K493&lt;&gt;0,S492,IF(G493&lt;=F493,S492,IF(M493&lt;=0,S492,IF(AND(N493&gt;0,E493&gt;0,G493&lt;=N493*E493/12),S492,IF(A493+IF(N493=0,0,IF(E493=0,ROUNDUP(N493/G493,0),ROUNDUP(NPER(E493/12,-G493,N493),0)))&lt;S492,A493+IF(N493=0,0,IF(E493=0,ROUNDUP(N493/G493,0),ROUNDUP(NPER(E493/12,-G493,N493),0))),S492))))))</f>
        <v>359</v>
      </c>
      <c r="T493" s="35" t="str">
        <f t="shared" si="127"/>
        <v/>
      </c>
      <c r="U493" s="3">
        <f t="shared" si="112"/>
        <v>0</v>
      </c>
      <c r="V493" s="3">
        <f t="shared" si="113"/>
        <v>0</v>
      </c>
      <c r="W493" s="3">
        <f t="shared" si="114"/>
        <v>0</v>
      </c>
      <c r="X493" s="3">
        <f t="shared" si="115"/>
        <v>0</v>
      </c>
      <c r="Y493" s="3">
        <f>0</f>
        <v>0</v>
      </c>
      <c r="Z493" s="3">
        <f t="shared" si="116"/>
        <v>0</v>
      </c>
      <c r="AA493">
        <f>ROUND(IF(FALSE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,0)</f>
        <v>0</v>
      </c>
    </row>
    <row r="494" spans="1:27">
      <c r="A494" s="30">
        <f>489</f>
        <v>489</v>
      </c>
      <c r="B494" s="31">
        <f>EDATE(入力!$B$6,A494-1)</f>
        <v>61088</v>
      </c>
      <c r="C494" s="32">
        <f t="shared" si="117"/>
        <v>0</v>
      </c>
      <c r="D494" s="32">
        <f t="shared" si="118"/>
        <v>0</v>
      </c>
      <c r="E494" s="33">
        <f>IF(AND(T493="",A494&lt;=S493),IF(A494&lt;入力!$B$11,入力!$B$10,入力!$B$12),0)</f>
        <v>0</v>
      </c>
      <c r="F494" s="32">
        <f t="shared" si="119"/>
        <v>0</v>
      </c>
      <c r="G494" s="32">
        <f>ROUND(IF(NOT(AND(T493="",A494&lt;=S493)),0,IF(FALSE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),0)</f>
        <v>0</v>
      </c>
      <c r="H494" s="32">
        <f t="shared" si="120"/>
        <v>0</v>
      </c>
      <c r="I494" s="32">
        <f t="shared" si="121"/>
        <v>0</v>
      </c>
      <c r="J494" s="32">
        <f t="shared" si="122"/>
        <v>0</v>
      </c>
      <c r="K494" s="32">
        <f t="shared" si="123"/>
        <v>0</v>
      </c>
      <c r="L494" s="32">
        <f t="shared" si="124"/>
        <v>0</v>
      </c>
      <c r="M494" s="32">
        <f>IF(AND(AND(T493="",A494&lt;=S493),A494=入力!$B$15),ROUND(MIN(入力!$B$16,MAX(0,C494-L494)),0),0)</f>
        <v>0</v>
      </c>
      <c r="N494" s="32">
        <f t="shared" si="125"/>
        <v>0</v>
      </c>
      <c r="O494" s="32">
        <f t="shared" si="126"/>
        <v>10725103</v>
      </c>
      <c r="P494" s="34" t="str">
        <f>IF(NOT(AND(T493="",A494&lt;=S493)),"",IF(FALSE,"繰上返済後再計算","")&amp;IF(AND(入力!$B$13="有効",A494&gt;1,MOD(A494-1,60)=0),IF(FALSE,"・","")&amp;"5年見直し","")&amp;IF(AND(A494=入力!$B$11,A494&gt;1),IF(OR(FALSE,AND(入力!$B$13="有効",A494&gt;1,MOD(A494-1,60)=0)),"・","")&amp;"金利変更","")&amp;IF(AND(OR(AND(入力!$B$13="有効",A494&gt;1,MOD(A494-1,60)=0),AND(A494=入力!$B$11,A494&gt;1)),入力!$B$14="有効",IF(E494=0,ROUND(C494/MAX(1,S493-A494+1),0),ROUND(-PMT(E494/12,MAX(1,S493-A494+1),C494),0))&gt;ROUND(G493*1.25,0),NOT(FALSE)),"・上限適用",""))</f>
        <v/>
      </c>
      <c r="Q494" s="35" t="str">
        <f>IF(AND(T493="",A494&lt;=S493),入力!$B$13,"")</f>
        <v/>
      </c>
      <c r="R494" s="32" t="str">
        <f>IF(AND(AND(T493="",A494&lt;=S493),OR(AND(入力!$B$13="有効",A494&gt;1,MOD(A494-1,60)=0),AND(A494=入力!$B$11,A494&gt;1)),入力!$B$14="有効"),ROUND(G493*1.25,0),"")</f>
        <v/>
      </c>
      <c r="S494" s="36">
        <f>IF(A494&lt;&gt;入力!$B$15,S493,IF(K494&lt;&gt;0,S493,IF(G494&lt;=F494,S493,IF(M494&lt;=0,S493,IF(AND(N494&gt;0,E494&gt;0,G494&lt;=N494*E494/12),S493,IF(A494+IF(N494=0,0,IF(E494=0,ROUNDUP(N494/G494,0),ROUNDUP(NPER(E494/12,-G494,N494),0)))&lt;S493,A494+IF(N494=0,0,IF(E494=0,ROUNDUP(N494/G494,0),ROUNDUP(NPER(E494/12,-G494,N494),0))),S493))))))</f>
        <v>359</v>
      </c>
      <c r="T494" s="35" t="str">
        <f t="shared" si="127"/>
        <v/>
      </c>
      <c r="U494" s="3">
        <f t="shared" si="112"/>
        <v>0</v>
      </c>
      <c r="V494" s="3">
        <f t="shared" si="113"/>
        <v>0</v>
      </c>
      <c r="W494" s="3">
        <f t="shared" si="114"/>
        <v>0</v>
      </c>
      <c r="X494" s="3">
        <f t="shared" si="115"/>
        <v>0</v>
      </c>
      <c r="Y494" s="3">
        <f>0</f>
        <v>0</v>
      </c>
      <c r="Z494" s="3">
        <f t="shared" si="116"/>
        <v>0</v>
      </c>
      <c r="AA494">
        <f>ROUND(IF(FALSE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,0)</f>
        <v>0</v>
      </c>
    </row>
    <row r="495" spans="1:27">
      <c r="A495" s="30">
        <f>490</f>
        <v>490</v>
      </c>
      <c r="B495" s="31">
        <f>EDATE(入力!$B$6,A495-1)</f>
        <v>61118</v>
      </c>
      <c r="C495" s="32">
        <f t="shared" si="117"/>
        <v>0</v>
      </c>
      <c r="D495" s="32">
        <f t="shared" si="118"/>
        <v>0</v>
      </c>
      <c r="E495" s="33">
        <f>IF(AND(T494="",A495&lt;=S494),IF(A495&lt;入力!$B$11,入力!$B$10,入力!$B$12),0)</f>
        <v>0</v>
      </c>
      <c r="F495" s="32">
        <f t="shared" si="119"/>
        <v>0</v>
      </c>
      <c r="G495" s="32">
        <f>ROUND(IF(NOT(AND(T494="",A495&lt;=S494)),0,IF(FALSE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),0)</f>
        <v>0</v>
      </c>
      <c r="H495" s="32">
        <f t="shared" si="120"/>
        <v>0</v>
      </c>
      <c r="I495" s="32">
        <f t="shared" si="121"/>
        <v>0</v>
      </c>
      <c r="J495" s="32">
        <f t="shared" si="122"/>
        <v>0</v>
      </c>
      <c r="K495" s="32">
        <f t="shared" si="123"/>
        <v>0</v>
      </c>
      <c r="L495" s="32">
        <f t="shared" si="124"/>
        <v>0</v>
      </c>
      <c r="M495" s="32">
        <f>IF(AND(AND(T494="",A495&lt;=S494),A495=入力!$B$15),ROUND(MIN(入力!$B$16,MAX(0,C495-L495)),0),0)</f>
        <v>0</v>
      </c>
      <c r="N495" s="32">
        <f t="shared" si="125"/>
        <v>0</v>
      </c>
      <c r="O495" s="32">
        <f t="shared" si="126"/>
        <v>10725103</v>
      </c>
      <c r="P495" s="34" t="str">
        <f>IF(NOT(AND(T494="",A495&lt;=S494)),"",IF(FALSE,"繰上返済後再計算","")&amp;IF(AND(入力!$B$13="有効",A495&gt;1,MOD(A495-1,60)=0),IF(FALSE,"・","")&amp;"5年見直し","")&amp;IF(AND(A495=入力!$B$11,A495&gt;1),IF(OR(FALSE,AND(入力!$B$13="有効",A495&gt;1,MOD(A495-1,60)=0)),"・","")&amp;"金利変更","")&amp;IF(AND(OR(AND(入力!$B$13="有効",A495&gt;1,MOD(A495-1,60)=0),AND(A495=入力!$B$11,A495&gt;1)),入力!$B$14="有効",IF(E495=0,ROUND(C495/MAX(1,S494-A495+1),0),ROUND(-PMT(E495/12,MAX(1,S494-A495+1),C495),0))&gt;ROUND(G494*1.25,0),NOT(FALSE)),"・上限適用",""))</f>
        <v/>
      </c>
      <c r="Q495" s="35" t="str">
        <f>IF(AND(T494="",A495&lt;=S494),入力!$B$13,"")</f>
        <v/>
      </c>
      <c r="R495" s="32" t="str">
        <f>IF(AND(AND(T494="",A495&lt;=S494),OR(AND(入力!$B$13="有効",A495&gt;1,MOD(A495-1,60)=0),AND(A495=入力!$B$11,A495&gt;1)),入力!$B$14="有効"),ROUND(G494*1.25,0),"")</f>
        <v/>
      </c>
      <c r="S495" s="36">
        <f>IF(A495&lt;&gt;入力!$B$15,S494,IF(K495&lt;&gt;0,S494,IF(G495&lt;=F495,S494,IF(M495&lt;=0,S494,IF(AND(N495&gt;0,E495&gt;0,G495&lt;=N495*E495/12),S494,IF(A495+IF(N495=0,0,IF(E495=0,ROUNDUP(N495/G495,0),ROUNDUP(NPER(E495/12,-G495,N495),0)))&lt;S494,A495+IF(N495=0,0,IF(E495=0,ROUNDUP(N495/G495,0),ROUNDUP(NPER(E495/12,-G495,N495),0))),S494))))))</f>
        <v>359</v>
      </c>
      <c r="T495" s="35" t="str">
        <f t="shared" si="127"/>
        <v/>
      </c>
      <c r="U495" s="3">
        <f t="shared" si="112"/>
        <v>0</v>
      </c>
      <c r="V495" s="3">
        <f t="shared" si="113"/>
        <v>0</v>
      </c>
      <c r="W495" s="3">
        <f t="shared" si="114"/>
        <v>0</v>
      </c>
      <c r="X495" s="3">
        <f t="shared" si="115"/>
        <v>0</v>
      </c>
      <c r="Y495" s="3">
        <f>0</f>
        <v>0</v>
      </c>
      <c r="Z495" s="3">
        <f t="shared" si="116"/>
        <v>0</v>
      </c>
      <c r="AA495">
        <f>ROUND(IF(FALSE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,0)</f>
        <v>0</v>
      </c>
    </row>
    <row r="496" spans="1:27">
      <c r="A496" s="30">
        <f>491</f>
        <v>491</v>
      </c>
      <c r="B496" s="31">
        <f>EDATE(入力!$B$6,A496-1)</f>
        <v>61149</v>
      </c>
      <c r="C496" s="32">
        <f t="shared" si="117"/>
        <v>0</v>
      </c>
      <c r="D496" s="32">
        <f t="shared" si="118"/>
        <v>0</v>
      </c>
      <c r="E496" s="33">
        <f>IF(AND(T495="",A496&lt;=S495),IF(A496&lt;入力!$B$11,入力!$B$10,入力!$B$12),0)</f>
        <v>0</v>
      </c>
      <c r="F496" s="32">
        <f t="shared" si="119"/>
        <v>0</v>
      </c>
      <c r="G496" s="32">
        <f>ROUND(IF(NOT(AND(T495="",A496&lt;=S495)),0,IF(FALSE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),0)</f>
        <v>0</v>
      </c>
      <c r="H496" s="32">
        <f t="shared" si="120"/>
        <v>0</v>
      </c>
      <c r="I496" s="32">
        <f t="shared" si="121"/>
        <v>0</v>
      </c>
      <c r="J496" s="32">
        <f t="shared" si="122"/>
        <v>0</v>
      </c>
      <c r="K496" s="32">
        <f t="shared" si="123"/>
        <v>0</v>
      </c>
      <c r="L496" s="32">
        <f t="shared" si="124"/>
        <v>0</v>
      </c>
      <c r="M496" s="32">
        <f>IF(AND(AND(T495="",A496&lt;=S495),A496=入力!$B$15),ROUND(MIN(入力!$B$16,MAX(0,C496-L496)),0),0)</f>
        <v>0</v>
      </c>
      <c r="N496" s="32">
        <f t="shared" si="125"/>
        <v>0</v>
      </c>
      <c r="O496" s="32">
        <f t="shared" si="126"/>
        <v>10725103</v>
      </c>
      <c r="P496" s="34" t="str">
        <f>IF(NOT(AND(T495="",A496&lt;=S495)),"",IF(FALSE,"繰上返済後再計算","")&amp;IF(AND(入力!$B$13="有効",A496&gt;1,MOD(A496-1,60)=0),IF(FALSE,"・","")&amp;"5年見直し","")&amp;IF(AND(A496=入力!$B$11,A496&gt;1),IF(OR(FALSE,AND(入力!$B$13="有効",A496&gt;1,MOD(A496-1,60)=0)),"・","")&amp;"金利変更","")&amp;IF(AND(OR(AND(入力!$B$13="有効",A496&gt;1,MOD(A496-1,60)=0),AND(A496=入力!$B$11,A496&gt;1)),入力!$B$14="有効",IF(E496=0,ROUND(C496/MAX(1,S495-A496+1),0),ROUND(-PMT(E496/12,MAX(1,S495-A496+1),C496),0))&gt;ROUND(G495*1.25,0),NOT(FALSE)),"・上限適用",""))</f>
        <v/>
      </c>
      <c r="Q496" s="35" t="str">
        <f>IF(AND(T495="",A496&lt;=S495),入力!$B$13,"")</f>
        <v/>
      </c>
      <c r="R496" s="32" t="str">
        <f>IF(AND(AND(T495="",A496&lt;=S495),OR(AND(入力!$B$13="有効",A496&gt;1,MOD(A496-1,60)=0),AND(A496=入力!$B$11,A496&gt;1)),入力!$B$14="有効"),ROUND(G495*1.25,0),"")</f>
        <v/>
      </c>
      <c r="S496" s="36">
        <f>IF(A496&lt;&gt;入力!$B$15,S495,IF(K496&lt;&gt;0,S495,IF(G496&lt;=F496,S495,IF(M496&lt;=0,S495,IF(AND(N496&gt;0,E496&gt;0,G496&lt;=N496*E496/12),S495,IF(A496+IF(N496=0,0,IF(E496=0,ROUNDUP(N496/G496,0),ROUNDUP(NPER(E496/12,-G496,N496),0)))&lt;S495,A496+IF(N496=0,0,IF(E496=0,ROUNDUP(N496/G496,0),ROUNDUP(NPER(E496/12,-G496,N496),0))),S495))))))</f>
        <v>359</v>
      </c>
      <c r="T496" s="35" t="str">
        <f t="shared" si="127"/>
        <v/>
      </c>
      <c r="U496" s="3">
        <f t="shared" si="112"/>
        <v>0</v>
      </c>
      <c r="V496" s="3">
        <f t="shared" si="113"/>
        <v>0</v>
      </c>
      <c r="W496" s="3">
        <f t="shared" si="114"/>
        <v>0</v>
      </c>
      <c r="X496" s="3">
        <f t="shared" si="115"/>
        <v>0</v>
      </c>
      <c r="Y496" s="3">
        <f>0</f>
        <v>0</v>
      </c>
      <c r="Z496" s="3">
        <f t="shared" si="116"/>
        <v>0</v>
      </c>
      <c r="AA496">
        <f>ROUND(IF(FALSE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,0)</f>
        <v>0</v>
      </c>
    </row>
    <row r="497" spans="1:27">
      <c r="A497" s="30">
        <f>492</f>
        <v>492</v>
      </c>
      <c r="B497" s="31">
        <f>EDATE(入力!$B$6,A497-1)</f>
        <v>61179</v>
      </c>
      <c r="C497" s="32">
        <f t="shared" si="117"/>
        <v>0</v>
      </c>
      <c r="D497" s="32">
        <f t="shared" si="118"/>
        <v>0</v>
      </c>
      <c r="E497" s="33">
        <f>IF(AND(T496="",A497&lt;=S496),IF(A497&lt;入力!$B$11,入力!$B$10,入力!$B$12),0)</f>
        <v>0</v>
      </c>
      <c r="F497" s="32">
        <f t="shared" si="119"/>
        <v>0</v>
      </c>
      <c r="G497" s="32">
        <f>ROUND(IF(NOT(AND(T496="",A497&lt;=S496)),0,IF(FALSE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),0)</f>
        <v>0</v>
      </c>
      <c r="H497" s="32">
        <f t="shared" si="120"/>
        <v>0</v>
      </c>
      <c r="I497" s="32">
        <f t="shared" si="121"/>
        <v>0</v>
      </c>
      <c r="J497" s="32">
        <f t="shared" si="122"/>
        <v>0</v>
      </c>
      <c r="K497" s="32">
        <f t="shared" si="123"/>
        <v>0</v>
      </c>
      <c r="L497" s="32">
        <f t="shared" si="124"/>
        <v>0</v>
      </c>
      <c r="M497" s="32">
        <f>IF(AND(AND(T496="",A497&lt;=S496),A497=入力!$B$15),ROUND(MIN(入力!$B$16,MAX(0,C497-L497)),0),0)</f>
        <v>0</v>
      </c>
      <c r="N497" s="32">
        <f t="shared" si="125"/>
        <v>0</v>
      </c>
      <c r="O497" s="32">
        <f t="shared" si="126"/>
        <v>10725103</v>
      </c>
      <c r="P497" s="34" t="str">
        <f>IF(NOT(AND(T496="",A497&lt;=S496)),"",IF(FALSE,"繰上返済後再計算","")&amp;IF(AND(入力!$B$13="有効",A497&gt;1,MOD(A497-1,60)=0),IF(FALSE,"・","")&amp;"5年見直し","")&amp;IF(AND(A497=入力!$B$11,A497&gt;1),IF(OR(FALSE,AND(入力!$B$13="有効",A497&gt;1,MOD(A497-1,60)=0)),"・","")&amp;"金利変更","")&amp;IF(AND(OR(AND(入力!$B$13="有効",A497&gt;1,MOD(A497-1,60)=0),AND(A497=入力!$B$11,A497&gt;1)),入力!$B$14="有効",IF(E497=0,ROUND(C497/MAX(1,S496-A497+1),0),ROUND(-PMT(E497/12,MAX(1,S496-A497+1),C497),0))&gt;ROUND(G496*1.25,0),NOT(FALSE)),"・上限適用",""))</f>
        <v/>
      </c>
      <c r="Q497" s="35" t="str">
        <f>IF(AND(T496="",A497&lt;=S496),入力!$B$13,"")</f>
        <v/>
      </c>
      <c r="R497" s="32" t="str">
        <f>IF(AND(AND(T496="",A497&lt;=S496),OR(AND(入力!$B$13="有効",A497&gt;1,MOD(A497-1,60)=0),AND(A497=入力!$B$11,A497&gt;1)),入力!$B$14="有効"),ROUND(G496*1.25,0),"")</f>
        <v/>
      </c>
      <c r="S497" s="36">
        <f>IF(A497&lt;&gt;入力!$B$15,S496,IF(K497&lt;&gt;0,S496,IF(G497&lt;=F497,S496,IF(M497&lt;=0,S496,IF(AND(N497&gt;0,E497&gt;0,G497&lt;=N497*E497/12),S496,IF(A497+IF(N497=0,0,IF(E497=0,ROUNDUP(N497/G497,0),ROUNDUP(NPER(E497/12,-G497,N497),0)))&lt;S496,A497+IF(N497=0,0,IF(E497=0,ROUNDUP(N497/G497,0),ROUNDUP(NPER(E497/12,-G497,N497),0))),S496))))))</f>
        <v>359</v>
      </c>
      <c r="T497" s="35" t="str">
        <f t="shared" si="127"/>
        <v/>
      </c>
      <c r="U497" s="3">
        <f t="shared" si="112"/>
        <v>0</v>
      </c>
      <c r="V497" s="3">
        <f t="shared" si="113"/>
        <v>0</v>
      </c>
      <c r="W497" s="3">
        <f t="shared" si="114"/>
        <v>0</v>
      </c>
      <c r="X497" s="3">
        <f t="shared" si="115"/>
        <v>0</v>
      </c>
      <c r="Y497" s="3">
        <f>0</f>
        <v>0</v>
      </c>
      <c r="Z497" s="3">
        <f t="shared" si="116"/>
        <v>0</v>
      </c>
      <c r="AA497">
        <f>ROUND(IF(FALSE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,0)</f>
        <v>0</v>
      </c>
    </row>
    <row r="498" spans="1:27">
      <c r="A498" s="30">
        <f>493</f>
        <v>493</v>
      </c>
      <c r="B498" s="31">
        <f>EDATE(入力!$B$6,A498-1)</f>
        <v>61210</v>
      </c>
      <c r="C498" s="32">
        <f t="shared" si="117"/>
        <v>0</v>
      </c>
      <c r="D498" s="32">
        <f t="shared" si="118"/>
        <v>0</v>
      </c>
      <c r="E498" s="33">
        <f>IF(AND(T497="",A498&lt;=S497),IF(A498&lt;入力!$B$11,入力!$B$10,入力!$B$12),0)</f>
        <v>0</v>
      </c>
      <c r="F498" s="32">
        <f t="shared" si="119"/>
        <v>0</v>
      </c>
      <c r="G498" s="32">
        <f>ROUND(IF(NOT(AND(T497="",A498&lt;=S497)),0,IF(FALSE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),0)</f>
        <v>0</v>
      </c>
      <c r="H498" s="32">
        <f t="shared" si="120"/>
        <v>0</v>
      </c>
      <c r="I498" s="32">
        <f t="shared" si="121"/>
        <v>0</v>
      </c>
      <c r="J498" s="32">
        <f t="shared" si="122"/>
        <v>0</v>
      </c>
      <c r="K498" s="32">
        <f t="shared" si="123"/>
        <v>0</v>
      </c>
      <c r="L498" s="32">
        <f t="shared" si="124"/>
        <v>0</v>
      </c>
      <c r="M498" s="32">
        <f>IF(AND(AND(T497="",A498&lt;=S497),A498=入力!$B$15),ROUND(MIN(入力!$B$16,MAX(0,C498-L498)),0),0)</f>
        <v>0</v>
      </c>
      <c r="N498" s="32">
        <f t="shared" si="125"/>
        <v>0</v>
      </c>
      <c r="O498" s="32">
        <f t="shared" si="126"/>
        <v>10725103</v>
      </c>
      <c r="P498" s="34" t="str">
        <f>IF(NOT(AND(T497="",A498&lt;=S497)),"",IF(FALSE,"繰上返済後再計算","")&amp;IF(AND(入力!$B$13="有効",A498&gt;1,MOD(A498-1,60)=0),IF(FALSE,"・","")&amp;"5年見直し","")&amp;IF(AND(A498=入力!$B$11,A498&gt;1),IF(OR(FALSE,AND(入力!$B$13="有効",A498&gt;1,MOD(A498-1,60)=0)),"・","")&amp;"金利変更","")&amp;IF(AND(OR(AND(入力!$B$13="有効",A498&gt;1,MOD(A498-1,60)=0),AND(A498=入力!$B$11,A498&gt;1)),入力!$B$14="有効",IF(E498=0,ROUND(C498/MAX(1,S497-A498+1),0),ROUND(-PMT(E498/12,MAX(1,S497-A498+1),C498),0))&gt;ROUND(G497*1.25,0),NOT(FALSE)),"・上限適用",""))</f>
        <v/>
      </c>
      <c r="Q498" s="35" t="str">
        <f>IF(AND(T497="",A498&lt;=S497),入力!$B$13,"")</f>
        <v/>
      </c>
      <c r="R498" s="32" t="str">
        <f>IF(AND(AND(T497="",A498&lt;=S497),OR(AND(入力!$B$13="有効",A498&gt;1,MOD(A498-1,60)=0),AND(A498=入力!$B$11,A498&gt;1)),入力!$B$14="有効"),ROUND(G497*1.25,0),"")</f>
        <v/>
      </c>
      <c r="S498" s="36">
        <f>IF(A498&lt;&gt;入力!$B$15,S497,IF(K498&lt;&gt;0,S497,IF(G498&lt;=F498,S497,IF(M498&lt;=0,S497,IF(AND(N498&gt;0,E498&gt;0,G498&lt;=N498*E498/12),S497,IF(A498+IF(N498=0,0,IF(E498=0,ROUNDUP(N498/G498,0),ROUNDUP(NPER(E498/12,-G498,N498),0)))&lt;S497,A498+IF(N498=0,0,IF(E498=0,ROUNDUP(N498/G498,0),ROUNDUP(NPER(E498/12,-G498,N498),0))),S497))))))</f>
        <v>359</v>
      </c>
      <c r="T498" s="35" t="str">
        <f t="shared" si="127"/>
        <v/>
      </c>
      <c r="U498" s="3">
        <f t="shared" si="112"/>
        <v>0</v>
      </c>
      <c r="V498" s="3">
        <f t="shared" si="113"/>
        <v>0</v>
      </c>
      <c r="W498" s="3">
        <f t="shared" si="114"/>
        <v>0</v>
      </c>
      <c r="X498" s="3">
        <f t="shared" si="115"/>
        <v>0</v>
      </c>
      <c r="Y498" s="3">
        <f>0</f>
        <v>0</v>
      </c>
      <c r="Z498" s="3">
        <f t="shared" si="116"/>
        <v>0</v>
      </c>
      <c r="AA498">
        <f>ROUND(IF(FALSE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,0)</f>
        <v>0</v>
      </c>
    </row>
    <row r="499" spans="1:27">
      <c r="A499" s="30">
        <f>494</f>
        <v>494</v>
      </c>
      <c r="B499" s="31">
        <f>EDATE(入力!$B$6,A499-1)</f>
        <v>61241</v>
      </c>
      <c r="C499" s="32">
        <f t="shared" si="117"/>
        <v>0</v>
      </c>
      <c r="D499" s="32">
        <f t="shared" si="118"/>
        <v>0</v>
      </c>
      <c r="E499" s="33">
        <f>IF(AND(T498="",A499&lt;=S498),IF(A499&lt;入力!$B$11,入力!$B$10,入力!$B$12),0)</f>
        <v>0</v>
      </c>
      <c r="F499" s="32">
        <f t="shared" si="119"/>
        <v>0</v>
      </c>
      <c r="G499" s="32">
        <f>ROUND(IF(NOT(AND(T498="",A499&lt;=S498)),0,IF(FALSE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),0)</f>
        <v>0</v>
      </c>
      <c r="H499" s="32">
        <f t="shared" si="120"/>
        <v>0</v>
      </c>
      <c r="I499" s="32">
        <f t="shared" si="121"/>
        <v>0</v>
      </c>
      <c r="J499" s="32">
        <f t="shared" si="122"/>
        <v>0</v>
      </c>
      <c r="K499" s="32">
        <f t="shared" si="123"/>
        <v>0</v>
      </c>
      <c r="L499" s="32">
        <f t="shared" si="124"/>
        <v>0</v>
      </c>
      <c r="M499" s="32">
        <f>IF(AND(AND(T498="",A499&lt;=S498),A499=入力!$B$15),ROUND(MIN(入力!$B$16,MAX(0,C499-L499)),0),0)</f>
        <v>0</v>
      </c>
      <c r="N499" s="32">
        <f t="shared" si="125"/>
        <v>0</v>
      </c>
      <c r="O499" s="32">
        <f t="shared" si="126"/>
        <v>10725103</v>
      </c>
      <c r="P499" s="34" t="str">
        <f>IF(NOT(AND(T498="",A499&lt;=S498)),"",IF(FALSE,"繰上返済後再計算","")&amp;IF(AND(入力!$B$13="有効",A499&gt;1,MOD(A499-1,60)=0),IF(FALSE,"・","")&amp;"5年見直し","")&amp;IF(AND(A499=入力!$B$11,A499&gt;1),IF(OR(FALSE,AND(入力!$B$13="有効",A499&gt;1,MOD(A499-1,60)=0)),"・","")&amp;"金利変更","")&amp;IF(AND(OR(AND(入力!$B$13="有効",A499&gt;1,MOD(A499-1,60)=0),AND(A499=入力!$B$11,A499&gt;1)),入力!$B$14="有効",IF(E499=0,ROUND(C499/MAX(1,S498-A499+1),0),ROUND(-PMT(E499/12,MAX(1,S498-A499+1),C499),0))&gt;ROUND(G498*1.25,0),NOT(FALSE)),"・上限適用",""))</f>
        <v/>
      </c>
      <c r="Q499" s="35" t="str">
        <f>IF(AND(T498="",A499&lt;=S498),入力!$B$13,"")</f>
        <v/>
      </c>
      <c r="R499" s="32" t="str">
        <f>IF(AND(AND(T498="",A499&lt;=S498),OR(AND(入力!$B$13="有効",A499&gt;1,MOD(A499-1,60)=0),AND(A499=入力!$B$11,A499&gt;1)),入力!$B$14="有効"),ROUND(G498*1.25,0),"")</f>
        <v/>
      </c>
      <c r="S499" s="36">
        <f>IF(A499&lt;&gt;入力!$B$15,S498,IF(K499&lt;&gt;0,S498,IF(G499&lt;=F499,S498,IF(M499&lt;=0,S498,IF(AND(N499&gt;0,E499&gt;0,G499&lt;=N499*E499/12),S498,IF(A499+IF(N499=0,0,IF(E499=0,ROUNDUP(N499/G499,0),ROUNDUP(NPER(E499/12,-G499,N499),0)))&lt;S498,A499+IF(N499=0,0,IF(E499=0,ROUNDUP(N499/G499,0),ROUNDUP(NPER(E499/12,-G499,N499),0))),S498))))))</f>
        <v>359</v>
      </c>
      <c r="T499" s="35" t="str">
        <f t="shared" si="127"/>
        <v/>
      </c>
      <c r="U499" s="3">
        <f t="shared" si="112"/>
        <v>0</v>
      </c>
      <c r="V499" s="3">
        <f t="shared" si="113"/>
        <v>0</v>
      </c>
      <c r="W499" s="3">
        <f t="shared" si="114"/>
        <v>0</v>
      </c>
      <c r="X499" s="3">
        <f t="shared" si="115"/>
        <v>0</v>
      </c>
      <c r="Y499" s="3">
        <f>0</f>
        <v>0</v>
      </c>
      <c r="Z499" s="3">
        <f t="shared" si="116"/>
        <v>0</v>
      </c>
      <c r="AA499">
        <f>ROUND(IF(FALSE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,0)</f>
        <v>0</v>
      </c>
    </row>
    <row r="500" spans="1:27">
      <c r="A500" s="30">
        <f>495</f>
        <v>495</v>
      </c>
      <c r="B500" s="31">
        <f>EDATE(入力!$B$6,A500-1)</f>
        <v>61271</v>
      </c>
      <c r="C500" s="32">
        <f t="shared" si="117"/>
        <v>0</v>
      </c>
      <c r="D500" s="32">
        <f t="shared" si="118"/>
        <v>0</v>
      </c>
      <c r="E500" s="33">
        <f>IF(AND(T499="",A500&lt;=S499),IF(A500&lt;入力!$B$11,入力!$B$10,入力!$B$12),0)</f>
        <v>0</v>
      </c>
      <c r="F500" s="32">
        <f t="shared" si="119"/>
        <v>0</v>
      </c>
      <c r="G500" s="32">
        <f>ROUND(IF(NOT(AND(T499="",A500&lt;=S499)),0,IF(FALSE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),0)</f>
        <v>0</v>
      </c>
      <c r="H500" s="32">
        <f t="shared" si="120"/>
        <v>0</v>
      </c>
      <c r="I500" s="32">
        <f t="shared" si="121"/>
        <v>0</v>
      </c>
      <c r="J500" s="32">
        <f t="shared" si="122"/>
        <v>0</v>
      </c>
      <c r="K500" s="32">
        <f t="shared" si="123"/>
        <v>0</v>
      </c>
      <c r="L500" s="32">
        <f t="shared" si="124"/>
        <v>0</v>
      </c>
      <c r="M500" s="32">
        <f>IF(AND(AND(T499="",A500&lt;=S499),A500=入力!$B$15),ROUND(MIN(入力!$B$16,MAX(0,C500-L500)),0),0)</f>
        <v>0</v>
      </c>
      <c r="N500" s="32">
        <f t="shared" si="125"/>
        <v>0</v>
      </c>
      <c r="O500" s="32">
        <f t="shared" si="126"/>
        <v>10725103</v>
      </c>
      <c r="P500" s="34" t="str">
        <f>IF(NOT(AND(T499="",A500&lt;=S499)),"",IF(FALSE,"繰上返済後再計算","")&amp;IF(AND(入力!$B$13="有効",A500&gt;1,MOD(A500-1,60)=0),IF(FALSE,"・","")&amp;"5年見直し","")&amp;IF(AND(A500=入力!$B$11,A500&gt;1),IF(OR(FALSE,AND(入力!$B$13="有効",A500&gt;1,MOD(A500-1,60)=0)),"・","")&amp;"金利変更","")&amp;IF(AND(OR(AND(入力!$B$13="有効",A500&gt;1,MOD(A500-1,60)=0),AND(A500=入力!$B$11,A500&gt;1)),入力!$B$14="有効",IF(E500=0,ROUND(C500/MAX(1,S499-A500+1),0),ROUND(-PMT(E500/12,MAX(1,S499-A500+1),C500),0))&gt;ROUND(G499*1.25,0),NOT(FALSE)),"・上限適用",""))</f>
        <v/>
      </c>
      <c r="Q500" s="35" t="str">
        <f>IF(AND(T499="",A500&lt;=S499),入力!$B$13,"")</f>
        <v/>
      </c>
      <c r="R500" s="32" t="str">
        <f>IF(AND(AND(T499="",A500&lt;=S499),OR(AND(入力!$B$13="有効",A500&gt;1,MOD(A500-1,60)=0),AND(A500=入力!$B$11,A500&gt;1)),入力!$B$14="有効"),ROUND(G499*1.25,0),"")</f>
        <v/>
      </c>
      <c r="S500" s="36">
        <f>IF(A500&lt;&gt;入力!$B$15,S499,IF(K500&lt;&gt;0,S499,IF(G500&lt;=F500,S499,IF(M500&lt;=0,S499,IF(AND(N500&gt;0,E500&gt;0,G500&lt;=N500*E500/12),S499,IF(A500+IF(N500=0,0,IF(E500=0,ROUNDUP(N500/G500,0),ROUNDUP(NPER(E500/12,-G500,N500),0)))&lt;S499,A500+IF(N500=0,0,IF(E500=0,ROUNDUP(N500/G500,0),ROUNDUP(NPER(E500/12,-G500,N500),0))),S499))))))</f>
        <v>359</v>
      </c>
      <c r="T500" s="35" t="str">
        <f t="shared" si="127"/>
        <v/>
      </c>
      <c r="U500" s="3">
        <f t="shared" si="112"/>
        <v>0</v>
      </c>
      <c r="V500" s="3">
        <f t="shared" si="113"/>
        <v>0</v>
      </c>
      <c r="W500" s="3">
        <f t="shared" si="114"/>
        <v>0</v>
      </c>
      <c r="X500" s="3">
        <f t="shared" si="115"/>
        <v>0</v>
      </c>
      <c r="Y500" s="3">
        <f>0</f>
        <v>0</v>
      </c>
      <c r="Z500" s="3">
        <f t="shared" si="116"/>
        <v>0</v>
      </c>
      <c r="AA500">
        <f>ROUND(IF(FALSE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,0)</f>
        <v>0</v>
      </c>
    </row>
    <row r="501" spans="1:27">
      <c r="A501" s="30">
        <f>496</f>
        <v>496</v>
      </c>
      <c r="B501" s="31">
        <f>EDATE(入力!$B$6,A501-1)</f>
        <v>61302</v>
      </c>
      <c r="C501" s="32">
        <f t="shared" si="117"/>
        <v>0</v>
      </c>
      <c r="D501" s="32">
        <f t="shared" si="118"/>
        <v>0</v>
      </c>
      <c r="E501" s="33">
        <f>IF(AND(T500="",A501&lt;=S500),IF(A501&lt;入力!$B$11,入力!$B$10,入力!$B$12),0)</f>
        <v>0</v>
      </c>
      <c r="F501" s="32">
        <f t="shared" si="119"/>
        <v>0</v>
      </c>
      <c r="G501" s="32">
        <f>ROUND(IF(NOT(AND(T500="",A501&lt;=S500)),0,IF(FALSE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),0)</f>
        <v>0</v>
      </c>
      <c r="H501" s="32">
        <f t="shared" si="120"/>
        <v>0</v>
      </c>
      <c r="I501" s="32">
        <f t="shared" si="121"/>
        <v>0</v>
      </c>
      <c r="J501" s="32">
        <f t="shared" si="122"/>
        <v>0</v>
      </c>
      <c r="K501" s="32">
        <f t="shared" si="123"/>
        <v>0</v>
      </c>
      <c r="L501" s="32">
        <f t="shared" si="124"/>
        <v>0</v>
      </c>
      <c r="M501" s="32">
        <f>IF(AND(AND(T500="",A501&lt;=S500),A501=入力!$B$15),ROUND(MIN(入力!$B$16,MAX(0,C501-L501)),0),0)</f>
        <v>0</v>
      </c>
      <c r="N501" s="32">
        <f t="shared" si="125"/>
        <v>0</v>
      </c>
      <c r="O501" s="32">
        <f t="shared" si="126"/>
        <v>10725103</v>
      </c>
      <c r="P501" s="34" t="str">
        <f>IF(NOT(AND(T500="",A501&lt;=S500)),"",IF(FALSE,"繰上返済後再計算","")&amp;IF(AND(入力!$B$13="有効",A501&gt;1,MOD(A501-1,60)=0),IF(FALSE,"・","")&amp;"5年見直し","")&amp;IF(AND(A501=入力!$B$11,A501&gt;1),IF(OR(FALSE,AND(入力!$B$13="有効",A501&gt;1,MOD(A501-1,60)=0)),"・","")&amp;"金利変更","")&amp;IF(AND(OR(AND(入力!$B$13="有効",A501&gt;1,MOD(A501-1,60)=0),AND(A501=入力!$B$11,A501&gt;1)),入力!$B$14="有効",IF(E501=0,ROUND(C501/MAX(1,S500-A501+1),0),ROUND(-PMT(E501/12,MAX(1,S500-A501+1),C501),0))&gt;ROUND(G500*1.25,0),NOT(FALSE)),"・上限適用",""))</f>
        <v/>
      </c>
      <c r="Q501" s="35" t="str">
        <f>IF(AND(T500="",A501&lt;=S500),入力!$B$13,"")</f>
        <v/>
      </c>
      <c r="R501" s="32" t="str">
        <f>IF(AND(AND(T500="",A501&lt;=S500),OR(AND(入力!$B$13="有効",A501&gt;1,MOD(A501-1,60)=0),AND(A501=入力!$B$11,A501&gt;1)),入力!$B$14="有効"),ROUND(G500*1.25,0),"")</f>
        <v/>
      </c>
      <c r="S501" s="36">
        <f>IF(A501&lt;&gt;入力!$B$15,S500,IF(K501&lt;&gt;0,S500,IF(G501&lt;=F501,S500,IF(M501&lt;=0,S500,IF(AND(N501&gt;0,E501&gt;0,G501&lt;=N501*E501/12),S500,IF(A501+IF(N501=0,0,IF(E501=0,ROUNDUP(N501/G501,0),ROUNDUP(NPER(E501/12,-G501,N501),0)))&lt;S500,A501+IF(N501=0,0,IF(E501=0,ROUNDUP(N501/G501,0),ROUNDUP(NPER(E501/12,-G501,N501),0))),S500))))))</f>
        <v>359</v>
      </c>
      <c r="T501" s="35" t="str">
        <f t="shared" si="127"/>
        <v/>
      </c>
      <c r="U501" s="3">
        <f t="shared" si="112"/>
        <v>0</v>
      </c>
      <c r="V501" s="3">
        <f t="shared" si="113"/>
        <v>0</v>
      </c>
      <c r="W501" s="3">
        <f t="shared" si="114"/>
        <v>0</v>
      </c>
      <c r="X501" s="3">
        <f t="shared" si="115"/>
        <v>0</v>
      </c>
      <c r="Y501" s="3">
        <f>0</f>
        <v>0</v>
      </c>
      <c r="Z501" s="3">
        <f t="shared" si="116"/>
        <v>0</v>
      </c>
      <c r="AA501">
        <f>ROUND(IF(FALSE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,0)</f>
        <v>0</v>
      </c>
    </row>
    <row r="502" spans="1:27">
      <c r="A502" s="30">
        <f>497</f>
        <v>497</v>
      </c>
      <c r="B502" s="31">
        <f>EDATE(入力!$B$6,A502-1)</f>
        <v>61332</v>
      </c>
      <c r="C502" s="32">
        <f t="shared" si="117"/>
        <v>0</v>
      </c>
      <c r="D502" s="32">
        <f t="shared" si="118"/>
        <v>0</v>
      </c>
      <c r="E502" s="33">
        <f>IF(AND(T501="",A502&lt;=S501),IF(A502&lt;入力!$B$11,入力!$B$10,入力!$B$12),0)</f>
        <v>0</v>
      </c>
      <c r="F502" s="32">
        <f t="shared" si="119"/>
        <v>0</v>
      </c>
      <c r="G502" s="32">
        <f>ROUND(IF(NOT(AND(T501="",A502&lt;=S501)),0,IF(FALSE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),0)</f>
        <v>0</v>
      </c>
      <c r="H502" s="32">
        <f t="shared" si="120"/>
        <v>0</v>
      </c>
      <c r="I502" s="32">
        <f t="shared" si="121"/>
        <v>0</v>
      </c>
      <c r="J502" s="32">
        <f t="shared" si="122"/>
        <v>0</v>
      </c>
      <c r="K502" s="32">
        <f t="shared" si="123"/>
        <v>0</v>
      </c>
      <c r="L502" s="32">
        <f t="shared" si="124"/>
        <v>0</v>
      </c>
      <c r="M502" s="32">
        <f>IF(AND(AND(T501="",A502&lt;=S501),A502=入力!$B$15),ROUND(MIN(入力!$B$16,MAX(0,C502-L502)),0),0)</f>
        <v>0</v>
      </c>
      <c r="N502" s="32">
        <f t="shared" si="125"/>
        <v>0</v>
      </c>
      <c r="O502" s="32">
        <f t="shared" si="126"/>
        <v>10725103</v>
      </c>
      <c r="P502" s="34" t="str">
        <f>IF(NOT(AND(T501="",A502&lt;=S501)),"",IF(FALSE,"繰上返済後再計算","")&amp;IF(AND(入力!$B$13="有効",A502&gt;1,MOD(A502-1,60)=0),IF(FALSE,"・","")&amp;"5年見直し","")&amp;IF(AND(A502=入力!$B$11,A502&gt;1),IF(OR(FALSE,AND(入力!$B$13="有効",A502&gt;1,MOD(A502-1,60)=0)),"・","")&amp;"金利変更","")&amp;IF(AND(OR(AND(入力!$B$13="有効",A502&gt;1,MOD(A502-1,60)=0),AND(A502=入力!$B$11,A502&gt;1)),入力!$B$14="有効",IF(E502=0,ROUND(C502/MAX(1,S501-A502+1),0),ROUND(-PMT(E502/12,MAX(1,S501-A502+1),C502),0))&gt;ROUND(G501*1.25,0),NOT(FALSE)),"・上限適用",""))</f>
        <v/>
      </c>
      <c r="Q502" s="35" t="str">
        <f>IF(AND(T501="",A502&lt;=S501),入力!$B$13,"")</f>
        <v/>
      </c>
      <c r="R502" s="32" t="str">
        <f>IF(AND(AND(T501="",A502&lt;=S501),OR(AND(入力!$B$13="有効",A502&gt;1,MOD(A502-1,60)=0),AND(A502=入力!$B$11,A502&gt;1)),入力!$B$14="有効"),ROUND(G501*1.25,0),"")</f>
        <v/>
      </c>
      <c r="S502" s="36">
        <f>IF(A502&lt;&gt;入力!$B$15,S501,IF(K502&lt;&gt;0,S501,IF(G502&lt;=F502,S501,IF(M502&lt;=0,S501,IF(AND(N502&gt;0,E502&gt;0,G502&lt;=N502*E502/12),S501,IF(A502+IF(N502=0,0,IF(E502=0,ROUNDUP(N502/G502,0),ROUNDUP(NPER(E502/12,-G502,N502),0)))&lt;S501,A502+IF(N502=0,0,IF(E502=0,ROUNDUP(N502/G502,0),ROUNDUP(NPER(E502/12,-G502,N502),0))),S501))))))</f>
        <v>359</v>
      </c>
      <c r="T502" s="35" t="str">
        <f t="shared" si="127"/>
        <v/>
      </c>
      <c r="U502" s="3">
        <f t="shared" si="112"/>
        <v>0</v>
      </c>
      <c r="V502" s="3">
        <f t="shared" si="113"/>
        <v>0</v>
      </c>
      <c r="W502" s="3">
        <f t="shared" si="114"/>
        <v>0</v>
      </c>
      <c r="X502" s="3">
        <f t="shared" si="115"/>
        <v>0</v>
      </c>
      <c r="Y502" s="3">
        <f>0</f>
        <v>0</v>
      </c>
      <c r="Z502" s="3">
        <f t="shared" si="116"/>
        <v>0</v>
      </c>
      <c r="AA502">
        <f>ROUND(IF(FALSE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,0)</f>
        <v>0</v>
      </c>
    </row>
    <row r="503" spans="1:27">
      <c r="A503" s="30">
        <f>498</f>
        <v>498</v>
      </c>
      <c r="B503" s="31">
        <f>EDATE(入力!$B$6,A503-1)</f>
        <v>61363</v>
      </c>
      <c r="C503" s="32">
        <f t="shared" si="117"/>
        <v>0</v>
      </c>
      <c r="D503" s="32">
        <f t="shared" si="118"/>
        <v>0</v>
      </c>
      <c r="E503" s="33">
        <f>IF(AND(T502="",A503&lt;=S502),IF(A503&lt;入力!$B$11,入力!$B$10,入力!$B$12),0)</f>
        <v>0</v>
      </c>
      <c r="F503" s="32">
        <f t="shared" si="119"/>
        <v>0</v>
      </c>
      <c r="G503" s="32">
        <f>ROUND(IF(NOT(AND(T502="",A503&lt;=S502)),0,IF(FALSE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),0)</f>
        <v>0</v>
      </c>
      <c r="H503" s="32">
        <f t="shared" si="120"/>
        <v>0</v>
      </c>
      <c r="I503" s="32">
        <f t="shared" si="121"/>
        <v>0</v>
      </c>
      <c r="J503" s="32">
        <f t="shared" si="122"/>
        <v>0</v>
      </c>
      <c r="K503" s="32">
        <f t="shared" si="123"/>
        <v>0</v>
      </c>
      <c r="L503" s="32">
        <f t="shared" si="124"/>
        <v>0</v>
      </c>
      <c r="M503" s="32">
        <f>IF(AND(AND(T502="",A503&lt;=S502),A503=入力!$B$15),ROUND(MIN(入力!$B$16,MAX(0,C503-L503)),0),0)</f>
        <v>0</v>
      </c>
      <c r="N503" s="32">
        <f t="shared" si="125"/>
        <v>0</v>
      </c>
      <c r="O503" s="32">
        <f t="shared" si="126"/>
        <v>10725103</v>
      </c>
      <c r="P503" s="34" t="str">
        <f>IF(NOT(AND(T502="",A503&lt;=S502)),"",IF(FALSE,"繰上返済後再計算","")&amp;IF(AND(入力!$B$13="有効",A503&gt;1,MOD(A503-1,60)=0),IF(FALSE,"・","")&amp;"5年見直し","")&amp;IF(AND(A503=入力!$B$11,A503&gt;1),IF(OR(FALSE,AND(入力!$B$13="有効",A503&gt;1,MOD(A503-1,60)=0)),"・","")&amp;"金利変更","")&amp;IF(AND(OR(AND(入力!$B$13="有効",A503&gt;1,MOD(A503-1,60)=0),AND(A503=入力!$B$11,A503&gt;1)),入力!$B$14="有効",IF(E503=0,ROUND(C503/MAX(1,S502-A503+1),0),ROUND(-PMT(E503/12,MAX(1,S502-A503+1),C503),0))&gt;ROUND(G502*1.25,0),NOT(FALSE)),"・上限適用",""))</f>
        <v/>
      </c>
      <c r="Q503" s="35" t="str">
        <f>IF(AND(T502="",A503&lt;=S502),入力!$B$13,"")</f>
        <v/>
      </c>
      <c r="R503" s="32" t="str">
        <f>IF(AND(AND(T502="",A503&lt;=S502),OR(AND(入力!$B$13="有効",A503&gt;1,MOD(A503-1,60)=0),AND(A503=入力!$B$11,A503&gt;1)),入力!$B$14="有効"),ROUND(G502*1.25,0),"")</f>
        <v/>
      </c>
      <c r="S503" s="36">
        <f>IF(A503&lt;&gt;入力!$B$15,S502,IF(K503&lt;&gt;0,S502,IF(G503&lt;=F503,S502,IF(M503&lt;=0,S502,IF(AND(N503&gt;0,E503&gt;0,G503&lt;=N503*E503/12),S502,IF(A503+IF(N503=0,0,IF(E503=0,ROUNDUP(N503/G503,0),ROUNDUP(NPER(E503/12,-G503,N503),0)))&lt;S502,A503+IF(N503=0,0,IF(E503=0,ROUNDUP(N503/G503,0),ROUNDUP(NPER(E503/12,-G503,N503),0))),S502))))))</f>
        <v>359</v>
      </c>
      <c r="T503" s="35" t="str">
        <f t="shared" si="127"/>
        <v/>
      </c>
      <c r="U503" s="3">
        <f t="shared" si="112"/>
        <v>0</v>
      </c>
      <c r="V503" s="3">
        <f t="shared" si="113"/>
        <v>0</v>
      </c>
      <c r="W503" s="3">
        <f t="shared" si="114"/>
        <v>0</v>
      </c>
      <c r="X503" s="3">
        <f t="shared" si="115"/>
        <v>0</v>
      </c>
      <c r="Y503" s="3">
        <f>0</f>
        <v>0</v>
      </c>
      <c r="Z503" s="3">
        <f t="shared" si="116"/>
        <v>0</v>
      </c>
      <c r="AA503">
        <f>ROUND(IF(FALSE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,0)</f>
        <v>0</v>
      </c>
    </row>
    <row r="504" spans="1:27">
      <c r="A504" s="30">
        <f>499</f>
        <v>499</v>
      </c>
      <c r="B504" s="31">
        <f>EDATE(入力!$B$6,A504-1)</f>
        <v>61394</v>
      </c>
      <c r="C504" s="32">
        <f t="shared" si="117"/>
        <v>0</v>
      </c>
      <c r="D504" s="32">
        <f t="shared" si="118"/>
        <v>0</v>
      </c>
      <c r="E504" s="33">
        <f>IF(AND(T503="",A504&lt;=S503),IF(A504&lt;入力!$B$11,入力!$B$10,入力!$B$12),0)</f>
        <v>0</v>
      </c>
      <c r="F504" s="32">
        <f t="shared" si="119"/>
        <v>0</v>
      </c>
      <c r="G504" s="32">
        <f>ROUND(IF(NOT(AND(T503="",A504&lt;=S503)),0,IF(FALSE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),0)</f>
        <v>0</v>
      </c>
      <c r="H504" s="32">
        <f t="shared" si="120"/>
        <v>0</v>
      </c>
      <c r="I504" s="32">
        <f t="shared" si="121"/>
        <v>0</v>
      </c>
      <c r="J504" s="32">
        <f t="shared" si="122"/>
        <v>0</v>
      </c>
      <c r="K504" s="32">
        <f t="shared" si="123"/>
        <v>0</v>
      </c>
      <c r="L504" s="32">
        <f t="shared" si="124"/>
        <v>0</v>
      </c>
      <c r="M504" s="32">
        <f>IF(AND(AND(T503="",A504&lt;=S503),A504=入力!$B$15),ROUND(MIN(入力!$B$16,MAX(0,C504-L504)),0),0)</f>
        <v>0</v>
      </c>
      <c r="N504" s="32">
        <f t="shared" si="125"/>
        <v>0</v>
      </c>
      <c r="O504" s="32">
        <f t="shared" si="126"/>
        <v>10725103</v>
      </c>
      <c r="P504" s="34" t="str">
        <f>IF(NOT(AND(T503="",A504&lt;=S503)),"",IF(FALSE,"繰上返済後再計算","")&amp;IF(AND(入力!$B$13="有効",A504&gt;1,MOD(A504-1,60)=0),IF(FALSE,"・","")&amp;"5年見直し","")&amp;IF(AND(A504=入力!$B$11,A504&gt;1),IF(OR(FALSE,AND(入力!$B$13="有効",A504&gt;1,MOD(A504-1,60)=0)),"・","")&amp;"金利変更","")&amp;IF(AND(OR(AND(入力!$B$13="有効",A504&gt;1,MOD(A504-1,60)=0),AND(A504=入力!$B$11,A504&gt;1)),入力!$B$14="有効",IF(E504=0,ROUND(C504/MAX(1,S503-A504+1),0),ROUND(-PMT(E504/12,MAX(1,S503-A504+1),C504),0))&gt;ROUND(G503*1.25,0),NOT(FALSE)),"・上限適用",""))</f>
        <v/>
      </c>
      <c r="Q504" s="35" t="str">
        <f>IF(AND(T503="",A504&lt;=S503),入力!$B$13,"")</f>
        <v/>
      </c>
      <c r="R504" s="32" t="str">
        <f>IF(AND(AND(T503="",A504&lt;=S503),OR(AND(入力!$B$13="有効",A504&gt;1,MOD(A504-1,60)=0),AND(A504=入力!$B$11,A504&gt;1)),入力!$B$14="有効"),ROUND(G503*1.25,0),"")</f>
        <v/>
      </c>
      <c r="S504" s="36">
        <f>IF(A504&lt;&gt;入力!$B$15,S503,IF(K504&lt;&gt;0,S503,IF(G504&lt;=F504,S503,IF(M504&lt;=0,S503,IF(AND(N504&gt;0,E504&gt;0,G504&lt;=N504*E504/12),S503,IF(A504+IF(N504=0,0,IF(E504=0,ROUNDUP(N504/G504,0),ROUNDUP(NPER(E504/12,-G504,N504),0)))&lt;S503,A504+IF(N504=0,0,IF(E504=0,ROUNDUP(N504/G504,0),ROUNDUP(NPER(E504/12,-G504,N504),0))),S503))))))</f>
        <v>359</v>
      </c>
      <c r="T504" s="35" t="str">
        <f t="shared" si="127"/>
        <v/>
      </c>
      <c r="U504" s="3">
        <f t="shared" si="112"/>
        <v>0</v>
      </c>
      <c r="V504" s="3">
        <f t="shared" si="113"/>
        <v>0</v>
      </c>
      <c r="W504" s="3">
        <f t="shared" si="114"/>
        <v>0</v>
      </c>
      <c r="X504" s="3">
        <f t="shared" si="115"/>
        <v>0</v>
      </c>
      <c r="Y504" s="3">
        <f>0</f>
        <v>0</v>
      </c>
      <c r="Z504" s="3">
        <f t="shared" si="116"/>
        <v>0</v>
      </c>
      <c r="AA504">
        <f>ROUND(IF(FALSE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,0)</f>
        <v>0</v>
      </c>
    </row>
    <row r="505" spans="1:27">
      <c r="A505" s="30">
        <f>500</f>
        <v>500</v>
      </c>
      <c r="B505" s="31">
        <f>EDATE(入力!$B$6,A505-1)</f>
        <v>61423</v>
      </c>
      <c r="C505" s="32">
        <f t="shared" si="117"/>
        <v>0</v>
      </c>
      <c r="D505" s="32">
        <f t="shared" si="118"/>
        <v>0</v>
      </c>
      <c r="E505" s="33">
        <f>IF(AND(T504="",A505&lt;=S504),IF(A505&lt;入力!$B$11,入力!$B$10,入力!$B$12),0)</f>
        <v>0</v>
      </c>
      <c r="F505" s="32">
        <f t="shared" si="119"/>
        <v>0</v>
      </c>
      <c r="G505" s="32">
        <f>ROUND(IF(NOT(AND(T504="",A505&lt;=S504)),0,IF(FALSE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),0)</f>
        <v>0</v>
      </c>
      <c r="H505" s="32">
        <f t="shared" si="120"/>
        <v>0</v>
      </c>
      <c r="I505" s="32">
        <f t="shared" si="121"/>
        <v>0</v>
      </c>
      <c r="J505" s="32">
        <f t="shared" si="122"/>
        <v>0</v>
      </c>
      <c r="K505" s="32">
        <f t="shared" si="123"/>
        <v>0</v>
      </c>
      <c r="L505" s="32">
        <f t="shared" si="124"/>
        <v>0</v>
      </c>
      <c r="M505" s="32">
        <f>IF(AND(AND(T504="",A505&lt;=S504),A505=入力!$B$15),ROUND(MIN(入力!$B$16,MAX(0,C505-L505)),0),0)</f>
        <v>0</v>
      </c>
      <c r="N505" s="32">
        <f t="shared" si="125"/>
        <v>0</v>
      </c>
      <c r="O505" s="32">
        <f t="shared" si="126"/>
        <v>10725103</v>
      </c>
      <c r="P505" s="34" t="str">
        <f>IF(NOT(AND(T504="",A505&lt;=S504)),"",IF(FALSE,"繰上返済後再計算","")&amp;IF(AND(入力!$B$13="有効",A505&gt;1,MOD(A505-1,60)=0),IF(FALSE,"・","")&amp;"5年見直し","")&amp;IF(AND(A505=入力!$B$11,A505&gt;1),IF(OR(FALSE,AND(入力!$B$13="有効",A505&gt;1,MOD(A505-1,60)=0)),"・","")&amp;"金利変更","")&amp;IF(AND(OR(AND(入力!$B$13="有効",A505&gt;1,MOD(A505-1,60)=0),AND(A505=入力!$B$11,A505&gt;1)),入力!$B$14="有効",IF(E505=0,ROUND(C505/MAX(1,S504-A505+1),0),ROUND(-PMT(E505/12,MAX(1,S504-A505+1),C505),0))&gt;ROUND(G504*1.25,0),NOT(FALSE)),"・上限適用",""))</f>
        <v/>
      </c>
      <c r="Q505" s="35" t="str">
        <f>IF(AND(T504="",A505&lt;=S504),入力!$B$13,"")</f>
        <v/>
      </c>
      <c r="R505" s="32" t="str">
        <f>IF(AND(AND(T504="",A505&lt;=S504),OR(AND(入力!$B$13="有効",A505&gt;1,MOD(A505-1,60)=0),AND(A505=入力!$B$11,A505&gt;1)),入力!$B$14="有効"),ROUND(G504*1.25,0),"")</f>
        <v/>
      </c>
      <c r="S505" s="36">
        <f>IF(A505&lt;&gt;入力!$B$15,S504,IF(K505&lt;&gt;0,S504,IF(G505&lt;=F505,S504,IF(M505&lt;=0,S504,IF(AND(N505&gt;0,E505&gt;0,G505&lt;=N505*E505/12),S504,IF(A505+IF(N505=0,0,IF(E505=0,ROUNDUP(N505/G505,0),ROUNDUP(NPER(E505/12,-G505,N505),0)))&lt;S504,A505+IF(N505=0,0,IF(E505=0,ROUNDUP(N505/G505,0),ROUNDUP(NPER(E505/12,-G505,N505),0))),S504))))))</f>
        <v>359</v>
      </c>
      <c r="T505" s="35" t="str">
        <f t="shared" si="127"/>
        <v/>
      </c>
      <c r="U505" s="3">
        <f t="shared" si="112"/>
        <v>0</v>
      </c>
      <c r="V505" s="3">
        <f t="shared" si="113"/>
        <v>0</v>
      </c>
      <c r="W505" s="3">
        <f t="shared" si="114"/>
        <v>0</v>
      </c>
      <c r="X505" s="3">
        <f t="shared" si="115"/>
        <v>0</v>
      </c>
      <c r="Y505" s="3">
        <f>0</f>
        <v>0</v>
      </c>
      <c r="Z505" s="3">
        <f t="shared" si="116"/>
        <v>0</v>
      </c>
      <c r="AA505">
        <f>ROUND(IF(FALSE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,0)</f>
        <v>0</v>
      </c>
    </row>
    <row r="506" spans="1:27">
      <c r="A506" s="30">
        <f>501</f>
        <v>501</v>
      </c>
      <c r="B506" s="31">
        <f>EDATE(入力!$B$6,A506-1)</f>
        <v>61454</v>
      </c>
      <c r="C506" s="32">
        <f t="shared" si="117"/>
        <v>0</v>
      </c>
      <c r="D506" s="32">
        <f t="shared" si="118"/>
        <v>0</v>
      </c>
      <c r="E506" s="33">
        <f>IF(AND(T505="",A506&lt;=S505),IF(A506&lt;入力!$B$11,入力!$B$10,入力!$B$12),0)</f>
        <v>0</v>
      </c>
      <c r="F506" s="32">
        <f t="shared" si="119"/>
        <v>0</v>
      </c>
      <c r="G506" s="32">
        <f>ROUND(IF(NOT(AND(T505="",A506&lt;=S505)),0,IF(FALSE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),0)</f>
        <v>0</v>
      </c>
      <c r="H506" s="32">
        <f t="shared" si="120"/>
        <v>0</v>
      </c>
      <c r="I506" s="32">
        <f t="shared" si="121"/>
        <v>0</v>
      </c>
      <c r="J506" s="32">
        <f t="shared" si="122"/>
        <v>0</v>
      </c>
      <c r="K506" s="32">
        <f t="shared" si="123"/>
        <v>0</v>
      </c>
      <c r="L506" s="32">
        <f t="shared" si="124"/>
        <v>0</v>
      </c>
      <c r="M506" s="32">
        <f>IF(AND(AND(T505="",A506&lt;=S505),A506=入力!$B$15),ROUND(MIN(入力!$B$16,MAX(0,C506-L506)),0),0)</f>
        <v>0</v>
      </c>
      <c r="N506" s="32">
        <f t="shared" si="125"/>
        <v>0</v>
      </c>
      <c r="O506" s="32">
        <f t="shared" si="126"/>
        <v>10725103</v>
      </c>
      <c r="P506" s="34" t="str">
        <f>IF(NOT(AND(T505="",A506&lt;=S505)),"",IF(FALSE,"繰上返済後再計算","")&amp;IF(AND(入力!$B$13="有効",A506&gt;1,MOD(A506-1,60)=0),IF(FALSE,"・","")&amp;"5年見直し","")&amp;IF(AND(A506=入力!$B$11,A506&gt;1),IF(OR(FALSE,AND(入力!$B$13="有効",A506&gt;1,MOD(A506-1,60)=0)),"・","")&amp;"金利変更","")&amp;IF(AND(OR(AND(入力!$B$13="有効",A506&gt;1,MOD(A506-1,60)=0),AND(A506=入力!$B$11,A506&gt;1)),入力!$B$14="有効",IF(E506=0,ROUND(C506/MAX(1,S505-A506+1),0),ROUND(-PMT(E506/12,MAX(1,S505-A506+1),C506),0))&gt;ROUND(G505*1.25,0),NOT(FALSE)),"・上限適用",""))</f>
        <v/>
      </c>
      <c r="Q506" s="35" t="str">
        <f>IF(AND(T505="",A506&lt;=S505),入力!$B$13,"")</f>
        <v/>
      </c>
      <c r="R506" s="32" t="str">
        <f>IF(AND(AND(T505="",A506&lt;=S505),OR(AND(入力!$B$13="有効",A506&gt;1,MOD(A506-1,60)=0),AND(A506=入力!$B$11,A506&gt;1)),入力!$B$14="有効"),ROUND(G505*1.25,0),"")</f>
        <v/>
      </c>
      <c r="S506" s="36">
        <f>IF(A506&lt;&gt;入力!$B$15,S505,IF(K506&lt;&gt;0,S505,IF(G506&lt;=F506,S505,IF(M506&lt;=0,S505,IF(AND(N506&gt;0,E506&gt;0,G506&lt;=N506*E506/12),S505,IF(A506+IF(N506=0,0,IF(E506=0,ROUNDUP(N506/G506,0),ROUNDUP(NPER(E506/12,-G506,N506),0)))&lt;S505,A506+IF(N506=0,0,IF(E506=0,ROUNDUP(N506/G506,0),ROUNDUP(NPER(E506/12,-G506,N506),0))),S505))))))</f>
        <v>359</v>
      </c>
      <c r="T506" s="35" t="str">
        <f t="shared" si="127"/>
        <v/>
      </c>
      <c r="U506" s="3">
        <f t="shared" si="112"/>
        <v>0</v>
      </c>
      <c r="V506" s="3">
        <f t="shared" si="113"/>
        <v>0</v>
      </c>
      <c r="W506" s="3">
        <f t="shared" si="114"/>
        <v>0</v>
      </c>
      <c r="X506" s="3">
        <f t="shared" si="115"/>
        <v>0</v>
      </c>
      <c r="Y506" s="3">
        <f>0</f>
        <v>0</v>
      </c>
      <c r="Z506" s="3">
        <f t="shared" si="116"/>
        <v>0</v>
      </c>
      <c r="AA506">
        <f>ROUND(IF(FALSE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,0)</f>
        <v>0</v>
      </c>
    </row>
    <row r="507" spans="1:27">
      <c r="A507" s="30">
        <f>502</f>
        <v>502</v>
      </c>
      <c r="B507" s="31">
        <f>EDATE(入力!$B$6,A507-1)</f>
        <v>61484</v>
      </c>
      <c r="C507" s="32">
        <f t="shared" si="117"/>
        <v>0</v>
      </c>
      <c r="D507" s="32">
        <f t="shared" si="118"/>
        <v>0</v>
      </c>
      <c r="E507" s="33">
        <f>IF(AND(T506="",A507&lt;=S506),IF(A507&lt;入力!$B$11,入力!$B$10,入力!$B$12),0)</f>
        <v>0</v>
      </c>
      <c r="F507" s="32">
        <f t="shared" si="119"/>
        <v>0</v>
      </c>
      <c r="G507" s="32">
        <f>ROUND(IF(NOT(AND(T506="",A507&lt;=S506)),0,IF(FALSE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),0)</f>
        <v>0</v>
      </c>
      <c r="H507" s="32">
        <f t="shared" si="120"/>
        <v>0</v>
      </c>
      <c r="I507" s="32">
        <f t="shared" si="121"/>
        <v>0</v>
      </c>
      <c r="J507" s="32">
        <f t="shared" si="122"/>
        <v>0</v>
      </c>
      <c r="K507" s="32">
        <f t="shared" si="123"/>
        <v>0</v>
      </c>
      <c r="L507" s="32">
        <f t="shared" si="124"/>
        <v>0</v>
      </c>
      <c r="M507" s="32">
        <f>IF(AND(AND(T506="",A507&lt;=S506),A507=入力!$B$15),ROUND(MIN(入力!$B$16,MAX(0,C507-L507)),0),0)</f>
        <v>0</v>
      </c>
      <c r="N507" s="32">
        <f t="shared" si="125"/>
        <v>0</v>
      </c>
      <c r="O507" s="32">
        <f t="shared" si="126"/>
        <v>10725103</v>
      </c>
      <c r="P507" s="34" t="str">
        <f>IF(NOT(AND(T506="",A507&lt;=S506)),"",IF(FALSE,"繰上返済後再計算","")&amp;IF(AND(入力!$B$13="有効",A507&gt;1,MOD(A507-1,60)=0),IF(FALSE,"・","")&amp;"5年見直し","")&amp;IF(AND(A507=入力!$B$11,A507&gt;1),IF(OR(FALSE,AND(入力!$B$13="有効",A507&gt;1,MOD(A507-1,60)=0)),"・","")&amp;"金利変更","")&amp;IF(AND(OR(AND(入力!$B$13="有効",A507&gt;1,MOD(A507-1,60)=0),AND(A507=入力!$B$11,A507&gt;1)),入力!$B$14="有効",IF(E507=0,ROUND(C507/MAX(1,S506-A507+1),0),ROUND(-PMT(E507/12,MAX(1,S506-A507+1),C507),0))&gt;ROUND(G506*1.25,0),NOT(FALSE)),"・上限適用",""))</f>
        <v/>
      </c>
      <c r="Q507" s="35" t="str">
        <f>IF(AND(T506="",A507&lt;=S506),入力!$B$13,"")</f>
        <v/>
      </c>
      <c r="R507" s="32" t="str">
        <f>IF(AND(AND(T506="",A507&lt;=S506),OR(AND(入力!$B$13="有効",A507&gt;1,MOD(A507-1,60)=0),AND(A507=入力!$B$11,A507&gt;1)),入力!$B$14="有効"),ROUND(G506*1.25,0),"")</f>
        <v/>
      </c>
      <c r="S507" s="36">
        <f>IF(A507&lt;&gt;入力!$B$15,S506,IF(K507&lt;&gt;0,S506,IF(G507&lt;=F507,S506,IF(M507&lt;=0,S506,IF(AND(N507&gt;0,E507&gt;0,G507&lt;=N507*E507/12),S506,IF(A507+IF(N507=0,0,IF(E507=0,ROUNDUP(N507/G507,0),ROUNDUP(NPER(E507/12,-G507,N507),0)))&lt;S506,A507+IF(N507=0,0,IF(E507=0,ROUNDUP(N507/G507,0),ROUNDUP(NPER(E507/12,-G507,N507),0))),S506))))))</f>
        <v>359</v>
      </c>
      <c r="T507" s="35" t="str">
        <f t="shared" si="127"/>
        <v/>
      </c>
      <c r="U507" s="3">
        <f t="shared" si="112"/>
        <v>0</v>
      </c>
      <c r="V507" s="3">
        <f t="shared" si="113"/>
        <v>0</v>
      </c>
      <c r="W507" s="3">
        <f t="shared" si="114"/>
        <v>0</v>
      </c>
      <c r="X507" s="3">
        <f t="shared" si="115"/>
        <v>0</v>
      </c>
      <c r="Y507" s="3">
        <f>0</f>
        <v>0</v>
      </c>
      <c r="Z507" s="3">
        <f t="shared" si="116"/>
        <v>0</v>
      </c>
      <c r="AA507">
        <f>ROUND(IF(FALSE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,0)</f>
        <v>0</v>
      </c>
    </row>
    <row r="508" spans="1:27">
      <c r="A508" s="30">
        <f>503</f>
        <v>503</v>
      </c>
      <c r="B508" s="31">
        <f>EDATE(入力!$B$6,A508-1)</f>
        <v>61515</v>
      </c>
      <c r="C508" s="32">
        <f t="shared" si="117"/>
        <v>0</v>
      </c>
      <c r="D508" s="32">
        <f t="shared" si="118"/>
        <v>0</v>
      </c>
      <c r="E508" s="33">
        <f>IF(AND(T507="",A508&lt;=S507),IF(A508&lt;入力!$B$11,入力!$B$10,入力!$B$12),0)</f>
        <v>0</v>
      </c>
      <c r="F508" s="32">
        <f t="shared" si="119"/>
        <v>0</v>
      </c>
      <c r="G508" s="32">
        <f>ROUND(IF(NOT(AND(T507="",A508&lt;=S507)),0,IF(FALSE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),0)</f>
        <v>0</v>
      </c>
      <c r="H508" s="32">
        <f t="shared" si="120"/>
        <v>0</v>
      </c>
      <c r="I508" s="32">
        <f t="shared" si="121"/>
        <v>0</v>
      </c>
      <c r="J508" s="32">
        <f t="shared" si="122"/>
        <v>0</v>
      </c>
      <c r="K508" s="32">
        <f t="shared" si="123"/>
        <v>0</v>
      </c>
      <c r="L508" s="32">
        <f t="shared" si="124"/>
        <v>0</v>
      </c>
      <c r="M508" s="32">
        <f>IF(AND(AND(T507="",A508&lt;=S507),A508=入力!$B$15),ROUND(MIN(入力!$B$16,MAX(0,C508-L508)),0),0)</f>
        <v>0</v>
      </c>
      <c r="N508" s="32">
        <f t="shared" si="125"/>
        <v>0</v>
      </c>
      <c r="O508" s="32">
        <f t="shared" si="126"/>
        <v>10725103</v>
      </c>
      <c r="P508" s="34" t="str">
        <f>IF(NOT(AND(T507="",A508&lt;=S507)),"",IF(FALSE,"繰上返済後再計算","")&amp;IF(AND(入力!$B$13="有効",A508&gt;1,MOD(A508-1,60)=0),IF(FALSE,"・","")&amp;"5年見直し","")&amp;IF(AND(A508=入力!$B$11,A508&gt;1),IF(OR(FALSE,AND(入力!$B$13="有効",A508&gt;1,MOD(A508-1,60)=0)),"・","")&amp;"金利変更","")&amp;IF(AND(OR(AND(入力!$B$13="有効",A508&gt;1,MOD(A508-1,60)=0),AND(A508=入力!$B$11,A508&gt;1)),入力!$B$14="有効",IF(E508=0,ROUND(C508/MAX(1,S507-A508+1),0),ROUND(-PMT(E508/12,MAX(1,S507-A508+1),C508),0))&gt;ROUND(G507*1.25,0),NOT(FALSE)),"・上限適用",""))</f>
        <v/>
      </c>
      <c r="Q508" s="35" t="str">
        <f>IF(AND(T507="",A508&lt;=S507),入力!$B$13,"")</f>
        <v/>
      </c>
      <c r="R508" s="32" t="str">
        <f>IF(AND(AND(T507="",A508&lt;=S507),OR(AND(入力!$B$13="有効",A508&gt;1,MOD(A508-1,60)=0),AND(A508=入力!$B$11,A508&gt;1)),入力!$B$14="有効"),ROUND(G507*1.25,0),"")</f>
        <v/>
      </c>
      <c r="S508" s="36">
        <f>IF(A508&lt;&gt;入力!$B$15,S507,IF(K508&lt;&gt;0,S507,IF(G508&lt;=F508,S507,IF(M508&lt;=0,S507,IF(AND(N508&gt;0,E508&gt;0,G508&lt;=N508*E508/12),S507,IF(A508+IF(N508=0,0,IF(E508=0,ROUNDUP(N508/G508,0),ROUNDUP(NPER(E508/12,-G508,N508),0)))&lt;S507,A508+IF(N508=0,0,IF(E508=0,ROUNDUP(N508/G508,0),ROUNDUP(NPER(E508/12,-G508,N508),0))),S507))))))</f>
        <v>359</v>
      </c>
      <c r="T508" s="35" t="str">
        <f t="shared" si="127"/>
        <v/>
      </c>
      <c r="U508" s="3">
        <f t="shared" si="112"/>
        <v>0</v>
      </c>
      <c r="V508" s="3">
        <f t="shared" si="113"/>
        <v>0</v>
      </c>
      <c r="W508" s="3">
        <f t="shared" si="114"/>
        <v>0</v>
      </c>
      <c r="X508" s="3">
        <f t="shared" si="115"/>
        <v>0</v>
      </c>
      <c r="Y508" s="3">
        <f>0</f>
        <v>0</v>
      </c>
      <c r="Z508" s="3">
        <f t="shared" si="116"/>
        <v>0</v>
      </c>
      <c r="AA508">
        <f>ROUND(IF(FALSE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,0)</f>
        <v>0</v>
      </c>
    </row>
    <row r="509" spans="1:27">
      <c r="A509" s="30">
        <f>504</f>
        <v>504</v>
      </c>
      <c r="B509" s="31">
        <f>EDATE(入力!$B$6,A509-1)</f>
        <v>61545</v>
      </c>
      <c r="C509" s="32">
        <f t="shared" si="117"/>
        <v>0</v>
      </c>
      <c r="D509" s="32">
        <f t="shared" si="118"/>
        <v>0</v>
      </c>
      <c r="E509" s="33">
        <f>IF(AND(T508="",A509&lt;=S508),IF(A509&lt;入力!$B$11,入力!$B$10,入力!$B$12),0)</f>
        <v>0</v>
      </c>
      <c r="F509" s="32">
        <f t="shared" si="119"/>
        <v>0</v>
      </c>
      <c r="G509" s="32">
        <f>ROUND(IF(NOT(AND(T508="",A509&lt;=S508)),0,IF(FALSE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),0)</f>
        <v>0</v>
      </c>
      <c r="H509" s="32">
        <f t="shared" si="120"/>
        <v>0</v>
      </c>
      <c r="I509" s="32">
        <f t="shared" si="121"/>
        <v>0</v>
      </c>
      <c r="J509" s="32">
        <f t="shared" si="122"/>
        <v>0</v>
      </c>
      <c r="K509" s="32">
        <f t="shared" si="123"/>
        <v>0</v>
      </c>
      <c r="L509" s="32">
        <f t="shared" si="124"/>
        <v>0</v>
      </c>
      <c r="M509" s="32">
        <f>IF(AND(AND(T508="",A509&lt;=S508),A509=入力!$B$15),ROUND(MIN(入力!$B$16,MAX(0,C509-L509)),0),0)</f>
        <v>0</v>
      </c>
      <c r="N509" s="32">
        <f t="shared" si="125"/>
        <v>0</v>
      </c>
      <c r="O509" s="32">
        <f t="shared" si="126"/>
        <v>10725103</v>
      </c>
      <c r="P509" s="34" t="str">
        <f>IF(NOT(AND(T508="",A509&lt;=S508)),"",IF(FALSE,"繰上返済後再計算","")&amp;IF(AND(入力!$B$13="有効",A509&gt;1,MOD(A509-1,60)=0),IF(FALSE,"・","")&amp;"5年見直し","")&amp;IF(AND(A509=入力!$B$11,A509&gt;1),IF(OR(FALSE,AND(入力!$B$13="有効",A509&gt;1,MOD(A509-1,60)=0)),"・","")&amp;"金利変更","")&amp;IF(AND(OR(AND(入力!$B$13="有効",A509&gt;1,MOD(A509-1,60)=0),AND(A509=入力!$B$11,A509&gt;1)),入力!$B$14="有効",IF(E509=0,ROUND(C509/MAX(1,S508-A509+1),0),ROUND(-PMT(E509/12,MAX(1,S508-A509+1),C509),0))&gt;ROUND(G508*1.25,0),NOT(FALSE)),"・上限適用",""))</f>
        <v/>
      </c>
      <c r="Q509" s="35" t="str">
        <f>IF(AND(T508="",A509&lt;=S508),入力!$B$13,"")</f>
        <v/>
      </c>
      <c r="R509" s="32" t="str">
        <f>IF(AND(AND(T508="",A509&lt;=S508),OR(AND(入力!$B$13="有効",A509&gt;1,MOD(A509-1,60)=0),AND(A509=入力!$B$11,A509&gt;1)),入力!$B$14="有効"),ROUND(G508*1.25,0),"")</f>
        <v/>
      </c>
      <c r="S509" s="36">
        <f>IF(A509&lt;&gt;入力!$B$15,S508,IF(K509&lt;&gt;0,S508,IF(G509&lt;=F509,S508,IF(M509&lt;=0,S508,IF(AND(N509&gt;0,E509&gt;0,G509&lt;=N509*E509/12),S508,IF(A509+IF(N509=0,0,IF(E509=0,ROUNDUP(N509/G509,0),ROUNDUP(NPER(E509/12,-G509,N509),0)))&lt;S508,A509+IF(N509=0,0,IF(E509=0,ROUNDUP(N509/G509,0),ROUNDUP(NPER(E509/12,-G509,N509),0))),S508))))))</f>
        <v>359</v>
      </c>
      <c r="T509" s="35" t="str">
        <f t="shared" si="127"/>
        <v/>
      </c>
      <c r="U509" s="3">
        <f t="shared" si="112"/>
        <v>0</v>
      </c>
      <c r="V509" s="3">
        <f t="shared" si="113"/>
        <v>0</v>
      </c>
      <c r="W509" s="3">
        <f t="shared" si="114"/>
        <v>0</v>
      </c>
      <c r="X509" s="3">
        <f t="shared" si="115"/>
        <v>0</v>
      </c>
      <c r="Y509" s="3">
        <f>0</f>
        <v>0</v>
      </c>
      <c r="Z509" s="3">
        <f t="shared" si="116"/>
        <v>0</v>
      </c>
      <c r="AA509">
        <f>ROUND(IF(FALSE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,0)</f>
        <v>0</v>
      </c>
    </row>
    <row r="510" spans="1:27">
      <c r="A510" s="30">
        <f>505</f>
        <v>505</v>
      </c>
      <c r="B510" s="31">
        <f>EDATE(入力!$B$6,A510-1)</f>
        <v>61576</v>
      </c>
      <c r="C510" s="32">
        <f t="shared" si="117"/>
        <v>0</v>
      </c>
      <c r="D510" s="32">
        <f t="shared" si="118"/>
        <v>0</v>
      </c>
      <c r="E510" s="33">
        <f>IF(AND(T509="",A510&lt;=S509),IF(A510&lt;入力!$B$11,入力!$B$10,入力!$B$12),0)</f>
        <v>0</v>
      </c>
      <c r="F510" s="32">
        <f t="shared" si="119"/>
        <v>0</v>
      </c>
      <c r="G510" s="32">
        <f>ROUND(IF(NOT(AND(T509="",A510&lt;=S509)),0,IF(FALSE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),0)</f>
        <v>0</v>
      </c>
      <c r="H510" s="32">
        <f t="shared" si="120"/>
        <v>0</v>
      </c>
      <c r="I510" s="32">
        <f t="shared" si="121"/>
        <v>0</v>
      </c>
      <c r="J510" s="32">
        <f t="shared" si="122"/>
        <v>0</v>
      </c>
      <c r="K510" s="32">
        <f t="shared" si="123"/>
        <v>0</v>
      </c>
      <c r="L510" s="32">
        <f t="shared" si="124"/>
        <v>0</v>
      </c>
      <c r="M510" s="32">
        <f>IF(AND(AND(T509="",A510&lt;=S509),A510=入力!$B$15),ROUND(MIN(入力!$B$16,MAX(0,C510-L510)),0),0)</f>
        <v>0</v>
      </c>
      <c r="N510" s="32">
        <f t="shared" si="125"/>
        <v>0</v>
      </c>
      <c r="O510" s="32">
        <f t="shared" si="126"/>
        <v>10725103</v>
      </c>
      <c r="P510" s="34" t="str">
        <f>IF(NOT(AND(T509="",A510&lt;=S509)),"",IF(FALSE,"繰上返済後再計算","")&amp;IF(AND(入力!$B$13="有効",A510&gt;1,MOD(A510-1,60)=0),IF(FALSE,"・","")&amp;"5年見直し","")&amp;IF(AND(A510=入力!$B$11,A510&gt;1),IF(OR(FALSE,AND(入力!$B$13="有効",A510&gt;1,MOD(A510-1,60)=0)),"・","")&amp;"金利変更","")&amp;IF(AND(OR(AND(入力!$B$13="有効",A510&gt;1,MOD(A510-1,60)=0),AND(A510=入力!$B$11,A510&gt;1)),入力!$B$14="有効",IF(E510=0,ROUND(C510/MAX(1,S509-A510+1),0),ROUND(-PMT(E510/12,MAX(1,S509-A510+1),C510),0))&gt;ROUND(G509*1.25,0),NOT(FALSE)),"・上限適用",""))</f>
        <v/>
      </c>
      <c r="Q510" s="35" t="str">
        <f>IF(AND(T509="",A510&lt;=S509),入力!$B$13,"")</f>
        <v/>
      </c>
      <c r="R510" s="32" t="str">
        <f>IF(AND(AND(T509="",A510&lt;=S509),OR(AND(入力!$B$13="有効",A510&gt;1,MOD(A510-1,60)=0),AND(A510=入力!$B$11,A510&gt;1)),入力!$B$14="有効"),ROUND(G509*1.25,0),"")</f>
        <v/>
      </c>
      <c r="S510" s="36">
        <f>IF(A510&lt;&gt;入力!$B$15,S509,IF(K510&lt;&gt;0,S509,IF(G510&lt;=F510,S509,IF(M510&lt;=0,S509,IF(AND(N510&gt;0,E510&gt;0,G510&lt;=N510*E510/12),S509,IF(A510+IF(N510=0,0,IF(E510=0,ROUNDUP(N510/G510,0),ROUNDUP(NPER(E510/12,-G510,N510),0)))&lt;S509,A510+IF(N510=0,0,IF(E510=0,ROUNDUP(N510/G510,0),ROUNDUP(NPER(E510/12,-G510,N510),0))),S509))))))</f>
        <v>359</v>
      </c>
      <c r="T510" s="35" t="str">
        <f t="shared" si="127"/>
        <v/>
      </c>
      <c r="U510" s="3">
        <f t="shared" si="112"/>
        <v>0</v>
      </c>
      <c r="V510" s="3">
        <f t="shared" si="113"/>
        <v>0</v>
      </c>
      <c r="W510" s="3">
        <f t="shared" si="114"/>
        <v>0</v>
      </c>
      <c r="X510" s="3">
        <f t="shared" si="115"/>
        <v>0</v>
      </c>
      <c r="Y510" s="3">
        <f>0</f>
        <v>0</v>
      </c>
      <c r="Z510" s="3">
        <f t="shared" si="116"/>
        <v>0</v>
      </c>
      <c r="AA510">
        <f>ROUND(IF(FALSE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,0)</f>
        <v>0</v>
      </c>
    </row>
    <row r="511" spans="1:27">
      <c r="A511" s="30">
        <f>506</f>
        <v>506</v>
      </c>
      <c r="B511" s="31">
        <f>EDATE(入力!$B$6,A511-1)</f>
        <v>61607</v>
      </c>
      <c r="C511" s="32">
        <f t="shared" si="117"/>
        <v>0</v>
      </c>
      <c r="D511" s="32">
        <f t="shared" si="118"/>
        <v>0</v>
      </c>
      <c r="E511" s="33">
        <f>IF(AND(T510="",A511&lt;=S510),IF(A511&lt;入力!$B$11,入力!$B$10,入力!$B$12),0)</f>
        <v>0</v>
      </c>
      <c r="F511" s="32">
        <f t="shared" si="119"/>
        <v>0</v>
      </c>
      <c r="G511" s="32">
        <f>ROUND(IF(NOT(AND(T510="",A511&lt;=S510)),0,IF(FALSE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),0)</f>
        <v>0</v>
      </c>
      <c r="H511" s="32">
        <f t="shared" si="120"/>
        <v>0</v>
      </c>
      <c r="I511" s="32">
        <f t="shared" si="121"/>
        <v>0</v>
      </c>
      <c r="J511" s="32">
        <f t="shared" si="122"/>
        <v>0</v>
      </c>
      <c r="K511" s="32">
        <f t="shared" si="123"/>
        <v>0</v>
      </c>
      <c r="L511" s="32">
        <f t="shared" si="124"/>
        <v>0</v>
      </c>
      <c r="M511" s="32">
        <f>IF(AND(AND(T510="",A511&lt;=S510),A511=入力!$B$15),ROUND(MIN(入力!$B$16,MAX(0,C511-L511)),0),0)</f>
        <v>0</v>
      </c>
      <c r="N511" s="32">
        <f t="shared" si="125"/>
        <v>0</v>
      </c>
      <c r="O511" s="32">
        <f t="shared" si="126"/>
        <v>10725103</v>
      </c>
      <c r="P511" s="34" t="str">
        <f>IF(NOT(AND(T510="",A511&lt;=S510)),"",IF(FALSE,"繰上返済後再計算","")&amp;IF(AND(入力!$B$13="有効",A511&gt;1,MOD(A511-1,60)=0),IF(FALSE,"・","")&amp;"5年見直し","")&amp;IF(AND(A511=入力!$B$11,A511&gt;1),IF(OR(FALSE,AND(入力!$B$13="有効",A511&gt;1,MOD(A511-1,60)=0)),"・","")&amp;"金利変更","")&amp;IF(AND(OR(AND(入力!$B$13="有効",A511&gt;1,MOD(A511-1,60)=0),AND(A511=入力!$B$11,A511&gt;1)),入力!$B$14="有効",IF(E511=0,ROUND(C511/MAX(1,S510-A511+1),0),ROUND(-PMT(E511/12,MAX(1,S510-A511+1),C511),0))&gt;ROUND(G510*1.25,0),NOT(FALSE)),"・上限適用",""))</f>
        <v/>
      </c>
      <c r="Q511" s="35" t="str">
        <f>IF(AND(T510="",A511&lt;=S510),入力!$B$13,"")</f>
        <v/>
      </c>
      <c r="R511" s="32" t="str">
        <f>IF(AND(AND(T510="",A511&lt;=S510),OR(AND(入力!$B$13="有効",A511&gt;1,MOD(A511-1,60)=0),AND(A511=入力!$B$11,A511&gt;1)),入力!$B$14="有効"),ROUND(G510*1.25,0),"")</f>
        <v/>
      </c>
      <c r="S511" s="36">
        <f>IF(A511&lt;&gt;入力!$B$15,S510,IF(K511&lt;&gt;0,S510,IF(G511&lt;=F511,S510,IF(M511&lt;=0,S510,IF(AND(N511&gt;0,E511&gt;0,G511&lt;=N511*E511/12),S510,IF(A511+IF(N511=0,0,IF(E511=0,ROUNDUP(N511/G511,0),ROUNDUP(NPER(E511/12,-G511,N511),0)))&lt;S510,A511+IF(N511=0,0,IF(E511=0,ROUNDUP(N511/G511,0),ROUNDUP(NPER(E511/12,-G511,N511),0))),S510))))))</f>
        <v>359</v>
      </c>
      <c r="T511" s="35" t="str">
        <f t="shared" si="127"/>
        <v/>
      </c>
      <c r="U511" s="3">
        <f t="shared" si="112"/>
        <v>0</v>
      </c>
      <c r="V511" s="3">
        <f t="shared" si="113"/>
        <v>0</v>
      </c>
      <c r="W511" s="3">
        <f t="shared" si="114"/>
        <v>0</v>
      </c>
      <c r="X511" s="3">
        <f t="shared" si="115"/>
        <v>0</v>
      </c>
      <c r="Y511" s="3">
        <f>0</f>
        <v>0</v>
      </c>
      <c r="Z511" s="3">
        <f t="shared" si="116"/>
        <v>0</v>
      </c>
      <c r="AA511">
        <f>ROUND(IF(FALSE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,0)</f>
        <v>0</v>
      </c>
    </row>
    <row r="512" spans="1:27">
      <c r="A512" s="30">
        <f>507</f>
        <v>507</v>
      </c>
      <c r="B512" s="31">
        <f>EDATE(入力!$B$6,A512-1)</f>
        <v>61637</v>
      </c>
      <c r="C512" s="32">
        <f t="shared" si="117"/>
        <v>0</v>
      </c>
      <c r="D512" s="32">
        <f t="shared" si="118"/>
        <v>0</v>
      </c>
      <c r="E512" s="33">
        <f>IF(AND(T511="",A512&lt;=S511),IF(A512&lt;入力!$B$11,入力!$B$10,入力!$B$12),0)</f>
        <v>0</v>
      </c>
      <c r="F512" s="32">
        <f t="shared" si="119"/>
        <v>0</v>
      </c>
      <c r="G512" s="32">
        <f>ROUND(IF(NOT(AND(T511="",A512&lt;=S511)),0,IF(FALSE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),0)</f>
        <v>0</v>
      </c>
      <c r="H512" s="32">
        <f t="shared" si="120"/>
        <v>0</v>
      </c>
      <c r="I512" s="32">
        <f t="shared" si="121"/>
        <v>0</v>
      </c>
      <c r="J512" s="32">
        <f t="shared" si="122"/>
        <v>0</v>
      </c>
      <c r="K512" s="32">
        <f t="shared" si="123"/>
        <v>0</v>
      </c>
      <c r="L512" s="32">
        <f t="shared" si="124"/>
        <v>0</v>
      </c>
      <c r="M512" s="32">
        <f>IF(AND(AND(T511="",A512&lt;=S511),A512=入力!$B$15),ROUND(MIN(入力!$B$16,MAX(0,C512-L512)),0),0)</f>
        <v>0</v>
      </c>
      <c r="N512" s="32">
        <f t="shared" si="125"/>
        <v>0</v>
      </c>
      <c r="O512" s="32">
        <f t="shared" si="126"/>
        <v>10725103</v>
      </c>
      <c r="P512" s="34" t="str">
        <f>IF(NOT(AND(T511="",A512&lt;=S511)),"",IF(FALSE,"繰上返済後再計算","")&amp;IF(AND(入力!$B$13="有効",A512&gt;1,MOD(A512-1,60)=0),IF(FALSE,"・","")&amp;"5年見直し","")&amp;IF(AND(A512=入力!$B$11,A512&gt;1),IF(OR(FALSE,AND(入力!$B$13="有効",A512&gt;1,MOD(A512-1,60)=0)),"・","")&amp;"金利変更","")&amp;IF(AND(OR(AND(入力!$B$13="有効",A512&gt;1,MOD(A512-1,60)=0),AND(A512=入力!$B$11,A512&gt;1)),入力!$B$14="有効",IF(E512=0,ROUND(C512/MAX(1,S511-A512+1),0),ROUND(-PMT(E512/12,MAX(1,S511-A512+1),C512),0))&gt;ROUND(G511*1.25,0),NOT(FALSE)),"・上限適用",""))</f>
        <v/>
      </c>
      <c r="Q512" s="35" t="str">
        <f>IF(AND(T511="",A512&lt;=S511),入力!$B$13,"")</f>
        <v/>
      </c>
      <c r="R512" s="32" t="str">
        <f>IF(AND(AND(T511="",A512&lt;=S511),OR(AND(入力!$B$13="有効",A512&gt;1,MOD(A512-1,60)=0),AND(A512=入力!$B$11,A512&gt;1)),入力!$B$14="有効"),ROUND(G511*1.25,0),"")</f>
        <v/>
      </c>
      <c r="S512" s="36">
        <f>IF(A512&lt;&gt;入力!$B$15,S511,IF(K512&lt;&gt;0,S511,IF(G512&lt;=F512,S511,IF(M512&lt;=0,S511,IF(AND(N512&gt;0,E512&gt;0,G512&lt;=N512*E512/12),S511,IF(A512+IF(N512=0,0,IF(E512=0,ROUNDUP(N512/G512,0),ROUNDUP(NPER(E512/12,-G512,N512),0)))&lt;S511,A512+IF(N512=0,0,IF(E512=0,ROUNDUP(N512/G512,0),ROUNDUP(NPER(E512/12,-G512,N512),0))),S511))))))</f>
        <v>359</v>
      </c>
      <c r="T512" s="35" t="str">
        <f t="shared" si="127"/>
        <v/>
      </c>
      <c r="U512" s="3">
        <f t="shared" si="112"/>
        <v>0</v>
      </c>
      <c r="V512" s="3">
        <f t="shared" si="113"/>
        <v>0</v>
      </c>
      <c r="W512" s="3">
        <f t="shared" si="114"/>
        <v>0</v>
      </c>
      <c r="X512" s="3">
        <f t="shared" si="115"/>
        <v>0</v>
      </c>
      <c r="Y512" s="3">
        <f>0</f>
        <v>0</v>
      </c>
      <c r="Z512" s="3">
        <f t="shared" si="116"/>
        <v>0</v>
      </c>
      <c r="AA512">
        <f>ROUND(IF(FALSE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,0)</f>
        <v>0</v>
      </c>
    </row>
    <row r="513" spans="1:27">
      <c r="A513" s="30">
        <f>508</f>
        <v>508</v>
      </c>
      <c r="B513" s="31">
        <f>EDATE(入力!$B$6,A513-1)</f>
        <v>61668</v>
      </c>
      <c r="C513" s="32">
        <f t="shared" si="117"/>
        <v>0</v>
      </c>
      <c r="D513" s="32">
        <f t="shared" si="118"/>
        <v>0</v>
      </c>
      <c r="E513" s="33">
        <f>IF(AND(T512="",A513&lt;=S512),IF(A513&lt;入力!$B$11,入力!$B$10,入力!$B$12),0)</f>
        <v>0</v>
      </c>
      <c r="F513" s="32">
        <f t="shared" si="119"/>
        <v>0</v>
      </c>
      <c r="G513" s="32">
        <f>ROUND(IF(NOT(AND(T512="",A513&lt;=S512)),0,IF(FALSE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),0)</f>
        <v>0</v>
      </c>
      <c r="H513" s="32">
        <f t="shared" si="120"/>
        <v>0</v>
      </c>
      <c r="I513" s="32">
        <f t="shared" si="121"/>
        <v>0</v>
      </c>
      <c r="J513" s="32">
        <f t="shared" si="122"/>
        <v>0</v>
      </c>
      <c r="K513" s="32">
        <f t="shared" si="123"/>
        <v>0</v>
      </c>
      <c r="L513" s="32">
        <f t="shared" si="124"/>
        <v>0</v>
      </c>
      <c r="M513" s="32">
        <f>IF(AND(AND(T512="",A513&lt;=S512),A513=入力!$B$15),ROUND(MIN(入力!$B$16,MAX(0,C513-L513)),0),0)</f>
        <v>0</v>
      </c>
      <c r="N513" s="32">
        <f t="shared" si="125"/>
        <v>0</v>
      </c>
      <c r="O513" s="32">
        <f t="shared" si="126"/>
        <v>10725103</v>
      </c>
      <c r="P513" s="34" t="str">
        <f>IF(NOT(AND(T512="",A513&lt;=S512)),"",IF(FALSE,"繰上返済後再計算","")&amp;IF(AND(入力!$B$13="有効",A513&gt;1,MOD(A513-1,60)=0),IF(FALSE,"・","")&amp;"5年見直し","")&amp;IF(AND(A513=入力!$B$11,A513&gt;1),IF(OR(FALSE,AND(入力!$B$13="有効",A513&gt;1,MOD(A513-1,60)=0)),"・","")&amp;"金利変更","")&amp;IF(AND(OR(AND(入力!$B$13="有効",A513&gt;1,MOD(A513-1,60)=0),AND(A513=入力!$B$11,A513&gt;1)),入力!$B$14="有効",IF(E513=0,ROUND(C513/MAX(1,S512-A513+1),0),ROUND(-PMT(E513/12,MAX(1,S512-A513+1),C513),0))&gt;ROUND(G512*1.25,0),NOT(FALSE)),"・上限適用",""))</f>
        <v/>
      </c>
      <c r="Q513" s="35" t="str">
        <f>IF(AND(T512="",A513&lt;=S512),入力!$B$13,"")</f>
        <v/>
      </c>
      <c r="R513" s="32" t="str">
        <f>IF(AND(AND(T512="",A513&lt;=S512),OR(AND(入力!$B$13="有効",A513&gt;1,MOD(A513-1,60)=0),AND(A513=入力!$B$11,A513&gt;1)),入力!$B$14="有効"),ROUND(G512*1.25,0),"")</f>
        <v/>
      </c>
      <c r="S513" s="36">
        <f>IF(A513&lt;&gt;入力!$B$15,S512,IF(K513&lt;&gt;0,S512,IF(G513&lt;=F513,S512,IF(M513&lt;=0,S512,IF(AND(N513&gt;0,E513&gt;0,G513&lt;=N513*E513/12),S512,IF(A513+IF(N513=0,0,IF(E513=0,ROUNDUP(N513/G513,0),ROUNDUP(NPER(E513/12,-G513,N513),0)))&lt;S512,A513+IF(N513=0,0,IF(E513=0,ROUNDUP(N513/G513,0),ROUNDUP(NPER(E513/12,-G513,N513),0))),S512))))))</f>
        <v>359</v>
      </c>
      <c r="T513" s="35" t="str">
        <f t="shared" si="127"/>
        <v/>
      </c>
      <c r="U513" s="3">
        <f t="shared" si="112"/>
        <v>0</v>
      </c>
      <c r="V513" s="3">
        <f t="shared" si="113"/>
        <v>0</v>
      </c>
      <c r="W513" s="3">
        <f t="shared" si="114"/>
        <v>0</v>
      </c>
      <c r="X513" s="3">
        <f t="shared" si="115"/>
        <v>0</v>
      </c>
      <c r="Y513" s="3">
        <f>0</f>
        <v>0</v>
      </c>
      <c r="Z513" s="3">
        <f t="shared" si="116"/>
        <v>0</v>
      </c>
      <c r="AA513">
        <f>ROUND(IF(FALSE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,0)</f>
        <v>0</v>
      </c>
    </row>
    <row r="514" spans="1:27">
      <c r="A514" s="30">
        <f>509</f>
        <v>509</v>
      </c>
      <c r="B514" s="31">
        <f>EDATE(入力!$B$6,A514-1)</f>
        <v>61698</v>
      </c>
      <c r="C514" s="32">
        <f t="shared" si="117"/>
        <v>0</v>
      </c>
      <c r="D514" s="32">
        <f t="shared" si="118"/>
        <v>0</v>
      </c>
      <c r="E514" s="33">
        <f>IF(AND(T513="",A514&lt;=S513),IF(A514&lt;入力!$B$11,入力!$B$10,入力!$B$12),0)</f>
        <v>0</v>
      </c>
      <c r="F514" s="32">
        <f t="shared" si="119"/>
        <v>0</v>
      </c>
      <c r="G514" s="32">
        <f>ROUND(IF(NOT(AND(T513="",A514&lt;=S513)),0,IF(FALSE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),0)</f>
        <v>0</v>
      </c>
      <c r="H514" s="32">
        <f t="shared" si="120"/>
        <v>0</v>
      </c>
      <c r="I514" s="32">
        <f t="shared" si="121"/>
        <v>0</v>
      </c>
      <c r="J514" s="32">
        <f t="shared" si="122"/>
        <v>0</v>
      </c>
      <c r="K514" s="32">
        <f t="shared" si="123"/>
        <v>0</v>
      </c>
      <c r="L514" s="32">
        <f t="shared" si="124"/>
        <v>0</v>
      </c>
      <c r="M514" s="32">
        <f>IF(AND(AND(T513="",A514&lt;=S513),A514=入力!$B$15),ROUND(MIN(入力!$B$16,MAX(0,C514-L514)),0),0)</f>
        <v>0</v>
      </c>
      <c r="N514" s="32">
        <f t="shared" si="125"/>
        <v>0</v>
      </c>
      <c r="O514" s="32">
        <f t="shared" si="126"/>
        <v>10725103</v>
      </c>
      <c r="P514" s="34" t="str">
        <f>IF(NOT(AND(T513="",A514&lt;=S513)),"",IF(FALSE,"繰上返済後再計算","")&amp;IF(AND(入力!$B$13="有効",A514&gt;1,MOD(A514-1,60)=0),IF(FALSE,"・","")&amp;"5年見直し","")&amp;IF(AND(A514=入力!$B$11,A514&gt;1),IF(OR(FALSE,AND(入力!$B$13="有効",A514&gt;1,MOD(A514-1,60)=0)),"・","")&amp;"金利変更","")&amp;IF(AND(OR(AND(入力!$B$13="有効",A514&gt;1,MOD(A514-1,60)=0),AND(A514=入力!$B$11,A514&gt;1)),入力!$B$14="有効",IF(E514=0,ROUND(C514/MAX(1,S513-A514+1),0),ROUND(-PMT(E514/12,MAX(1,S513-A514+1),C514),0))&gt;ROUND(G513*1.25,0),NOT(FALSE)),"・上限適用",""))</f>
        <v/>
      </c>
      <c r="Q514" s="35" t="str">
        <f>IF(AND(T513="",A514&lt;=S513),入力!$B$13,"")</f>
        <v/>
      </c>
      <c r="R514" s="32" t="str">
        <f>IF(AND(AND(T513="",A514&lt;=S513),OR(AND(入力!$B$13="有効",A514&gt;1,MOD(A514-1,60)=0),AND(A514=入力!$B$11,A514&gt;1)),入力!$B$14="有効"),ROUND(G513*1.25,0),"")</f>
        <v/>
      </c>
      <c r="S514" s="36">
        <f>IF(A514&lt;&gt;入力!$B$15,S513,IF(K514&lt;&gt;0,S513,IF(G514&lt;=F514,S513,IF(M514&lt;=0,S513,IF(AND(N514&gt;0,E514&gt;0,G514&lt;=N514*E514/12),S513,IF(A514+IF(N514=0,0,IF(E514=0,ROUNDUP(N514/G514,0),ROUNDUP(NPER(E514/12,-G514,N514),0)))&lt;S513,A514+IF(N514=0,0,IF(E514=0,ROUNDUP(N514/G514,0),ROUNDUP(NPER(E514/12,-G514,N514),0))),S513))))))</f>
        <v>359</v>
      </c>
      <c r="T514" s="35" t="str">
        <f t="shared" si="127"/>
        <v/>
      </c>
      <c r="U514" s="3">
        <f t="shared" si="112"/>
        <v>0</v>
      </c>
      <c r="V514" s="3">
        <f t="shared" si="113"/>
        <v>0</v>
      </c>
      <c r="W514" s="3">
        <f t="shared" si="114"/>
        <v>0</v>
      </c>
      <c r="X514" s="3">
        <f t="shared" si="115"/>
        <v>0</v>
      </c>
      <c r="Y514" s="3">
        <f>0</f>
        <v>0</v>
      </c>
      <c r="Z514" s="3">
        <f t="shared" si="116"/>
        <v>0</v>
      </c>
      <c r="AA514">
        <f>ROUND(IF(FALSE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,0)</f>
        <v>0</v>
      </c>
    </row>
    <row r="515" spans="1:27">
      <c r="A515" s="30">
        <f>510</f>
        <v>510</v>
      </c>
      <c r="B515" s="31">
        <f>EDATE(入力!$B$6,A515-1)</f>
        <v>61729</v>
      </c>
      <c r="C515" s="32">
        <f t="shared" si="117"/>
        <v>0</v>
      </c>
      <c r="D515" s="32">
        <f t="shared" si="118"/>
        <v>0</v>
      </c>
      <c r="E515" s="33">
        <f>IF(AND(T514="",A515&lt;=S514),IF(A515&lt;入力!$B$11,入力!$B$10,入力!$B$12),0)</f>
        <v>0</v>
      </c>
      <c r="F515" s="32">
        <f t="shared" si="119"/>
        <v>0</v>
      </c>
      <c r="G515" s="32">
        <f>ROUND(IF(NOT(AND(T514="",A515&lt;=S514)),0,IF(FALSE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),0)</f>
        <v>0</v>
      </c>
      <c r="H515" s="32">
        <f t="shared" si="120"/>
        <v>0</v>
      </c>
      <c r="I515" s="32">
        <f t="shared" si="121"/>
        <v>0</v>
      </c>
      <c r="J515" s="32">
        <f t="shared" si="122"/>
        <v>0</v>
      </c>
      <c r="K515" s="32">
        <f t="shared" si="123"/>
        <v>0</v>
      </c>
      <c r="L515" s="32">
        <f t="shared" si="124"/>
        <v>0</v>
      </c>
      <c r="M515" s="32">
        <f>IF(AND(AND(T514="",A515&lt;=S514),A515=入力!$B$15),ROUND(MIN(入力!$B$16,MAX(0,C515-L515)),0),0)</f>
        <v>0</v>
      </c>
      <c r="N515" s="32">
        <f t="shared" si="125"/>
        <v>0</v>
      </c>
      <c r="O515" s="32">
        <f t="shared" si="126"/>
        <v>10725103</v>
      </c>
      <c r="P515" s="34" t="str">
        <f>IF(NOT(AND(T514="",A515&lt;=S514)),"",IF(FALSE,"繰上返済後再計算","")&amp;IF(AND(入力!$B$13="有効",A515&gt;1,MOD(A515-1,60)=0),IF(FALSE,"・","")&amp;"5年見直し","")&amp;IF(AND(A515=入力!$B$11,A515&gt;1),IF(OR(FALSE,AND(入力!$B$13="有効",A515&gt;1,MOD(A515-1,60)=0)),"・","")&amp;"金利変更","")&amp;IF(AND(OR(AND(入力!$B$13="有効",A515&gt;1,MOD(A515-1,60)=0),AND(A515=入力!$B$11,A515&gt;1)),入力!$B$14="有効",IF(E515=0,ROUND(C515/MAX(1,S514-A515+1),0),ROUND(-PMT(E515/12,MAX(1,S514-A515+1),C515),0))&gt;ROUND(G514*1.25,0),NOT(FALSE)),"・上限適用",""))</f>
        <v/>
      </c>
      <c r="Q515" s="35" t="str">
        <f>IF(AND(T514="",A515&lt;=S514),入力!$B$13,"")</f>
        <v/>
      </c>
      <c r="R515" s="32" t="str">
        <f>IF(AND(AND(T514="",A515&lt;=S514),OR(AND(入力!$B$13="有効",A515&gt;1,MOD(A515-1,60)=0),AND(A515=入力!$B$11,A515&gt;1)),入力!$B$14="有効"),ROUND(G514*1.25,0),"")</f>
        <v/>
      </c>
      <c r="S515" s="36">
        <f>IF(A515&lt;&gt;入力!$B$15,S514,IF(K515&lt;&gt;0,S514,IF(G515&lt;=F515,S514,IF(M515&lt;=0,S514,IF(AND(N515&gt;0,E515&gt;0,G515&lt;=N515*E515/12),S514,IF(A515+IF(N515=0,0,IF(E515=0,ROUNDUP(N515/G515,0),ROUNDUP(NPER(E515/12,-G515,N515),0)))&lt;S514,A515+IF(N515=0,0,IF(E515=0,ROUNDUP(N515/G515,0),ROUNDUP(NPER(E515/12,-G515,N515),0))),S514))))))</f>
        <v>359</v>
      </c>
      <c r="T515" s="35" t="str">
        <f t="shared" si="127"/>
        <v/>
      </c>
      <c r="U515" s="3">
        <f t="shared" si="112"/>
        <v>0</v>
      </c>
      <c r="V515" s="3">
        <f t="shared" si="113"/>
        <v>0</v>
      </c>
      <c r="W515" s="3">
        <f t="shared" si="114"/>
        <v>0</v>
      </c>
      <c r="X515" s="3">
        <f t="shared" si="115"/>
        <v>0</v>
      </c>
      <c r="Y515" s="3">
        <f>0</f>
        <v>0</v>
      </c>
      <c r="Z515" s="3">
        <f t="shared" si="116"/>
        <v>0</v>
      </c>
      <c r="AA515">
        <f>ROUND(IF(FALSE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,0)</f>
        <v>0</v>
      </c>
    </row>
    <row r="516" spans="1:27">
      <c r="A516" s="30">
        <f>511</f>
        <v>511</v>
      </c>
      <c r="B516" s="31">
        <f>EDATE(入力!$B$6,A516-1)</f>
        <v>61760</v>
      </c>
      <c r="C516" s="32">
        <f t="shared" si="117"/>
        <v>0</v>
      </c>
      <c r="D516" s="32">
        <f t="shared" si="118"/>
        <v>0</v>
      </c>
      <c r="E516" s="33">
        <f>IF(AND(T515="",A516&lt;=S515),IF(A516&lt;入力!$B$11,入力!$B$10,入力!$B$12),0)</f>
        <v>0</v>
      </c>
      <c r="F516" s="32">
        <f t="shared" si="119"/>
        <v>0</v>
      </c>
      <c r="G516" s="32">
        <f>ROUND(IF(NOT(AND(T515="",A516&lt;=S515)),0,IF(FALSE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),0)</f>
        <v>0</v>
      </c>
      <c r="H516" s="32">
        <f t="shared" si="120"/>
        <v>0</v>
      </c>
      <c r="I516" s="32">
        <f t="shared" si="121"/>
        <v>0</v>
      </c>
      <c r="J516" s="32">
        <f t="shared" si="122"/>
        <v>0</v>
      </c>
      <c r="K516" s="32">
        <f t="shared" si="123"/>
        <v>0</v>
      </c>
      <c r="L516" s="32">
        <f t="shared" si="124"/>
        <v>0</v>
      </c>
      <c r="M516" s="32">
        <f>IF(AND(AND(T515="",A516&lt;=S515),A516=入力!$B$15),ROUND(MIN(入力!$B$16,MAX(0,C516-L516)),0),0)</f>
        <v>0</v>
      </c>
      <c r="N516" s="32">
        <f t="shared" si="125"/>
        <v>0</v>
      </c>
      <c r="O516" s="32">
        <f t="shared" si="126"/>
        <v>10725103</v>
      </c>
      <c r="P516" s="34" t="str">
        <f>IF(NOT(AND(T515="",A516&lt;=S515)),"",IF(FALSE,"繰上返済後再計算","")&amp;IF(AND(入力!$B$13="有効",A516&gt;1,MOD(A516-1,60)=0),IF(FALSE,"・","")&amp;"5年見直し","")&amp;IF(AND(A516=入力!$B$11,A516&gt;1),IF(OR(FALSE,AND(入力!$B$13="有効",A516&gt;1,MOD(A516-1,60)=0)),"・","")&amp;"金利変更","")&amp;IF(AND(OR(AND(入力!$B$13="有効",A516&gt;1,MOD(A516-1,60)=0),AND(A516=入力!$B$11,A516&gt;1)),入力!$B$14="有効",IF(E516=0,ROUND(C516/MAX(1,S515-A516+1),0),ROUND(-PMT(E516/12,MAX(1,S515-A516+1),C516),0))&gt;ROUND(G515*1.25,0),NOT(FALSE)),"・上限適用",""))</f>
        <v/>
      </c>
      <c r="Q516" s="35" t="str">
        <f>IF(AND(T515="",A516&lt;=S515),入力!$B$13,"")</f>
        <v/>
      </c>
      <c r="R516" s="32" t="str">
        <f>IF(AND(AND(T515="",A516&lt;=S515),OR(AND(入力!$B$13="有効",A516&gt;1,MOD(A516-1,60)=0),AND(A516=入力!$B$11,A516&gt;1)),入力!$B$14="有効"),ROUND(G515*1.25,0),"")</f>
        <v/>
      </c>
      <c r="S516" s="36">
        <f>IF(A516&lt;&gt;入力!$B$15,S515,IF(K516&lt;&gt;0,S515,IF(G516&lt;=F516,S515,IF(M516&lt;=0,S515,IF(AND(N516&gt;0,E516&gt;0,G516&lt;=N516*E516/12),S515,IF(A516+IF(N516=0,0,IF(E516=0,ROUNDUP(N516/G516,0),ROUNDUP(NPER(E516/12,-G516,N516),0)))&lt;S515,A516+IF(N516=0,0,IF(E516=0,ROUNDUP(N516/G516,0),ROUNDUP(NPER(E516/12,-G516,N516),0))),S515))))))</f>
        <v>359</v>
      </c>
      <c r="T516" s="35" t="str">
        <f t="shared" si="127"/>
        <v/>
      </c>
      <c r="U516" s="3">
        <f t="shared" si="112"/>
        <v>0</v>
      </c>
      <c r="V516" s="3">
        <f t="shared" si="113"/>
        <v>0</v>
      </c>
      <c r="W516" s="3">
        <f t="shared" si="114"/>
        <v>0</v>
      </c>
      <c r="X516" s="3">
        <f t="shared" si="115"/>
        <v>0</v>
      </c>
      <c r="Y516" s="3">
        <f>0</f>
        <v>0</v>
      </c>
      <c r="Z516" s="3">
        <f t="shared" si="116"/>
        <v>0</v>
      </c>
      <c r="AA516">
        <f>ROUND(IF(FALSE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,0)</f>
        <v>0</v>
      </c>
    </row>
    <row r="517" spans="1:27">
      <c r="A517" s="30">
        <f>512</f>
        <v>512</v>
      </c>
      <c r="B517" s="31">
        <f>EDATE(入力!$B$6,A517-1)</f>
        <v>61788</v>
      </c>
      <c r="C517" s="32">
        <f t="shared" si="117"/>
        <v>0</v>
      </c>
      <c r="D517" s="32">
        <f t="shared" si="118"/>
        <v>0</v>
      </c>
      <c r="E517" s="33">
        <f>IF(AND(T516="",A517&lt;=S516),IF(A517&lt;入力!$B$11,入力!$B$10,入力!$B$12),0)</f>
        <v>0</v>
      </c>
      <c r="F517" s="32">
        <f t="shared" si="119"/>
        <v>0</v>
      </c>
      <c r="G517" s="32">
        <f>ROUND(IF(NOT(AND(T516="",A517&lt;=S516)),0,IF(FALSE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),0)</f>
        <v>0</v>
      </c>
      <c r="H517" s="32">
        <f t="shared" si="120"/>
        <v>0</v>
      </c>
      <c r="I517" s="32">
        <f t="shared" si="121"/>
        <v>0</v>
      </c>
      <c r="J517" s="32">
        <f t="shared" si="122"/>
        <v>0</v>
      </c>
      <c r="K517" s="32">
        <f t="shared" si="123"/>
        <v>0</v>
      </c>
      <c r="L517" s="32">
        <f t="shared" si="124"/>
        <v>0</v>
      </c>
      <c r="M517" s="32">
        <f>IF(AND(AND(T516="",A517&lt;=S516),A517=入力!$B$15),ROUND(MIN(入力!$B$16,MAX(0,C517-L517)),0),0)</f>
        <v>0</v>
      </c>
      <c r="N517" s="32">
        <f t="shared" si="125"/>
        <v>0</v>
      </c>
      <c r="O517" s="32">
        <f t="shared" si="126"/>
        <v>10725103</v>
      </c>
      <c r="P517" s="34" t="str">
        <f>IF(NOT(AND(T516="",A517&lt;=S516)),"",IF(FALSE,"繰上返済後再計算","")&amp;IF(AND(入力!$B$13="有効",A517&gt;1,MOD(A517-1,60)=0),IF(FALSE,"・","")&amp;"5年見直し","")&amp;IF(AND(A517=入力!$B$11,A517&gt;1),IF(OR(FALSE,AND(入力!$B$13="有効",A517&gt;1,MOD(A517-1,60)=0)),"・","")&amp;"金利変更","")&amp;IF(AND(OR(AND(入力!$B$13="有効",A517&gt;1,MOD(A517-1,60)=0),AND(A517=入力!$B$11,A517&gt;1)),入力!$B$14="有効",IF(E517=0,ROUND(C517/MAX(1,S516-A517+1),0),ROUND(-PMT(E517/12,MAX(1,S516-A517+1),C517),0))&gt;ROUND(G516*1.25,0),NOT(FALSE)),"・上限適用",""))</f>
        <v/>
      </c>
      <c r="Q517" s="35" t="str">
        <f>IF(AND(T516="",A517&lt;=S516),入力!$B$13,"")</f>
        <v/>
      </c>
      <c r="R517" s="32" t="str">
        <f>IF(AND(AND(T516="",A517&lt;=S516),OR(AND(入力!$B$13="有効",A517&gt;1,MOD(A517-1,60)=0),AND(A517=入力!$B$11,A517&gt;1)),入力!$B$14="有効"),ROUND(G516*1.25,0),"")</f>
        <v/>
      </c>
      <c r="S517" s="36">
        <f>IF(A517&lt;&gt;入力!$B$15,S516,IF(K517&lt;&gt;0,S516,IF(G517&lt;=F517,S516,IF(M517&lt;=0,S516,IF(AND(N517&gt;0,E517&gt;0,G517&lt;=N517*E517/12),S516,IF(A517+IF(N517=0,0,IF(E517=0,ROUNDUP(N517/G517,0),ROUNDUP(NPER(E517/12,-G517,N517),0)))&lt;S516,A517+IF(N517=0,0,IF(E517=0,ROUNDUP(N517/G517,0),ROUNDUP(NPER(E517/12,-G517,N517),0))),S516))))))</f>
        <v>359</v>
      </c>
      <c r="T517" s="35" t="str">
        <f t="shared" si="127"/>
        <v/>
      </c>
      <c r="U517" s="3">
        <f t="shared" si="112"/>
        <v>0</v>
      </c>
      <c r="V517" s="3">
        <f t="shared" si="113"/>
        <v>0</v>
      </c>
      <c r="W517" s="3">
        <f t="shared" si="114"/>
        <v>0</v>
      </c>
      <c r="X517" s="3">
        <f t="shared" si="115"/>
        <v>0</v>
      </c>
      <c r="Y517" s="3">
        <f>0</f>
        <v>0</v>
      </c>
      <c r="Z517" s="3">
        <f t="shared" si="116"/>
        <v>0</v>
      </c>
      <c r="AA517">
        <f>ROUND(IF(FALSE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,0)</f>
        <v>0</v>
      </c>
    </row>
    <row r="518" spans="1:27">
      <c r="A518" s="30">
        <f>513</f>
        <v>513</v>
      </c>
      <c r="B518" s="31">
        <f>EDATE(入力!$B$6,A518-1)</f>
        <v>61819</v>
      </c>
      <c r="C518" s="32">
        <f t="shared" si="117"/>
        <v>0</v>
      </c>
      <c r="D518" s="32">
        <f t="shared" si="118"/>
        <v>0</v>
      </c>
      <c r="E518" s="33">
        <f>IF(AND(T517="",A518&lt;=S517),IF(A518&lt;入力!$B$11,入力!$B$10,入力!$B$12),0)</f>
        <v>0</v>
      </c>
      <c r="F518" s="32">
        <f t="shared" si="119"/>
        <v>0</v>
      </c>
      <c r="G518" s="32">
        <f>ROUND(IF(NOT(AND(T517="",A518&lt;=S517)),0,IF(FALSE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),0)</f>
        <v>0</v>
      </c>
      <c r="H518" s="32">
        <f t="shared" si="120"/>
        <v>0</v>
      </c>
      <c r="I518" s="32">
        <f t="shared" si="121"/>
        <v>0</v>
      </c>
      <c r="J518" s="32">
        <f t="shared" si="122"/>
        <v>0</v>
      </c>
      <c r="K518" s="32">
        <f t="shared" si="123"/>
        <v>0</v>
      </c>
      <c r="L518" s="32">
        <f t="shared" si="124"/>
        <v>0</v>
      </c>
      <c r="M518" s="32">
        <f>IF(AND(AND(T517="",A518&lt;=S517),A518=入力!$B$15),ROUND(MIN(入力!$B$16,MAX(0,C518-L518)),0),0)</f>
        <v>0</v>
      </c>
      <c r="N518" s="32">
        <f t="shared" si="125"/>
        <v>0</v>
      </c>
      <c r="O518" s="32">
        <f t="shared" si="126"/>
        <v>10725103</v>
      </c>
      <c r="P518" s="34" t="str">
        <f>IF(NOT(AND(T517="",A518&lt;=S517)),"",IF(FALSE,"繰上返済後再計算","")&amp;IF(AND(入力!$B$13="有効",A518&gt;1,MOD(A518-1,60)=0),IF(FALSE,"・","")&amp;"5年見直し","")&amp;IF(AND(A518=入力!$B$11,A518&gt;1),IF(OR(FALSE,AND(入力!$B$13="有効",A518&gt;1,MOD(A518-1,60)=0)),"・","")&amp;"金利変更","")&amp;IF(AND(OR(AND(入力!$B$13="有効",A518&gt;1,MOD(A518-1,60)=0),AND(A518=入力!$B$11,A518&gt;1)),入力!$B$14="有効",IF(E518=0,ROUND(C518/MAX(1,S517-A518+1),0),ROUND(-PMT(E518/12,MAX(1,S517-A518+1),C518),0))&gt;ROUND(G517*1.25,0),NOT(FALSE)),"・上限適用",""))</f>
        <v/>
      </c>
      <c r="Q518" s="35" t="str">
        <f>IF(AND(T517="",A518&lt;=S517),入力!$B$13,"")</f>
        <v/>
      </c>
      <c r="R518" s="32" t="str">
        <f>IF(AND(AND(T517="",A518&lt;=S517),OR(AND(入力!$B$13="有効",A518&gt;1,MOD(A518-1,60)=0),AND(A518=入力!$B$11,A518&gt;1)),入力!$B$14="有効"),ROUND(G517*1.25,0),"")</f>
        <v/>
      </c>
      <c r="S518" s="36">
        <f>IF(A518&lt;&gt;入力!$B$15,S517,IF(K518&lt;&gt;0,S517,IF(G518&lt;=F518,S517,IF(M518&lt;=0,S517,IF(AND(N518&gt;0,E518&gt;0,G518&lt;=N518*E518/12),S517,IF(A518+IF(N518=0,0,IF(E518=0,ROUNDUP(N518/G518,0),ROUNDUP(NPER(E518/12,-G518,N518),0)))&lt;S517,A518+IF(N518=0,0,IF(E518=0,ROUNDUP(N518/G518,0),ROUNDUP(NPER(E518/12,-G518,N518),0))),S517))))))</f>
        <v>359</v>
      </c>
      <c r="T518" s="35" t="str">
        <f t="shared" si="127"/>
        <v/>
      </c>
      <c r="U518" s="3">
        <f t="shared" ref="U518:U581" si="128">ABS(I518-MIN(H518,D518+F518))</f>
        <v>0</v>
      </c>
      <c r="V518" s="3">
        <f t="shared" ref="V518:V581" si="129">ABS(L518-(H518-I518))</f>
        <v>0</v>
      </c>
      <c r="W518" s="3">
        <f t="shared" ref="W518:W581" si="130">ABS(K518-(D518+J518))</f>
        <v>0</v>
      </c>
      <c r="X518" s="3">
        <f t="shared" ref="X518:X581" si="131">ABS(F518-ROUND(F518,0))+ABS(G518-ROUND(G518,0))+ABS(H518-ROUND(H518,0))+ABS(I518-ROUND(I518,0))+ABS(J518-ROUND(J518,0))+ABS(K518-ROUND(K518,0))+ABS(L518-ROUND(L518,0))+ABS(M518-ROUND(M518,0))+ABS(N518-ROUND(N518,0))+ABS(O518-ROUND(O518,0))</f>
        <v>0</v>
      </c>
      <c r="Y518" s="3">
        <f>0</f>
        <v>0</v>
      </c>
      <c r="Z518" s="3">
        <f t="shared" ref="Z518:Z581" si="132">SUM(--ISERROR(A518),--ISERROR(B518),--ISERROR(C518),--ISERROR(D518),--ISERROR(E518),--ISERROR(F518),--ISERROR(G518),--ISERROR(H518),--ISERROR(I518),--ISERROR(J518),--ISERROR(K518),--ISERROR(L518),--ISERROR(M518),--ISERROR(N518),--ISERROR(O518),--ISERROR(P518),--ISERROR(Q518),--ISERROR(R518),--ISERROR(S518),--ISERROR(T518))</f>
        <v>0</v>
      </c>
      <c r="AA518">
        <f>ROUND(IF(FALSE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,0)</f>
        <v>0</v>
      </c>
    </row>
    <row r="519" spans="1:27">
      <c r="A519" s="30">
        <f>514</f>
        <v>514</v>
      </c>
      <c r="B519" s="31">
        <f>EDATE(入力!$B$6,A519-1)</f>
        <v>61849</v>
      </c>
      <c r="C519" s="32">
        <f t="shared" ref="C519:C582" si="133">IF(AND(T518="",A519&lt;=S518),N518,0)</f>
        <v>0</v>
      </c>
      <c r="D519" s="32">
        <f t="shared" ref="D519:D582" si="134">IF(AND(T518="",A519&lt;=S518),K518,0)</f>
        <v>0</v>
      </c>
      <c r="E519" s="33">
        <f>IF(AND(T518="",A519&lt;=S518),IF(A519&lt;入力!$B$11,入力!$B$10,入力!$B$12),0)</f>
        <v>0</v>
      </c>
      <c r="F519" s="32">
        <f t="shared" ref="F519:F582" si="135">IF(AND(T518="",A519&lt;=S518),ROUND(C519*E519/12,0),0)</f>
        <v>0</v>
      </c>
      <c r="G519" s="32">
        <f>ROUND(IF(NOT(AND(T518="",A519&lt;=S518)),0,IF(FALSE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),0)</f>
        <v>0</v>
      </c>
      <c r="H519" s="32">
        <f t="shared" ref="H519:H582" si="136">IF(AND(T518="",A519&lt;=S518),ROUND(MIN(G519,C519+D519+F519),0),0)</f>
        <v>0</v>
      </c>
      <c r="I519" s="32">
        <f t="shared" ref="I519:I582" si="137">IF(AND(T518="",A519&lt;=S518),ROUND(MIN(H519,D519+F519),0),0)</f>
        <v>0</v>
      </c>
      <c r="J519" s="32">
        <f t="shared" ref="J519:J582" si="138">IF(AND(T518="",A519&lt;=S518),ROUND(F519-I519,0),0)</f>
        <v>0</v>
      </c>
      <c r="K519" s="32">
        <f t="shared" ref="K519:K582" si="139">IF(AND(T518="",A519&lt;=S518),ROUND(D519+J519,0),0)</f>
        <v>0</v>
      </c>
      <c r="L519" s="32">
        <f t="shared" ref="L519:L582" si="140">IF(AND(T518="",A519&lt;=S518),ROUND(H519-I519,0),0)</f>
        <v>0</v>
      </c>
      <c r="M519" s="32">
        <f>IF(AND(AND(T518="",A519&lt;=S518),A519=入力!$B$15),ROUND(MIN(入力!$B$16,MAX(0,C519-L519)),0),0)</f>
        <v>0</v>
      </c>
      <c r="N519" s="32">
        <f t="shared" ref="N519:N582" si="141">IF(AND(T518="",A519&lt;=S518),ROUND(MAX(0,C519-L519-M519),0),0)</f>
        <v>0</v>
      </c>
      <c r="O519" s="32">
        <f t="shared" ref="O519:O582" si="142">IF(AND(T518="",A519&lt;=S518),ROUND(O518+F519,0),O518)</f>
        <v>10725103</v>
      </c>
      <c r="P519" s="34" t="str">
        <f>IF(NOT(AND(T518="",A519&lt;=S518)),"",IF(FALSE,"繰上返済後再計算","")&amp;IF(AND(入力!$B$13="有効",A519&gt;1,MOD(A519-1,60)=0),IF(FALSE,"・","")&amp;"5年見直し","")&amp;IF(AND(A519=入力!$B$11,A519&gt;1),IF(OR(FALSE,AND(入力!$B$13="有効",A519&gt;1,MOD(A519-1,60)=0)),"・","")&amp;"金利変更","")&amp;IF(AND(OR(AND(入力!$B$13="有効",A519&gt;1,MOD(A519-1,60)=0),AND(A519=入力!$B$11,A519&gt;1)),入力!$B$14="有効",IF(E519=0,ROUND(C519/MAX(1,S518-A519+1),0),ROUND(-PMT(E519/12,MAX(1,S518-A519+1),C519),0))&gt;ROUND(G518*1.25,0),NOT(FALSE)),"・上限適用",""))</f>
        <v/>
      </c>
      <c r="Q519" s="35" t="str">
        <f>IF(AND(T518="",A519&lt;=S518),入力!$B$13,"")</f>
        <v/>
      </c>
      <c r="R519" s="32" t="str">
        <f>IF(AND(AND(T518="",A519&lt;=S518),OR(AND(入力!$B$13="有効",A519&gt;1,MOD(A519-1,60)=0),AND(A519=入力!$B$11,A519&gt;1)),入力!$B$14="有効"),ROUND(G518*1.25,0),"")</f>
        <v/>
      </c>
      <c r="S519" s="36">
        <f>IF(A519&lt;&gt;入力!$B$15,S518,IF(K519&lt;&gt;0,S518,IF(G519&lt;=F519,S518,IF(M519&lt;=0,S518,IF(AND(N519&gt;0,E519&gt;0,G519&lt;=N519*E519/12),S518,IF(A519+IF(N519=0,0,IF(E519=0,ROUNDUP(N519/G519,0),ROUNDUP(NPER(E519/12,-G519,N519),0)))&lt;S518,A519+IF(N519=0,0,IF(E519=0,ROUNDUP(N519/G519,0),ROUNDUP(NPER(E519/12,-G519,N519),0))),S518))))))</f>
        <v>359</v>
      </c>
      <c r="T519" s="35" t="str">
        <f t="shared" ref="T519:T582" si="143">IF(NOT(AND(T518="",A519&lt;=S518)),"",IF(AND(N519=0,K519=0),"完済",IF(A519=S519,"最終回清算","")))</f>
        <v/>
      </c>
      <c r="U519" s="3">
        <f t="shared" si="128"/>
        <v>0</v>
      </c>
      <c r="V519" s="3">
        <f t="shared" si="129"/>
        <v>0</v>
      </c>
      <c r="W519" s="3">
        <f t="shared" si="130"/>
        <v>0</v>
      </c>
      <c r="X519" s="3">
        <f t="shared" si="131"/>
        <v>0</v>
      </c>
      <c r="Y519" s="3">
        <f>0</f>
        <v>0</v>
      </c>
      <c r="Z519" s="3">
        <f t="shared" si="132"/>
        <v>0</v>
      </c>
      <c r="AA519">
        <f>ROUND(IF(FALSE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,0)</f>
        <v>0</v>
      </c>
    </row>
    <row r="520" spans="1:27">
      <c r="A520" s="30">
        <f>515</f>
        <v>515</v>
      </c>
      <c r="B520" s="31">
        <f>EDATE(入力!$B$6,A520-1)</f>
        <v>61880</v>
      </c>
      <c r="C520" s="32">
        <f t="shared" si="133"/>
        <v>0</v>
      </c>
      <c r="D520" s="32">
        <f t="shared" si="134"/>
        <v>0</v>
      </c>
      <c r="E520" s="33">
        <f>IF(AND(T519="",A520&lt;=S519),IF(A520&lt;入力!$B$11,入力!$B$10,入力!$B$12),0)</f>
        <v>0</v>
      </c>
      <c r="F520" s="32">
        <f t="shared" si="135"/>
        <v>0</v>
      </c>
      <c r="G520" s="32">
        <f>ROUND(IF(NOT(AND(T519="",A520&lt;=S519)),0,IF(FALSE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),0)</f>
        <v>0</v>
      </c>
      <c r="H520" s="32">
        <f t="shared" si="136"/>
        <v>0</v>
      </c>
      <c r="I520" s="32">
        <f t="shared" si="137"/>
        <v>0</v>
      </c>
      <c r="J520" s="32">
        <f t="shared" si="138"/>
        <v>0</v>
      </c>
      <c r="K520" s="32">
        <f t="shared" si="139"/>
        <v>0</v>
      </c>
      <c r="L520" s="32">
        <f t="shared" si="140"/>
        <v>0</v>
      </c>
      <c r="M520" s="32">
        <f>IF(AND(AND(T519="",A520&lt;=S519),A520=入力!$B$15),ROUND(MIN(入力!$B$16,MAX(0,C520-L520)),0),0)</f>
        <v>0</v>
      </c>
      <c r="N520" s="32">
        <f t="shared" si="141"/>
        <v>0</v>
      </c>
      <c r="O520" s="32">
        <f t="shared" si="142"/>
        <v>10725103</v>
      </c>
      <c r="P520" s="34" t="str">
        <f>IF(NOT(AND(T519="",A520&lt;=S519)),"",IF(FALSE,"繰上返済後再計算","")&amp;IF(AND(入力!$B$13="有効",A520&gt;1,MOD(A520-1,60)=0),IF(FALSE,"・","")&amp;"5年見直し","")&amp;IF(AND(A520=入力!$B$11,A520&gt;1),IF(OR(FALSE,AND(入力!$B$13="有効",A520&gt;1,MOD(A520-1,60)=0)),"・","")&amp;"金利変更","")&amp;IF(AND(OR(AND(入力!$B$13="有効",A520&gt;1,MOD(A520-1,60)=0),AND(A520=入力!$B$11,A520&gt;1)),入力!$B$14="有効",IF(E520=0,ROUND(C520/MAX(1,S519-A520+1),0),ROUND(-PMT(E520/12,MAX(1,S519-A520+1),C520),0))&gt;ROUND(G519*1.25,0),NOT(FALSE)),"・上限適用",""))</f>
        <v/>
      </c>
      <c r="Q520" s="35" t="str">
        <f>IF(AND(T519="",A520&lt;=S519),入力!$B$13,"")</f>
        <v/>
      </c>
      <c r="R520" s="32" t="str">
        <f>IF(AND(AND(T519="",A520&lt;=S519),OR(AND(入力!$B$13="有効",A520&gt;1,MOD(A520-1,60)=0),AND(A520=入力!$B$11,A520&gt;1)),入力!$B$14="有効"),ROUND(G519*1.25,0),"")</f>
        <v/>
      </c>
      <c r="S520" s="36">
        <f>IF(A520&lt;&gt;入力!$B$15,S519,IF(K520&lt;&gt;0,S519,IF(G520&lt;=F520,S519,IF(M520&lt;=0,S519,IF(AND(N520&gt;0,E520&gt;0,G520&lt;=N520*E520/12),S519,IF(A520+IF(N520=0,0,IF(E520=0,ROUNDUP(N520/G520,0),ROUNDUP(NPER(E520/12,-G520,N520),0)))&lt;S519,A520+IF(N520=0,0,IF(E520=0,ROUNDUP(N520/G520,0),ROUNDUP(NPER(E520/12,-G520,N520),0))),S519))))))</f>
        <v>359</v>
      </c>
      <c r="T520" s="35" t="str">
        <f t="shared" si="143"/>
        <v/>
      </c>
      <c r="U520" s="3">
        <f t="shared" si="128"/>
        <v>0</v>
      </c>
      <c r="V520" s="3">
        <f t="shared" si="129"/>
        <v>0</v>
      </c>
      <c r="W520" s="3">
        <f t="shared" si="130"/>
        <v>0</v>
      </c>
      <c r="X520" s="3">
        <f t="shared" si="131"/>
        <v>0</v>
      </c>
      <c r="Y520" s="3">
        <f>0</f>
        <v>0</v>
      </c>
      <c r="Z520" s="3">
        <f t="shared" si="132"/>
        <v>0</v>
      </c>
      <c r="AA520">
        <f>ROUND(IF(FALSE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,0)</f>
        <v>0</v>
      </c>
    </row>
    <row r="521" spans="1:27">
      <c r="A521" s="30">
        <f>516</f>
        <v>516</v>
      </c>
      <c r="B521" s="31">
        <f>EDATE(入力!$B$6,A521-1)</f>
        <v>61910</v>
      </c>
      <c r="C521" s="32">
        <f t="shared" si="133"/>
        <v>0</v>
      </c>
      <c r="D521" s="32">
        <f t="shared" si="134"/>
        <v>0</v>
      </c>
      <c r="E521" s="33">
        <f>IF(AND(T520="",A521&lt;=S520),IF(A521&lt;入力!$B$11,入力!$B$10,入力!$B$12),0)</f>
        <v>0</v>
      </c>
      <c r="F521" s="32">
        <f t="shared" si="135"/>
        <v>0</v>
      </c>
      <c r="G521" s="32">
        <f>ROUND(IF(NOT(AND(T520="",A521&lt;=S520)),0,IF(FALSE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),0)</f>
        <v>0</v>
      </c>
      <c r="H521" s="32">
        <f t="shared" si="136"/>
        <v>0</v>
      </c>
      <c r="I521" s="32">
        <f t="shared" si="137"/>
        <v>0</v>
      </c>
      <c r="J521" s="32">
        <f t="shared" si="138"/>
        <v>0</v>
      </c>
      <c r="K521" s="32">
        <f t="shared" si="139"/>
        <v>0</v>
      </c>
      <c r="L521" s="32">
        <f t="shared" si="140"/>
        <v>0</v>
      </c>
      <c r="M521" s="32">
        <f>IF(AND(AND(T520="",A521&lt;=S520),A521=入力!$B$15),ROUND(MIN(入力!$B$16,MAX(0,C521-L521)),0),0)</f>
        <v>0</v>
      </c>
      <c r="N521" s="32">
        <f t="shared" si="141"/>
        <v>0</v>
      </c>
      <c r="O521" s="32">
        <f t="shared" si="142"/>
        <v>10725103</v>
      </c>
      <c r="P521" s="34" t="str">
        <f>IF(NOT(AND(T520="",A521&lt;=S520)),"",IF(FALSE,"繰上返済後再計算","")&amp;IF(AND(入力!$B$13="有効",A521&gt;1,MOD(A521-1,60)=0),IF(FALSE,"・","")&amp;"5年見直し","")&amp;IF(AND(A521=入力!$B$11,A521&gt;1),IF(OR(FALSE,AND(入力!$B$13="有効",A521&gt;1,MOD(A521-1,60)=0)),"・","")&amp;"金利変更","")&amp;IF(AND(OR(AND(入力!$B$13="有効",A521&gt;1,MOD(A521-1,60)=0),AND(A521=入力!$B$11,A521&gt;1)),入力!$B$14="有効",IF(E521=0,ROUND(C521/MAX(1,S520-A521+1),0),ROUND(-PMT(E521/12,MAX(1,S520-A521+1),C521),0))&gt;ROUND(G520*1.25,0),NOT(FALSE)),"・上限適用",""))</f>
        <v/>
      </c>
      <c r="Q521" s="35" t="str">
        <f>IF(AND(T520="",A521&lt;=S520),入力!$B$13,"")</f>
        <v/>
      </c>
      <c r="R521" s="32" t="str">
        <f>IF(AND(AND(T520="",A521&lt;=S520),OR(AND(入力!$B$13="有効",A521&gt;1,MOD(A521-1,60)=0),AND(A521=入力!$B$11,A521&gt;1)),入力!$B$14="有効"),ROUND(G520*1.25,0),"")</f>
        <v/>
      </c>
      <c r="S521" s="36">
        <f>IF(A521&lt;&gt;入力!$B$15,S520,IF(K521&lt;&gt;0,S520,IF(G521&lt;=F521,S520,IF(M521&lt;=0,S520,IF(AND(N521&gt;0,E521&gt;0,G521&lt;=N521*E521/12),S520,IF(A521+IF(N521=0,0,IF(E521=0,ROUNDUP(N521/G521,0),ROUNDUP(NPER(E521/12,-G521,N521),0)))&lt;S520,A521+IF(N521=0,0,IF(E521=0,ROUNDUP(N521/G521,0),ROUNDUP(NPER(E521/12,-G521,N521),0))),S520))))))</f>
        <v>359</v>
      </c>
      <c r="T521" s="35" t="str">
        <f t="shared" si="143"/>
        <v/>
      </c>
      <c r="U521" s="3">
        <f t="shared" si="128"/>
        <v>0</v>
      </c>
      <c r="V521" s="3">
        <f t="shared" si="129"/>
        <v>0</v>
      </c>
      <c r="W521" s="3">
        <f t="shared" si="130"/>
        <v>0</v>
      </c>
      <c r="X521" s="3">
        <f t="shared" si="131"/>
        <v>0</v>
      </c>
      <c r="Y521" s="3">
        <f>0</f>
        <v>0</v>
      </c>
      <c r="Z521" s="3">
        <f t="shared" si="132"/>
        <v>0</v>
      </c>
      <c r="AA521">
        <f>ROUND(IF(FALSE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,0)</f>
        <v>0</v>
      </c>
    </row>
    <row r="522" spans="1:27">
      <c r="A522" s="30">
        <f>517</f>
        <v>517</v>
      </c>
      <c r="B522" s="31">
        <f>EDATE(入力!$B$6,A522-1)</f>
        <v>61941</v>
      </c>
      <c r="C522" s="32">
        <f t="shared" si="133"/>
        <v>0</v>
      </c>
      <c r="D522" s="32">
        <f t="shared" si="134"/>
        <v>0</v>
      </c>
      <c r="E522" s="33">
        <f>IF(AND(T521="",A522&lt;=S521),IF(A522&lt;入力!$B$11,入力!$B$10,入力!$B$12),0)</f>
        <v>0</v>
      </c>
      <c r="F522" s="32">
        <f t="shared" si="135"/>
        <v>0</v>
      </c>
      <c r="G522" s="32">
        <f>ROUND(IF(NOT(AND(T521="",A522&lt;=S521)),0,IF(FALSE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),0)</f>
        <v>0</v>
      </c>
      <c r="H522" s="32">
        <f t="shared" si="136"/>
        <v>0</v>
      </c>
      <c r="I522" s="32">
        <f t="shared" si="137"/>
        <v>0</v>
      </c>
      <c r="J522" s="32">
        <f t="shared" si="138"/>
        <v>0</v>
      </c>
      <c r="K522" s="32">
        <f t="shared" si="139"/>
        <v>0</v>
      </c>
      <c r="L522" s="32">
        <f t="shared" si="140"/>
        <v>0</v>
      </c>
      <c r="M522" s="32">
        <f>IF(AND(AND(T521="",A522&lt;=S521),A522=入力!$B$15),ROUND(MIN(入力!$B$16,MAX(0,C522-L522)),0),0)</f>
        <v>0</v>
      </c>
      <c r="N522" s="32">
        <f t="shared" si="141"/>
        <v>0</v>
      </c>
      <c r="O522" s="32">
        <f t="shared" si="142"/>
        <v>10725103</v>
      </c>
      <c r="P522" s="34" t="str">
        <f>IF(NOT(AND(T521="",A522&lt;=S521)),"",IF(FALSE,"繰上返済後再計算","")&amp;IF(AND(入力!$B$13="有効",A522&gt;1,MOD(A522-1,60)=0),IF(FALSE,"・","")&amp;"5年見直し","")&amp;IF(AND(A522=入力!$B$11,A522&gt;1),IF(OR(FALSE,AND(入力!$B$13="有効",A522&gt;1,MOD(A522-1,60)=0)),"・","")&amp;"金利変更","")&amp;IF(AND(OR(AND(入力!$B$13="有効",A522&gt;1,MOD(A522-1,60)=0),AND(A522=入力!$B$11,A522&gt;1)),入力!$B$14="有効",IF(E522=0,ROUND(C522/MAX(1,S521-A522+1),0),ROUND(-PMT(E522/12,MAX(1,S521-A522+1),C522),0))&gt;ROUND(G521*1.25,0),NOT(FALSE)),"・上限適用",""))</f>
        <v/>
      </c>
      <c r="Q522" s="35" t="str">
        <f>IF(AND(T521="",A522&lt;=S521),入力!$B$13,"")</f>
        <v/>
      </c>
      <c r="R522" s="32" t="str">
        <f>IF(AND(AND(T521="",A522&lt;=S521),OR(AND(入力!$B$13="有効",A522&gt;1,MOD(A522-1,60)=0),AND(A522=入力!$B$11,A522&gt;1)),入力!$B$14="有効"),ROUND(G521*1.25,0),"")</f>
        <v/>
      </c>
      <c r="S522" s="36">
        <f>IF(A522&lt;&gt;入力!$B$15,S521,IF(K522&lt;&gt;0,S521,IF(G522&lt;=F522,S521,IF(M522&lt;=0,S521,IF(AND(N522&gt;0,E522&gt;0,G522&lt;=N522*E522/12),S521,IF(A522+IF(N522=0,0,IF(E522=0,ROUNDUP(N522/G522,0),ROUNDUP(NPER(E522/12,-G522,N522),0)))&lt;S521,A522+IF(N522=0,0,IF(E522=0,ROUNDUP(N522/G522,0),ROUNDUP(NPER(E522/12,-G522,N522),0))),S521))))))</f>
        <v>359</v>
      </c>
      <c r="T522" s="35" t="str">
        <f t="shared" si="143"/>
        <v/>
      </c>
      <c r="U522" s="3">
        <f t="shared" si="128"/>
        <v>0</v>
      </c>
      <c r="V522" s="3">
        <f t="shared" si="129"/>
        <v>0</v>
      </c>
      <c r="W522" s="3">
        <f t="shared" si="130"/>
        <v>0</v>
      </c>
      <c r="X522" s="3">
        <f t="shared" si="131"/>
        <v>0</v>
      </c>
      <c r="Y522" s="3">
        <f>0</f>
        <v>0</v>
      </c>
      <c r="Z522" s="3">
        <f t="shared" si="132"/>
        <v>0</v>
      </c>
      <c r="AA522">
        <f>ROUND(IF(FALSE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,0)</f>
        <v>0</v>
      </c>
    </row>
    <row r="523" spans="1:27">
      <c r="A523" s="30">
        <f>518</f>
        <v>518</v>
      </c>
      <c r="B523" s="31">
        <f>EDATE(入力!$B$6,A523-1)</f>
        <v>61972</v>
      </c>
      <c r="C523" s="32">
        <f t="shared" si="133"/>
        <v>0</v>
      </c>
      <c r="D523" s="32">
        <f t="shared" si="134"/>
        <v>0</v>
      </c>
      <c r="E523" s="33">
        <f>IF(AND(T522="",A523&lt;=S522),IF(A523&lt;入力!$B$11,入力!$B$10,入力!$B$12),0)</f>
        <v>0</v>
      </c>
      <c r="F523" s="32">
        <f t="shared" si="135"/>
        <v>0</v>
      </c>
      <c r="G523" s="32">
        <f>ROUND(IF(NOT(AND(T522="",A523&lt;=S522)),0,IF(FALSE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),0)</f>
        <v>0</v>
      </c>
      <c r="H523" s="32">
        <f t="shared" si="136"/>
        <v>0</v>
      </c>
      <c r="I523" s="32">
        <f t="shared" si="137"/>
        <v>0</v>
      </c>
      <c r="J523" s="32">
        <f t="shared" si="138"/>
        <v>0</v>
      </c>
      <c r="K523" s="32">
        <f t="shared" si="139"/>
        <v>0</v>
      </c>
      <c r="L523" s="32">
        <f t="shared" si="140"/>
        <v>0</v>
      </c>
      <c r="M523" s="32">
        <f>IF(AND(AND(T522="",A523&lt;=S522),A523=入力!$B$15),ROUND(MIN(入力!$B$16,MAX(0,C523-L523)),0),0)</f>
        <v>0</v>
      </c>
      <c r="N523" s="32">
        <f t="shared" si="141"/>
        <v>0</v>
      </c>
      <c r="O523" s="32">
        <f t="shared" si="142"/>
        <v>10725103</v>
      </c>
      <c r="P523" s="34" t="str">
        <f>IF(NOT(AND(T522="",A523&lt;=S522)),"",IF(FALSE,"繰上返済後再計算","")&amp;IF(AND(入力!$B$13="有効",A523&gt;1,MOD(A523-1,60)=0),IF(FALSE,"・","")&amp;"5年見直し","")&amp;IF(AND(A523=入力!$B$11,A523&gt;1),IF(OR(FALSE,AND(入力!$B$13="有効",A523&gt;1,MOD(A523-1,60)=0)),"・","")&amp;"金利変更","")&amp;IF(AND(OR(AND(入力!$B$13="有効",A523&gt;1,MOD(A523-1,60)=0),AND(A523=入力!$B$11,A523&gt;1)),入力!$B$14="有効",IF(E523=0,ROUND(C523/MAX(1,S522-A523+1),0),ROUND(-PMT(E523/12,MAX(1,S522-A523+1),C523),0))&gt;ROUND(G522*1.25,0),NOT(FALSE)),"・上限適用",""))</f>
        <v/>
      </c>
      <c r="Q523" s="35" t="str">
        <f>IF(AND(T522="",A523&lt;=S522),入力!$B$13,"")</f>
        <v/>
      </c>
      <c r="R523" s="32" t="str">
        <f>IF(AND(AND(T522="",A523&lt;=S522),OR(AND(入力!$B$13="有効",A523&gt;1,MOD(A523-1,60)=0),AND(A523=入力!$B$11,A523&gt;1)),入力!$B$14="有効"),ROUND(G522*1.25,0),"")</f>
        <v/>
      </c>
      <c r="S523" s="36">
        <f>IF(A523&lt;&gt;入力!$B$15,S522,IF(K523&lt;&gt;0,S522,IF(G523&lt;=F523,S522,IF(M523&lt;=0,S522,IF(AND(N523&gt;0,E523&gt;0,G523&lt;=N523*E523/12),S522,IF(A523+IF(N523=0,0,IF(E523=0,ROUNDUP(N523/G523,0),ROUNDUP(NPER(E523/12,-G523,N523),0)))&lt;S522,A523+IF(N523=0,0,IF(E523=0,ROUNDUP(N523/G523,0),ROUNDUP(NPER(E523/12,-G523,N523),0))),S522))))))</f>
        <v>359</v>
      </c>
      <c r="T523" s="35" t="str">
        <f t="shared" si="143"/>
        <v/>
      </c>
      <c r="U523" s="3">
        <f t="shared" si="128"/>
        <v>0</v>
      </c>
      <c r="V523" s="3">
        <f t="shared" si="129"/>
        <v>0</v>
      </c>
      <c r="W523" s="3">
        <f t="shared" si="130"/>
        <v>0</v>
      </c>
      <c r="X523" s="3">
        <f t="shared" si="131"/>
        <v>0</v>
      </c>
      <c r="Y523" s="3">
        <f>0</f>
        <v>0</v>
      </c>
      <c r="Z523" s="3">
        <f t="shared" si="132"/>
        <v>0</v>
      </c>
      <c r="AA523">
        <f>ROUND(IF(FALSE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,0)</f>
        <v>0</v>
      </c>
    </row>
    <row r="524" spans="1:27">
      <c r="A524" s="30">
        <f>519</f>
        <v>519</v>
      </c>
      <c r="B524" s="31">
        <f>EDATE(入力!$B$6,A524-1)</f>
        <v>62002</v>
      </c>
      <c r="C524" s="32">
        <f t="shared" si="133"/>
        <v>0</v>
      </c>
      <c r="D524" s="32">
        <f t="shared" si="134"/>
        <v>0</v>
      </c>
      <c r="E524" s="33">
        <f>IF(AND(T523="",A524&lt;=S523),IF(A524&lt;入力!$B$11,入力!$B$10,入力!$B$12),0)</f>
        <v>0</v>
      </c>
      <c r="F524" s="32">
        <f t="shared" si="135"/>
        <v>0</v>
      </c>
      <c r="G524" s="32">
        <f>ROUND(IF(NOT(AND(T523="",A524&lt;=S523)),0,IF(FALSE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),0)</f>
        <v>0</v>
      </c>
      <c r="H524" s="32">
        <f t="shared" si="136"/>
        <v>0</v>
      </c>
      <c r="I524" s="32">
        <f t="shared" si="137"/>
        <v>0</v>
      </c>
      <c r="J524" s="32">
        <f t="shared" si="138"/>
        <v>0</v>
      </c>
      <c r="K524" s="32">
        <f t="shared" si="139"/>
        <v>0</v>
      </c>
      <c r="L524" s="32">
        <f t="shared" si="140"/>
        <v>0</v>
      </c>
      <c r="M524" s="32">
        <f>IF(AND(AND(T523="",A524&lt;=S523),A524=入力!$B$15),ROUND(MIN(入力!$B$16,MAX(0,C524-L524)),0),0)</f>
        <v>0</v>
      </c>
      <c r="N524" s="32">
        <f t="shared" si="141"/>
        <v>0</v>
      </c>
      <c r="O524" s="32">
        <f t="shared" si="142"/>
        <v>10725103</v>
      </c>
      <c r="P524" s="34" t="str">
        <f>IF(NOT(AND(T523="",A524&lt;=S523)),"",IF(FALSE,"繰上返済後再計算","")&amp;IF(AND(入力!$B$13="有効",A524&gt;1,MOD(A524-1,60)=0),IF(FALSE,"・","")&amp;"5年見直し","")&amp;IF(AND(A524=入力!$B$11,A524&gt;1),IF(OR(FALSE,AND(入力!$B$13="有効",A524&gt;1,MOD(A524-1,60)=0)),"・","")&amp;"金利変更","")&amp;IF(AND(OR(AND(入力!$B$13="有効",A524&gt;1,MOD(A524-1,60)=0),AND(A524=入力!$B$11,A524&gt;1)),入力!$B$14="有効",IF(E524=0,ROUND(C524/MAX(1,S523-A524+1),0),ROUND(-PMT(E524/12,MAX(1,S523-A524+1),C524),0))&gt;ROUND(G523*1.25,0),NOT(FALSE)),"・上限適用",""))</f>
        <v/>
      </c>
      <c r="Q524" s="35" t="str">
        <f>IF(AND(T523="",A524&lt;=S523),入力!$B$13,"")</f>
        <v/>
      </c>
      <c r="R524" s="32" t="str">
        <f>IF(AND(AND(T523="",A524&lt;=S523),OR(AND(入力!$B$13="有効",A524&gt;1,MOD(A524-1,60)=0),AND(A524=入力!$B$11,A524&gt;1)),入力!$B$14="有効"),ROUND(G523*1.25,0),"")</f>
        <v/>
      </c>
      <c r="S524" s="36">
        <f>IF(A524&lt;&gt;入力!$B$15,S523,IF(K524&lt;&gt;0,S523,IF(G524&lt;=F524,S523,IF(M524&lt;=0,S523,IF(AND(N524&gt;0,E524&gt;0,G524&lt;=N524*E524/12),S523,IF(A524+IF(N524=0,0,IF(E524=0,ROUNDUP(N524/G524,0),ROUNDUP(NPER(E524/12,-G524,N524),0)))&lt;S523,A524+IF(N524=0,0,IF(E524=0,ROUNDUP(N524/G524,0),ROUNDUP(NPER(E524/12,-G524,N524),0))),S523))))))</f>
        <v>359</v>
      </c>
      <c r="T524" s="35" t="str">
        <f t="shared" si="143"/>
        <v/>
      </c>
      <c r="U524" s="3">
        <f t="shared" si="128"/>
        <v>0</v>
      </c>
      <c r="V524" s="3">
        <f t="shared" si="129"/>
        <v>0</v>
      </c>
      <c r="W524" s="3">
        <f t="shared" si="130"/>
        <v>0</v>
      </c>
      <c r="X524" s="3">
        <f t="shared" si="131"/>
        <v>0</v>
      </c>
      <c r="Y524" s="3">
        <f>0</f>
        <v>0</v>
      </c>
      <c r="Z524" s="3">
        <f t="shared" si="132"/>
        <v>0</v>
      </c>
      <c r="AA524">
        <f>ROUND(IF(FALSE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,0)</f>
        <v>0</v>
      </c>
    </row>
    <row r="525" spans="1:27">
      <c r="A525" s="30">
        <f>520</f>
        <v>520</v>
      </c>
      <c r="B525" s="31">
        <f>EDATE(入力!$B$6,A525-1)</f>
        <v>62033</v>
      </c>
      <c r="C525" s="32">
        <f t="shared" si="133"/>
        <v>0</v>
      </c>
      <c r="D525" s="32">
        <f t="shared" si="134"/>
        <v>0</v>
      </c>
      <c r="E525" s="33">
        <f>IF(AND(T524="",A525&lt;=S524),IF(A525&lt;入力!$B$11,入力!$B$10,入力!$B$12),0)</f>
        <v>0</v>
      </c>
      <c r="F525" s="32">
        <f t="shared" si="135"/>
        <v>0</v>
      </c>
      <c r="G525" s="32">
        <f>ROUND(IF(NOT(AND(T524="",A525&lt;=S524)),0,IF(FALSE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),0)</f>
        <v>0</v>
      </c>
      <c r="H525" s="32">
        <f t="shared" si="136"/>
        <v>0</v>
      </c>
      <c r="I525" s="32">
        <f t="shared" si="137"/>
        <v>0</v>
      </c>
      <c r="J525" s="32">
        <f t="shared" si="138"/>
        <v>0</v>
      </c>
      <c r="K525" s="32">
        <f t="shared" si="139"/>
        <v>0</v>
      </c>
      <c r="L525" s="32">
        <f t="shared" si="140"/>
        <v>0</v>
      </c>
      <c r="M525" s="32">
        <f>IF(AND(AND(T524="",A525&lt;=S524),A525=入力!$B$15),ROUND(MIN(入力!$B$16,MAX(0,C525-L525)),0),0)</f>
        <v>0</v>
      </c>
      <c r="N525" s="32">
        <f t="shared" si="141"/>
        <v>0</v>
      </c>
      <c r="O525" s="32">
        <f t="shared" si="142"/>
        <v>10725103</v>
      </c>
      <c r="P525" s="34" t="str">
        <f>IF(NOT(AND(T524="",A525&lt;=S524)),"",IF(FALSE,"繰上返済後再計算","")&amp;IF(AND(入力!$B$13="有効",A525&gt;1,MOD(A525-1,60)=0),IF(FALSE,"・","")&amp;"5年見直し","")&amp;IF(AND(A525=入力!$B$11,A525&gt;1),IF(OR(FALSE,AND(入力!$B$13="有効",A525&gt;1,MOD(A525-1,60)=0)),"・","")&amp;"金利変更","")&amp;IF(AND(OR(AND(入力!$B$13="有効",A525&gt;1,MOD(A525-1,60)=0),AND(A525=入力!$B$11,A525&gt;1)),入力!$B$14="有効",IF(E525=0,ROUND(C525/MAX(1,S524-A525+1),0),ROUND(-PMT(E525/12,MAX(1,S524-A525+1),C525),0))&gt;ROUND(G524*1.25,0),NOT(FALSE)),"・上限適用",""))</f>
        <v/>
      </c>
      <c r="Q525" s="35" t="str">
        <f>IF(AND(T524="",A525&lt;=S524),入力!$B$13,"")</f>
        <v/>
      </c>
      <c r="R525" s="32" t="str">
        <f>IF(AND(AND(T524="",A525&lt;=S524),OR(AND(入力!$B$13="有効",A525&gt;1,MOD(A525-1,60)=0),AND(A525=入力!$B$11,A525&gt;1)),入力!$B$14="有効"),ROUND(G524*1.25,0),"")</f>
        <v/>
      </c>
      <c r="S525" s="36">
        <f>IF(A525&lt;&gt;入力!$B$15,S524,IF(K525&lt;&gt;0,S524,IF(G525&lt;=F525,S524,IF(M525&lt;=0,S524,IF(AND(N525&gt;0,E525&gt;0,G525&lt;=N525*E525/12),S524,IF(A525+IF(N525=0,0,IF(E525=0,ROUNDUP(N525/G525,0),ROUNDUP(NPER(E525/12,-G525,N525),0)))&lt;S524,A525+IF(N525=0,0,IF(E525=0,ROUNDUP(N525/G525,0),ROUNDUP(NPER(E525/12,-G525,N525),0))),S524))))))</f>
        <v>359</v>
      </c>
      <c r="T525" s="35" t="str">
        <f t="shared" si="143"/>
        <v/>
      </c>
      <c r="U525" s="3">
        <f t="shared" si="128"/>
        <v>0</v>
      </c>
      <c r="V525" s="3">
        <f t="shared" si="129"/>
        <v>0</v>
      </c>
      <c r="W525" s="3">
        <f t="shared" si="130"/>
        <v>0</v>
      </c>
      <c r="X525" s="3">
        <f t="shared" si="131"/>
        <v>0</v>
      </c>
      <c r="Y525" s="3">
        <f>0</f>
        <v>0</v>
      </c>
      <c r="Z525" s="3">
        <f t="shared" si="132"/>
        <v>0</v>
      </c>
      <c r="AA525">
        <f>ROUND(IF(FALSE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,0)</f>
        <v>0</v>
      </c>
    </row>
    <row r="526" spans="1:27">
      <c r="A526" s="30">
        <f>521</f>
        <v>521</v>
      </c>
      <c r="B526" s="31">
        <f>EDATE(入力!$B$6,A526-1)</f>
        <v>62063</v>
      </c>
      <c r="C526" s="32">
        <f t="shared" si="133"/>
        <v>0</v>
      </c>
      <c r="D526" s="32">
        <f t="shared" si="134"/>
        <v>0</v>
      </c>
      <c r="E526" s="33">
        <f>IF(AND(T525="",A526&lt;=S525),IF(A526&lt;入力!$B$11,入力!$B$10,入力!$B$12),0)</f>
        <v>0</v>
      </c>
      <c r="F526" s="32">
        <f t="shared" si="135"/>
        <v>0</v>
      </c>
      <c r="G526" s="32">
        <f>ROUND(IF(NOT(AND(T525="",A526&lt;=S525)),0,IF(FALSE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),0)</f>
        <v>0</v>
      </c>
      <c r="H526" s="32">
        <f t="shared" si="136"/>
        <v>0</v>
      </c>
      <c r="I526" s="32">
        <f t="shared" si="137"/>
        <v>0</v>
      </c>
      <c r="J526" s="32">
        <f t="shared" si="138"/>
        <v>0</v>
      </c>
      <c r="K526" s="32">
        <f t="shared" si="139"/>
        <v>0</v>
      </c>
      <c r="L526" s="32">
        <f t="shared" si="140"/>
        <v>0</v>
      </c>
      <c r="M526" s="32">
        <f>IF(AND(AND(T525="",A526&lt;=S525),A526=入力!$B$15),ROUND(MIN(入力!$B$16,MAX(0,C526-L526)),0),0)</f>
        <v>0</v>
      </c>
      <c r="N526" s="32">
        <f t="shared" si="141"/>
        <v>0</v>
      </c>
      <c r="O526" s="32">
        <f t="shared" si="142"/>
        <v>10725103</v>
      </c>
      <c r="P526" s="34" t="str">
        <f>IF(NOT(AND(T525="",A526&lt;=S525)),"",IF(FALSE,"繰上返済後再計算","")&amp;IF(AND(入力!$B$13="有効",A526&gt;1,MOD(A526-1,60)=0),IF(FALSE,"・","")&amp;"5年見直し","")&amp;IF(AND(A526=入力!$B$11,A526&gt;1),IF(OR(FALSE,AND(入力!$B$13="有効",A526&gt;1,MOD(A526-1,60)=0)),"・","")&amp;"金利変更","")&amp;IF(AND(OR(AND(入力!$B$13="有効",A526&gt;1,MOD(A526-1,60)=0),AND(A526=入力!$B$11,A526&gt;1)),入力!$B$14="有効",IF(E526=0,ROUND(C526/MAX(1,S525-A526+1),0),ROUND(-PMT(E526/12,MAX(1,S525-A526+1),C526),0))&gt;ROUND(G525*1.25,0),NOT(FALSE)),"・上限適用",""))</f>
        <v/>
      </c>
      <c r="Q526" s="35" t="str">
        <f>IF(AND(T525="",A526&lt;=S525),入力!$B$13,"")</f>
        <v/>
      </c>
      <c r="R526" s="32" t="str">
        <f>IF(AND(AND(T525="",A526&lt;=S525),OR(AND(入力!$B$13="有効",A526&gt;1,MOD(A526-1,60)=0),AND(A526=入力!$B$11,A526&gt;1)),入力!$B$14="有効"),ROUND(G525*1.25,0),"")</f>
        <v/>
      </c>
      <c r="S526" s="36">
        <f>IF(A526&lt;&gt;入力!$B$15,S525,IF(K526&lt;&gt;0,S525,IF(G526&lt;=F526,S525,IF(M526&lt;=0,S525,IF(AND(N526&gt;0,E526&gt;0,G526&lt;=N526*E526/12),S525,IF(A526+IF(N526=0,0,IF(E526=0,ROUNDUP(N526/G526,0),ROUNDUP(NPER(E526/12,-G526,N526),0)))&lt;S525,A526+IF(N526=0,0,IF(E526=0,ROUNDUP(N526/G526,0),ROUNDUP(NPER(E526/12,-G526,N526),0))),S525))))))</f>
        <v>359</v>
      </c>
      <c r="T526" s="35" t="str">
        <f t="shared" si="143"/>
        <v/>
      </c>
      <c r="U526" s="3">
        <f t="shared" si="128"/>
        <v>0</v>
      </c>
      <c r="V526" s="3">
        <f t="shared" si="129"/>
        <v>0</v>
      </c>
      <c r="W526" s="3">
        <f t="shared" si="130"/>
        <v>0</v>
      </c>
      <c r="X526" s="3">
        <f t="shared" si="131"/>
        <v>0</v>
      </c>
      <c r="Y526" s="3">
        <f>0</f>
        <v>0</v>
      </c>
      <c r="Z526" s="3">
        <f t="shared" si="132"/>
        <v>0</v>
      </c>
      <c r="AA526">
        <f>ROUND(IF(FALSE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,0)</f>
        <v>0</v>
      </c>
    </row>
    <row r="527" spans="1:27">
      <c r="A527" s="30">
        <f>522</f>
        <v>522</v>
      </c>
      <c r="B527" s="31">
        <f>EDATE(入力!$B$6,A527-1)</f>
        <v>62094</v>
      </c>
      <c r="C527" s="32">
        <f t="shared" si="133"/>
        <v>0</v>
      </c>
      <c r="D527" s="32">
        <f t="shared" si="134"/>
        <v>0</v>
      </c>
      <c r="E527" s="33">
        <f>IF(AND(T526="",A527&lt;=S526),IF(A527&lt;入力!$B$11,入力!$B$10,入力!$B$12),0)</f>
        <v>0</v>
      </c>
      <c r="F527" s="32">
        <f t="shared" si="135"/>
        <v>0</v>
      </c>
      <c r="G527" s="32">
        <f>ROUND(IF(NOT(AND(T526="",A527&lt;=S526)),0,IF(FALSE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),0)</f>
        <v>0</v>
      </c>
      <c r="H527" s="32">
        <f t="shared" si="136"/>
        <v>0</v>
      </c>
      <c r="I527" s="32">
        <f t="shared" si="137"/>
        <v>0</v>
      </c>
      <c r="J527" s="32">
        <f t="shared" si="138"/>
        <v>0</v>
      </c>
      <c r="K527" s="32">
        <f t="shared" si="139"/>
        <v>0</v>
      </c>
      <c r="L527" s="32">
        <f t="shared" si="140"/>
        <v>0</v>
      </c>
      <c r="M527" s="32">
        <f>IF(AND(AND(T526="",A527&lt;=S526),A527=入力!$B$15),ROUND(MIN(入力!$B$16,MAX(0,C527-L527)),0),0)</f>
        <v>0</v>
      </c>
      <c r="N527" s="32">
        <f t="shared" si="141"/>
        <v>0</v>
      </c>
      <c r="O527" s="32">
        <f t="shared" si="142"/>
        <v>10725103</v>
      </c>
      <c r="P527" s="34" t="str">
        <f>IF(NOT(AND(T526="",A527&lt;=S526)),"",IF(FALSE,"繰上返済後再計算","")&amp;IF(AND(入力!$B$13="有効",A527&gt;1,MOD(A527-1,60)=0),IF(FALSE,"・","")&amp;"5年見直し","")&amp;IF(AND(A527=入力!$B$11,A527&gt;1),IF(OR(FALSE,AND(入力!$B$13="有効",A527&gt;1,MOD(A527-1,60)=0)),"・","")&amp;"金利変更","")&amp;IF(AND(OR(AND(入力!$B$13="有効",A527&gt;1,MOD(A527-1,60)=0),AND(A527=入力!$B$11,A527&gt;1)),入力!$B$14="有効",IF(E527=0,ROUND(C527/MAX(1,S526-A527+1),0),ROUND(-PMT(E527/12,MAX(1,S526-A527+1),C527),0))&gt;ROUND(G526*1.25,0),NOT(FALSE)),"・上限適用",""))</f>
        <v/>
      </c>
      <c r="Q527" s="35" t="str">
        <f>IF(AND(T526="",A527&lt;=S526),入力!$B$13,"")</f>
        <v/>
      </c>
      <c r="R527" s="32" t="str">
        <f>IF(AND(AND(T526="",A527&lt;=S526),OR(AND(入力!$B$13="有効",A527&gt;1,MOD(A527-1,60)=0),AND(A527=入力!$B$11,A527&gt;1)),入力!$B$14="有効"),ROUND(G526*1.25,0),"")</f>
        <v/>
      </c>
      <c r="S527" s="36">
        <f>IF(A527&lt;&gt;入力!$B$15,S526,IF(K527&lt;&gt;0,S526,IF(G527&lt;=F527,S526,IF(M527&lt;=0,S526,IF(AND(N527&gt;0,E527&gt;0,G527&lt;=N527*E527/12),S526,IF(A527+IF(N527=0,0,IF(E527=0,ROUNDUP(N527/G527,0),ROUNDUP(NPER(E527/12,-G527,N527),0)))&lt;S526,A527+IF(N527=0,0,IF(E527=0,ROUNDUP(N527/G527,0),ROUNDUP(NPER(E527/12,-G527,N527),0))),S526))))))</f>
        <v>359</v>
      </c>
      <c r="T527" s="35" t="str">
        <f t="shared" si="143"/>
        <v/>
      </c>
      <c r="U527" s="3">
        <f t="shared" si="128"/>
        <v>0</v>
      </c>
      <c r="V527" s="3">
        <f t="shared" si="129"/>
        <v>0</v>
      </c>
      <c r="W527" s="3">
        <f t="shared" si="130"/>
        <v>0</v>
      </c>
      <c r="X527" s="3">
        <f t="shared" si="131"/>
        <v>0</v>
      </c>
      <c r="Y527" s="3">
        <f>0</f>
        <v>0</v>
      </c>
      <c r="Z527" s="3">
        <f t="shared" si="132"/>
        <v>0</v>
      </c>
      <c r="AA527">
        <f>ROUND(IF(FALSE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,0)</f>
        <v>0</v>
      </c>
    </row>
    <row r="528" spans="1:27">
      <c r="A528" s="30">
        <f>523</f>
        <v>523</v>
      </c>
      <c r="B528" s="31">
        <f>EDATE(入力!$B$6,A528-1)</f>
        <v>62125</v>
      </c>
      <c r="C528" s="32">
        <f t="shared" si="133"/>
        <v>0</v>
      </c>
      <c r="D528" s="32">
        <f t="shared" si="134"/>
        <v>0</v>
      </c>
      <c r="E528" s="33">
        <f>IF(AND(T527="",A528&lt;=S527),IF(A528&lt;入力!$B$11,入力!$B$10,入力!$B$12),0)</f>
        <v>0</v>
      </c>
      <c r="F528" s="32">
        <f t="shared" si="135"/>
        <v>0</v>
      </c>
      <c r="G528" s="32">
        <f>ROUND(IF(NOT(AND(T527="",A528&lt;=S527)),0,IF(FALSE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),0)</f>
        <v>0</v>
      </c>
      <c r="H528" s="32">
        <f t="shared" si="136"/>
        <v>0</v>
      </c>
      <c r="I528" s="32">
        <f t="shared" si="137"/>
        <v>0</v>
      </c>
      <c r="J528" s="32">
        <f t="shared" si="138"/>
        <v>0</v>
      </c>
      <c r="K528" s="32">
        <f t="shared" si="139"/>
        <v>0</v>
      </c>
      <c r="L528" s="32">
        <f t="shared" si="140"/>
        <v>0</v>
      </c>
      <c r="M528" s="32">
        <f>IF(AND(AND(T527="",A528&lt;=S527),A528=入力!$B$15),ROUND(MIN(入力!$B$16,MAX(0,C528-L528)),0),0)</f>
        <v>0</v>
      </c>
      <c r="N528" s="32">
        <f t="shared" si="141"/>
        <v>0</v>
      </c>
      <c r="O528" s="32">
        <f t="shared" si="142"/>
        <v>10725103</v>
      </c>
      <c r="P528" s="34" t="str">
        <f>IF(NOT(AND(T527="",A528&lt;=S527)),"",IF(FALSE,"繰上返済後再計算","")&amp;IF(AND(入力!$B$13="有効",A528&gt;1,MOD(A528-1,60)=0),IF(FALSE,"・","")&amp;"5年見直し","")&amp;IF(AND(A528=入力!$B$11,A528&gt;1),IF(OR(FALSE,AND(入力!$B$13="有効",A528&gt;1,MOD(A528-1,60)=0)),"・","")&amp;"金利変更","")&amp;IF(AND(OR(AND(入力!$B$13="有効",A528&gt;1,MOD(A528-1,60)=0),AND(A528=入力!$B$11,A528&gt;1)),入力!$B$14="有効",IF(E528=0,ROUND(C528/MAX(1,S527-A528+1),0),ROUND(-PMT(E528/12,MAX(1,S527-A528+1),C528),0))&gt;ROUND(G527*1.25,0),NOT(FALSE)),"・上限適用",""))</f>
        <v/>
      </c>
      <c r="Q528" s="35" t="str">
        <f>IF(AND(T527="",A528&lt;=S527),入力!$B$13,"")</f>
        <v/>
      </c>
      <c r="R528" s="32" t="str">
        <f>IF(AND(AND(T527="",A528&lt;=S527),OR(AND(入力!$B$13="有効",A528&gt;1,MOD(A528-1,60)=0),AND(A528=入力!$B$11,A528&gt;1)),入力!$B$14="有効"),ROUND(G527*1.25,0),"")</f>
        <v/>
      </c>
      <c r="S528" s="36">
        <f>IF(A528&lt;&gt;入力!$B$15,S527,IF(K528&lt;&gt;0,S527,IF(G528&lt;=F528,S527,IF(M528&lt;=0,S527,IF(AND(N528&gt;0,E528&gt;0,G528&lt;=N528*E528/12),S527,IF(A528+IF(N528=0,0,IF(E528=0,ROUNDUP(N528/G528,0),ROUNDUP(NPER(E528/12,-G528,N528),0)))&lt;S527,A528+IF(N528=0,0,IF(E528=0,ROUNDUP(N528/G528,0),ROUNDUP(NPER(E528/12,-G528,N528),0))),S527))))))</f>
        <v>359</v>
      </c>
      <c r="T528" s="35" t="str">
        <f t="shared" si="143"/>
        <v/>
      </c>
      <c r="U528" s="3">
        <f t="shared" si="128"/>
        <v>0</v>
      </c>
      <c r="V528" s="3">
        <f t="shared" si="129"/>
        <v>0</v>
      </c>
      <c r="W528" s="3">
        <f t="shared" si="130"/>
        <v>0</v>
      </c>
      <c r="X528" s="3">
        <f t="shared" si="131"/>
        <v>0</v>
      </c>
      <c r="Y528" s="3">
        <f>0</f>
        <v>0</v>
      </c>
      <c r="Z528" s="3">
        <f t="shared" si="132"/>
        <v>0</v>
      </c>
      <c r="AA528">
        <f>ROUND(IF(FALSE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,0)</f>
        <v>0</v>
      </c>
    </row>
    <row r="529" spans="1:27">
      <c r="A529" s="30">
        <f>524</f>
        <v>524</v>
      </c>
      <c r="B529" s="31">
        <f>EDATE(入力!$B$6,A529-1)</f>
        <v>62153</v>
      </c>
      <c r="C529" s="32">
        <f t="shared" si="133"/>
        <v>0</v>
      </c>
      <c r="D529" s="32">
        <f t="shared" si="134"/>
        <v>0</v>
      </c>
      <c r="E529" s="33">
        <f>IF(AND(T528="",A529&lt;=S528),IF(A529&lt;入力!$B$11,入力!$B$10,入力!$B$12),0)</f>
        <v>0</v>
      </c>
      <c r="F529" s="32">
        <f t="shared" si="135"/>
        <v>0</v>
      </c>
      <c r="G529" s="32">
        <f>ROUND(IF(NOT(AND(T528="",A529&lt;=S528)),0,IF(FALSE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),0)</f>
        <v>0</v>
      </c>
      <c r="H529" s="32">
        <f t="shared" si="136"/>
        <v>0</v>
      </c>
      <c r="I529" s="32">
        <f t="shared" si="137"/>
        <v>0</v>
      </c>
      <c r="J529" s="32">
        <f t="shared" si="138"/>
        <v>0</v>
      </c>
      <c r="K529" s="32">
        <f t="shared" si="139"/>
        <v>0</v>
      </c>
      <c r="L529" s="32">
        <f t="shared" si="140"/>
        <v>0</v>
      </c>
      <c r="M529" s="32">
        <f>IF(AND(AND(T528="",A529&lt;=S528),A529=入力!$B$15),ROUND(MIN(入力!$B$16,MAX(0,C529-L529)),0),0)</f>
        <v>0</v>
      </c>
      <c r="N529" s="32">
        <f t="shared" si="141"/>
        <v>0</v>
      </c>
      <c r="O529" s="32">
        <f t="shared" si="142"/>
        <v>10725103</v>
      </c>
      <c r="P529" s="34" t="str">
        <f>IF(NOT(AND(T528="",A529&lt;=S528)),"",IF(FALSE,"繰上返済後再計算","")&amp;IF(AND(入力!$B$13="有効",A529&gt;1,MOD(A529-1,60)=0),IF(FALSE,"・","")&amp;"5年見直し","")&amp;IF(AND(A529=入力!$B$11,A529&gt;1),IF(OR(FALSE,AND(入力!$B$13="有効",A529&gt;1,MOD(A529-1,60)=0)),"・","")&amp;"金利変更","")&amp;IF(AND(OR(AND(入力!$B$13="有効",A529&gt;1,MOD(A529-1,60)=0),AND(A529=入力!$B$11,A529&gt;1)),入力!$B$14="有効",IF(E529=0,ROUND(C529/MAX(1,S528-A529+1),0),ROUND(-PMT(E529/12,MAX(1,S528-A529+1),C529),0))&gt;ROUND(G528*1.25,0),NOT(FALSE)),"・上限適用",""))</f>
        <v/>
      </c>
      <c r="Q529" s="35" t="str">
        <f>IF(AND(T528="",A529&lt;=S528),入力!$B$13,"")</f>
        <v/>
      </c>
      <c r="R529" s="32" t="str">
        <f>IF(AND(AND(T528="",A529&lt;=S528),OR(AND(入力!$B$13="有効",A529&gt;1,MOD(A529-1,60)=0),AND(A529=入力!$B$11,A529&gt;1)),入力!$B$14="有効"),ROUND(G528*1.25,0),"")</f>
        <v/>
      </c>
      <c r="S529" s="36">
        <f>IF(A529&lt;&gt;入力!$B$15,S528,IF(K529&lt;&gt;0,S528,IF(G529&lt;=F529,S528,IF(M529&lt;=0,S528,IF(AND(N529&gt;0,E529&gt;0,G529&lt;=N529*E529/12),S528,IF(A529+IF(N529=0,0,IF(E529=0,ROUNDUP(N529/G529,0),ROUNDUP(NPER(E529/12,-G529,N529),0)))&lt;S528,A529+IF(N529=0,0,IF(E529=0,ROUNDUP(N529/G529,0),ROUNDUP(NPER(E529/12,-G529,N529),0))),S528))))))</f>
        <v>359</v>
      </c>
      <c r="T529" s="35" t="str">
        <f t="shared" si="143"/>
        <v/>
      </c>
      <c r="U529" s="3">
        <f t="shared" si="128"/>
        <v>0</v>
      </c>
      <c r="V529" s="3">
        <f t="shared" si="129"/>
        <v>0</v>
      </c>
      <c r="W529" s="3">
        <f t="shared" si="130"/>
        <v>0</v>
      </c>
      <c r="X529" s="3">
        <f t="shared" si="131"/>
        <v>0</v>
      </c>
      <c r="Y529" s="3">
        <f>0</f>
        <v>0</v>
      </c>
      <c r="Z529" s="3">
        <f t="shared" si="132"/>
        <v>0</v>
      </c>
      <c r="AA529">
        <f>ROUND(IF(FALSE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,0)</f>
        <v>0</v>
      </c>
    </row>
    <row r="530" spans="1:27">
      <c r="A530" s="30">
        <f>525</f>
        <v>525</v>
      </c>
      <c r="B530" s="31">
        <f>EDATE(入力!$B$6,A530-1)</f>
        <v>62184</v>
      </c>
      <c r="C530" s="32">
        <f t="shared" si="133"/>
        <v>0</v>
      </c>
      <c r="D530" s="32">
        <f t="shared" si="134"/>
        <v>0</v>
      </c>
      <c r="E530" s="33">
        <f>IF(AND(T529="",A530&lt;=S529),IF(A530&lt;入力!$B$11,入力!$B$10,入力!$B$12),0)</f>
        <v>0</v>
      </c>
      <c r="F530" s="32">
        <f t="shared" si="135"/>
        <v>0</v>
      </c>
      <c r="G530" s="32">
        <f>ROUND(IF(NOT(AND(T529="",A530&lt;=S529)),0,IF(FALSE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),0)</f>
        <v>0</v>
      </c>
      <c r="H530" s="32">
        <f t="shared" si="136"/>
        <v>0</v>
      </c>
      <c r="I530" s="32">
        <f t="shared" si="137"/>
        <v>0</v>
      </c>
      <c r="J530" s="32">
        <f t="shared" si="138"/>
        <v>0</v>
      </c>
      <c r="K530" s="32">
        <f t="shared" si="139"/>
        <v>0</v>
      </c>
      <c r="L530" s="32">
        <f t="shared" si="140"/>
        <v>0</v>
      </c>
      <c r="M530" s="32">
        <f>IF(AND(AND(T529="",A530&lt;=S529),A530=入力!$B$15),ROUND(MIN(入力!$B$16,MAX(0,C530-L530)),0),0)</f>
        <v>0</v>
      </c>
      <c r="N530" s="32">
        <f t="shared" si="141"/>
        <v>0</v>
      </c>
      <c r="O530" s="32">
        <f t="shared" si="142"/>
        <v>10725103</v>
      </c>
      <c r="P530" s="34" t="str">
        <f>IF(NOT(AND(T529="",A530&lt;=S529)),"",IF(FALSE,"繰上返済後再計算","")&amp;IF(AND(入力!$B$13="有効",A530&gt;1,MOD(A530-1,60)=0),IF(FALSE,"・","")&amp;"5年見直し","")&amp;IF(AND(A530=入力!$B$11,A530&gt;1),IF(OR(FALSE,AND(入力!$B$13="有効",A530&gt;1,MOD(A530-1,60)=0)),"・","")&amp;"金利変更","")&amp;IF(AND(OR(AND(入力!$B$13="有効",A530&gt;1,MOD(A530-1,60)=0),AND(A530=入力!$B$11,A530&gt;1)),入力!$B$14="有効",IF(E530=0,ROUND(C530/MAX(1,S529-A530+1),0),ROUND(-PMT(E530/12,MAX(1,S529-A530+1),C530),0))&gt;ROUND(G529*1.25,0),NOT(FALSE)),"・上限適用",""))</f>
        <v/>
      </c>
      <c r="Q530" s="35" t="str">
        <f>IF(AND(T529="",A530&lt;=S529),入力!$B$13,"")</f>
        <v/>
      </c>
      <c r="R530" s="32" t="str">
        <f>IF(AND(AND(T529="",A530&lt;=S529),OR(AND(入力!$B$13="有効",A530&gt;1,MOD(A530-1,60)=0),AND(A530=入力!$B$11,A530&gt;1)),入力!$B$14="有効"),ROUND(G529*1.25,0),"")</f>
        <v/>
      </c>
      <c r="S530" s="36">
        <f>IF(A530&lt;&gt;入力!$B$15,S529,IF(K530&lt;&gt;0,S529,IF(G530&lt;=F530,S529,IF(M530&lt;=0,S529,IF(AND(N530&gt;0,E530&gt;0,G530&lt;=N530*E530/12),S529,IF(A530+IF(N530=0,0,IF(E530=0,ROUNDUP(N530/G530,0),ROUNDUP(NPER(E530/12,-G530,N530),0)))&lt;S529,A530+IF(N530=0,0,IF(E530=0,ROUNDUP(N530/G530,0),ROUNDUP(NPER(E530/12,-G530,N530),0))),S529))))))</f>
        <v>359</v>
      </c>
      <c r="T530" s="35" t="str">
        <f t="shared" si="143"/>
        <v/>
      </c>
      <c r="U530" s="3">
        <f t="shared" si="128"/>
        <v>0</v>
      </c>
      <c r="V530" s="3">
        <f t="shared" si="129"/>
        <v>0</v>
      </c>
      <c r="W530" s="3">
        <f t="shared" si="130"/>
        <v>0</v>
      </c>
      <c r="X530" s="3">
        <f t="shared" si="131"/>
        <v>0</v>
      </c>
      <c r="Y530" s="3">
        <f>0</f>
        <v>0</v>
      </c>
      <c r="Z530" s="3">
        <f t="shared" si="132"/>
        <v>0</v>
      </c>
      <c r="AA530">
        <f>ROUND(IF(FALSE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,0)</f>
        <v>0</v>
      </c>
    </row>
    <row r="531" spans="1:27">
      <c r="A531" s="30">
        <f>526</f>
        <v>526</v>
      </c>
      <c r="B531" s="31">
        <f>EDATE(入力!$B$6,A531-1)</f>
        <v>62214</v>
      </c>
      <c r="C531" s="32">
        <f t="shared" si="133"/>
        <v>0</v>
      </c>
      <c r="D531" s="32">
        <f t="shared" si="134"/>
        <v>0</v>
      </c>
      <c r="E531" s="33">
        <f>IF(AND(T530="",A531&lt;=S530),IF(A531&lt;入力!$B$11,入力!$B$10,入力!$B$12),0)</f>
        <v>0</v>
      </c>
      <c r="F531" s="32">
        <f t="shared" si="135"/>
        <v>0</v>
      </c>
      <c r="G531" s="32">
        <f>ROUND(IF(NOT(AND(T530="",A531&lt;=S530)),0,IF(FALSE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),0)</f>
        <v>0</v>
      </c>
      <c r="H531" s="32">
        <f t="shared" si="136"/>
        <v>0</v>
      </c>
      <c r="I531" s="32">
        <f t="shared" si="137"/>
        <v>0</v>
      </c>
      <c r="J531" s="32">
        <f t="shared" si="138"/>
        <v>0</v>
      </c>
      <c r="K531" s="32">
        <f t="shared" si="139"/>
        <v>0</v>
      </c>
      <c r="L531" s="32">
        <f t="shared" si="140"/>
        <v>0</v>
      </c>
      <c r="M531" s="32">
        <f>IF(AND(AND(T530="",A531&lt;=S530),A531=入力!$B$15),ROUND(MIN(入力!$B$16,MAX(0,C531-L531)),0),0)</f>
        <v>0</v>
      </c>
      <c r="N531" s="32">
        <f t="shared" si="141"/>
        <v>0</v>
      </c>
      <c r="O531" s="32">
        <f t="shared" si="142"/>
        <v>10725103</v>
      </c>
      <c r="P531" s="34" t="str">
        <f>IF(NOT(AND(T530="",A531&lt;=S530)),"",IF(FALSE,"繰上返済後再計算","")&amp;IF(AND(入力!$B$13="有効",A531&gt;1,MOD(A531-1,60)=0),IF(FALSE,"・","")&amp;"5年見直し","")&amp;IF(AND(A531=入力!$B$11,A531&gt;1),IF(OR(FALSE,AND(入力!$B$13="有効",A531&gt;1,MOD(A531-1,60)=0)),"・","")&amp;"金利変更","")&amp;IF(AND(OR(AND(入力!$B$13="有効",A531&gt;1,MOD(A531-1,60)=0),AND(A531=入力!$B$11,A531&gt;1)),入力!$B$14="有効",IF(E531=0,ROUND(C531/MAX(1,S530-A531+1),0),ROUND(-PMT(E531/12,MAX(1,S530-A531+1),C531),0))&gt;ROUND(G530*1.25,0),NOT(FALSE)),"・上限適用",""))</f>
        <v/>
      </c>
      <c r="Q531" s="35" t="str">
        <f>IF(AND(T530="",A531&lt;=S530),入力!$B$13,"")</f>
        <v/>
      </c>
      <c r="R531" s="32" t="str">
        <f>IF(AND(AND(T530="",A531&lt;=S530),OR(AND(入力!$B$13="有効",A531&gt;1,MOD(A531-1,60)=0),AND(A531=入力!$B$11,A531&gt;1)),入力!$B$14="有効"),ROUND(G530*1.25,0),"")</f>
        <v/>
      </c>
      <c r="S531" s="36">
        <f>IF(A531&lt;&gt;入力!$B$15,S530,IF(K531&lt;&gt;0,S530,IF(G531&lt;=F531,S530,IF(M531&lt;=0,S530,IF(AND(N531&gt;0,E531&gt;0,G531&lt;=N531*E531/12),S530,IF(A531+IF(N531=0,0,IF(E531=0,ROUNDUP(N531/G531,0),ROUNDUP(NPER(E531/12,-G531,N531),0)))&lt;S530,A531+IF(N531=0,0,IF(E531=0,ROUNDUP(N531/G531,0),ROUNDUP(NPER(E531/12,-G531,N531),0))),S530))))))</f>
        <v>359</v>
      </c>
      <c r="T531" s="35" t="str">
        <f t="shared" si="143"/>
        <v/>
      </c>
      <c r="U531" s="3">
        <f t="shared" si="128"/>
        <v>0</v>
      </c>
      <c r="V531" s="3">
        <f t="shared" si="129"/>
        <v>0</v>
      </c>
      <c r="W531" s="3">
        <f t="shared" si="130"/>
        <v>0</v>
      </c>
      <c r="X531" s="3">
        <f t="shared" si="131"/>
        <v>0</v>
      </c>
      <c r="Y531" s="3">
        <f>0</f>
        <v>0</v>
      </c>
      <c r="Z531" s="3">
        <f t="shared" si="132"/>
        <v>0</v>
      </c>
      <c r="AA531">
        <f>ROUND(IF(FALSE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,0)</f>
        <v>0</v>
      </c>
    </row>
    <row r="532" spans="1:27">
      <c r="A532" s="30">
        <f>527</f>
        <v>527</v>
      </c>
      <c r="B532" s="31">
        <f>EDATE(入力!$B$6,A532-1)</f>
        <v>62245</v>
      </c>
      <c r="C532" s="32">
        <f t="shared" si="133"/>
        <v>0</v>
      </c>
      <c r="D532" s="32">
        <f t="shared" si="134"/>
        <v>0</v>
      </c>
      <c r="E532" s="33">
        <f>IF(AND(T531="",A532&lt;=S531),IF(A532&lt;入力!$B$11,入力!$B$10,入力!$B$12),0)</f>
        <v>0</v>
      </c>
      <c r="F532" s="32">
        <f t="shared" si="135"/>
        <v>0</v>
      </c>
      <c r="G532" s="32">
        <f>ROUND(IF(NOT(AND(T531="",A532&lt;=S531)),0,IF(FALSE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),0)</f>
        <v>0</v>
      </c>
      <c r="H532" s="32">
        <f t="shared" si="136"/>
        <v>0</v>
      </c>
      <c r="I532" s="32">
        <f t="shared" si="137"/>
        <v>0</v>
      </c>
      <c r="J532" s="32">
        <f t="shared" si="138"/>
        <v>0</v>
      </c>
      <c r="K532" s="32">
        <f t="shared" si="139"/>
        <v>0</v>
      </c>
      <c r="L532" s="32">
        <f t="shared" si="140"/>
        <v>0</v>
      </c>
      <c r="M532" s="32">
        <f>IF(AND(AND(T531="",A532&lt;=S531),A532=入力!$B$15),ROUND(MIN(入力!$B$16,MAX(0,C532-L532)),0),0)</f>
        <v>0</v>
      </c>
      <c r="N532" s="32">
        <f t="shared" si="141"/>
        <v>0</v>
      </c>
      <c r="O532" s="32">
        <f t="shared" si="142"/>
        <v>10725103</v>
      </c>
      <c r="P532" s="34" t="str">
        <f>IF(NOT(AND(T531="",A532&lt;=S531)),"",IF(FALSE,"繰上返済後再計算","")&amp;IF(AND(入力!$B$13="有効",A532&gt;1,MOD(A532-1,60)=0),IF(FALSE,"・","")&amp;"5年見直し","")&amp;IF(AND(A532=入力!$B$11,A532&gt;1),IF(OR(FALSE,AND(入力!$B$13="有効",A532&gt;1,MOD(A532-1,60)=0)),"・","")&amp;"金利変更","")&amp;IF(AND(OR(AND(入力!$B$13="有効",A532&gt;1,MOD(A532-1,60)=0),AND(A532=入力!$B$11,A532&gt;1)),入力!$B$14="有効",IF(E532=0,ROUND(C532/MAX(1,S531-A532+1),0),ROUND(-PMT(E532/12,MAX(1,S531-A532+1),C532),0))&gt;ROUND(G531*1.25,0),NOT(FALSE)),"・上限適用",""))</f>
        <v/>
      </c>
      <c r="Q532" s="35" t="str">
        <f>IF(AND(T531="",A532&lt;=S531),入力!$B$13,"")</f>
        <v/>
      </c>
      <c r="R532" s="32" t="str">
        <f>IF(AND(AND(T531="",A532&lt;=S531),OR(AND(入力!$B$13="有効",A532&gt;1,MOD(A532-1,60)=0),AND(A532=入力!$B$11,A532&gt;1)),入力!$B$14="有効"),ROUND(G531*1.25,0),"")</f>
        <v/>
      </c>
      <c r="S532" s="36">
        <f>IF(A532&lt;&gt;入力!$B$15,S531,IF(K532&lt;&gt;0,S531,IF(G532&lt;=F532,S531,IF(M532&lt;=0,S531,IF(AND(N532&gt;0,E532&gt;0,G532&lt;=N532*E532/12),S531,IF(A532+IF(N532=0,0,IF(E532=0,ROUNDUP(N532/G532,0),ROUNDUP(NPER(E532/12,-G532,N532),0)))&lt;S531,A532+IF(N532=0,0,IF(E532=0,ROUNDUP(N532/G532,0),ROUNDUP(NPER(E532/12,-G532,N532),0))),S531))))))</f>
        <v>359</v>
      </c>
      <c r="T532" s="35" t="str">
        <f t="shared" si="143"/>
        <v/>
      </c>
      <c r="U532" s="3">
        <f t="shared" si="128"/>
        <v>0</v>
      </c>
      <c r="V532" s="3">
        <f t="shared" si="129"/>
        <v>0</v>
      </c>
      <c r="W532" s="3">
        <f t="shared" si="130"/>
        <v>0</v>
      </c>
      <c r="X532" s="3">
        <f t="shared" si="131"/>
        <v>0</v>
      </c>
      <c r="Y532" s="3">
        <f>0</f>
        <v>0</v>
      </c>
      <c r="Z532" s="3">
        <f t="shared" si="132"/>
        <v>0</v>
      </c>
      <c r="AA532">
        <f>ROUND(IF(FALSE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,0)</f>
        <v>0</v>
      </c>
    </row>
    <row r="533" spans="1:27">
      <c r="A533" s="30">
        <f>528</f>
        <v>528</v>
      </c>
      <c r="B533" s="31">
        <f>EDATE(入力!$B$6,A533-1)</f>
        <v>62275</v>
      </c>
      <c r="C533" s="32">
        <f t="shared" si="133"/>
        <v>0</v>
      </c>
      <c r="D533" s="32">
        <f t="shared" si="134"/>
        <v>0</v>
      </c>
      <c r="E533" s="33">
        <f>IF(AND(T532="",A533&lt;=S532),IF(A533&lt;入力!$B$11,入力!$B$10,入力!$B$12),0)</f>
        <v>0</v>
      </c>
      <c r="F533" s="32">
        <f t="shared" si="135"/>
        <v>0</v>
      </c>
      <c r="G533" s="32">
        <f>ROUND(IF(NOT(AND(T532="",A533&lt;=S532)),0,IF(FALSE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),0)</f>
        <v>0</v>
      </c>
      <c r="H533" s="32">
        <f t="shared" si="136"/>
        <v>0</v>
      </c>
      <c r="I533" s="32">
        <f t="shared" si="137"/>
        <v>0</v>
      </c>
      <c r="J533" s="32">
        <f t="shared" si="138"/>
        <v>0</v>
      </c>
      <c r="K533" s="32">
        <f t="shared" si="139"/>
        <v>0</v>
      </c>
      <c r="L533" s="32">
        <f t="shared" si="140"/>
        <v>0</v>
      </c>
      <c r="M533" s="32">
        <f>IF(AND(AND(T532="",A533&lt;=S532),A533=入力!$B$15),ROUND(MIN(入力!$B$16,MAX(0,C533-L533)),0),0)</f>
        <v>0</v>
      </c>
      <c r="N533" s="32">
        <f t="shared" si="141"/>
        <v>0</v>
      </c>
      <c r="O533" s="32">
        <f t="shared" si="142"/>
        <v>10725103</v>
      </c>
      <c r="P533" s="34" t="str">
        <f>IF(NOT(AND(T532="",A533&lt;=S532)),"",IF(FALSE,"繰上返済後再計算","")&amp;IF(AND(入力!$B$13="有効",A533&gt;1,MOD(A533-1,60)=0),IF(FALSE,"・","")&amp;"5年見直し","")&amp;IF(AND(A533=入力!$B$11,A533&gt;1),IF(OR(FALSE,AND(入力!$B$13="有効",A533&gt;1,MOD(A533-1,60)=0)),"・","")&amp;"金利変更","")&amp;IF(AND(OR(AND(入力!$B$13="有効",A533&gt;1,MOD(A533-1,60)=0),AND(A533=入力!$B$11,A533&gt;1)),入力!$B$14="有効",IF(E533=0,ROUND(C533/MAX(1,S532-A533+1),0),ROUND(-PMT(E533/12,MAX(1,S532-A533+1),C533),0))&gt;ROUND(G532*1.25,0),NOT(FALSE)),"・上限適用",""))</f>
        <v/>
      </c>
      <c r="Q533" s="35" t="str">
        <f>IF(AND(T532="",A533&lt;=S532),入力!$B$13,"")</f>
        <v/>
      </c>
      <c r="R533" s="32" t="str">
        <f>IF(AND(AND(T532="",A533&lt;=S532),OR(AND(入力!$B$13="有効",A533&gt;1,MOD(A533-1,60)=0),AND(A533=入力!$B$11,A533&gt;1)),入力!$B$14="有効"),ROUND(G532*1.25,0),"")</f>
        <v/>
      </c>
      <c r="S533" s="36">
        <f>IF(A533&lt;&gt;入力!$B$15,S532,IF(K533&lt;&gt;0,S532,IF(G533&lt;=F533,S532,IF(M533&lt;=0,S532,IF(AND(N533&gt;0,E533&gt;0,G533&lt;=N533*E533/12),S532,IF(A533+IF(N533=0,0,IF(E533=0,ROUNDUP(N533/G533,0),ROUNDUP(NPER(E533/12,-G533,N533),0)))&lt;S532,A533+IF(N533=0,0,IF(E533=0,ROUNDUP(N533/G533,0),ROUNDUP(NPER(E533/12,-G533,N533),0))),S532))))))</f>
        <v>359</v>
      </c>
      <c r="T533" s="35" t="str">
        <f t="shared" si="143"/>
        <v/>
      </c>
      <c r="U533" s="3">
        <f t="shared" si="128"/>
        <v>0</v>
      </c>
      <c r="V533" s="3">
        <f t="shared" si="129"/>
        <v>0</v>
      </c>
      <c r="W533" s="3">
        <f t="shared" si="130"/>
        <v>0</v>
      </c>
      <c r="X533" s="3">
        <f t="shared" si="131"/>
        <v>0</v>
      </c>
      <c r="Y533" s="3">
        <f>0</f>
        <v>0</v>
      </c>
      <c r="Z533" s="3">
        <f t="shared" si="132"/>
        <v>0</v>
      </c>
      <c r="AA533">
        <f>ROUND(IF(FALSE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,0)</f>
        <v>0</v>
      </c>
    </row>
    <row r="534" spans="1:27">
      <c r="A534" s="30">
        <f>529</f>
        <v>529</v>
      </c>
      <c r="B534" s="31">
        <f>EDATE(入力!$B$6,A534-1)</f>
        <v>62306</v>
      </c>
      <c r="C534" s="32">
        <f t="shared" si="133"/>
        <v>0</v>
      </c>
      <c r="D534" s="32">
        <f t="shared" si="134"/>
        <v>0</v>
      </c>
      <c r="E534" s="33">
        <f>IF(AND(T533="",A534&lt;=S533),IF(A534&lt;入力!$B$11,入力!$B$10,入力!$B$12),0)</f>
        <v>0</v>
      </c>
      <c r="F534" s="32">
        <f t="shared" si="135"/>
        <v>0</v>
      </c>
      <c r="G534" s="32">
        <f>ROUND(IF(NOT(AND(T533="",A534&lt;=S533)),0,IF(FALSE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),0)</f>
        <v>0</v>
      </c>
      <c r="H534" s="32">
        <f t="shared" si="136"/>
        <v>0</v>
      </c>
      <c r="I534" s="32">
        <f t="shared" si="137"/>
        <v>0</v>
      </c>
      <c r="J534" s="32">
        <f t="shared" si="138"/>
        <v>0</v>
      </c>
      <c r="K534" s="32">
        <f t="shared" si="139"/>
        <v>0</v>
      </c>
      <c r="L534" s="32">
        <f t="shared" si="140"/>
        <v>0</v>
      </c>
      <c r="M534" s="32">
        <f>IF(AND(AND(T533="",A534&lt;=S533),A534=入力!$B$15),ROUND(MIN(入力!$B$16,MAX(0,C534-L534)),0),0)</f>
        <v>0</v>
      </c>
      <c r="N534" s="32">
        <f t="shared" si="141"/>
        <v>0</v>
      </c>
      <c r="O534" s="32">
        <f t="shared" si="142"/>
        <v>10725103</v>
      </c>
      <c r="P534" s="34" t="str">
        <f>IF(NOT(AND(T533="",A534&lt;=S533)),"",IF(FALSE,"繰上返済後再計算","")&amp;IF(AND(入力!$B$13="有効",A534&gt;1,MOD(A534-1,60)=0),IF(FALSE,"・","")&amp;"5年見直し","")&amp;IF(AND(A534=入力!$B$11,A534&gt;1),IF(OR(FALSE,AND(入力!$B$13="有効",A534&gt;1,MOD(A534-1,60)=0)),"・","")&amp;"金利変更","")&amp;IF(AND(OR(AND(入力!$B$13="有効",A534&gt;1,MOD(A534-1,60)=0),AND(A534=入力!$B$11,A534&gt;1)),入力!$B$14="有効",IF(E534=0,ROUND(C534/MAX(1,S533-A534+1),0),ROUND(-PMT(E534/12,MAX(1,S533-A534+1),C534),0))&gt;ROUND(G533*1.25,0),NOT(FALSE)),"・上限適用",""))</f>
        <v/>
      </c>
      <c r="Q534" s="35" t="str">
        <f>IF(AND(T533="",A534&lt;=S533),入力!$B$13,"")</f>
        <v/>
      </c>
      <c r="R534" s="32" t="str">
        <f>IF(AND(AND(T533="",A534&lt;=S533),OR(AND(入力!$B$13="有効",A534&gt;1,MOD(A534-1,60)=0),AND(A534=入力!$B$11,A534&gt;1)),入力!$B$14="有効"),ROUND(G533*1.25,0),"")</f>
        <v/>
      </c>
      <c r="S534" s="36">
        <f>IF(A534&lt;&gt;入力!$B$15,S533,IF(K534&lt;&gt;0,S533,IF(G534&lt;=F534,S533,IF(M534&lt;=0,S533,IF(AND(N534&gt;0,E534&gt;0,G534&lt;=N534*E534/12),S533,IF(A534+IF(N534=0,0,IF(E534=0,ROUNDUP(N534/G534,0),ROUNDUP(NPER(E534/12,-G534,N534),0)))&lt;S533,A534+IF(N534=0,0,IF(E534=0,ROUNDUP(N534/G534,0),ROUNDUP(NPER(E534/12,-G534,N534),0))),S533))))))</f>
        <v>359</v>
      </c>
      <c r="T534" s="35" t="str">
        <f t="shared" si="143"/>
        <v/>
      </c>
      <c r="U534" s="3">
        <f t="shared" si="128"/>
        <v>0</v>
      </c>
      <c r="V534" s="3">
        <f t="shared" si="129"/>
        <v>0</v>
      </c>
      <c r="W534" s="3">
        <f t="shared" si="130"/>
        <v>0</v>
      </c>
      <c r="X534" s="3">
        <f t="shared" si="131"/>
        <v>0</v>
      </c>
      <c r="Y534" s="3">
        <f>0</f>
        <v>0</v>
      </c>
      <c r="Z534" s="3">
        <f t="shared" si="132"/>
        <v>0</v>
      </c>
      <c r="AA534">
        <f>ROUND(IF(FALSE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,0)</f>
        <v>0</v>
      </c>
    </row>
    <row r="535" spans="1:27">
      <c r="A535" s="30">
        <f>530</f>
        <v>530</v>
      </c>
      <c r="B535" s="31">
        <f>EDATE(入力!$B$6,A535-1)</f>
        <v>62337</v>
      </c>
      <c r="C535" s="32">
        <f t="shared" si="133"/>
        <v>0</v>
      </c>
      <c r="D535" s="32">
        <f t="shared" si="134"/>
        <v>0</v>
      </c>
      <c r="E535" s="33">
        <f>IF(AND(T534="",A535&lt;=S534),IF(A535&lt;入力!$B$11,入力!$B$10,入力!$B$12),0)</f>
        <v>0</v>
      </c>
      <c r="F535" s="32">
        <f t="shared" si="135"/>
        <v>0</v>
      </c>
      <c r="G535" s="32">
        <f>ROUND(IF(NOT(AND(T534="",A535&lt;=S534)),0,IF(FALSE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),0)</f>
        <v>0</v>
      </c>
      <c r="H535" s="32">
        <f t="shared" si="136"/>
        <v>0</v>
      </c>
      <c r="I535" s="32">
        <f t="shared" si="137"/>
        <v>0</v>
      </c>
      <c r="J535" s="32">
        <f t="shared" si="138"/>
        <v>0</v>
      </c>
      <c r="K535" s="32">
        <f t="shared" si="139"/>
        <v>0</v>
      </c>
      <c r="L535" s="32">
        <f t="shared" si="140"/>
        <v>0</v>
      </c>
      <c r="M535" s="32">
        <f>IF(AND(AND(T534="",A535&lt;=S534),A535=入力!$B$15),ROUND(MIN(入力!$B$16,MAX(0,C535-L535)),0),0)</f>
        <v>0</v>
      </c>
      <c r="N535" s="32">
        <f t="shared" si="141"/>
        <v>0</v>
      </c>
      <c r="O535" s="32">
        <f t="shared" si="142"/>
        <v>10725103</v>
      </c>
      <c r="P535" s="34" t="str">
        <f>IF(NOT(AND(T534="",A535&lt;=S534)),"",IF(FALSE,"繰上返済後再計算","")&amp;IF(AND(入力!$B$13="有効",A535&gt;1,MOD(A535-1,60)=0),IF(FALSE,"・","")&amp;"5年見直し","")&amp;IF(AND(A535=入力!$B$11,A535&gt;1),IF(OR(FALSE,AND(入力!$B$13="有効",A535&gt;1,MOD(A535-1,60)=0)),"・","")&amp;"金利変更","")&amp;IF(AND(OR(AND(入力!$B$13="有効",A535&gt;1,MOD(A535-1,60)=0),AND(A535=入力!$B$11,A535&gt;1)),入力!$B$14="有効",IF(E535=0,ROUND(C535/MAX(1,S534-A535+1),0),ROUND(-PMT(E535/12,MAX(1,S534-A535+1),C535),0))&gt;ROUND(G534*1.25,0),NOT(FALSE)),"・上限適用",""))</f>
        <v/>
      </c>
      <c r="Q535" s="35" t="str">
        <f>IF(AND(T534="",A535&lt;=S534),入力!$B$13,"")</f>
        <v/>
      </c>
      <c r="R535" s="32" t="str">
        <f>IF(AND(AND(T534="",A535&lt;=S534),OR(AND(入力!$B$13="有効",A535&gt;1,MOD(A535-1,60)=0),AND(A535=入力!$B$11,A535&gt;1)),入力!$B$14="有効"),ROUND(G534*1.25,0),"")</f>
        <v/>
      </c>
      <c r="S535" s="36">
        <f>IF(A535&lt;&gt;入力!$B$15,S534,IF(K535&lt;&gt;0,S534,IF(G535&lt;=F535,S534,IF(M535&lt;=0,S534,IF(AND(N535&gt;0,E535&gt;0,G535&lt;=N535*E535/12),S534,IF(A535+IF(N535=0,0,IF(E535=0,ROUNDUP(N535/G535,0),ROUNDUP(NPER(E535/12,-G535,N535),0)))&lt;S534,A535+IF(N535=0,0,IF(E535=0,ROUNDUP(N535/G535,0),ROUNDUP(NPER(E535/12,-G535,N535),0))),S534))))))</f>
        <v>359</v>
      </c>
      <c r="T535" s="35" t="str">
        <f t="shared" si="143"/>
        <v/>
      </c>
      <c r="U535" s="3">
        <f t="shared" si="128"/>
        <v>0</v>
      </c>
      <c r="V535" s="3">
        <f t="shared" si="129"/>
        <v>0</v>
      </c>
      <c r="W535" s="3">
        <f t="shared" si="130"/>
        <v>0</v>
      </c>
      <c r="X535" s="3">
        <f t="shared" si="131"/>
        <v>0</v>
      </c>
      <c r="Y535" s="3">
        <f>0</f>
        <v>0</v>
      </c>
      <c r="Z535" s="3">
        <f t="shared" si="132"/>
        <v>0</v>
      </c>
      <c r="AA535">
        <f>ROUND(IF(FALSE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,0)</f>
        <v>0</v>
      </c>
    </row>
    <row r="536" spans="1:27">
      <c r="A536" s="30">
        <f>531</f>
        <v>531</v>
      </c>
      <c r="B536" s="31">
        <f>EDATE(入力!$B$6,A536-1)</f>
        <v>62367</v>
      </c>
      <c r="C536" s="32">
        <f t="shared" si="133"/>
        <v>0</v>
      </c>
      <c r="D536" s="32">
        <f t="shared" si="134"/>
        <v>0</v>
      </c>
      <c r="E536" s="33">
        <f>IF(AND(T535="",A536&lt;=S535),IF(A536&lt;入力!$B$11,入力!$B$10,入力!$B$12),0)</f>
        <v>0</v>
      </c>
      <c r="F536" s="32">
        <f t="shared" si="135"/>
        <v>0</v>
      </c>
      <c r="G536" s="32">
        <f>ROUND(IF(NOT(AND(T535="",A536&lt;=S535)),0,IF(FALSE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),0)</f>
        <v>0</v>
      </c>
      <c r="H536" s="32">
        <f t="shared" si="136"/>
        <v>0</v>
      </c>
      <c r="I536" s="32">
        <f t="shared" si="137"/>
        <v>0</v>
      </c>
      <c r="J536" s="32">
        <f t="shared" si="138"/>
        <v>0</v>
      </c>
      <c r="K536" s="32">
        <f t="shared" si="139"/>
        <v>0</v>
      </c>
      <c r="L536" s="32">
        <f t="shared" si="140"/>
        <v>0</v>
      </c>
      <c r="M536" s="32">
        <f>IF(AND(AND(T535="",A536&lt;=S535),A536=入力!$B$15),ROUND(MIN(入力!$B$16,MAX(0,C536-L536)),0),0)</f>
        <v>0</v>
      </c>
      <c r="N536" s="32">
        <f t="shared" si="141"/>
        <v>0</v>
      </c>
      <c r="O536" s="32">
        <f t="shared" si="142"/>
        <v>10725103</v>
      </c>
      <c r="P536" s="34" t="str">
        <f>IF(NOT(AND(T535="",A536&lt;=S535)),"",IF(FALSE,"繰上返済後再計算","")&amp;IF(AND(入力!$B$13="有効",A536&gt;1,MOD(A536-1,60)=0),IF(FALSE,"・","")&amp;"5年見直し","")&amp;IF(AND(A536=入力!$B$11,A536&gt;1),IF(OR(FALSE,AND(入力!$B$13="有効",A536&gt;1,MOD(A536-1,60)=0)),"・","")&amp;"金利変更","")&amp;IF(AND(OR(AND(入力!$B$13="有効",A536&gt;1,MOD(A536-1,60)=0),AND(A536=入力!$B$11,A536&gt;1)),入力!$B$14="有効",IF(E536=0,ROUND(C536/MAX(1,S535-A536+1),0),ROUND(-PMT(E536/12,MAX(1,S535-A536+1),C536),0))&gt;ROUND(G535*1.25,0),NOT(FALSE)),"・上限適用",""))</f>
        <v/>
      </c>
      <c r="Q536" s="35" t="str">
        <f>IF(AND(T535="",A536&lt;=S535),入力!$B$13,"")</f>
        <v/>
      </c>
      <c r="R536" s="32" t="str">
        <f>IF(AND(AND(T535="",A536&lt;=S535),OR(AND(入力!$B$13="有効",A536&gt;1,MOD(A536-1,60)=0),AND(A536=入力!$B$11,A536&gt;1)),入力!$B$14="有効"),ROUND(G535*1.25,0),"")</f>
        <v/>
      </c>
      <c r="S536" s="36">
        <f>IF(A536&lt;&gt;入力!$B$15,S535,IF(K536&lt;&gt;0,S535,IF(G536&lt;=F536,S535,IF(M536&lt;=0,S535,IF(AND(N536&gt;0,E536&gt;0,G536&lt;=N536*E536/12),S535,IF(A536+IF(N536=0,0,IF(E536=0,ROUNDUP(N536/G536,0),ROUNDUP(NPER(E536/12,-G536,N536),0)))&lt;S535,A536+IF(N536=0,0,IF(E536=0,ROUNDUP(N536/G536,0),ROUNDUP(NPER(E536/12,-G536,N536),0))),S535))))))</f>
        <v>359</v>
      </c>
      <c r="T536" s="35" t="str">
        <f t="shared" si="143"/>
        <v/>
      </c>
      <c r="U536" s="3">
        <f t="shared" si="128"/>
        <v>0</v>
      </c>
      <c r="V536" s="3">
        <f t="shared" si="129"/>
        <v>0</v>
      </c>
      <c r="W536" s="3">
        <f t="shared" si="130"/>
        <v>0</v>
      </c>
      <c r="X536" s="3">
        <f t="shared" si="131"/>
        <v>0</v>
      </c>
      <c r="Y536" s="3">
        <f>0</f>
        <v>0</v>
      </c>
      <c r="Z536" s="3">
        <f t="shared" si="132"/>
        <v>0</v>
      </c>
      <c r="AA536">
        <f>ROUND(IF(FALSE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,0)</f>
        <v>0</v>
      </c>
    </row>
    <row r="537" spans="1:27">
      <c r="A537" s="30">
        <f>532</f>
        <v>532</v>
      </c>
      <c r="B537" s="31">
        <f>EDATE(入力!$B$6,A537-1)</f>
        <v>62398</v>
      </c>
      <c r="C537" s="32">
        <f t="shared" si="133"/>
        <v>0</v>
      </c>
      <c r="D537" s="32">
        <f t="shared" si="134"/>
        <v>0</v>
      </c>
      <c r="E537" s="33">
        <f>IF(AND(T536="",A537&lt;=S536),IF(A537&lt;入力!$B$11,入力!$B$10,入力!$B$12),0)</f>
        <v>0</v>
      </c>
      <c r="F537" s="32">
        <f t="shared" si="135"/>
        <v>0</v>
      </c>
      <c r="G537" s="32">
        <f>ROUND(IF(NOT(AND(T536="",A537&lt;=S536)),0,IF(FALSE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),0)</f>
        <v>0</v>
      </c>
      <c r="H537" s="32">
        <f t="shared" si="136"/>
        <v>0</v>
      </c>
      <c r="I537" s="32">
        <f t="shared" si="137"/>
        <v>0</v>
      </c>
      <c r="J537" s="32">
        <f t="shared" si="138"/>
        <v>0</v>
      </c>
      <c r="K537" s="32">
        <f t="shared" si="139"/>
        <v>0</v>
      </c>
      <c r="L537" s="32">
        <f t="shared" si="140"/>
        <v>0</v>
      </c>
      <c r="M537" s="32">
        <f>IF(AND(AND(T536="",A537&lt;=S536),A537=入力!$B$15),ROUND(MIN(入力!$B$16,MAX(0,C537-L537)),0),0)</f>
        <v>0</v>
      </c>
      <c r="N537" s="32">
        <f t="shared" si="141"/>
        <v>0</v>
      </c>
      <c r="O537" s="32">
        <f t="shared" si="142"/>
        <v>10725103</v>
      </c>
      <c r="P537" s="34" t="str">
        <f>IF(NOT(AND(T536="",A537&lt;=S536)),"",IF(FALSE,"繰上返済後再計算","")&amp;IF(AND(入力!$B$13="有効",A537&gt;1,MOD(A537-1,60)=0),IF(FALSE,"・","")&amp;"5年見直し","")&amp;IF(AND(A537=入力!$B$11,A537&gt;1),IF(OR(FALSE,AND(入力!$B$13="有効",A537&gt;1,MOD(A537-1,60)=0)),"・","")&amp;"金利変更","")&amp;IF(AND(OR(AND(入力!$B$13="有効",A537&gt;1,MOD(A537-1,60)=0),AND(A537=入力!$B$11,A537&gt;1)),入力!$B$14="有効",IF(E537=0,ROUND(C537/MAX(1,S536-A537+1),0),ROUND(-PMT(E537/12,MAX(1,S536-A537+1),C537),0))&gt;ROUND(G536*1.25,0),NOT(FALSE)),"・上限適用",""))</f>
        <v/>
      </c>
      <c r="Q537" s="35" t="str">
        <f>IF(AND(T536="",A537&lt;=S536),入力!$B$13,"")</f>
        <v/>
      </c>
      <c r="R537" s="32" t="str">
        <f>IF(AND(AND(T536="",A537&lt;=S536),OR(AND(入力!$B$13="有効",A537&gt;1,MOD(A537-1,60)=0),AND(A537=入力!$B$11,A537&gt;1)),入力!$B$14="有効"),ROUND(G536*1.25,0),"")</f>
        <v/>
      </c>
      <c r="S537" s="36">
        <f>IF(A537&lt;&gt;入力!$B$15,S536,IF(K537&lt;&gt;0,S536,IF(G537&lt;=F537,S536,IF(M537&lt;=0,S536,IF(AND(N537&gt;0,E537&gt;0,G537&lt;=N537*E537/12),S536,IF(A537+IF(N537=0,0,IF(E537=0,ROUNDUP(N537/G537,0),ROUNDUP(NPER(E537/12,-G537,N537),0)))&lt;S536,A537+IF(N537=0,0,IF(E537=0,ROUNDUP(N537/G537,0),ROUNDUP(NPER(E537/12,-G537,N537),0))),S536))))))</f>
        <v>359</v>
      </c>
      <c r="T537" s="35" t="str">
        <f t="shared" si="143"/>
        <v/>
      </c>
      <c r="U537" s="3">
        <f t="shared" si="128"/>
        <v>0</v>
      </c>
      <c r="V537" s="3">
        <f t="shared" si="129"/>
        <v>0</v>
      </c>
      <c r="W537" s="3">
        <f t="shared" si="130"/>
        <v>0</v>
      </c>
      <c r="X537" s="3">
        <f t="shared" si="131"/>
        <v>0</v>
      </c>
      <c r="Y537" s="3">
        <f>0</f>
        <v>0</v>
      </c>
      <c r="Z537" s="3">
        <f t="shared" si="132"/>
        <v>0</v>
      </c>
      <c r="AA537">
        <f>ROUND(IF(FALSE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,0)</f>
        <v>0</v>
      </c>
    </row>
    <row r="538" spans="1:27">
      <c r="A538" s="30">
        <f>533</f>
        <v>533</v>
      </c>
      <c r="B538" s="31">
        <f>EDATE(入力!$B$6,A538-1)</f>
        <v>62428</v>
      </c>
      <c r="C538" s="32">
        <f t="shared" si="133"/>
        <v>0</v>
      </c>
      <c r="D538" s="32">
        <f t="shared" si="134"/>
        <v>0</v>
      </c>
      <c r="E538" s="33">
        <f>IF(AND(T537="",A538&lt;=S537),IF(A538&lt;入力!$B$11,入力!$B$10,入力!$B$12),0)</f>
        <v>0</v>
      </c>
      <c r="F538" s="32">
        <f t="shared" si="135"/>
        <v>0</v>
      </c>
      <c r="G538" s="32">
        <f>ROUND(IF(NOT(AND(T537="",A538&lt;=S537)),0,IF(FALSE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),0)</f>
        <v>0</v>
      </c>
      <c r="H538" s="32">
        <f t="shared" si="136"/>
        <v>0</v>
      </c>
      <c r="I538" s="32">
        <f t="shared" si="137"/>
        <v>0</v>
      </c>
      <c r="J538" s="32">
        <f t="shared" si="138"/>
        <v>0</v>
      </c>
      <c r="K538" s="32">
        <f t="shared" si="139"/>
        <v>0</v>
      </c>
      <c r="L538" s="32">
        <f t="shared" si="140"/>
        <v>0</v>
      </c>
      <c r="M538" s="32">
        <f>IF(AND(AND(T537="",A538&lt;=S537),A538=入力!$B$15),ROUND(MIN(入力!$B$16,MAX(0,C538-L538)),0),0)</f>
        <v>0</v>
      </c>
      <c r="N538" s="32">
        <f t="shared" si="141"/>
        <v>0</v>
      </c>
      <c r="O538" s="32">
        <f t="shared" si="142"/>
        <v>10725103</v>
      </c>
      <c r="P538" s="34" t="str">
        <f>IF(NOT(AND(T537="",A538&lt;=S537)),"",IF(FALSE,"繰上返済後再計算","")&amp;IF(AND(入力!$B$13="有効",A538&gt;1,MOD(A538-1,60)=0),IF(FALSE,"・","")&amp;"5年見直し","")&amp;IF(AND(A538=入力!$B$11,A538&gt;1),IF(OR(FALSE,AND(入力!$B$13="有効",A538&gt;1,MOD(A538-1,60)=0)),"・","")&amp;"金利変更","")&amp;IF(AND(OR(AND(入力!$B$13="有効",A538&gt;1,MOD(A538-1,60)=0),AND(A538=入力!$B$11,A538&gt;1)),入力!$B$14="有効",IF(E538=0,ROUND(C538/MAX(1,S537-A538+1),0),ROUND(-PMT(E538/12,MAX(1,S537-A538+1),C538),0))&gt;ROUND(G537*1.25,0),NOT(FALSE)),"・上限適用",""))</f>
        <v/>
      </c>
      <c r="Q538" s="35" t="str">
        <f>IF(AND(T537="",A538&lt;=S537),入力!$B$13,"")</f>
        <v/>
      </c>
      <c r="R538" s="32" t="str">
        <f>IF(AND(AND(T537="",A538&lt;=S537),OR(AND(入力!$B$13="有効",A538&gt;1,MOD(A538-1,60)=0),AND(A538=入力!$B$11,A538&gt;1)),入力!$B$14="有効"),ROUND(G537*1.25,0),"")</f>
        <v/>
      </c>
      <c r="S538" s="36">
        <f>IF(A538&lt;&gt;入力!$B$15,S537,IF(K538&lt;&gt;0,S537,IF(G538&lt;=F538,S537,IF(M538&lt;=0,S537,IF(AND(N538&gt;0,E538&gt;0,G538&lt;=N538*E538/12),S537,IF(A538+IF(N538=0,0,IF(E538=0,ROUNDUP(N538/G538,0),ROUNDUP(NPER(E538/12,-G538,N538),0)))&lt;S537,A538+IF(N538=0,0,IF(E538=0,ROUNDUP(N538/G538,0),ROUNDUP(NPER(E538/12,-G538,N538),0))),S537))))))</f>
        <v>359</v>
      </c>
      <c r="T538" s="35" t="str">
        <f t="shared" si="143"/>
        <v/>
      </c>
      <c r="U538" s="3">
        <f t="shared" si="128"/>
        <v>0</v>
      </c>
      <c r="V538" s="3">
        <f t="shared" si="129"/>
        <v>0</v>
      </c>
      <c r="W538" s="3">
        <f t="shared" si="130"/>
        <v>0</v>
      </c>
      <c r="X538" s="3">
        <f t="shared" si="131"/>
        <v>0</v>
      </c>
      <c r="Y538" s="3">
        <f>0</f>
        <v>0</v>
      </c>
      <c r="Z538" s="3">
        <f t="shared" si="132"/>
        <v>0</v>
      </c>
      <c r="AA538">
        <f>ROUND(IF(FALSE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,0)</f>
        <v>0</v>
      </c>
    </row>
    <row r="539" spans="1:27">
      <c r="A539" s="30">
        <f>534</f>
        <v>534</v>
      </c>
      <c r="B539" s="31">
        <f>EDATE(入力!$B$6,A539-1)</f>
        <v>62459</v>
      </c>
      <c r="C539" s="32">
        <f t="shared" si="133"/>
        <v>0</v>
      </c>
      <c r="D539" s="32">
        <f t="shared" si="134"/>
        <v>0</v>
      </c>
      <c r="E539" s="33">
        <f>IF(AND(T538="",A539&lt;=S538),IF(A539&lt;入力!$B$11,入力!$B$10,入力!$B$12),0)</f>
        <v>0</v>
      </c>
      <c r="F539" s="32">
        <f t="shared" si="135"/>
        <v>0</v>
      </c>
      <c r="G539" s="32">
        <f>ROUND(IF(NOT(AND(T538="",A539&lt;=S538)),0,IF(FALSE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),0)</f>
        <v>0</v>
      </c>
      <c r="H539" s="32">
        <f t="shared" si="136"/>
        <v>0</v>
      </c>
      <c r="I539" s="32">
        <f t="shared" si="137"/>
        <v>0</v>
      </c>
      <c r="J539" s="32">
        <f t="shared" si="138"/>
        <v>0</v>
      </c>
      <c r="K539" s="32">
        <f t="shared" si="139"/>
        <v>0</v>
      </c>
      <c r="L539" s="32">
        <f t="shared" si="140"/>
        <v>0</v>
      </c>
      <c r="M539" s="32">
        <f>IF(AND(AND(T538="",A539&lt;=S538),A539=入力!$B$15),ROUND(MIN(入力!$B$16,MAX(0,C539-L539)),0),0)</f>
        <v>0</v>
      </c>
      <c r="N539" s="32">
        <f t="shared" si="141"/>
        <v>0</v>
      </c>
      <c r="O539" s="32">
        <f t="shared" si="142"/>
        <v>10725103</v>
      </c>
      <c r="P539" s="34" t="str">
        <f>IF(NOT(AND(T538="",A539&lt;=S538)),"",IF(FALSE,"繰上返済後再計算","")&amp;IF(AND(入力!$B$13="有効",A539&gt;1,MOD(A539-1,60)=0),IF(FALSE,"・","")&amp;"5年見直し","")&amp;IF(AND(A539=入力!$B$11,A539&gt;1),IF(OR(FALSE,AND(入力!$B$13="有効",A539&gt;1,MOD(A539-1,60)=0)),"・","")&amp;"金利変更","")&amp;IF(AND(OR(AND(入力!$B$13="有効",A539&gt;1,MOD(A539-1,60)=0),AND(A539=入力!$B$11,A539&gt;1)),入力!$B$14="有効",IF(E539=0,ROUND(C539/MAX(1,S538-A539+1),0),ROUND(-PMT(E539/12,MAX(1,S538-A539+1),C539),0))&gt;ROUND(G538*1.25,0),NOT(FALSE)),"・上限適用",""))</f>
        <v/>
      </c>
      <c r="Q539" s="35" t="str">
        <f>IF(AND(T538="",A539&lt;=S538),入力!$B$13,"")</f>
        <v/>
      </c>
      <c r="R539" s="32" t="str">
        <f>IF(AND(AND(T538="",A539&lt;=S538),OR(AND(入力!$B$13="有効",A539&gt;1,MOD(A539-1,60)=0),AND(A539=入力!$B$11,A539&gt;1)),入力!$B$14="有効"),ROUND(G538*1.25,0),"")</f>
        <v/>
      </c>
      <c r="S539" s="36">
        <f>IF(A539&lt;&gt;入力!$B$15,S538,IF(K539&lt;&gt;0,S538,IF(G539&lt;=F539,S538,IF(M539&lt;=0,S538,IF(AND(N539&gt;0,E539&gt;0,G539&lt;=N539*E539/12),S538,IF(A539+IF(N539=0,0,IF(E539=0,ROUNDUP(N539/G539,0),ROUNDUP(NPER(E539/12,-G539,N539),0)))&lt;S538,A539+IF(N539=0,0,IF(E539=0,ROUNDUP(N539/G539,0),ROUNDUP(NPER(E539/12,-G539,N539),0))),S538))))))</f>
        <v>359</v>
      </c>
      <c r="T539" s="35" t="str">
        <f t="shared" si="143"/>
        <v/>
      </c>
      <c r="U539" s="3">
        <f t="shared" si="128"/>
        <v>0</v>
      </c>
      <c r="V539" s="3">
        <f t="shared" si="129"/>
        <v>0</v>
      </c>
      <c r="W539" s="3">
        <f t="shared" si="130"/>
        <v>0</v>
      </c>
      <c r="X539" s="3">
        <f t="shared" si="131"/>
        <v>0</v>
      </c>
      <c r="Y539" s="3">
        <f>0</f>
        <v>0</v>
      </c>
      <c r="Z539" s="3">
        <f t="shared" si="132"/>
        <v>0</v>
      </c>
      <c r="AA539">
        <f>ROUND(IF(FALSE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,0)</f>
        <v>0</v>
      </c>
    </row>
    <row r="540" spans="1:27">
      <c r="A540" s="30">
        <f>535</f>
        <v>535</v>
      </c>
      <c r="B540" s="31">
        <f>EDATE(入力!$B$6,A540-1)</f>
        <v>62490</v>
      </c>
      <c r="C540" s="32">
        <f t="shared" si="133"/>
        <v>0</v>
      </c>
      <c r="D540" s="32">
        <f t="shared" si="134"/>
        <v>0</v>
      </c>
      <c r="E540" s="33">
        <f>IF(AND(T539="",A540&lt;=S539),IF(A540&lt;入力!$B$11,入力!$B$10,入力!$B$12),0)</f>
        <v>0</v>
      </c>
      <c r="F540" s="32">
        <f t="shared" si="135"/>
        <v>0</v>
      </c>
      <c r="G540" s="32">
        <f>ROUND(IF(NOT(AND(T539="",A540&lt;=S539)),0,IF(FALSE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),0)</f>
        <v>0</v>
      </c>
      <c r="H540" s="32">
        <f t="shared" si="136"/>
        <v>0</v>
      </c>
      <c r="I540" s="32">
        <f t="shared" si="137"/>
        <v>0</v>
      </c>
      <c r="J540" s="32">
        <f t="shared" si="138"/>
        <v>0</v>
      </c>
      <c r="K540" s="32">
        <f t="shared" si="139"/>
        <v>0</v>
      </c>
      <c r="L540" s="32">
        <f t="shared" si="140"/>
        <v>0</v>
      </c>
      <c r="M540" s="32">
        <f>IF(AND(AND(T539="",A540&lt;=S539),A540=入力!$B$15),ROUND(MIN(入力!$B$16,MAX(0,C540-L540)),0),0)</f>
        <v>0</v>
      </c>
      <c r="N540" s="32">
        <f t="shared" si="141"/>
        <v>0</v>
      </c>
      <c r="O540" s="32">
        <f t="shared" si="142"/>
        <v>10725103</v>
      </c>
      <c r="P540" s="34" t="str">
        <f>IF(NOT(AND(T539="",A540&lt;=S539)),"",IF(FALSE,"繰上返済後再計算","")&amp;IF(AND(入力!$B$13="有効",A540&gt;1,MOD(A540-1,60)=0),IF(FALSE,"・","")&amp;"5年見直し","")&amp;IF(AND(A540=入力!$B$11,A540&gt;1),IF(OR(FALSE,AND(入力!$B$13="有効",A540&gt;1,MOD(A540-1,60)=0)),"・","")&amp;"金利変更","")&amp;IF(AND(OR(AND(入力!$B$13="有効",A540&gt;1,MOD(A540-1,60)=0),AND(A540=入力!$B$11,A540&gt;1)),入力!$B$14="有効",IF(E540=0,ROUND(C540/MAX(1,S539-A540+1),0),ROUND(-PMT(E540/12,MAX(1,S539-A540+1),C540),0))&gt;ROUND(G539*1.25,0),NOT(FALSE)),"・上限適用",""))</f>
        <v/>
      </c>
      <c r="Q540" s="35" t="str">
        <f>IF(AND(T539="",A540&lt;=S539),入力!$B$13,"")</f>
        <v/>
      </c>
      <c r="R540" s="32" t="str">
        <f>IF(AND(AND(T539="",A540&lt;=S539),OR(AND(入力!$B$13="有効",A540&gt;1,MOD(A540-1,60)=0),AND(A540=入力!$B$11,A540&gt;1)),入力!$B$14="有効"),ROUND(G539*1.25,0),"")</f>
        <v/>
      </c>
      <c r="S540" s="36">
        <f>IF(A540&lt;&gt;入力!$B$15,S539,IF(K540&lt;&gt;0,S539,IF(G540&lt;=F540,S539,IF(M540&lt;=0,S539,IF(AND(N540&gt;0,E540&gt;0,G540&lt;=N540*E540/12),S539,IF(A540+IF(N540=0,0,IF(E540=0,ROUNDUP(N540/G540,0),ROUNDUP(NPER(E540/12,-G540,N540),0)))&lt;S539,A540+IF(N540=0,0,IF(E540=0,ROUNDUP(N540/G540,0),ROUNDUP(NPER(E540/12,-G540,N540),0))),S539))))))</f>
        <v>359</v>
      </c>
      <c r="T540" s="35" t="str">
        <f t="shared" si="143"/>
        <v/>
      </c>
      <c r="U540" s="3">
        <f t="shared" si="128"/>
        <v>0</v>
      </c>
      <c r="V540" s="3">
        <f t="shared" si="129"/>
        <v>0</v>
      </c>
      <c r="W540" s="3">
        <f t="shared" si="130"/>
        <v>0</v>
      </c>
      <c r="X540" s="3">
        <f t="shared" si="131"/>
        <v>0</v>
      </c>
      <c r="Y540" s="3">
        <f>0</f>
        <v>0</v>
      </c>
      <c r="Z540" s="3">
        <f t="shared" si="132"/>
        <v>0</v>
      </c>
      <c r="AA540">
        <f>ROUND(IF(FALSE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,0)</f>
        <v>0</v>
      </c>
    </row>
    <row r="541" spans="1:27">
      <c r="A541" s="30">
        <f>536</f>
        <v>536</v>
      </c>
      <c r="B541" s="31">
        <f>EDATE(入力!$B$6,A541-1)</f>
        <v>62518</v>
      </c>
      <c r="C541" s="32">
        <f t="shared" si="133"/>
        <v>0</v>
      </c>
      <c r="D541" s="32">
        <f t="shared" si="134"/>
        <v>0</v>
      </c>
      <c r="E541" s="33">
        <f>IF(AND(T540="",A541&lt;=S540),IF(A541&lt;入力!$B$11,入力!$B$10,入力!$B$12),0)</f>
        <v>0</v>
      </c>
      <c r="F541" s="32">
        <f t="shared" si="135"/>
        <v>0</v>
      </c>
      <c r="G541" s="32">
        <f>ROUND(IF(NOT(AND(T540="",A541&lt;=S540)),0,IF(FALSE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),0)</f>
        <v>0</v>
      </c>
      <c r="H541" s="32">
        <f t="shared" si="136"/>
        <v>0</v>
      </c>
      <c r="I541" s="32">
        <f t="shared" si="137"/>
        <v>0</v>
      </c>
      <c r="J541" s="32">
        <f t="shared" si="138"/>
        <v>0</v>
      </c>
      <c r="K541" s="32">
        <f t="shared" si="139"/>
        <v>0</v>
      </c>
      <c r="L541" s="32">
        <f t="shared" si="140"/>
        <v>0</v>
      </c>
      <c r="M541" s="32">
        <f>IF(AND(AND(T540="",A541&lt;=S540),A541=入力!$B$15),ROUND(MIN(入力!$B$16,MAX(0,C541-L541)),0),0)</f>
        <v>0</v>
      </c>
      <c r="N541" s="32">
        <f t="shared" si="141"/>
        <v>0</v>
      </c>
      <c r="O541" s="32">
        <f t="shared" si="142"/>
        <v>10725103</v>
      </c>
      <c r="P541" s="34" t="str">
        <f>IF(NOT(AND(T540="",A541&lt;=S540)),"",IF(FALSE,"繰上返済後再計算","")&amp;IF(AND(入力!$B$13="有効",A541&gt;1,MOD(A541-1,60)=0),IF(FALSE,"・","")&amp;"5年見直し","")&amp;IF(AND(A541=入力!$B$11,A541&gt;1),IF(OR(FALSE,AND(入力!$B$13="有効",A541&gt;1,MOD(A541-1,60)=0)),"・","")&amp;"金利変更","")&amp;IF(AND(OR(AND(入力!$B$13="有効",A541&gt;1,MOD(A541-1,60)=0),AND(A541=入力!$B$11,A541&gt;1)),入力!$B$14="有効",IF(E541=0,ROUND(C541/MAX(1,S540-A541+1),0),ROUND(-PMT(E541/12,MAX(1,S540-A541+1),C541),0))&gt;ROUND(G540*1.25,0),NOT(FALSE)),"・上限適用",""))</f>
        <v/>
      </c>
      <c r="Q541" s="35" t="str">
        <f>IF(AND(T540="",A541&lt;=S540),入力!$B$13,"")</f>
        <v/>
      </c>
      <c r="R541" s="32" t="str">
        <f>IF(AND(AND(T540="",A541&lt;=S540),OR(AND(入力!$B$13="有効",A541&gt;1,MOD(A541-1,60)=0),AND(A541=入力!$B$11,A541&gt;1)),入力!$B$14="有効"),ROUND(G540*1.25,0),"")</f>
        <v/>
      </c>
      <c r="S541" s="36">
        <f>IF(A541&lt;&gt;入力!$B$15,S540,IF(K541&lt;&gt;0,S540,IF(G541&lt;=F541,S540,IF(M541&lt;=0,S540,IF(AND(N541&gt;0,E541&gt;0,G541&lt;=N541*E541/12),S540,IF(A541+IF(N541=0,0,IF(E541=0,ROUNDUP(N541/G541,0),ROUNDUP(NPER(E541/12,-G541,N541),0)))&lt;S540,A541+IF(N541=0,0,IF(E541=0,ROUNDUP(N541/G541,0),ROUNDUP(NPER(E541/12,-G541,N541),0))),S540))))))</f>
        <v>359</v>
      </c>
      <c r="T541" s="35" t="str">
        <f t="shared" si="143"/>
        <v/>
      </c>
      <c r="U541" s="3">
        <f t="shared" si="128"/>
        <v>0</v>
      </c>
      <c r="V541" s="3">
        <f t="shared" si="129"/>
        <v>0</v>
      </c>
      <c r="W541" s="3">
        <f t="shared" si="130"/>
        <v>0</v>
      </c>
      <c r="X541" s="3">
        <f t="shared" si="131"/>
        <v>0</v>
      </c>
      <c r="Y541" s="3">
        <f>0</f>
        <v>0</v>
      </c>
      <c r="Z541" s="3">
        <f t="shared" si="132"/>
        <v>0</v>
      </c>
      <c r="AA541">
        <f>ROUND(IF(FALSE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,0)</f>
        <v>0</v>
      </c>
    </row>
    <row r="542" spans="1:27">
      <c r="A542" s="30">
        <f>537</f>
        <v>537</v>
      </c>
      <c r="B542" s="31">
        <f>EDATE(入力!$B$6,A542-1)</f>
        <v>62549</v>
      </c>
      <c r="C542" s="32">
        <f t="shared" si="133"/>
        <v>0</v>
      </c>
      <c r="D542" s="32">
        <f t="shared" si="134"/>
        <v>0</v>
      </c>
      <c r="E542" s="33">
        <f>IF(AND(T541="",A542&lt;=S541),IF(A542&lt;入力!$B$11,入力!$B$10,入力!$B$12),0)</f>
        <v>0</v>
      </c>
      <c r="F542" s="32">
        <f t="shared" si="135"/>
        <v>0</v>
      </c>
      <c r="G542" s="32">
        <f>ROUND(IF(NOT(AND(T541="",A542&lt;=S541)),0,IF(FALSE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),0)</f>
        <v>0</v>
      </c>
      <c r="H542" s="32">
        <f t="shared" si="136"/>
        <v>0</v>
      </c>
      <c r="I542" s="32">
        <f t="shared" si="137"/>
        <v>0</v>
      </c>
      <c r="J542" s="32">
        <f t="shared" si="138"/>
        <v>0</v>
      </c>
      <c r="K542" s="32">
        <f t="shared" si="139"/>
        <v>0</v>
      </c>
      <c r="L542" s="32">
        <f t="shared" si="140"/>
        <v>0</v>
      </c>
      <c r="M542" s="32">
        <f>IF(AND(AND(T541="",A542&lt;=S541),A542=入力!$B$15),ROUND(MIN(入力!$B$16,MAX(0,C542-L542)),0),0)</f>
        <v>0</v>
      </c>
      <c r="N542" s="32">
        <f t="shared" si="141"/>
        <v>0</v>
      </c>
      <c r="O542" s="32">
        <f t="shared" si="142"/>
        <v>10725103</v>
      </c>
      <c r="P542" s="34" t="str">
        <f>IF(NOT(AND(T541="",A542&lt;=S541)),"",IF(FALSE,"繰上返済後再計算","")&amp;IF(AND(入力!$B$13="有効",A542&gt;1,MOD(A542-1,60)=0),IF(FALSE,"・","")&amp;"5年見直し","")&amp;IF(AND(A542=入力!$B$11,A542&gt;1),IF(OR(FALSE,AND(入力!$B$13="有効",A542&gt;1,MOD(A542-1,60)=0)),"・","")&amp;"金利変更","")&amp;IF(AND(OR(AND(入力!$B$13="有効",A542&gt;1,MOD(A542-1,60)=0),AND(A542=入力!$B$11,A542&gt;1)),入力!$B$14="有効",IF(E542=0,ROUND(C542/MAX(1,S541-A542+1),0),ROUND(-PMT(E542/12,MAX(1,S541-A542+1),C542),0))&gt;ROUND(G541*1.25,0),NOT(FALSE)),"・上限適用",""))</f>
        <v/>
      </c>
      <c r="Q542" s="35" t="str">
        <f>IF(AND(T541="",A542&lt;=S541),入力!$B$13,"")</f>
        <v/>
      </c>
      <c r="R542" s="32" t="str">
        <f>IF(AND(AND(T541="",A542&lt;=S541),OR(AND(入力!$B$13="有効",A542&gt;1,MOD(A542-1,60)=0),AND(A542=入力!$B$11,A542&gt;1)),入力!$B$14="有効"),ROUND(G541*1.25,0),"")</f>
        <v/>
      </c>
      <c r="S542" s="36">
        <f>IF(A542&lt;&gt;入力!$B$15,S541,IF(K542&lt;&gt;0,S541,IF(G542&lt;=F542,S541,IF(M542&lt;=0,S541,IF(AND(N542&gt;0,E542&gt;0,G542&lt;=N542*E542/12),S541,IF(A542+IF(N542=0,0,IF(E542=0,ROUNDUP(N542/G542,0),ROUNDUP(NPER(E542/12,-G542,N542),0)))&lt;S541,A542+IF(N542=0,0,IF(E542=0,ROUNDUP(N542/G542,0),ROUNDUP(NPER(E542/12,-G542,N542),0))),S541))))))</f>
        <v>359</v>
      </c>
      <c r="T542" s="35" t="str">
        <f t="shared" si="143"/>
        <v/>
      </c>
      <c r="U542" s="3">
        <f t="shared" si="128"/>
        <v>0</v>
      </c>
      <c r="V542" s="3">
        <f t="shared" si="129"/>
        <v>0</v>
      </c>
      <c r="W542" s="3">
        <f t="shared" si="130"/>
        <v>0</v>
      </c>
      <c r="X542" s="3">
        <f t="shared" si="131"/>
        <v>0</v>
      </c>
      <c r="Y542" s="3">
        <f>0</f>
        <v>0</v>
      </c>
      <c r="Z542" s="3">
        <f t="shared" si="132"/>
        <v>0</v>
      </c>
      <c r="AA542">
        <f>ROUND(IF(FALSE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,0)</f>
        <v>0</v>
      </c>
    </row>
    <row r="543" spans="1:27">
      <c r="A543" s="30">
        <f>538</f>
        <v>538</v>
      </c>
      <c r="B543" s="31">
        <f>EDATE(入力!$B$6,A543-1)</f>
        <v>62579</v>
      </c>
      <c r="C543" s="32">
        <f t="shared" si="133"/>
        <v>0</v>
      </c>
      <c r="D543" s="32">
        <f t="shared" si="134"/>
        <v>0</v>
      </c>
      <c r="E543" s="33">
        <f>IF(AND(T542="",A543&lt;=S542),IF(A543&lt;入力!$B$11,入力!$B$10,入力!$B$12),0)</f>
        <v>0</v>
      </c>
      <c r="F543" s="32">
        <f t="shared" si="135"/>
        <v>0</v>
      </c>
      <c r="G543" s="32">
        <f>ROUND(IF(NOT(AND(T542="",A543&lt;=S542)),0,IF(FALSE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),0)</f>
        <v>0</v>
      </c>
      <c r="H543" s="32">
        <f t="shared" si="136"/>
        <v>0</v>
      </c>
      <c r="I543" s="32">
        <f t="shared" si="137"/>
        <v>0</v>
      </c>
      <c r="J543" s="32">
        <f t="shared" si="138"/>
        <v>0</v>
      </c>
      <c r="K543" s="32">
        <f t="shared" si="139"/>
        <v>0</v>
      </c>
      <c r="L543" s="32">
        <f t="shared" si="140"/>
        <v>0</v>
      </c>
      <c r="M543" s="32">
        <f>IF(AND(AND(T542="",A543&lt;=S542),A543=入力!$B$15),ROUND(MIN(入力!$B$16,MAX(0,C543-L543)),0),0)</f>
        <v>0</v>
      </c>
      <c r="N543" s="32">
        <f t="shared" si="141"/>
        <v>0</v>
      </c>
      <c r="O543" s="32">
        <f t="shared" si="142"/>
        <v>10725103</v>
      </c>
      <c r="P543" s="34" t="str">
        <f>IF(NOT(AND(T542="",A543&lt;=S542)),"",IF(FALSE,"繰上返済後再計算","")&amp;IF(AND(入力!$B$13="有効",A543&gt;1,MOD(A543-1,60)=0),IF(FALSE,"・","")&amp;"5年見直し","")&amp;IF(AND(A543=入力!$B$11,A543&gt;1),IF(OR(FALSE,AND(入力!$B$13="有効",A543&gt;1,MOD(A543-1,60)=0)),"・","")&amp;"金利変更","")&amp;IF(AND(OR(AND(入力!$B$13="有効",A543&gt;1,MOD(A543-1,60)=0),AND(A543=入力!$B$11,A543&gt;1)),入力!$B$14="有効",IF(E543=0,ROUND(C543/MAX(1,S542-A543+1),0),ROUND(-PMT(E543/12,MAX(1,S542-A543+1),C543),0))&gt;ROUND(G542*1.25,0),NOT(FALSE)),"・上限適用",""))</f>
        <v/>
      </c>
      <c r="Q543" s="35" t="str">
        <f>IF(AND(T542="",A543&lt;=S542),入力!$B$13,"")</f>
        <v/>
      </c>
      <c r="R543" s="32" t="str">
        <f>IF(AND(AND(T542="",A543&lt;=S542),OR(AND(入力!$B$13="有効",A543&gt;1,MOD(A543-1,60)=0),AND(A543=入力!$B$11,A543&gt;1)),入力!$B$14="有効"),ROUND(G542*1.25,0),"")</f>
        <v/>
      </c>
      <c r="S543" s="36">
        <f>IF(A543&lt;&gt;入力!$B$15,S542,IF(K543&lt;&gt;0,S542,IF(G543&lt;=F543,S542,IF(M543&lt;=0,S542,IF(AND(N543&gt;0,E543&gt;0,G543&lt;=N543*E543/12),S542,IF(A543+IF(N543=0,0,IF(E543=0,ROUNDUP(N543/G543,0),ROUNDUP(NPER(E543/12,-G543,N543),0)))&lt;S542,A543+IF(N543=0,0,IF(E543=0,ROUNDUP(N543/G543,0),ROUNDUP(NPER(E543/12,-G543,N543),0))),S542))))))</f>
        <v>359</v>
      </c>
      <c r="T543" s="35" t="str">
        <f t="shared" si="143"/>
        <v/>
      </c>
      <c r="U543" s="3">
        <f t="shared" si="128"/>
        <v>0</v>
      </c>
      <c r="V543" s="3">
        <f t="shared" si="129"/>
        <v>0</v>
      </c>
      <c r="W543" s="3">
        <f t="shared" si="130"/>
        <v>0</v>
      </c>
      <c r="X543" s="3">
        <f t="shared" si="131"/>
        <v>0</v>
      </c>
      <c r="Y543" s="3">
        <f>0</f>
        <v>0</v>
      </c>
      <c r="Z543" s="3">
        <f t="shared" si="132"/>
        <v>0</v>
      </c>
      <c r="AA543">
        <f>ROUND(IF(FALSE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,0)</f>
        <v>0</v>
      </c>
    </row>
    <row r="544" spans="1:27">
      <c r="A544" s="30">
        <f>539</f>
        <v>539</v>
      </c>
      <c r="B544" s="31">
        <f>EDATE(入力!$B$6,A544-1)</f>
        <v>62610</v>
      </c>
      <c r="C544" s="32">
        <f t="shared" si="133"/>
        <v>0</v>
      </c>
      <c r="D544" s="32">
        <f t="shared" si="134"/>
        <v>0</v>
      </c>
      <c r="E544" s="33">
        <f>IF(AND(T543="",A544&lt;=S543),IF(A544&lt;入力!$B$11,入力!$B$10,入力!$B$12),0)</f>
        <v>0</v>
      </c>
      <c r="F544" s="32">
        <f t="shared" si="135"/>
        <v>0</v>
      </c>
      <c r="G544" s="32">
        <f>ROUND(IF(NOT(AND(T543="",A544&lt;=S543)),0,IF(FALSE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),0)</f>
        <v>0</v>
      </c>
      <c r="H544" s="32">
        <f t="shared" si="136"/>
        <v>0</v>
      </c>
      <c r="I544" s="32">
        <f t="shared" si="137"/>
        <v>0</v>
      </c>
      <c r="J544" s="32">
        <f t="shared" si="138"/>
        <v>0</v>
      </c>
      <c r="K544" s="32">
        <f t="shared" si="139"/>
        <v>0</v>
      </c>
      <c r="L544" s="32">
        <f t="shared" si="140"/>
        <v>0</v>
      </c>
      <c r="M544" s="32">
        <f>IF(AND(AND(T543="",A544&lt;=S543),A544=入力!$B$15),ROUND(MIN(入力!$B$16,MAX(0,C544-L544)),0),0)</f>
        <v>0</v>
      </c>
      <c r="N544" s="32">
        <f t="shared" si="141"/>
        <v>0</v>
      </c>
      <c r="O544" s="32">
        <f t="shared" si="142"/>
        <v>10725103</v>
      </c>
      <c r="P544" s="34" t="str">
        <f>IF(NOT(AND(T543="",A544&lt;=S543)),"",IF(FALSE,"繰上返済後再計算","")&amp;IF(AND(入力!$B$13="有効",A544&gt;1,MOD(A544-1,60)=0),IF(FALSE,"・","")&amp;"5年見直し","")&amp;IF(AND(A544=入力!$B$11,A544&gt;1),IF(OR(FALSE,AND(入力!$B$13="有効",A544&gt;1,MOD(A544-1,60)=0)),"・","")&amp;"金利変更","")&amp;IF(AND(OR(AND(入力!$B$13="有効",A544&gt;1,MOD(A544-1,60)=0),AND(A544=入力!$B$11,A544&gt;1)),入力!$B$14="有効",IF(E544=0,ROUND(C544/MAX(1,S543-A544+1),0),ROUND(-PMT(E544/12,MAX(1,S543-A544+1),C544),0))&gt;ROUND(G543*1.25,0),NOT(FALSE)),"・上限適用",""))</f>
        <v/>
      </c>
      <c r="Q544" s="35" t="str">
        <f>IF(AND(T543="",A544&lt;=S543),入力!$B$13,"")</f>
        <v/>
      </c>
      <c r="R544" s="32" t="str">
        <f>IF(AND(AND(T543="",A544&lt;=S543),OR(AND(入力!$B$13="有効",A544&gt;1,MOD(A544-1,60)=0),AND(A544=入力!$B$11,A544&gt;1)),入力!$B$14="有効"),ROUND(G543*1.25,0),"")</f>
        <v/>
      </c>
      <c r="S544" s="36">
        <f>IF(A544&lt;&gt;入力!$B$15,S543,IF(K544&lt;&gt;0,S543,IF(G544&lt;=F544,S543,IF(M544&lt;=0,S543,IF(AND(N544&gt;0,E544&gt;0,G544&lt;=N544*E544/12),S543,IF(A544+IF(N544=0,0,IF(E544=0,ROUNDUP(N544/G544,0),ROUNDUP(NPER(E544/12,-G544,N544),0)))&lt;S543,A544+IF(N544=0,0,IF(E544=0,ROUNDUP(N544/G544,0),ROUNDUP(NPER(E544/12,-G544,N544),0))),S543))))))</f>
        <v>359</v>
      </c>
      <c r="T544" s="35" t="str">
        <f t="shared" si="143"/>
        <v/>
      </c>
      <c r="U544" s="3">
        <f t="shared" si="128"/>
        <v>0</v>
      </c>
      <c r="V544" s="3">
        <f t="shared" si="129"/>
        <v>0</v>
      </c>
      <c r="W544" s="3">
        <f t="shared" si="130"/>
        <v>0</v>
      </c>
      <c r="X544" s="3">
        <f t="shared" si="131"/>
        <v>0</v>
      </c>
      <c r="Y544" s="3">
        <f>0</f>
        <v>0</v>
      </c>
      <c r="Z544" s="3">
        <f t="shared" si="132"/>
        <v>0</v>
      </c>
      <c r="AA544">
        <f>ROUND(IF(FALSE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,0)</f>
        <v>0</v>
      </c>
    </row>
    <row r="545" spans="1:27">
      <c r="A545" s="30">
        <f>540</f>
        <v>540</v>
      </c>
      <c r="B545" s="31">
        <f>EDATE(入力!$B$6,A545-1)</f>
        <v>62640</v>
      </c>
      <c r="C545" s="32">
        <f t="shared" si="133"/>
        <v>0</v>
      </c>
      <c r="D545" s="32">
        <f t="shared" si="134"/>
        <v>0</v>
      </c>
      <c r="E545" s="33">
        <f>IF(AND(T544="",A545&lt;=S544),IF(A545&lt;入力!$B$11,入力!$B$10,入力!$B$12),0)</f>
        <v>0</v>
      </c>
      <c r="F545" s="32">
        <f t="shared" si="135"/>
        <v>0</v>
      </c>
      <c r="G545" s="32">
        <f>ROUND(IF(NOT(AND(T544="",A545&lt;=S544)),0,IF(FALSE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),0)</f>
        <v>0</v>
      </c>
      <c r="H545" s="32">
        <f t="shared" si="136"/>
        <v>0</v>
      </c>
      <c r="I545" s="32">
        <f t="shared" si="137"/>
        <v>0</v>
      </c>
      <c r="J545" s="32">
        <f t="shared" si="138"/>
        <v>0</v>
      </c>
      <c r="K545" s="32">
        <f t="shared" si="139"/>
        <v>0</v>
      </c>
      <c r="L545" s="32">
        <f t="shared" si="140"/>
        <v>0</v>
      </c>
      <c r="M545" s="32">
        <f>IF(AND(AND(T544="",A545&lt;=S544),A545=入力!$B$15),ROUND(MIN(入力!$B$16,MAX(0,C545-L545)),0),0)</f>
        <v>0</v>
      </c>
      <c r="N545" s="32">
        <f t="shared" si="141"/>
        <v>0</v>
      </c>
      <c r="O545" s="32">
        <f t="shared" si="142"/>
        <v>10725103</v>
      </c>
      <c r="P545" s="34" t="str">
        <f>IF(NOT(AND(T544="",A545&lt;=S544)),"",IF(FALSE,"繰上返済後再計算","")&amp;IF(AND(入力!$B$13="有効",A545&gt;1,MOD(A545-1,60)=0),IF(FALSE,"・","")&amp;"5年見直し","")&amp;IF(AND(A545=入力!$B$11,A545&gt;1),IF(OR(FALSE,AND(入力!$B$13="有効",A545&gt;1,MOD(A545-1,60)=0)),"・","")&amp;"金利変更","")&amp;IF(AND(OR(AND(入力!$B$13="有効",A545&gt;1,MOD(A545-1,60)=0),AND(A545=入力!$B$11,A545&gt;1)),入力!$B$14="有効",IF(E545=0,ROUND(C545/MAX(1,S544-A545+1),0),ROUND(-PMT(E545/12,MAX(1,S544-A545+1),C545),0))&gt;ROUND(G544*1.25,0),NOT(FALSE)),"・上限適用",""))</f>
        <v/>
      </c>
      <c r="Q545" s="35" t="str">
        <f>IF(AND(T544="",A545&lt;=S544),入力!$B$13,"")</f>
        <v/>
      </c>
      <c r="R545" s="32" t="str">
        <f>IF(AND(AND(T544="",A545&lt;=S544),OR(AND(入力!$B$13="有効",A545&gt;1,MOD(A545-1,60)=0),AND(A545=入力!$B$11,A545&gt;1)),入力!$B$14="有効"),ROUND(G544*1.25,0),"")</f>
        <v/>
      </c>
      <c r="S545" s="36">
        <f>IF(A545&lt;&gt;入力!$B$15,S544,IF(K545&lt;&gt;0,S544,IF(G545&lt;=F545,S544,IF(M545&lt;=0,S544,IF(AND(N545&gt;0,E545&gt;0,G545&lt;=N545*E545/12),S544,IF(A545+IF(N545=0,0,IF(E545=0,ROUNDUP(N545/G545,0),ROUNDUP(NPER(E545/12,-G545,N545),0)))&lt;S544,A545+IF(N545=0,0,IF(E545=0,ROUNDUP(N545/G545,0),ROUNDUP(NPER(E545/12,-G545,N545),0))),S544))))))</f>
        <v>359</v>
      </c>
      <c r="T545" s="35" t="str">
        <f t="shared" si="143"/>
        <v/>
      </c>
      <c r="U545" s="3">
        <f t="shared" si="128"/>
        <v>0</v>
      </c>
      <c r="V545" s="3">
        <f t="shared" si="129"/>
        <v>0</v>
      </c>
      <c r="W545" s="3">
        <f t="shared" si="130"/>
        <v>0</v>
      </c>
      <c r="X545" s="3">
        <f t="shared" si="131"/>
        <v>0</v>
      </c>
      <c r="Y545" s="3">
        <f>0</f>
        <v>0</v>
      </c>
      <c r="Z545" s="3">
        <f t="shared" si="132"/>
        <v>0</v>
      </c>
      <c r="AA545">
        <f>ROUND(IF(FALSE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,0)</f>
        <v>0</v>
      </c>
    </row>
    <row r="546" spans="1:27">
      <c r="A546" s="30">
        <f>541</f>
        <v>541</v>
      </c>
      <c r="B546" s="31">
        <f>EDATE(入力!$B$6,A546-1)</f>
        <v>62671</v>
      </c>
      <c r="C546" s="32">
        <f t="shared" si="133"/>
        <v>0</v>
      </c>
      <c r="D546" s="32">
        <f t="shared" si="134"/>
        <v>0</v>
      </c>
      <c r="E546" s="33">
        <f>IF(AND(T545="",A546&lt;=S545),IF(A546&lt;入力!$B$11,入力!$B$10,入力!$B$12),0)</f>
        <v>0</v>
      </c>
      <c r="F546" s="32">
        <f t="shared" si="135"/>
        <v>0</v>
      </c>
      <c r="G546" s="32">
        <f>ROUND(IF(NOT(AND(T545="",A546&lt;=S545)),0,IF(FALSE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),0)</f>
        <v>0</v>
      </c>
      <c r="H546" s="32">
        <f t="shared" si="136"/>
        <v>0</v>
      </c>
      <c r="I546" s="32">
        <f t="shared" si="137"/>
        <v>0</v>
      </c>
      <c r="J546" s="32">
        <f t="shared" si="138"/>
        <v>0</v>
      </c>
      <c r="K546" s="32">
        <f t="shared" si="139"/>
        <v>0</v>
      </c>
      <c r="L546" s="32">
        <f t="shared" si="140"/>
        <v>0</v>
      </c>
      <c r="M546" s="32">
        <f>IF(AND(AND(T545="",A546&lt;=S545),A546=入力!$B$15),ROUND(MIN(入力!$B$16,MAX(0,C546-L546)),0),0)</f>
        <v>0</v>
      </c>
      <c r="N546" s="32">
        <f t="shared" si="141"/>
        <v>0</v>
      </c>
      <c r="O546" s="32">
        <f t="shared" si="142"/>
        <v>10725103</v>
      </c>
      <c r="P546" s="34" t="str">
        <f>IF(NOT(AND(T545="",A546&lt;=S545)),"",IF(FALSE,"繰上返済後再計算","")&amp;IF(AND(入力!$B$13="有効",A546&gt;1,MOD(A546-1,60)=0),IF(FALSE,"・","")&amp;"5年見直し","")&amp;IF(AND(A546=入力!$B$11,A546&gt;1),IF(OR(FALSE,AND(入力!$B$13="有効",A546&gt;1,MOD(A546-1,60)=0)),"・","")&amp;"金利変更","")&amp;IF(AND(OR(AND(入力!$B$13="有効",A546&gt;1,MOD(A546-1,60)=0),AND(A546=入力!$B$11,A546&gt;1)),入力!$B$14="有効",IF(E546=0,ROUND(C546/MAX(1,S545-A546+1),0),ROUND(-PMT(E546/12,MAX(1,S545-A546+1),C546),0))&gt;ROUND(G545*1.25,0),NOT(FALSE)),"・上限適用",""))</f>
        <v/>
      </c>
      <c r="Q546" s="35" t="str">
        <f>IF(AND(T545="",A546&lt;=S545),入力!$B$13,"")</f>
        <v/>
      </c>
      <c r="R546" s="32" t="str">
        <f>IF(AND(AND(T545="",A546&lt;=S545),OR(AND(入力!$B$13="有効",A546&gt;1,MOD(A546-1,60)=0),AND(A546=入力!$B$11,A546&gt;1)),入力!$B$14="有効"),ROUND(G545*1.25,0),"")</f>
        <v/>
      </c>
      <c r="S546" s="36">
        <f>IF(A546&lt;&gt;入力!$B$15,S545,IF(K546&lt;&gt;0,S545,IF(G546&lt;=F546,S545,IF(M546&lt;=0,S545,IF(AND(N546&gt;0,E546&gt;0,G546&lt;=N546*E546/12),S545,IF(A546+IF(N546=0,0,IF(E546=0,ROUNDUP(N546/G546,0),ROUNDUP(NPER(E546/12,-G546,N546),0)))&lt;S545,A546+IF(N546=0,0,IF(E546=0,ROUNDUP(N546/G546,0),ROUNDUP(NPER(E546/12,-G546,N546),0))),S545))))))</f>
        <v>359</v>
      </c>
      <c r="T546" s="35" t="str">
        <f t="shared" si="143"/>
        <v/>
      </c>
      <c r="U546" s="3">
        <f t="shared" si="128"/>
        <v>0</v>
      </c>
      <c r="V546" s="3">
        <f t="shared" si="129"/>
        <v>0</v>
      </c>
      <c r="W546" s="3">
        <f t="shared" si="130"/>
        <v>0</v>
      </c>
      <c r="X546" s="3">
        <f t="shared" si="131"/>
        <v>0</v>
      </c>
      <c r="Y546" s="3">
        <f>0</f>
        <v>0</v>
      </c>
      <c r="Z546" s="3">
        <f t="shared" si="132"/>
        <v>0</v>
      </c>
      <c r="AA546">
        <f>ROUND(IF(FALSE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,0)</f>
        <v>0</v>
      </c>
    </row>
    <row r="547" spans="1:27">
      <c r="A547" s="30">
        <f>542</f>
        <v>542</v>
      </c>
      <c r="B547" s="31">
        <f>EDATE(入力!$B$6,A547-1)</f>
        <v>62702</v>
      </c>
      <c r="C547" s="32">
        <f t="shared" si="133"/>
        <v>0</v>
      </c>
      <c r="D547" s="32">
        <f t="shared" si="134"/>
        <v>0</v>
      </c>
      <c r="E547" s="33">
        <f>IF(AND(T546="",A547&lt;=S546),IF(A547&lt;入力!$B$11,入力!$B$10,入力!$B$12),0)</f>
        <v>0</v>
      </c>
      <c r="F547" s="32">
        <f t="shared" si="135"/>
        <v>0</v>
      </c>
      <c r="G547" s="32">
        <f>ROUND(IF(NOT(AND(T546="",A547&lt;=S546)),0,IF(FALSE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),0)</f>
        <v>0</v>
      </c>
      <c r="H547" s="32">
        <f t="shared" si="136"/>
        <v>0</v>
      </c>
      <c r="I547" s="32">
        <f t="shared" si="137"/>
        <v>0</v>
      </c>
      <c r="J547" s="32">
        <f t="shared" si="138"/>
        <v>0</v>
      </c>
      <c r="K547" s="32">
        <f t="shared" si="139"/>
        <v>0</v>
      </c>
      <c r="L547" s="32">
        <f t="shared" si="140"/>
        <v>0</v>
      </c>
      <c r="M547" s="32">
        <f>IF(AND(AND(T546="",A547&lt;=S546),A547=入力!$B$15),ROUND(MIN(入力!$B$16,MAX(0,C547-L547)),0),0)</f>
        <v>0</v>
      </c>
      <c r="N547" s="32">
        <f t="shared" si="141"/>
        <v>0</v>
      </c>
      <c r="O547" s="32">
        <f t="shared" si="142"/>
        <v>10725103</v>
      </c>
      <c r="P547" s="34" t="str">
        <f>IF(NOT(AND(T546="",A547&lt;=S546)),"",IF(FALSE,"繰上返済後再計算","")&amp;IF(AND(入力!$B$13="有効",A547&gt;1,MOD(A547-1,60)=0),IF(FALSE,"・","")&amp;"5年見直し","")&amp;IF(AND(A547=入力!$B$11,A547&gt;1),IF(OR(FALSE,AND(入力!$B$13="有効",A547&gt;1,MOD(A547-1,60)=0)),"・","")&amp;"金利変更","")&amp;IF(AND(OR(AND(入力!$B$13="有効",A547&gt;1,MOD(A547-1,60)=0),AND(A547=入力!$B$11,A547&gt;1)),入力!$B$14="有効",IF(E547=0,ROUND(C547/MAX(1,S546-A547+1),0),ROUND(-PMT(E547/12,MAX(1,S546-A547+1),C547),0))&gt;ROUND(G546*1.25,0),NOT(FALSE)),"・上限適用",""))</f>
        <v/>
      </c>
      <c r="Q547" s="35" t="str">
        <f>IF(AND(T546="",A547&lt;=S546),入力!$B$13,"")</f>
        <v/>
      </c>
      <c r="R547" s="32" t="str">
        <f>IF(AND(AND(T546="",A547&lt;=S546),OR(AND(入力!$B$13="有効",A547&gt;1,MOD(A547-1,60)=0),AND(A547=入力!$B$11,A547&gt;1)),入力!$B$14="有効"),ROUND(G546*1.25,0),"")</f>
        <v/>
      </c>
      <c r="S547" s="36">
        <f>IF(A547&lt;&gt;入力!$B$15,S546,IF(K547&lt;&gt;0,S546,IF(G547&lt;=F547,S546,IF(M547&lt;=0,S546,IF(AND(N547&gt;0,E547&gt;0,G547&lt;=N547*E547/12),S546,IF(A547+IF(N547=0,0,IF(E547=0,ROUNDUP(N547/G547,0),ROUNDUP(NPER(E547/12,-G547,N547),0)))&lt;S546,A547+IF(N547=0,0,IF(E547=0,ROUNDUP(N547/G547,0),ROUNDUP(NPER(E547/12,-G547,N547),0))),S546))))))</f>
        <v>359</v>
      </c>
      <c r="T547" s="35" t="str">
        <f t="shared" si="143"/>
        <v/>
      </c>
      <c r="U547" s="3">
        <f t="shared" si="128"/>
        <v>0</v>
      </c>
      <c r="V547" s="3">
        <f t="shared" si="129"/>
        <v>0</v>
      </c>
      <c r="W547" s="3">
        <f t="shared" si="130"/>
        <v>0</v>
      </c>
      <c r="X547" s="3">
        <f t="shared" si="131"/>
        <v>0</v>
      </c>
      <c r="Y547" s="3">
        <f>0</f>
        <v>0</v>
      </c>
      <c r="Z547" s="3">
        <f t="shared" si="132"/>
        <v>0</v>
      </c>
      <c r="AA547">
        <f>ROUND(IF(FALSE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,0)</f>
        <v>0</v>
      </c>
    </row>
    <row r="548" spans="1:27">
      <c r="A548" s="30">
        <f>543</f>
        <v>543</v>
      </c>
      <c r="B548" s="31">
        <f>EDATE(入力!$B$6,A548-1)</f>
        <v>62732</v>
      </c>
      <c r="C548" s="32">
        <f t="shared" si="133"/>
        <v>0</v>
      </c>
      <c r="D548" s="32">
        <f t="shared" si="134"/>
        <v>0</v>
      </c>
      <c r="E548" s="33">
        <f>IF(AND(T547="",A548&lt;=S547),IF(A548&lt;入力!$B$11,入力!$B$10,入力!$B$12),0)</f>
        <v>0</v>
      </c>
      <c r="F548" s="32">
        <f t="shared" si="135"/>
        <v>0</v>
      </c>
      <c r="G548" s="32">
        <f>ROUND(IF(NOT(AND(T547="",A548&lt;=S547)),0,IF(FALSE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),0)</f>
        <v>0</v>
      </c>
      <c r="H548" s="32">
        <f t="shared" si="136"/>
        <v>0</v>
      </c>
      <c r="I548" s="32">
        <f t="shared" si="137"/>
        <v>0</v>
      </c>
      <c r="J548" s="32">
        <f t="shared" si="138"/>
        <v>0</v>
      </c>
      <c r="K548" s="32">
        <f t="shared" si="139"/>
        <v>0</v>
      </c>
      <c r="L548" s="32">
        <f t="shared" si="140"/>
        <v>0</v>
      </c>
      <c r="M548" s="32">
        <f>IF(AND(AND(T547="",A548&lt;=S547),A548=入力!$B$15),ROUND(MIN(入力!$B$16,MAX(0,C548-L548)),0),0)</f>
        <v>0</v>
      </c>
      <c r="N548" s="32">
        <f t="shared" si="141"/>
        <v>0</v>
      </c>
      <c r="O548" s="32">
        <f t="shared" si="142"/>
        <v>10725103</v>
      </c>
      <c r="P548" s="34" t="str">
        <f>IF(NOT(AND(T547="",A548&lt;=S547)),"",IF(FALSE,"繰上返済後再計算","")&amp;IF(AND(入力!$B$13="有効",A548&gt;1,MOD(A548-1,60)=0),IF(FALSE,"・","")&amp;"5年見直し","")&amp;IF(AND(A548=入力!$B$11,A548&gt;1),IF(OR(FALSE,AND(入力!$B$13="有効",A548&gt;1,MOD(A548-1,60)=0)),"・","")&amp;"金利変更","")&amp;IF(AND(OR(AND(入力!$B$13="有効",A548&gt;1,MOD(A548-1,60)=0),AND(A548=入力!$B$11,A548&gt;1)),入力!$B$14="有効",IF(E548=0,ROUND(C548/MAX(1,S547-A548+1),0),ROUND(-PMT(E548/12,MAX(1,S547-A548+1),C548),0))&gt;ROUND(G547*1.25,0),NOT(FALSE)),"・上限適用",""))</f>
        <v/>
      </c>
      <c r="Q548" s="35" t="str">
        <f>IF(AND(T547="",A548&lt;=S547),入力!$B$13,"")</f>
        <v/>
      </c>
      <c r="R548" s="32" t="str">
        <f>IF(AND(AND(T547="",A548&lt;=S547),OR(AND(入力!$B$13="有効",A548&gt;1,MOD(A548-1,60)=0),AND(A548=入力!$B$11,A548&gt;1)),入力!$B$14="有効"),ROUND(G547*1.25,0),"")</f>
        <v/>
      </c>
      <c r="S548" s="36">
        <f>IF(A548&lt;&gt;入力!$B$15,S547,IF(K548&lt;&gt;0,S547,IF(G548&lt;=F548,S547,IF(M548&lt;=0,S547,IF(AND(N548&gt;0,E548&gt;0,G548&lt;=N548*E548/12),S547,IF(A548+IF(N548=0,0,IF(E548=0,ROUNDUP(N548/G548,0),ROUNDUP(NPER(E548/12,-G548,N548),0)))&lt;S547,A548+IF(N548=0,0,IF(E548=0,ROUNDUP(N548/G548,0),ROUNDUP(NPER(E548/12,-G548,N548),0))),S547))))))</f>
        <v>359</v>
      </c>
      <c r="T548" s="35" t="str">
        <f t="shared" si="143"/>
        <v/>
      </c>
      <c r="U548" s="3">
        <f t="shared" si="128"/>
        <v>0</v>
      </c>
      <c r="V548" s="3">
        <f t="shared" si="129"/>
        <v>0</v>
      </c>
      <c r="W548" s="3">
        <f t="shared" si="130"/>
        <v>0</v>
      </c>
      <c r="X548" s="3">
        <f t="shared" si="131"/>
        <v>0</v>
      </c>
      <c r="Y548" s="3">
        <f>0</f>
        <v>0</v>
      </c>
      <c r="Z548" s="3">
        <f t="shared" si="132"/>
        <v>0</v>
      </c>
      <c r="AA548">
        <f>ROUND(IF(FALSE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,0)</f>
        <v>0</v>
      </c>
    </row>
    <row r="549" spans="1:27">
      <c r="A549" s="30">
        <f>544</f>
        <v>544</v>
      </c>
      <c r="B549" s="31">
        <f>EDATE(入力!$B$6,A549-1)</f>
        <v>62763</v>
      </c>
      <c r="C549" s="32">
        <f t="shared" si="133"/>
        <v>0</v>
      </c>
      <c r="D549" s="32">
        <f t="shared" si="134"/>
        <v>0</v>
      </c>
      <c r="E549" s="33">
        <f>IF(AND(T548="",A549&lt;=S548),IF(A549&lt;入力!$B$11,入力!$B$10,入力!$B$12),0)</f>
        <v>0</v>
      </c>
      <c r="F549" s="32">
        <f t="shared" si="135"/>
        <v>0</v>
      </c>
      <c r="G549" s="32">
        <f>ROUND(IF(NOT(AND(T548="",A549&lt;=S548)),0,IF(FALSE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),0)</f>
        <v>0</v>
      </c>
      <c r="H549" s="32">
        <f t="shared" si="136"/>
        <v>0</v>
      </c>
      <c r="I549" s="32">
        <f t="shared" si="137"/>
        <v>0</v>
      </c>
      <c r="J549" s="32">
        <f t="shared" si="138"/>
        <v>0</v>
      </c>
      <c r="K549" s="32">
        <f t="shared" si="139"/>
        <v>0</v>
      </c>
      <c r="L549" s="32">
        <f t="shared" si="140"/>
        <v>0</v>
      </c>
      <c r="M549" s="32">
        <f>IF(AND(AND(T548="",A549&lt;=S548),A549=入力!$B$15),ROUND(MIN(入力!$B$16,MAX(0,C549-L549)),0),0)</f>
        <v>0</v>
      </c>
      <c r="N549" s="32">
        <f t="shared" si="141"/>
        <v>0</v>
      </c>
      <c r="O549" s="32">
        <f t="shared" si="142"/>
        <v>10725103</v>
      </c>
      <c r="P549" s="34" t="str">
        <f>IF(NOT(AND(T548="",A549&lt;=S548)),"",IF(FALSE,"繰上返済後再計算","")&amp;IF(AND(入力!$B$13="有効",A549&gt;1,MOD(A549-1,60)=0),IF(FALSE,"・","")&amp;"5年見直し","")&amp;IF(AND(A549=入力!$B$11,A549&gt;1),IF(OR(FALSE,AND(入力!$B$13="有効",A549&gt;1,MOD(A549-1,60)=0)),"・","")&amp;"金利変更","")&amp;IF(AND(OR(AND(入力!$B$13="有効",A549&gt;1,MOD(A549-1,60)=0),AND(A549=入力!$B$11,A549&gt;1)),入力!$B$14="有効",IF(E549=0,ROUND(C549/MAX(1,S548-A549+1),0),ROUND(-PMT(E549/12,MAX(1,S548-A549+1),C549),0))&gt;ROUND(G548*1.25,0),NOT(FALSE)),"・上限適用",""))</f>
        <v/>
      </c>
      <c r="Q549" s="35" t="str">
        <f>IF(AND(T548="",A549&lt;=S548),入力!$B$13,"")</f>
        <v/>
      </c>
      <c r="R549" s="32" t="str">
        <f>IF(AND(AND(T548="",A549&lt;=S548),OR(AND(入力!$B$13="有効",A549&gt;1,MOD(A549-1,60)=0),AND(A549=入力!$B$11,A549&gt;1)),入力!$B$14="有効"),ROUND(G548*1.25,0),"")</f>
        <v/>
      </c>
      <c r="S549" s="36">
        <f>IF(A549&lt;&gt;入力!$B$15,S548,IF(K549&lt;&gt;0,S548,IF(G549&lt;=F549,S548,IF(M549&lt;=0,S548,IF(AND(N549&gt;0,E549&gt;0,G549&lt;=N549*E549/12),S548,IF(A549+IF(N549=0,0,IF(E549=0,ROUNDUP(N549/G549,0),ROUNDUP(NPER(E549/12,-G549,N549),0)))&lt;S548,A549+IF(N549=0,0,IF(E549=0,ROUNDUP(N549/G549,0),ROUNDUP(NPER(E549/12,-G549,N549),0))),S548))))))</f>
        <v>359</v>
      </c>
      <c r="T549" s="35" t="str">
        <f t="shared" si="143"/>
        <v/>
      </c>
      <c r="U549" s="3">
        <f t="shared" si="128"/>
        <v>0</v>
      </c>
      <c r="V549" s="3">
        <f t="shared" si="129"/>
        <v>0</v>
      </c>
      <c r="W549" s="3">
        <f t="shared" si="130"/>
        <v>0</v>
      </c>
      <c r="X549" s="3">
        <f t="shared" si="131"/>
        <v>0</v>
      </c>
      <c r="Y549" s="3">
        <f>0</f>
        <v>0</v>
      </c>
      <c r="Z549" s="3">
        <f t="shared" si="132"/>
        <v>0</v>
      </c>
      <c r="AA549">
        <f>ROUND(IF(FALSE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,0)</f>
        <v>0</v>
      </c>
    </row>
    <row r="550" spans="1:27">
      <c r="A550" s="30">
        <f>545</f>
        <v>545</v>
      </c>
      <c r="B550" s="31">
        <f>EDATE(入力!$B$6,A550-1)</f>
        <v>62793</v>
      </c>
      <c r="C550" s="32">
        <f t="shared" si="133"/>
        <v>0</v>
      </c>
      <c r="D550" s="32">
        <f t="shared" si="134"/>
        <v>0</v>
      </c>
      <c r="E550" s="33">
        <f>IF(AND(T549="",A550&lt;=S549),IF(A550&lt;入力!$B$11,入力!$B$10,入力!$B$12),0)</f>
        <v>0</v>
      </c>
      <c r="F550" s="32">
        <f t="shared" si="135"/>
        <v>0</v>
      </c>
      <c r="G550" s="32">
        <f>ROUND(IF(NOT(AND(T549="",A550&lt;=S549)),0,IF(FALSE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),0)</f>
        <v>0</v>
      </c>
      <c r="H550" s="32">
        <f t="shared" si="136"/>
        <v>0</v>
      </c>
      <c r="I550" s="32">
        <f t="shared" si="137"/>
        <v>0</v>
      </c>
      <c r="J550" s="32">
        <f t="shared" si="138"/>
        <v>0</v>
      </c>
      <c r="K550" s="32">
        <f t="shared" si="139"/>
        <v>0</v>
      </c>
      <c r="L550" s="32">
        <f t="shared" si="140"/>
        <v>0</v>
      </c>
      <c r="M550" s="32">
        <f>IF(AND(AND(T549="",A550&lt;=S549),A550=入力!$B$15),ROUND(MIN(入力!$B$16,MAX(0,C550-L550)),0),0)</f>
        <v>0</v>
      </c>
      <c r="N550" s="32">
        <f t="shared" si="141"/>
        <v>0</v>
      </c>
      <c r="O550" s="32">
        <f t="shared" si="142"/>
        <v>10725103</v>
      </c>
      <c r="P550" s="34" t="str">
        <f>IF(NOT(AND(T549="",A550&lt;=S549)),"",IF(FALSE,"繰上返済後再計算","")&amp;IF(AND(入力!$B$13="有効",A550&gt;1,MOD(A550-1,60)=0),IF(FALSE,"・","")&amp;"5年見直し","")&amp;IF(AND(A550=入力!$B$11,A550&gt;1),IF(OR(FALSE,AND(入力!$B$13="有効",A550&gt;1,MOD(A550-1,60)=0)),"・","")&amp;"金利変更","")&amp;IF(AND(OR(AND(入力!$B$13="有効",A550&gt;1,MOD(A550-1,60)=0),AND(A550=入力!$B$11,A550&gt;1)),入力!$B$14="有効",IF(E550=0,ROUND(C550/MAX(1,S549-A550+1),0),ROUND(-PMT(E550/12,MAX(1,S549-A550+1),C550),0))&gt;ROUND(G549*1.25,0),NOT(FALSE)),"・上限適用",""))</f>
        <v/>
      </c>
      <c r="Q550" s="35" t="str">
        <f>IF(AND(T549="",A550&lt;=S549),入力!$B$13,"")</f>
        <v/>
      </c>
      <c r="R550" s="32" t="str">
        <f>IF(AND(AND(T549="",A550&lt;=S549),OR(AND(入力!$B$13="有効",A550&gt;1,MOD(A550-1,60)=0),AND(A550=入力!$B$11,A550&gt;1)),入力!$B$14="有効"),ROUND(G549*1.25,0),"")</f>
        <v/>
      </c>
      <c r="S550" s="36">
        <f>IF(A550&lt;&gt;入力!$B$15,S549,IF(K550&lt;&gt;0,S549,IF(G550&lt;=F550,S549,IF(M550&lt;=0,S549,IF(AND(N550&gt;0,E550&gt;0,G550&lt;=N550*E550/12),S549,IF(A550+IF(N550=0,0,IF(E550=0,ROUNDUP(N550/G550,0),ROUNDUP(NPER(E550/12,-G550,N550),0)))&lt;S549,A550+IF(N550=0,0,IF(E550=0,ROUNDUP(N550/G550,0),ROUNDUP(NPER(E550/12,-G550,N550),0))),S549))))))</f>
        <v>359</v>
      </c>
      <c r="T550" s="35" t="str">
        <f t="shared" si="143"/>
        <v/>
      </c>
      <c r="U550" s="3">
        <f t="shared" si="128"/>
        <v>0</v>
      </c>
      <c r="V550" s="3">
        <f t="shared" si="129"/>
        <v>0</v>
      </c>
      <c r="W550" s="3">
        <f t="shared" si="130"/>
        <v>0</v>
      </c>
      <c r="X550" s="3">
        <f t="shared" si="131"/>
        <v>0</v>
      </c>
      <c r="Y550" s="3">
        <f>0</f>
        <v>0</v>
      </c>
      <c r="Z550" s="3">
        <f t="shared" si="132"/>
        <v>0</v>
      </c>
      <c r="AA550">
        <f>ROUND(IF(FALSE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,0)</f>
        <v>0</v>
      </c>
    </row>
    <row r="551" spans="1:27">
      <c r="A551" s="30">
        <f>546</f>
        <v>546</v>
      </c>
      <c r="B551" s="31">
        <f>EDATE(入力!$B$6,A551-1)</f>
        <v>62824</v>
      </c>
      <c r="C551" s="32">
        <f t="shared" si="133"/>
        <v>0</v>
      </c>
      <c r="D551" s="32">
        <f t="shared" si="134"/>
        <v>0</v>
      </c>
      <c r="E551" s="33">
        <f>IF(AND(T550="",A551&lt;=S550),IF(A551&lt;入力!$B$11,入力!$B$10,入力!$B$12),0)</f>
        <v>0</v>
      </c>
      <c r="F551" s="32">
        <f t="shared" si="135"/>
        <v>0</v>
      </c>
      <c r="G551" s="32">
        <f>ROUND(IF(NOT(AND(T550="",A551&lt;=S550)),0,IF(FALSE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),0)</f>
        <v>0</v>
      </c>
      <c r="H551" s="32">
        <f t="shared" si="136"/>
        <v>0</v>
      </c>
      <c r="I551" s="32">
        <f t="shared" si="137"/>
        <v>0</v>
      </c>
      <c r="J551" s="32">
        <f t="shared" si="138"/>
        <v>0</v>
      </c>
      <c r="K551" s="32">
        <f t="shared" si="139"/>
        <v>0</v>
      </c>
      <c r="L551" s="32">
        <f t="shared" si="140"/>
        <v>0</v>
      </c>
      <c r="M551" s="32">
        <f>IF(AND(AND(T550="",A551&lt;=S550),A551=入力!$B$15),ROUND(MIN(入力!$B$16,MAX(0,C551-L551)),0),0)</f>
        <v>0</v>
      </c>
      <c r="N551" s="32">
        <f t="shared" si="141"/>
        <v>0</v>
      </c>
      <c r="O551" s="32">
        <f t="shared" si="142"/>
        <v>10725103</v>
      </c>
      <c r="P551" s="34" t="str">
        <f>IF(NOT(AND(T550="",A551&lt;=S550)),"",IF(FALSE,"繰上返済後再計算","")&amp;IF(AND(入力!$B$13="有効",A551&gt;1,MOD(A551-1,60)=0),IF(FALSE,"・","")&amp;"5年見直し","")&amp;IF(AND(A551=入力!$B$11,A551&gt;1),IF(OR(FALSE,AND(入力!$B$13="有効",A551&gt;1,MOD(A551-1,60)=0)),"・","")&amp;"金利変更","")&amp;IF(AND(OR(AND(入力!$B$13="有効",A551&gt;1,MOD(A551-1,60)=0),AND(A551=入力!$B$11,A551&gt;1)),入力!$B$14="有効",IF(E551=0,ROUND(C551/MAX(1,S550-A551+1),0),ROUND(-PMT(E551/12,MAX(1,S550-A551+1),C551),0))&gt;ROUND(G550*1.25,0),NOT(FALSE)),"・上限適用",""))</f>
        <v/>
      </c>
      <c r="Q551" s="35" t="str">
        <f>IF(AND(T550="",A551&lt;=S550),入力!$B$13,"")</f>
        <v/>
      </c>
      <c r="R551" s="32" t="str">
        <f>IF(AND(AND(T550="",A551&lt;=S550),OR(AND(入力!$B$13="有効",A551&gt;1,MOD(A551-1,60)=0),AND(A551=入力!$B$11,A551&gt;1)),入力!$B$14="有効"),ROUND(G550*1.25,0),"")</f>
        <v/>
      </c>
      <c r="S551" s="36">
        <f>IF(A551&lt;&gt;入力!$B$15,S550,IF(K551&lt;&gt;0,S550,IF(G551&lt;=F551,S550,IF(M551&lt;=0,S550,IF(AND(N551&gt;0,E551&gt;0,G551&lt;=N551*E551/12),S550,IF(A551+IF(N551=0,0,IF(E551=0,ROUNDUP(N551/G551,0),ROUNDUP(NPER(E551/12,-G551,N551),0)))&lt;S550,A551+IF(N551=0,0,IF(E551=0,ROUNDUP(N551/G551,0),ROUNDUP(NPER(E551/12,-G551,N551),0))),S550))))))</f>
        <v>359</v>
      </c>
      <c r="T551" s="35" t="str">
        <f t="shared" si="143"/>
        <v/>
      </c>
      <c r="U551" s="3">
        <f t="shared" si="128"/>
        <v>0</v>
      </c>
      <c r="V551" s="3">
        <f t="shared" si="129"/>
        <v>0</v>
      </c>
      <c r="W551" s="3">
        <f t="shared" si="130"/>
        <v>0</v>
      </c>
      <c r="X551" s="3">
        <f t="shared" si="131"/>
        <v>0</v>
      </c>
      <c r="Y551" s="3">
        <f>0</f>
        <v>0</v>
      </c>
      <c r="Z551" s="3">
        <f t="shared" si="132"/>
        <v>0</v>
      </c>
      <c r="AA551">
        <f>ROUND(IF(FALSE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,0)</f>
        <v>0</v>
      </c>
    </row>
    <row r="552" spans="1:27">
      <c r="A552" s="30">
        <f>547</f>
        <v>547</v>
      </c>
      <c r="B552" s="31">
        <f>EDATE(入力!$B$6,A552-1)</f>
        <v>62855</v>
      </c>
      <c r="C552" s="32">
        <f t="shared" si="133"/>
        <v>0</v>
      </c>
      <c r="D552" s="32">
        <f t="shared" si="134"/>
        <v>0</v>
      </c>
      <c r="E552" s="33">
        <f>IF(AND(T551="",A552&lt;=S551),IF(A552&lt;入力!$B$11,入力!$B$10,入力!$B$12),0)</f>
        <v>0</v>
      </c>
      <c r="F552" s="32">
        <f t="shared" si="135"/>
        <v>0</v>
      </c>
      <c r="G552" s="32">
        <f>ROUND(IF(NOT(AND(T551="",A552&lt;=S551)),0,IF(FALSE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),0)</f>
        <v>0</v>
      </c>
      <c r="H552" s="32">
        <f t="shared" si="136"/>
        <v>0</v>
      </c>
      <c r="I552" s="32">
        <f t="shared" si="137"/>
        <v>0</v>
      </c>
      <c r="J552" s="32">
        <f t="shared" si="138"/>
        <v>0</v>
      </c>
      <c r="K552" s="32">
        <f t="shared" si="139"/>
        <v>0</v>
      </c>
      <c r="L552" s="32">
        <f t="shared" si="140"/>
        <v>0</v>
      </c>
      <c r="M552" s="32">
        <f>IF(AND(AND(T551="",A552&lt;=S551),A552=入力!$B$15),ROUND(MIN(入力!$B$16,MAX(0,C552-L552)),0),0)</f>
        <v>0</v>
      </c>
      <c r="N552" s="32">
        <f t="shared" si="141"/>
        <v>0</v>
      </c>
      <c r="O552" s="32">
        <f t="shared" si="142"/>
        <v>10725103</v>
      </c>
      <c r="P552" s="34" t="str">
        <f>IF(NOT(AND(T551="",A552&lt;=S551)),"",IF(FALSE,"繰上返済後再計算","")&amp;IF(AND(入力!$B$13="有効",A552&gt;1,MOD(A552-1,60)=0),IF(FALSE,"・","")&amp;"5年見直し","")&amp;IF(AND(A552=入力!$B$11,A552&gt;1),IF(OR(FALSE,AND(入力!$B$13="有効",A552&gt;1,MOD(A552-1,60)=0)),"・","")&amp;"金利変更","")&amp;IF(AND(OR(AND(入力!$B$13="有効",A552&gt;1,MOD(A552-1,60)=0),AND(A552=入力!$B$11,A552&gt;1)),入力!$B$14="有効",IF(E552=0,ROUND(C552/MAX(1,S551-A552+1),0),ROUND(-PMT(E552/12,MAX(1,S551-A552+1),C552),0))&gt;ROUND(G551*1.25,0),NOT(FALSE)),"・上限適用",""))</f>
        <v/>
      </c>
      <c r="Q552" s="35" t="str">
        <f>IF(AND(T551="",A552&lt;=S551),入力!$B$13,"")</f>
        <v/>
      </c>
      <c r="R552" s="32" t="str">
        <f>IF(AND(AND(T551="",A552&lt;=S551),OR(AND(入力!$B$13="有効",A552&gt;1,MOD(A552-1,60)=0),AND(A552=入力!$B$11,A552&gt;1)),入力!$B$14="有効"),ROUND(G551*1.25,0),"")</f>
        <v/>
      </c>
      <c r="S552" s="36">
        <f>IF(A552&lt;&gt;入力!$B$15,S551,IF(K552&lt;&gt;0,S551,IF(G552&lt;=F552,S551,IF(M552&lt;=0,S551,IF(AND(N552&gt;0,E552&gt;0,G552&lt;=N552*E552/12),S551,IF(A552+IF(N552=0,0,IF(E552=0,ROUNDUP(N552/G552,0),ROUNDUP(NPER(E552/12,-G552,N552),0)))&lt;S551,A552+IF(N552=0,0,IF(E552=0,ROUNDUP(N552/G552,0),ROUNDUP(NPER(E552/12,-G552,N552),0))),S551))))))</f>
        <v>359</v>
      </c>
      <c r="T552" s="35" t="str">
        <f t="shared" si="143"/>
        <v/>
      </c>
      <c r="U552" s="3">
        <f t="shared" si="128"/>
        <v>0</v>
      </c>
      <c r="V552" s="3">
        <f t="shared" si="129"/>
        <v>0</v>
      </c>
      <c r="W552" s="3">
        <f t="shared" si="130"/>
        <v>0</v>
      </c>
      <c r="X552" s="3">
        <f t="shared" si="131"/>
        <v>0</v>
      </c>
      <c r="Y552" s="3">
        <f>0</f>
        <v>0</v>
      </c>
      <c r="Z552" s="3">
        <f t="shared" si="132"/>
        <v>0</v>
      </c>
      <c r="AA552">
        <f>ROUND(IF(FALSE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,0)</f>
        <v>0</v>
      </c>
    </row>
    <row r="553" spans="1:27">
      <c r="A553" s="30">
        <f>548</f>
        <v>548</v>
      </c>
      <c r="B553" s="31">
        <f>EDATE(入力!$B$6,A553-1)</f>
        <v>62884</v>
      </c>
      <c r="C553" s="32">
        <f t="shared" si="133"/>
        <v>0</v>
      </c>
      <c r="D553" s="32">
        <f t="shared" si="134"/>
        <v>0</v>
      </c>
      <c r="E553" s="33">
        <f>IF(AND(T552="",A553&lt;=S552),IF(A553&lt;入力!$B$11,入力!$B$10,入力!$B$12),0)</f>
        <v>0</v>
      </c>
      <c r="F553" s="32">
        <f t="shared" si="135"/>
        <v>0</v>
      </c>
      <c r="G553" s="32">
        <f>ROUND(IF(NOT(AND(T552="",A553&lt;=S552)),0,IF(FALSE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),0)</f>
        <v>0</v>
      </c>
      <c r="H553" s="32">
        <f t="shared" si="136"/>
        <v>0</v>
      </c>
      <c r="I553" s="32">
        <f t="shared" si="137"/>
        <v>0</v>
      </c>
      <c r="J553" s="32">
        <f t="shared" si="138"/>
        <v>0</v>
      </c>
      <c r="K553" s="32">
        <f t="shared" si="139"/>
        <v>0</v>
      </c>
      <c r="L553" s="32">
        <f t="shared" si="140"/>
        <v>0</v>
      </c>
      <c r="M553" s="32">
        <f>IF(AND(AND(T552="",A553&lt;=S552),A553=入力!$B$15),ROUND(MIN(入力!$B$16,MAX(0,C553-L553)),0),0)</f>
        <v>0</v>
      </c>
      <c r="N553" s="32">
        <f t="shared" si="141"/>
        <v>0</v>
      </c>
      <c r="O553" s="32">
        <f t="shared" si="142"/>
        <v>10725103</v>
      </c>
      <c r="P553" s="34" t="str">
        <f>IF(NOT(AND(T552="",A553&lt;=S552)),"",IF(FALSE,"繰上返済後再計算","")&amp;IF(AND(入力!$B$13="有効",A553&gt;1,MOD(A553-1,60)=0),IF(FALSE,"・","")&amp;"5年見直し","")&amp;IF(AND(A553=入力!$B$11,A553&gt;1),IF(OR(FALSE,AND(入力!$B$13="有効",A553&gt;1,MOD(A553-1,60)=0)),"・","")&amp;"金利変更","")&amp;IF(AND(OR(AND(入力!$B$13="有効",A553&gt;1,MOD(A553-1,60)=0),AND(A553=入力!$B$11,A553&gt;1)),入力!$B$14="有効",IF(E553=0,ROUND(C553/MAX(1,S552-A553+1),0),ROUND(-PMT(E553/12,MAX(1,S552-A553+1),C553),0))&gt;ROUND(G552*1.25,0),NOT(FALSE)),"・上限適用",""))</f>
        <v/>
      </c>
      <c r="Q553" s="35" t="str">
        <f>IF(AND(T552="",A553&lt;=S552),入力!$B$13,"")</f>
        <v/>
      </c>
      <c r="R553" s="32" t="str">
        <f>IF(AND(AND(T552="",A553&lt;=S552),OR(AND(入力!$B$13="有効",A553&gt;1,MOD(A553-1,60)=0),AND(A553=入力!$B$11,A553&gt;1)),入力!$B$14="有効"),ROUND(G552*1.25,0),"")</f>
        <v/>
      </c>
      <c r="S553" s="36">
        <f>IF(A553&lt;&gt;入力!$B$15,S552,IF(K553&lt;&gt;0,S552,IF(G553&lt;=F553,S552,IF(M553&lt;=0,S552,IF(AND(N553&gt;0,E553&gt;0,G553&lt;=N553*E553/12),S552,IF(A553+IF(N553=0,0,IF(E553=0,ROUNDUP(N553/G553,0),ROUNDUP(NPER(E553/12,-G553,N553),0)))&lt;S552,A553+IF(N553=0,0,IF(E553=0,ROUNDUP(N553/G553,0),ROUNDUP(NPER(E553/12,-G553,N553),0))),S552))))))</f>
        <v>359</v>
      </c>
      <c r="T553" s="35" t="str">
        <f t="shared" si="143"/>
        <v/>
      </c>
      <c r="U553" s="3">
        <f t="shared" si="128"/>
        <v>0</v>
      </c>
      <c r="V553" s="3">
        <f t="shared" si="129"/>
        <v>0</v>
      </c>
      <c r="W553" s="3">
        <f t="shared" si="130"/>
        <v>0</v>
      </c>
      <c r="X553" s="3">
        <f t="shared" si="131"/>
        <v>0</v>
      </c>
      <c r="Y553" s="3">
        <f>0</f>
        <v>0</v>
      </c>
      <c r="Z553" s="3">
        <f t="shared" si="132"/>
        <v>0</v>
      </c>
      <c r="AA553">
        <f>ROUND(IF(FALSE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,0)</f>
        <v>0</v>
      </c>
    </row>
    <row r="554" spans="1:27">
      <c r="A554" s="30">
        <f>549</f>
        <v>549</v>
      </c>
      <c r="B554" s="31">
        <f>EDATE(入力!$B$6,A554-1)</f>
        <v>62915</v>
      </c>
      <c r="C554" s="32">
        <f t="shared" si="133"/>
        <v>0</v>
      </c>
      <c r="D554" s="32">
        <f t="shared" si="134"/>
        <v>0</v>
      </c>
      <c r="E554" s="33">
        <f>IF(AND(T553="",A554&lt;=S553),IF(A554&lt;入力!$B$11,入力!$B$10,入力!$B$12),0)</f>
        <v>0</v>
      </c>
      <c r="F554" s="32">
        <f t="shared" si="135"/>
        <v>0</v>
      </c>
      <c r="G554" s="32">
        <f>ROUND(IF(NOT(AND(T553="",A554&lt;=S553)),0,IF(FALSE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),0)</f>
        <v>0</v>
      </c>
      <c r="H554" s="32">
        <f t="shared" si="136"/>
        <v>0</v>
      </c>
      <c r="I554" s="32">
        <f t="shared" si="137"/>
        <v>0</v>
      </c>
      <c r="J554" s="32">
        <f t="shared" si="138"/>
        <v>0</v>
      </c>
      <c r="K554" s="32">
        <f t="shared" si="139"/>
        <v>0</v>
      </c>
      <c r="L554" s="32">
        <f t="shared" si="140"/>
        <v>0</v>
      </c>
      <c r="M554" s="32">
        <f>IF(AND(AND(T553="",A554&lt;=S553),A554=入力!$B$15),ROUND(MIN(入力!$B$16,MAX(0,C554-L554)),0),0)</f>
        <v>0</v>
      </c>
      <c r="N554" s="32">
        <f t="shared" si="141"/>
        <v>0</v>
      </c>
      <c r="O554" s="32">
        <f t="shared" si="142"/>
        <v>10725103</v>
      </c>
      <c r="P554" s="34" t="str">
        <f>IF(NOT(AND(T553="",A554&lt;=S553)),"",IF(FALSE,"繰上返済後再計算","")&amp;IF(AND(入力!$B$13="有効",A554&gt;1,MOD(A554-1,60)=0),IF(FALSE,"・","")&amp;"5年見直し","")&amp;IF(AND(A554=入力!$B$11,A554&gt;1),IF(OR(FALSE,AND(入力!$B$13="有効",A554&gt;1,MOD(A554-1,60)=0)),"・","")&amp;"金利変更","")&amp;IF(AND(OR(AND(入力!$B$13="有効",A554&gt;1,MOD(A554-1,60)=0),AND(A554=入力!$B$11,A554&gt;1)),入力!$B$14="有効",IF(E554=0,ROUND(C554/MAX(1,S553-A554+1),0),ROUND(-PMT(E554/12,MAX(1,S553-A554+1),C554),0))&gt;ROUND(G553*1.25,0),NOT(FALSE)),"・上限適用",""))</f>
        <v/>
      </c>
      <c r="Q554" s="35" t="str">
        <f>IF(AND(T553="",A554&lt;=S553),入力!$B$13,"")</f>
        <v/>
      </c>
      <c r="R554" s="32" t="str">
        <f>IF(AND(AND(T553="",A554&lt;=S553),OR(AND(入力!$B$13="有効",A554&gt;1,MOD(A554-1,60)=0),AND(A554=入力!$B$11,A554&gt;1)),入力!$B$14="有効"),ROUND(G553*1.25,0),"")</f>
        <v/>
      </c>
      <c r="S554" s="36">
        <f>IF(A554&lt;&gt;入力!$B$15,S553,IF(K554&lt;&gt;0,S553,IF(G554&lt;=F554,S553,IF(M554&lt;=0,S553,IF(AND(N554&gt;0,E554&gt;0,G554&lt;=N554*E554/12),S553,IF(A554+IF(N554=0,0,IF(E554=0,ROUNDUP(N554/G554,0),ROUNDUP(NPER(E554/12,-G554,N554),0)))&lt;S553,A554+IF(N554=0,0,IF(E554=0,ROUNDUP(N554/G554,0),ROUNDUP(NPER(E554/12,-G554,N554),0))),S553))))))</f>
        <v>359</v>
      </c>
      <c r="T554" s="35" t="str">
        <f t="shared" si="143"/>
        <v/>
      </c>
      <c r="U554" s="3">
        <f t="shared" si="128"/>
        <v>0</v>
      </c>
      <c r="V554" s="3">
        <f t="shared" si="129"/>
        <v>0</v>
      </c>
      <c r="W554" s="3">
        <f t="shared" si="130"/>
        <v>0</v>
      </c>
      <c r="X554" s="3">
        <f t="shared" si="131"/>
        <v>0</v>
      </c>
      <c r="Y554" s="3">
        <f>0</f>
        <v>0</v>
      </c>
      <c r="Z554" s="3">
        <f t="shared" si="132"/>
        <v>0</v>
      </c>
      <c r="AA554">
        <f>ROUND(IF(FALSE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,0)</f>
        <v>0</v>
      </c>
    </row>
    <row r="555" spans="1:27">
      <c r="A555" s="30">
        <f>550</f>
        <v>550</v>
      </c>
      <c r="B555" s="31">
        <f>EDATE(入力!$B$6,A555-1)</f>
        <v>62945</v>
      </c>
      <c r="C555" s="32">
        <f t="shared" si="133"/>
        <v>0</v>
      </c>
      <c r="D555" s="32">
        <f t="shared" si="134"/>
        <v>0</v>
      </c>
      <c r="E555" s="33">
        <f>IF(AND(T554="",A555&lt;=S554),IF(A555&lt;入力!$B$11,入力!$B$10,入力!$B$12),0)</f>
        <v>0</v>
      </c>
      <c r="F555" s="32">
        <f t="shared" si="135"/>
        <v>0</v>
      </c>
      <c r="G555" s="32">
        <f>ROUND(IF(NOT(AND(T554="",A555&lt;=S554)),0,IF(FALSE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),0)</f>
        <v>0</v>
      </c>
      <c r="H555" s="32">
        <f t="shared" si="136"/>
        <v>0</v>
      </c>
      <c r="I555" s="32">
        <f t="shared" si="137"/>
        <v>0</v>
      </c>
      <c r="J555" s="32">
        <f t="shared" si="138"/>
        <v>0</v>
      </c>
      <c r="K555" s="32">
        <f t="shared" si="139"/>
        <v>0</v>
      </c>
      <c r="L555" s="32">
        <f t="shared" si="140"/>
        <v>0</v>
      </c>
      <c r="M555" s="32">
        <f>IF(AND(AND(T554="",A555&lt;=S554),A555=入力!$B$15),ROUND(MIN(入力!$B$16,MAX(0,C555-L555)),0),0)</f>
        <v>0</v>
      </c>
      <c r="N555" s="32">
        <f t="shared" si="141"/>
        <v>0</v>
      </c>
      <c r="O555" s="32">
        <f t="shared" si="142"/>
        <v>10725103</v>
      </c>
      <c r="P555" s="34" t="str">
        <f>IF(NOT(AND(T554="",A555&lt;=S554)),"",IF(FALSE,"繰上返済後再計算","")&amp;IF(AND(入力!$B$13="有効",A555&gt;1,MOD(A555-1,60)=0),IF(FALSE,"・","")&amp;"5年見直し","")&amp;IF(AND(A555=入力!$B$11,A555&gt;1),IF(OR(FALSE,AND(入力!$B$13="有効",A555&gt;1,MOD(A555-1,60)=0)),"・","")&amp;"金利変更","")&amp;IF(AND(OR(AND(入力!$B$13="有効",A555&gt;1,MOD(A555-1,60)=0),AND(A555=入力!$B$11,A555&gt;1)),入力!$B$14="有効",IF(E555=0,ROUND(C555/MAX(1,S554-A555+1),0),ROUND(-PMT(E555/12,MAX(1,S554-A555+1),C555),0))&gt;ROUND(G554*1.25,0),NOT(FALSE)),"・上限適用",""))</f>
        <v/>
      </c>
      <c r="Q555" s="35" t="str">
        <f>IF(AND(T554="",A555&lt;=S554),入力!$B$13,"")</f>
        <v/>
      </c>
      <c r="R555" s="32" t="str">
        <f>IF(AND(AND(T554="",A555&lt;=S554),OR(AND(入力!$B$13="有効",A555&gt;1,MOD(A555-1,60)=0),AND(A555=入力!$B$11,A555&gt;1)),入力!$B$14="有効"),ROUND(G554*1.25,0),"")</f>
        <v/>
      </c>
      <c r="S555" s="36">
        <f>IF(A555&lt;&gt;入力!$B$15,S554,IF(K555&lt;&gt;0,S554,IF(G555&lt;=F555,S554,IF(M555&lt;=0,S554,IF(AND(N555&gt;0,E555&gt;0,G555&lt;=N555*E555/12),S554,IF(A555+IF(N555=0,0,IF(E555=0,ROUNDUP(N555/G555,0),ROUNDUP(NPER(E555/12,-G555,N555),0)))&lt;S554,A555+IF(N555=0,0,IF(E555=0,ROUNDUP(N555/G555,0),ROUNDUP(NPER(E555/12,-G555,N555),0))),S554))))))</f>
        <v>359</v>
      </c>
      <c r="T555" s="35" t="str">
        <f t="shared" si="143"/>
        <v/>
      </c>
      <c r="U555" s="3">
        <f t="shared" si="128"/>
        <v>0</v>
      </c>
      <c r="V555" s="3">
        <f t="shared" si="129"/>
        <v>0</v>
      </c>
      <c r="W555" s="3">
        <f t="shared" si="130"/>
        <v>0</v>
      </c>
      <c r="X555" s="3">
        <f t="shared" si="131"/>
        <v>0</v>
      </c>
      <c r="Y555" s="3">
        <f>0</f>
        <v>0</v>
      </c>
      <c r="Z555" s="3">
        <f t="shared" si="132"/>
        <v>0</v>
      </c>
      <c r="AA555">
        <f>ROUND(IF(FALSE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,0)</f>
        <v>0</v>
      </c>
    </row>
    <row r="556" spans="1:27">
      <c r="A556" s="30">
        <f>551</f>
        <v>551</v>
      </c>
      <c r="B556" s="31">
        <f>EDATE(入力!$B$6,A556-1)</f>
        <v>62976</v>
      </c>
      <c r="C556" s="32">
        <f t="shared" si="133"/>
        <v>0</v>
      </c>
      <c r="D556" s="32">
        <f t="shared" si="134"/>
        <v>0</v>
      </c>
      <c r="E556" s="33">
        <f>IF(AND(T555="",A556&lt;=S555),IF(A556&lt;入力!$B$11,入力!$B$10,入力!$B$12),0)</f>
        <v>0</v>
      </c>
      <c r="F556" s="32">
        <f t="shared" si="135"/>
        <v>0</v>
      </c>
      <c r="G556" s="32">
        <f>ROUND(IF(NOT(AND(T555="",A556&lt;=S555)),0,IF(FALSE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),0)</f>
        <v>0</v>
      </c>
      <c r="H556" s="32">
        <f t="shared" si="136"/>
        <v>0</v>
      </c>
      <c r="I556" s="32">
        <f t="shared" si="137"/>
        <v>0</v>
      </c>
      <c r="J556" s="32">
        <f t="shared" si="138"/>
        <v>0</v>
      </c>
      <c r="K556" s="32">
        <f t="shared" si="139"/>
        <v>0</v>
      </c>
      <c r="L556" s="32">
        <f t="shared" si="140"/>
        <v>0</v>
      </c>
      <c r="M556" s="32">
        <f>IF(AND(AND(T555="",A556&lt;=S555),A556=入力!$B$15),ROUND(MIN(入力!$B$16,MAX(0,C556-L556)),0),0)</f>
        <v>0</v>
      </c>
      <c r="N556" s="32">
        <f t="shared" si="141"/>
        <v>0</v>
      </c>
      <c r="O556" s="32">
        <f t="shared" si="142"/>
        <v>10725103</v>
      </c>
      <c r="P556" s="34" t="str">
        <f>IF(NOT(AND(T555="",A556&lt;=S555)),"",IF(FALSE,"繰上返済後再計算","")&amp;IF(AND(入力!$B$13="有効",A556&gt;1,MOD(A556-1,60)=0),IF(FALSE,"・","")&amp;"5年見直し","")&amp;IF(AND(A556=入力!$B$11,A556&gt;1),IF(OR(FALSE,AND(入力!$B$13="有効",A556&gt;1,MOD(A556-1,60)=0)),"・","")&amp;"金利変更","")&amp;IF(AND(OR(AND(入力!$B$13="有効",A556&gt;1,MOD(A556-1,60)=0),AND(A556=入力!$B$11,A556&gt;1)),入力!$B$14="有効",IF(E556=0,ROUND(C556/MAX(1,S555-A556+1),0),ROUND(-PMT(E556/12,MAX(1,S555-A556+1),C556),0))&gt;ROUND(G555*1.25,0),NOT(FALSE)),"・上限適用",""))</f>
        <v/>
      </c>
      <c r="Q556" s="35" t="str">
        <f>IF(AND(T555="",A556&lt;=S555),入力!$B$13,"")</f>
        <v/>
      </c>
      <c r="R556" s="32" t="str">
        <f>IF(AND(AND(T555="",A556&lt;=S555),OR(AND(入力!$B$13="有効",A556&gt;1,MOD(A556-1,60)=0),AND(A556=入力!$B$11,A556&gt;1)),入力!$B$14="有効"),ROUND(G555*1.25,0),"")</f>
        <v/>
      </c>
      <c r="S556" s="36">
        <f>IF(A556&lt;&gt;入力!$B$15,S555,IF(K556&lt;&gt;0,S555,IF(G556&lt;=F556,S555,IF(M556&lt;=0,S555,IF(AND(N556&gt;0,E556&gt;0,G556&lt;=N556*E556/12),S555,IF(A556+IF(N556=0,0,IF(E556=0,ROUNDUP(N556/G556,0),ROUNDUP(NPER(E556/12,-G556,N556),0)))&lt;S555,A556+IF(N556=0,0,IF(E556=0,ROUNDUP(N556/G556,0),ROUNDUP(NPER(E556/12,-G556,N556),0))),S555))))))</f>
        <v>359</v>
      </c>
      <c r="T556" s="35" t="str">
        <f t="shared" si="143"/>
        <v/>
      </c>
      <c r="U556" s="3">
        <f t="shared" si="128"/>
        <v>0</v>
      </c>
      <c r="V556" s="3">
        <f t="shared" si="129"/>
        <v>0</v>
      </c>
      <c r="W556" s="3">
        <f t="shared" si="130"/>
        <v>0</v>
      </c>
      <c r="X556" s="3">
        <f t="shared" si="131"/>
        <v>0</v>
      </c>
      <c r="Y556" s="3">
        <f>0</f>
        <v>0</v>
      </c>
      <c r="Z556" s="3">
        <f t="shared" si="132"/>
        <v>0</v>
      </c>
      <c r="AA556">
        <f>ROUND(IF(FALSE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,0)</f>
        <v>0</v>
      </c>
    </row>
    <row r="557" spans="1:27">
      <c r="A557" s="30">
        <f>552</f>
        <v>552</v>
      </c>
      <c r="B557" s="31">
        <f>EDATE(入力!$B$6,A557-1)</f>
        <v>63006</v>
      </c>
      <c r="C557" s="32">
        <f t="shared" si="133"/>
        <v>0</v>
      </c>
      <c r="D557" s="32">
        <f t="shared" si="134"/>
        <v>0</v>
      </c>
      <c r="E557" s="33">
        <f>IF(AND(T556="",A557&lt;=S556),IF(A557&lt;入力!$B$11,入力!$B$10,入力!$B$12),0)</f>
        <v>0</v>
      </c>
      <c r="F557" s="32">
        <f t="shared" si="135"/>
        <v>0</v>
      </c>
      <c r="G557" s="32">
        <f>ROUND(IF(NOT(AND(T556="",A557&lt;=S556)),0,IF(FALSE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),0)</f>
        <v>0</v>
      </c>
      <c r="H557" s="32">
        <f t="shared" si="136"/>
        <v>0</v>
      </c>
      <c r="I557" s="32">
        <f t="shared" si="137"/>
        <v>0</v>
      </c>
      <c r="J557" s="32">
        <f t="shared" si="138"/>
        <v>0</v>
      </c>
      <c r="K557" s="32">
        <f t="shared" si="139"/>
        <v>0</v>
      </c>
      <c r="L557" s="32">
        <f t="shared" si="140"/>
        <v>0</v>
      </c>
      <c r="M557" s="32">
        <f>IF(AND(AND(T556="",A557&lt;=S556),A557=入力!$B$15),ROUND(MIN(入力!$B$16,MAX(0,C557-L557)),0),0)</f>
        <v>0</v>
      </c>
      <c r="N557" s="32">
        <f t="shared" si="141"/>
        <v>0</v>
      </c>
      <c r="O557" s="32">
        <f t="shared" si="142"/>
        <v>10725103</v>
      </c>
      <c r="P557" s="34" t="str">
        <f>IF(NOT(AND(T556="",A557&lt;=S556)),"",IF(FALSE,"繰上返済後再計算","")&amp;IF(AND(入力!$B$13="有効",A557&gt;1,MOD(A557-1,60)=0),IF(FALSE,"・","")&amp;"5年見直し","")&amp;IF(AND(A557=入力!$B$11,A557&gt;1),IF(OR(FALSE,AND(入力!$B$13="有効",A557&gt;1,MOD(A557-1,60)=0)),"・","")&amp;"金利変更","")&amp;IF(AND(OR(AND(入力!$B$13="有効",A557&gt;1,MOD(A557-1,60)=0),AND(A557=入力!$B$11,A557&gt;1)),入力!$B$14="有効",IF(E557=0,ROUND(C557/MAX(1,S556-A557+1),0),ROUND(-PMT(E557/12,MAX(1,S556-A557+1),C557),0))&gt;ROUND(G556*1.25,0),NOT(FALSE)),"・上限適用",""))</f>
        <v/>
      </c>
      <c r="Q557" s="35" t="str">
        <f>IF(AND(T556="",A557&lt;=S556),入力!$B$13,"")</f>
        <v/>
      </c>
      <c r="R557" s="32" t="str">
        <f>IF(AND(AND(T556="",A557&lt;=S556),OR(AND(入力!$B$13="有効",A557&gt;1,MOD(A557-1,60)=0),AND(A557=入力!$B$11,A557&gt;1)),入力!$B$14="有効"),ROUND(G556*1.25,0),"")</f>
        <v/>
      </c>
      <c r="S557" s="36">
        <f>IF(A557&lt;&gt;入力!$B$15,S556,IF(K557&lt;&gt;0,S556,IF(G557&lt;=F557,S556,IF(M557&lt;=0,S556,IF(AND(N557&gt;0,E557&gt;0,G557&lt;=N557*E557/12),S556,IF(A557+IF(N557=0,0,IF(E557=0,ROUNDUP(N557/G557,0),ROUNDUP(NPER(E557/12,-G557,N557),0)))&lt;S556,A557+IF(N557=0,0,IF(E557=0,ROUNDUP(N557/G557,0),ROUNDUP(NPER(E557/12,-G557,N557),0))),S556))))))</f>
        <v>359</v>
      </c>
      <c r="T557" s="35" t="str">
        <f t="shared" si="143"/>
        <v/>
      </c>
      <c r="U557" s="3">
        <f t="shared" si="128"/>
        <v>0</v>
      </c>
      <c r="V557" s="3">
        <f t="shared" si="129"/>
        <v>0</v>
      </c>
      <c r="W557" s="3">
        <f t="shared" si="130"/>
        <v>0</v>
      </c>
      <c r="X557" s="3">
        <f t="shared" si="131"/>
        <v>0</v>
      </c>
      <c r="Y557" s="3">
        <f>0</f>
        <v>0</v>
      </c>
      <c r="Z557" s="3">
        <f t="shared" si="132"/>
        <v>0</v>
      </c>
      <c r="AA557">
        <f>ROUND(IF(FALSE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,0)</f>
        <v>0</v>
      </c>
    </row>
    <row r="558" spans="1:27">
      <c r="A558" s="30">
        <f>553</f>
        <v>553</v>
      </c>
      <c r="B558" s="31">
        <f>EDATE(入力!$B$6,A558-1)</f>
        <v>63037</v>
      </c>
      <c r="C558" s="32">
        <f t="shared" si="133"/>
        <v>0</v>
      </c>
      <c r="D558" s="32">
        <f t="shared" si="134"/>
        <v>0</v>
      </c>
      <c r="E558" s="33">
        <f>IF(AND(T557="",A558&lt;=S557),IF(A558&lt;入力!$B$11,入力!$B$10,入力!$B$12),0)</f>
        <v>0</v>
      </c>
      <c r="F558" s="32">
        <f t="shared" si="135"/>
        <v>0</v>
      </c>
      <c r="G558" s="32">
        <f>ROUND(IF(NOT(AND(T557="",A558&lt;=S557)),0,IF(FALSE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),0)</f>
        <v>0</v>
      </c>
      <c r="H558" s="32">
        <f t="shared" si="136"/>
        <v>0</v>
      </c>
      <c r="I558" s="32">
        <f t="shared" si="137"/>
        <v>0</v>
      </c>
      <c r="J558" s="32">
        <f t="shared" si="138"/>
        <v>0</v>
      </c>
      <c r="K558" s="32">
        <f t="shared" si="139"/>
        <v>0</v>
      </c>
      <c r="L558" s="32">
        <f t="shared" si="140"/>
        <v>0</v>
      </c>
      <c r="M558" s="32">
        <f>IF(AND(AND(T557="",A558&lt;=S557),A558=入力!$B$15),ROUND(MIN(入力!$B$16,MAX(0,C558-L558)),0),0)</f>
        <v>0</v>
      </c>
      <c r="N558" s="32">
        <f t="shared" si="141"/>
        <v>0</v>
      </c>
      <c r="O558" s="32">
        <f t="shared" si="142"/>
        <v>10725103</v>
      </c>
      <c r="P558" s="34" t="str">
        <f>IF(NOT(AND(T557="",A558&lt;=S557)),"",IF(FALSE,"繰上返済後再計算","")&amp;IF(AND(入力!$B$13="有効",A558&gt;1,MOD(A558-1,60)=0),IF(FALSE,"・","")&amp;"5年見直し","")&amp;IF(AND(A558=入力!$B$11,A558&gt;1),IF(OR(FALSE,AND(入力!$B$13="有効",A558&gt;1,MOD(A558-1,60)=0)),"・","")&amp;"金利変更","")&amp;IF(AND(OR(AND(入力!$B$13="有効",A558&gt;1,MOD(A558-1,60)=0),AND(A558=入力!$B$11,A558&gt;1)),入力!$B$14="有効",IF(E558=0,ROUND(C558/MAX(1,S557-A558+1),0),ROUND(-PMT(E558/12,MAX(1,S557-A558+1),C558),0))&gt;ROUND(G557*1.25,0),NOT(FALSE)),"・上限適用",""))</f>
        <v/>
      </c>
      <c r="Q558" s="35" t="str">
        <f>IF(AND(T557="",A558&lt;=S557),入力!$B$13,"")</f>
        <v/>
      </c>
      <c r="R558" s="32" t="str">
        <f>IF(AND(AND(T557="",A558&lt;=S557),OR(AND(入力!$B$13="有効",A558&gt;1,MOD(A558-1,60)=0),AND(A558=入力!$B$11,A558&gt;1)),入力!$B$14="有効"),ROUND(G557*1.25,0),"")</f>
        <v/>
      </c>
      <c r="S558" s="36">
        <f>IF(A558&lt;&gt;入力!$B$15,S557,IF(K558&lt;&gt;0,S557,IF(G558&lt;=F558,S557,IF(M558&lt;=0,S557,IF(AND(N558&gt;0,E558&gt;0,G558&lt;=N558*E558/12),S557,IF(A558+IF(N558=0,0,IF(E558=0,ROUNDUP(N558/G558,0),ROUNDUP(NPER(E558/12,-G558,N558),0)))&lt;S557,A558+IF(N558=0,0,IF(E558=0,ROUNDUP(N558/G558,0),ROUNDUP(NPER(E558/12,-G558,N558),0))),S557))))))</f>
        <v>359</v>
      </c>
      <c r="T558" s="35" t="str">
        <f t="shared" si="143"/>
        <v/>
      </c>
      <c r="U558" s="3">
        <f t="shared" si="128"/>
        <v>0</v>
      </c>
      <c r="V558" s="3">
        <f t="shared" si="129"/>
        <v>0</v>
      </c>
      <c r="W558" s="3">
        <f t="shared" si="130"/>
        <v>0</v>
      </c>
      <c r="X558" s="3">
        <f t="shared" si="131"/>
        <v>0</v>
      </c>
      <c r="Y558" s="3">
        <f>0</f>
        <v>0</v>
      </c>
      <c r="Z558" s="3">
        <f t="shared" si="132"/>
        <v>0</v>
      </c>
      <c r="AA558">
        <f>ROUND(IF(FALSE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,0)</f>
        <v>0</v>
      </c>
    </row>
    <row r="559" spans="1:27">
      <c r="A559" s="30">
        <f>554</f>
        <v>554</v>
      </c>
      <c r="B559" s="31">
        <f>EDATE(入力!$B$6,A559-1)</f>
        <v>63068</v>
      </c>
      <c r="C559" s="32">
        <f t="shared" si="133"/>
        <v>0</v>
      </c>
      <c r="D559" s="32">
        <f t="shared" si="134"/>
        <v>0</v>
      </c>
      <c r="E559" s="33">
        <f>IF(AND(T558="",A559&lt;=S558),IF(A559&lt;入力!$B$11,入力!$B$10,入力!$B$12),0)</f>
        <v>0</v>
      </c>
      <c r="F559" s="32">
        <f t="shared" si="135"/>
        <v>0</v>
      </c>
      <c r="G559" s="32">
        <f>ROUND(IF(NOT(AND(T558="",A559&lt;=S558)),0,IF(FALSE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),0)</f>
        <v>0</v>
      </c>
      <c r="H559" s="32">
        <f t="shared" si="136"/>
        <v>0</v>
      </c>
      <c r="I559" s="32">
        <f t="shared" si="137"/>
        <v>0</v>
      </c>
      <c r="J559" s="32">
        <f t="shared" si="138"/>
        <v>0</v>
      </c>
      <c r="K559" s="32">
        <f t="shared" si="139"/>
        <v>0</v>
      </c>
      <c r="L559" s="32">
        <f t="shared" si="140"/>
        <v>0</v>
      </c>
      <c r="M559" s="32">
        <f>IF(AND(AND(T558="",A559&lt;=S558),A559=入力!$B$15),ROUND(MIN(入力!$B$16,MAX(0,C559-L559)),0),0)</f>
        <v>0</v>
      </c>
      <c r="N559" s="32">
        <f t="shared" si="141"/>
        <v>0</v>
      </c>
      <c r="O559" s="32">
        <f t="shared" si="142"/>
        <v>10725103</v>
      </c>
      <c r="P559" s="34" t="str">
        <f>IF(NOT(AND(T558="",A559&lt;=S558)),"",IF(FALSE,"繰上返済後再計算","")&amp;IF(AND(入力!$B$13="有効",A559&gt;1,MOD(A559-1,60)=0),IF(FALSE,"・","")&amp;"5年見直し","")&amp;IF(AND(A559=入力!$B$11,A559&gt;1),IF(OR(FALSE,AND(入力!$B$13="有効",A559&gt;1,MOD(A559-1,60)=0)),"・","")&amp;"金利変更","")&amp;IF(AND(OR(AND(入力!$B$13="有効",A559&gt;1,MOD(A559-1,60)=0),AND(A559=入力!$B$11,A559&gt;1)),入力!$B$14="有効",IF(E559=0,ROUND(C559/MAX(1,S558-A559+1),0),ROUND(-PMT(E559/12,MAX(1,S558-A559+1),C559),0))&gt;ROUND(G558*1.25,0),NOT(FALSE)),"・上限適用",""))</f>
        <v/>
      </c>
      <c r="Q559" s="35" t="str">
        <f>IF(AND(T558="",A559&lt;=S558),入力!$B$13,"")</f>
        <v/>
      </c>
      <c r="R559" s="32" t="str">
        <f>IF(AND(AND(T558="",A559&lt;=S558),OR(AND(入力!$B$13="有効",A559&gt;1,MOD(A559-1,60)=0),AND(A559=入力!$B$11,A559&gt;1)),入力!$B$14="有効"),ROUND(G558*1.25,0),"")</f>
        <v/>
      </c>
      <c r="S559" s="36">
        <f>IF(A559&lt;&gt;入力!$B$15,S558,IF(K559&lt;&gt;0,S558,IF(G559&lt;=F559,S558,IF(M559&lt;=0,S558,IF(AND(N559&gt;0,E559&gt;0,G559&lt;=N559*E559/12),S558,IF(A559+IF(N559=0,0,IF(E559=0,ROUNDUP(N559/G559,0),ROUNDUP(NPER(E559/12,-G559,N559),0)))&lt;S558,A559+IF(N559=0,0,IF(E559=0,ROUNDUP(N559/G559,0),ROUNDUP(NPER(E559/12,-G559,N559),0))),S558))))))</f>
        <v>359</v>
      </c>
      <c r="T559" s="35" t="str">
        <f t="shared" si="143"/>
        <v/>
      </c>
      <c r="U559" s="3">
        <f t="shared" si="128"/>
        <v>0</v>
      </c>
      <c r="V559" s="3">
        <f t="shared" si="129"/>
        <v>0</v>
      </c>
      <c r="W559" s="3">
        <f t="shared" si="130"/>
        <v>0</v>
      </c>
      <c r="X559" s="3">
        <f t="shared" si="131"/>
        <v>0</v>
      </c>
      <c r="Y559" s="3">
        <f>0</f>
        <v>0</v>
      </c>
      <c r="Z559" s="3">
        <f t="shared" si="132"/>
        <v>0</v>
      </c>
      <c r="AA559">
        <f>ROUND(IF(FALSE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,0)</f>
        <v>0</v>
      </c>
    </row>
    <row r="560" spans="1:27">
      <c r="A560" s="30">
        <f>555</f>
        <v>555</v>
      </c>
      <c r="B560" s="31">
        <f>EDATE(入力!$B$6,A560-1)</f>
        <v>63098</v>
      </c>
      <c r="C560" s="32">
        <f t="shared" si="133"/>
        <v>0</v>
      </c>
      <c r="D560" s="32">
        <f t="shared" si="134"/>
        <v>0</v>
      </c>
      <c r="E560" s="33">
        <f>IF(AND(T559="",A560&lt;=S559),IF(A560&lt;入力!$B$11,入力!$B$10,入力!$B$12),0)</f>
        <v>0</v>
      </c>
      <c r="F560" s="32">
        <f t="shared" si="135"/>
        <v>0</v>
      </c>
      <c r="G560" s="32">
        <f>ROUND(IF(NOT(AND(T559="",A560&lt;=S559)),0,IF(FALSE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),0)</f>
        <v>0</v>
      </c>
      <c r="H560" s="32">
        <f t="shared" si="136"/>
        <v>0</v>
      </c>
      <c r="I560" s="32">
        <f t="shared" si="137"/>
        <v>0</v>
      </c>
      <c r="J560" s="32">
        <f t="shared" si="138"/>
        <v>0</v>
      </c>
      <c r="K560" s="32">
        <f t="shared" si="139"/>
        <v>0</v>
      </c>
      <c r="L560" s="32">
        <f t="shared" si="140"/>
        <v>0</v>
      </c>
      <c r="M560" s="32">
        <f>IF(AND(AND(T559="",A560&lt;=S559),A560=入力!$B$15),ROUND(MIN(入力!$B$16,MAX(0,C560-L560)),0),0)</f>
        <v>0</v>
      </c>
      <c r="N560" s="32">
        <f t="shared" si="141"/>
        <v>0</v>
      </c>
      <c r="O560" s="32">
        <f t="shared" si="142"/>
        <v>10725103</v>
      </c>
      <c r="P560" s="34" t="str">
        <f>IF(NOT(AND(T559="",A560&lt;=S559)),"",IF(FALSE,"繰上返済後再計算","")&amp;IF(AND(入力!$B$13="有効",A560&gt;1,MOD(A560-1,60)=0),IF(FALSE,"・","")&amp;"5年見直し","")&amp;IF(AND(A560=入力!$B$11,A560&gt;1),IF(OR(FALSE,AND(入力!$B$13="有効",A560&gt;1,MOD(A560-1,60)=0)),"・","")&amp;"金利変更","")&amp;IF(AND(OR(AND(入力!$B$13="有効",A560&gt;1,MOD(A560-1,60)=0),AND(A560=入力!$B$11,A560&gt;1)),入力!$B$14="有効",IF(E560=0,ROUND(C560/MAX(1,S559-A560+1),0),ROUND(-PMT(E560/12,MAX(1,S559-A560+1),C560),0))&gt;ROUND(G559*1.25,0),NOT(FALSE)),"・上限適用",""))</f>
        <v/>
      </c>
      <c r="Q560" s="35" t="str">
        <f>IF(AND(T559="",A560&lt;=S559),入力!$B$13,"")</f>
        <v/>
      </c>
      <c r="R560" s="32" t="str">
        <f>IF(AND(AND(T559="",A560&lt;=S559),OR(AND(入力!$B$13="有効",A560&gt;1,MOD(A560-1,60)=0),AND(A560=入力!$B$11,A560&gt;1)),入力!$B$14="有効"),ROUND(G559*1.25,0),"")</f>
        <v/>
      </c>
      <c r="S560" s="36">
        <f>IF(A560&lt;&gt;入力!$B$15,S559,IF(K560&lt;&gt;0,S559,IF(G560&lt;=F560,S559,IF(M560&lt;=0,S559,IF(AND(N560&gt;0,E560&gt;0,G560&lt;=N560*E560/12),S559,IF(A560+IF(N560=0,0,IF(E560=0,ROUNDUP(N560/G560,0),ROUNDUP(NPER(E560/12,-G560,N560),0)))&lt;S559,A560+IF(N560=0,0,IF(E560=0,ROUNDUP(N560/G560,0),ROUNDUP(NPER(E560/12,-G560,N560),0))),S559))))))</f>
        <v>359</v>
      </c>
      <c r="T560" s="35" t="str">
        <f t="shared" si="143"/>
        <v/>
      </c>
      <c r="U560" s="3">
        <f t="shared" si="128"/>
        <v>0</v>
      </c>
      <c r="V560" s="3">
        <f t="shared" si="129"/>
        <v>0</v>
      </c>
      <c r="W560" s="3">
        <f t="shared" si="130"/>
        <v>0</v>
      </c>
      <c r="X560" s="3">
        <f t="shared" si="131"/>
        <v>0</v>
      </c>
      <c r="Y560" s="3">
        <f>0</f>
        <v>0</v>
      </c>
      <c r="Z560" s="3">
        <f t="shared" si="132"/>
        <v>0</v>
      </c>
      <c r="AA560">
        <f>ROUND(IF(FALSE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,0)</f>
        <v>0</v>
      </c>
    </row>
    <row r="561" spans="1:27">
      <c r="A561" s="30">
        <f>556</f>
        <v>556</v>
      </c>
      <c r="B561" s="31">
        <f>EDATE(入力!$B$6,A561-1)</f>
        <v>63129</v>
      </c>
      <c r="C561" s="32">
        <f t="shared" si="133"/>
        <v>0</v>
      </c>
      <c r="D561" s="32">
        <f t="shared" si="134"/>
        <v>0</v>
      </c>
      <c r="E561" s="33">
        <f>IF(AND(T560="",A561&lt;=S560),IF(A561&lt;入力!$B$11,入力!$B$10,入力!$B$12),0)</f>
        <v>0</v>
      </c>
      <c r="F561" s="32">
        <f t="shared" si="135"/>
        <v>0</v>
      </c>
      <c r="G561" s="32">
        <f>ROUND(IF(NOT(AND(T560="",A561&lt;=S560)),0,IF(FALSE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),0)</f>
        <v>0</v>
      </c>
      <c r="H561" s="32">
        <f t="shared" si="136"/>
        <v>0</v>
      </c>
      <c r="I561" s="32">
        <f t="shared" si="137"/>
        <v>0</v>
      </c>
      <c r="J561" s="32">
        <f t="shared" si="138"/>
        <v>0</v>
      </c>
      <c r="K561" s="32">
        <f t="shared" si="139"/>
        <v>0</v>
      </c>
      <c r="L561" s="32">
        <f t="shared" si="140"/>
        <v>0</v>
      </c>
      <c r="M561" s="32">
        <f>IF(AND(AND(T560="",A561&lt;=S560),A561=入力!$B$15),ROUND(MIN(入力!$B$16,MAX(0,C561-L561)),0),0)</f>
        <v>0</v>
      </c>
      <c r="N561" s="32">
        <f t="shared" si="141"/>
        <v>0</v>
      </c>
      <c r="O561" s="32">
        <f t="shared" si="142"/>
        <v>10725103</v>
      </c>
      <c r="P561" s="34" t="str">
        <f>IF(NOT(AND(T560="",A561&lt;=S560)),"",IF(FALSE,"繰上返済後再計算","")&amp;IF(AND(入力!$B$13="有効",A561&gt;1,MOD(A561-1,60)=0),IF(FALSE,"・","")&amp;"5年見直し","")&amp;IF(AND(A561=入力!$B$11,A561&gt;1),IF(OR(FALSE,AND(入力!$B$13="有効",A561&gt;1,MOD(A561-1,60)=0)),"・","")&amp;"金利変更","")&amp;IF(AND(OR(AND(入力!$B$13="有効",A561&gt;1,MOD(A561-1,60)=0),AND(A561=入力!$B$11,A561&gt;1)),入力!$B$14="有効",IF(E561=0,ROUND(C561/MAX(1,S560-A561+1),0),ROUND(-PMT(E561/12,MAX(1,S560-A561+1),C561),0))&gt;ROUND(G560*1.25,0),NOT(FALSE)),"・上限適用",""))</f>
        <v/>
      </c>
      <c r="Q561" s="35" t="str">
        <f>IF(AND(T560="",A561&lt;=S560),入力!$B$13,"")</f>
        <v/>
      </c>
      <c r="R561" s="32" t="str">
        <f>IF(AND(AND(T560="",A561&lt;=S560),OR(AND(入力!$B$13="有効",A561&gt;1,MOD(A561-1,60)=0),AND(A561=入力!$B$11,A561&gt;1)),入力!$B$14="有効"),ROUND(G560*1.25,0),"")</f>
        <v/>
      </c>
      <c r="S561" s="36">
        <f>IF(A561&lt;&gt;入力!$B$15,S560,IF(K561&lt;&gt;0,S560,IF(G561&lt;=F561,S560,IF(M561&lt;=0,S560,IF(AND(N561&gt;0,E561&gt;0,G561&lt;=N561*E561/12),S560,IF(A561+IF(N561=0,0,IF(E561=0,ROUNDUP(N561/G561,0),ROUNDUP(NPER(E561/12,-G561,N561),0)))&lt;S560,A561+IF(N561=0,0,IF(E561=0,ROUNDUP(N561/G561,0),ROUNDUP(NPER(E561/12,-G561,N561),0))),S560))))))</f>
        <v>359</v>
      </c>
      <c r="T561" s="35" t="str">
        <f t="shared" si="143"/>
        <v/>
      </c>
      <c r="U561" s="3">
        <f t="shared" si="128"/>
        <v>0</v>
      </c>
      <c r="V561" s="3">
        <f t="shared" si="129"/>
        <v>0</v>
      </c>
      <c r="W561" s="3">
        <f t="shared" si="130"/>
        <v>0</v>
      </c>
      <c r="X561" s="3">
        <f t="shared" si="131"/>
        <v>0</v>
      </c>
      <c r="Y561" s="3">
        <f>0</f>
        <v>0</v>
      </c>
      <c r="Z561" s="3">
        <f t="shared" si="132"/>
        <v>0</v>
      </c>
      <c r="AA561">
        <f>ROUND(IF(FALSE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,0)</f>
        <v>0</v>
      </c>
    </row>
    <row r="562" spans="1:27">
      <c r="A562" s="30">
        <f>557</f>
        <v>557</v>
      </c>
      <c r="B562" s="31">
        <f>EDATE(入力!$B$6,A562-1)</f>
        <v>63159</v>
      </c>
      <c r="C562" s="32">
        <f t="shared" si="133"/>
        <v>0</v>
      </c>
      <c r="D562" s="32">
        <f t="shared" si="134"/>
        <v>0</v>
      </c>
      <c r="E562" s="33">
        <f>IF(AND(T561="",A562&lt;=S561),IF(A562&lt;入力!$B$11,入力!$B$10,入力!$B$12),0)</f>
        <v>0</v>
      </c>
      <c r="F562" s="32">
        <f t="shared" si="135"/>
        <v>0</v>
      </c>
      <c r="G562" s="32">
        <f>ROUND(IF(NOT(AND(T561="",A562&lt;=S561)),0,IF(FALSE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),0)</f>
        <v>0</v>
      </c>
      <c r="H562" s="32">
        <f t="shared" si="136"/>
        <v>0</v>
      </c>
      <c r="I562" s="32">
        <f t="shared" si="137"/>
        <v>0</v>
      </c>
      <c r="J562" s="32">
        <f t="shared" si="138"/>
        <v>0</v>
      </c>
      <c r="K562" s="32">
        <f t="shared" si="139"/>
        <v>0</v>
      </c>
      <c r="L562" s="32">
        <f t="shared" si="140"/>
        <v>0</v>
      </c>
      <c r="M562" s="32">
        <f>IF(AND(AND(T561="",A562&lt;=S561),A562=入力!$B$15),ROUND(MIN(入力!$B$16,MAX(0,C562-L562)),0),0)</f>
        <v>0</v>
      </c>
      <c r="N562" s="32">
        <f t="shared" si="141"/>
        <v>0</v>
      </c>
      <c r="O562" s="32">
        <f t="shared" si="142"/>
        <v>10725103</v>
      </c>
      <c r="P562" s="34" t="str">
        <f>IF(NOT(AND(T561="",A562&lt;=S561)),"",IF(FALSE,"繰上返済後再計算","")&amp;IF(AND(入力!$B$13="有効",A562&gt;1,MOD(A562-1,60)=0),IF(FALSE,"・","")&amp;"5年見直し","")&amp;IF(AND(A562=入力!$B$11,A562&gt;1),IF(OR(FALSE,AND(入力!$B$13="有効",A562&gt;1,MOD(A562-1,60)=0)),"・","")&amp;"金利変更","")&amp;IF(AND(OR(AND(入力!$B$13="有効",A562&gt;1,MOD(A562-1,60)=0),AND(A562=入力!$B$11,A562&gt;1)),入力!$B$14="有効",IF(E562=0,ROUND(C562/MAX(1,S561-A562+1),0),ROUND(-PMT(E562/12,MAX(1,S561-A562+1),C562),0))&gt;ROUND(G561*1.25,0),NOT(FALSE)),"・上限適用",""))</f>
        <v/>
      </c>
      <c r="Q562" s="35" t="str">
        <f>IF(AND(T561="",A562&lt;=S561),入力!$B$13,"")</f>
        <v/>
      </c>
      <c r="R562" s="32" t="str">
        <f>IF(AND(AND(T561="",A562&lt;=S561),OR(AND(入力!$B$13="有効",A562&gt;1,MOD(A562-1,60)=0),AND(A562=入力!$B$11,A562&gt;1)),入力!$B$14="有効"),ROUND(G561*1.25,0),"")</f>
        <v/>
      </c>
      <c r="S562" s="36">
        <f>IF(A562&lt;&gt;入力!$B$15,S561,IF(K562&lt;&gt;0,S561,IF(G562&lt;=F562,S561,IF(M562&lt;=0,S561,IF(AND(N562&gt;0,E562&gt;0,G562&lt;=N562*E562/12),S561,IF(A562+IF(N562=0,0,IF(E562=0,ROUNDUP(N562/G562,0),ROUNDUP(NPER(E562/12,-G562,N562),0)))&lt;S561,A562+IF(N562=0,0,IF(E562=0,ROUNDUP(N562/G562,0),ROUNDUP(NPER(E562/12,-G562,N562),0))),S561))))))</f>
        <v>359</v>
      </c>
      <c r="T562" s="35" t="str">
        <f t="shared" si="143"/>
        <v/>
      </c>
      <c r="U562" s="3">
        <f t="shared" si="128"/>
        <v>0</v>
      </c>
      <c r="V562" s="3">
        <f t="shared" si="129"/>
        <v>0</v>
      </c>
      <c r="W562" s="3">
        <f t="shared" si="130"/>
        <v>0</v>
      </c>
      <c r="X562" s="3">
        <f t="shared" si="131"/>
        <v>0</v>
      </c>
      <c r="Y562" s="3">
        <f>0</f>
        <v>0</v>
      </c>
      <c r="Z562" s="3">
        <f t="shared" si="132"/>
        <v>0</v>
      </c>
      <c r="AA562">
        <f>ROUND(IF(FALSE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,0)</f>
        <v>0</v>
      </c>
    </row>
    <row r="563" spans="1:27">
      <c r="A563" s="30">
        <f>558</f>
        <v>558</v>
      </c>
      <c r="B563" s="31">
        <f>EDATE(入力!$B$6,A563-1)</f>
        <v>63190</v>
      </c>
      <c r="C563" s="32">
        <f t="shared" si="133"/>
        <v>0</v>
      </c>
      <c r="D563" s="32">
        <f t="shared" si="134"/>
        <v>0</v>
      </c>
      <c r="E563" s="33">
        <f>IF(AND(T562="",A563&lt;=S562),IF(A563&lt;入力!$B$11,入力!$B$10,入力!$B$12),0)</f>
        <v>0</v>
      </c>
      <c r="F563" s="32">
        <f t="shared" si="135"/>
        <v>0</v>
      </c>
      <c r="G563" s="32">
        <f>ROUND(IF(NOT(AND(T562="",A563&lt;=S562)),0,IF(FALSE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),0)</f>
        <v>0</v>
      </c>
      <c r="H563" s="32">
        <f t="shared" si="136"/>
        <v>0</v>
      </c>
      <c r="I563" s="32">
        <f t="shared" si="137"/>
        <v>0</v>
      </c>
      <c r="J563" s="32">
        <f t="shared" si="138"/>
        <v>0</v>
      </c>
      <c r="K563" s="32">
        <f t="shared" si="139"/>
        <v>0</v>
      </c>
      <c r="L563" s="32">
        <f t="shared" si="140"/>
        <v>0</v>
      </c>
      <c r="M563" s="32">
        <f>IF(AND(AND(T562="",A563&lt;=S562),A563=入力!$B$15),ROUND(MIN(入力!$B$16,MAX(0,C563-L563)),0),0)</f>
        <v>0</v>
      </c>
      <c r="N563" s="32">
        <f t="shared" si="141"/>
        <v>0</v>
      </c>
      <c r="O563" s="32">
        <f t="shared" si="142"/>
        <v>10725103</v>
      </c>
      <c r="P563" s="34" t="str">
        <f>IF(NOT(AND(T562="",A563&lt;=S562)),"",IF(FALSE,"繰上返済後再計算","")&amp;IF(AND(入力!$B$13="有効",A563&gt;1,MOD(A563-1,60)=0),IF(FALSE,"・","")&amp;"5年見直し","")&amp;IF(AND(A563=入力!$B$11,A563&gt;1),IF(OR(FALSE,AND(入力!$B$13="有効",A563&gt;1,MOD(A563-1,60)=0)),"・","")&amp;"金利変更","")&amp;IF(AND(OR(AND(入力!$B$13="有効",A563&gt;1,MOD(A563-1,60)=0),AND(A563=入力!$B$11,A563&gt;1)),入力!$B$14="有効",IF(E563=0,ROUND(C563/MAX(1,S562-A563+1),0),ROUND(-PMT(E563/12,MAX(1,S562-A563+1),C563),0))&gt;ROUND(G562*1.25,0),NOT(FALSE)),"・上限適用",""))</f>
        <v/>
      </c>
      <c r="Q563" s="35" t="str">
        <f>IF(AND(T562="",A563&lt;=S562),入力!$B$13,"")</f>
        <v/>
      </c>
      <c r="R563" s="32" t="str">
        <f>IF(AND(AND(T562="",A563&lt;=S562),OR(AND(入力!$B$13="有効",A563&gt;1,MOD(A563-1,60)=0),AND(A563=入力!$B$11,A563&gt;1)),入力!$B$14="有効"),ROUND(G562*1.25,0),"")</f>
        <v/>
      </c>
      <c r="S563" s="36">
        <f>IF(A563&lt;&gt;入力!$B$15,S562,IF(K563&lt;&gt;0,S562,IF(G563&lt;=F563,S562,IF(M563&lt;=0,S562,IF(AND(N563&gt;0,E563&gt;0,G563&lt;=N563*E563/12),S562,IF(A563+IF(N563=0,0,IF(E563=0,ROUNDUP(N563/G563,0),ROUNDUP(NPER(E563/12,-G563,N563),0)))&lt;S562,A563+IF(N563=0,0,IF(E563=0,ROUNDUP(N563/G563,0),ROUNDUP(NPER(E563/12,-G563,N563),0))),S562))))))</f>
        <v>359</v>
      </c>
      <c r="T563" s="35" t="str">
        <f t="shared" si="143"/>
        <v/>
      </c>
      <c r="U563" s="3">
        <f t="shared" si="128"/>
        <v>0</v>
      </c>
      <c r="V563" s="3">
        <f t="shared" si="129"/>
        <v>0</v>
      </c>
      <c r="W563" s="3">
        <f t="shared" si="130"/>
        <v>0</v>
      </c>
      <c r="X563" s="3">
        <f t="shared" si="131"/>
        <v>0</v>
      </c>
      <c r="Y563" s="3">
        <f>0</f>
        <v>0</v>
      </c>
      <c r="Z563" s="3">
        <f t="shared" si="132"/>
        <v>0</v>
      </c>
      <c r="AA563">
        <f>ROUND(IF(FALSE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,0)</f>
        <v>0</v>
      </c>
    </row>
    <row r="564" spans="1:27">
      <c r="A564" s="30">
        <f>559</f>
        <v>559</v>
      </c>
      <c r="B564" s="31">
        <f>EDATE(入力!$B$6,A564-1)</f>
        <v>63221</v>
      </c>
      <c r="C564" s="32">
        <f t="shared" si="133"/>
        <v>0</v>
      </c>
      <c r="D564" s="32">
        <f t="shared" si="134"/>
        <v>0</v>
      </c>
      <c r="E564" s="33">
        <f>IF(AND(T563="",A564&lt;=S563),IF(A564&lt;入力!$B$11,入力!$B$10,入力!$B$12),0)</f>
        <v>0</v>
      </c>
      <c r="F564" s="32">
        <f t="shared" si="135"/>
        <v>0</v>
      </c>
      <c r="G564" s="32">
        <f>ROUND(IF(NOT(AND(T563="",A564&lt;=S563)),0,IF(FALSE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),0)</f>
        <v>0</v>
      </c>
      <c r="H564" s="32">
        <f t="shared" si="136"/>
        <v>0</v>
      </c>
      <c r="I564" s="32">
        <f t="shared" si="137"/>
        <v>0</v>
      </c>
      <c r="J564" s="32">
        <f t="shared" si="138"/>
        <v>0</v>
      </c>
      <c r="K564" s="32">
        <f t="shared" si="139"/>
        <v>0</v>
      </c>
      <c r="L564" s="32">
        <f t="shared" si="140"/>
        <v>0</v>
      </c>
      <c r="M564" s="32">
        <f>IF(AND(AND(T563="",A564&lt;=S563),A564=入力!$B$15),ROUND(MIN(入力!$B$16,MAX(0,C564-L564)),0),0)</f>
        <v>0</v>
      </c>
      <c r="N564" s="32">
        <f t="shared" si="141"/>
        <v>0</v>
      </c>
      <c r="O564" s="32">
        <f t="shared" si="142"/>
        <v>10725103</v>
      </c>
      <c r="P564" s="34" t="str">
        <f>IF(NOT(AND(T563="",A564&lt;=S563)),"",IF(FALSE,"繰上返済後再計算","")&amp;IF(AND(入力!$B$13="有効",A564&gt;1,MOD(A564-1,60)=0),IF(FALSE,"・","")&amp;"5年見直し","")&amp;IF(AND(A564=入力!$B$11,A564&gt;1),IF(OR(FALSE,AND(入力!$B$13="有効",A564&gt;1,MOD(A564-1,60)=0)),"・","")&amp;"金利変更","")&amp;IF(AND(OR(AND(入力!$B$13="有効",A564&gt;1,MOD(A564-1,60)=0),AND(A564=入力!$B$11,A564&gt;1)),入力!$B$14="有効",IF(E564=0,ROUND(C564/MAX(1,S563-A564+1),0),ROUND(-PMT(E564/12,MAX(1,S563-A564+1),C564),0))&gt;ROUND(G563*1.25,0),NOT(FALSE)),"・上限適用",""))</f>
        <v/>
      </c>
      <c r="Q564" s="35" t="str">
        <f>IF(AND(T563="",A564&lt;=S563),入力!$B$13,"")</f>
        <v/>
      </c>
      <c r="R564" s="32" t="str">
        <f>IF(AND(AND(T563="",A564&lt;=S563),OR(AND(入力!$B$13="有効",A564&gt;1,MOD(A564-1,60)=0),AND(A564=入力!$B$11,A564&gt;1)),入力!$B$14="有効"),ROUND(G563*1.25,0),"")</f>
        <v/>
      </c>
      <c r="S564" s="36">
        <f>IF(A564&lt;&gt;入力!$B$15,S563,IF(K564&lt;&gt;0,S563,IF(G564&lt;=F564,S563,IF(M564&lt;=0,S563,IF(AND(N564&gt;0,E564&gt;0,G564&lt;=N564*E564/12),S563,IF(A564+IF(N564=0,0,IF(E564=0,ROUNDUP(N564/G564,0),ROUNDUP(NPER(E564/12,-G564,N564),0)))&lt;S563,A564+IF(N564=0,0,IF(E564=0,ROUNDUP(N564/G564,0),ROUNDUP(NPER(E564/12,-G564,N564),0))),S563))))))</f>
        <v>359</v>
      </c>
      <c r="T564" s="35" t="str">
        <f t="shared" si="143"/>
        <v/>
      </c>
      <c r="U564" s="3">
        <f t="shared" si="128"/>
        <v>0</v>
      </c>
      <c r="V564" s="3">
        <f t="shared" si="129"/>
        <v>0</v>
      </c>
      <c r="W564" s="3">
        <f t="shared" si="130"/>
        <v>0</v>
      </c>
      <c r="X564" s="3">
        <f t="shared" si="131"/>
        <v>0</v>
      </c>
      <c r="Y564" s="3">
        <f>0</f>
        <v>0</v>
      </c>
      <c r="Z564" s="3">
        <f t="shared" si="132"/>
        <v>0</v>
      </c>
      <c r="AA564">
        <f>ROUND(IF(FALSE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,0)</f>
        <v>0</v>
      </c>
    </row>
    <row r="565" spans="1:27">
      <c r="A565" s="30">
        <f>560</f>
        <v>560</v>
      </c>
      <c r="B565" s="31">
        <f>EDATE(入力!$B$6,A565-1)</f>
        <v>63249</v>
      </c>
      <c r="C565" s="32">
        <f t="shared" si="133"/>
        <v>0</v>
      </c>
      <c r="D565" s="32">
        <f t="shared" si="134"/>
        <v>0</v>
      </c>
      <c r="E565" s="33">
        <f>IF(AND(T564="",A565&lt;=S564),IF(A565&lt;入力!$B$11,入力!$B$10,入力!$B$12),0)</f>
        <v>0</v>
      </c>
      <c r="F565" s="32">
        <f t="shared" si="135"/>
        <v>0</v>
      </c>
      <c r="G565" s="32">
        <f>ROUND(IF(NOT(AND(T564="",A565&lt;=S564)),0,IF(FALSE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),0)</f>
        <v>0</v>
      </c>
      <c r="H565" s="32">
        <f t="shared" si="136"/>
        <v>0</v>
      </c>
      <c r="I565" s="32">
        <f t="shared" si="137"/>
        <v>0</v>
      </c>
      <c r="J565" s="32">
        <f t="shared" si="138"/>
        <v>0</v>
      </c>
      <c r="K565" s="32">
        <f t="shared" si="139"/>
        <v>0</v>
      </c>
      <c r="L565" s="32">
        <f t="shared" si="140"/>
        <v>0</v>
      </c>
      <c r="M565" s="32">
        <f>IF(AND(AND(T564="",A565&lt;=S564),A565=入力!$B$15),ROUND(MIN(入力!$B$16,MAX(0,C565-L565)),0),0)</f>
        <v>0</v>
      </c>
      <c r="N565" s="32">
        <f t="shared" si="141"/>
        <v>0</v>
      </c>
      <c r="O565" s="32">
        <f t="shared" si="142"/>
        <v>10725103</v>
      </c>
      <c r="P565" s="34" t="str">
        <f>IF(NOT(AND(T564="",A565&lt;=S564)),"",IF(FALSE,"繰上返済後再計算","")&amp;IF(AND(入力!$B$13="有効",A565&gt;1,MOD(A565-1,60)=0),IF(FALSE,"・","")&amp;"5年見直し","")&amp;IF(AND(A565=入力!$B$11,A565&gt;1),IF(OR(FALSE,AND(入力!$B$13="有効",A565&gt;1,MOD(A565-1,60)=0)),"・","")&amp;"金利変更","")&amp;IF(AND(OR(AND(入力!$B$13="有効",A565&gt;1,MOD(A565-1,60)=0),AND(A565=入力!$B$11,A565&gt;1)),入力!$B$14="有効",IF(E565=0,ROUND(C565/MAX(1,S564-A565+1),0),ROUND(-PMT(E565/12,MAX(1,S564-A565+1),C565),0))&gt;ROUND(G564*1.25,0),NOT(FALSE)),"・上限適用",""))</f>
        <v/>
      </c>
      <c r="Q565" s="35" t="str">
        <f>IF(AND(T564="",A565&lt;=S564),入力!$B$13,"")</f>
        <v/>
      </c>
      <c r="R565" s="32" t="str">
        <f>IF(AND(AND(T564="",A565&lt;=S564),OR(AND(入力!$B$13="有効",A565&gt;1,MOD(A565-1,60)=0),AND(A565=入力!$B$11,A565&gt;1)),入力!$B$14="有効"),ROUND(G564*1.25,0),"")</f>
        <v/>
      </c>
      <c r="S565" s="36">
        <f>IF(A565&lt;&gt;入力!$B$15,S564,IF(K565&lt;&gt;0,S564,IF(G565&lt;=F565,S564,IF(M565&lt;=0,S564,IF(AND(N565&gt;0,E565&gt;0,G565&lt;=N565*E565/12),S564,IF(A565+IF(N565=0,0,IF(E565=0,ROUNDUP(N565/G565,0),ROUNDUP(NPER(E565/12,-G565,N565),0)))&lt;S564,A565+IF(N565=0,0,IF(E565=0,ROUNDUP(N565/G565,0),ROUNDUP(NPER(E565/12,-G565,N565),0))),S564))))))</f>
        <v>359</v>
      </c>
      <c r="T565" s="35" t="str">
        <f t="shared" si="143"/>
        <v/>
      </c>
      <c r="U565" s="3">
        <f t="shared" si="128"/>
        <v>0</v>
      </c>
      <c r="V565" s="3">
        <f t="shared" si="129"/>
        <v>0</v>
      </c>
      <c r="W565" s="3">
        <f t="shared" si="130"/>
        <v>0</v>
      </c>
      <c r="X565" s="3">
        <f t="shared" si="131"/>
        <v>0</v>
      </c>
      <c r="Y565" s="3">
        <f>0</f>
        <v>0</v>
      </c>
      <c r="Z565" s="3">
        <f t="shared" si="132"/>
        <v>0</v>
      </c>
      <c r="AA565">
        <f>ROUND(IF(FALSE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,0)</f>
        <v>0</v>
      </c>
    </row>
    <row r="566" spans="1:27">
      <c r="A566" s="30">
        <f>561</f>
        <v>561</v>
      </c>
      <c r="B566" s="31">
        <f>EDATE(入力!$B$6,A566-1)</f>
        <v>63280</v>
      </c>
      <c r="C566" s="32">
        <f t="shared" si="133"/>
        <v>0</v>
      </c>
      <c r="D566" s="32">
        <f t="shared" si="134"/>
        <v>0</v>
      </c>
      <c r="E566" s="33">
        <f>IF(AND(T565="",A566&lt;=S565),IF(A566&lt;入力!$B$11,入力!$B$10,入力!$B$12),0)</f>
        <v>0</v>
      </c>
      <c r="F566" s="32">
        <f t="shared" si="135"/>
        <v>0</v>
      </c>
      <c r="G566" s="32">
        <f>ROUND(IF(NOT(AND(T565="",A566&lt;=S565)),0,IF(FALSE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),0)</f>
        <v>0</v>
      </c>
      <c r="H566" s="32">
        <f t="shared" si="136"/>
        <v>0</v>
      </c>
      <c r="I566" s="32">
        <f t="shared" si="137"/>
        <v>0</v>
      </c>
      <c r="J566" s="32">
        <f t="shared" si="138"/>
        <v>0</v>
      </c>
      <c r="K566" s="32">
        <f t="shared" si="139"/>
        <v>0</v>
      </c>
      <c r="L566" s="32">
        <f t="shared" si="140"/>
        <v>0</v>
      </c>
      <c r="M566" s="32">
        <f>IF(AND(AND(T565="",A566&lt;=S565),A566=入力!$B$15),ROUND(MIN(入力!$B$16,MAX(0,C566-L566)),0),0)</f>
        <v>0</v>
      </c>
      <c r="N566" s="32">
        <f t="shared" si="141"/>
        <v>0</v>
      </c>
      <c r="O566" s="32">
        <f t="shared" si="142"/>
        <v>10725103</v>
      </c>
      <c r="P566" s="34" t="str">
        <f>IF(NOT(AND(T565="",A566&lt;=S565)),"",IF(FALSE,"繰上返済後再計算","")&amp;IF(AND(入力!$B$13="有効",A566&gt;1,MOD(A566-1,60)=0),IF(FALSE,"・","")&amp;"5年見直し","")&amp;IF(AND(A566=入力!$B$11,A566&gt;1),IF(OR(FALSE,AND(入力!$B$13="有効",A566&gt;1,MOD(A566-1,60)=0)),"・","")&amp;"金利変更","")&amp;IF(AND(OR(AND(入力!$B$13="有効",A566&gt;1,MOD(A566-1,60)=0),AND(A566=入力!$B$11,A566&gt;1)),入力!$B$14="有効",IF(E566=0,ROUND(C566/MAX(1,S565-A566+1),0),ROUND(-PMT(E566/12,MAX(1,S565-A566+1),C566),0))&gt;ROUND(G565*1.25,0),NOT(FALSE)),"・上限適用",""))</f>
        <v/>
      </c>
      <c r="Q566" s="35" t="str">
        <f>IF(AND(T565="",A566&lt;=S565),入力!$B$13,"")</f>
        <v/>
      </c>
      <c r="R566" s="32" t="str">
        <f>IF(AND(AND(T565="",A566&lt;=S565),OR(AND(入力!$B$13="有効",A566&gt;1,MOD(A566-1,60)=0),AND(A566=入力!$B$11,A566&gt;1)),入力!$B$14="有効"),ROUND(G565*1.25,0),"")</f>
        <v/>
      </c>
      <c r="S566" s="36">
        <f>IF(A566&lt;&gt;入力!$B$15,S565,IF(K566&lt;&gt;0,S565,IF(G566&lt;=F566,S565,IF(M566&lt;=0,S565,IF(AND(N566&gt;0,E566&gt;0,G566&lt;=N566*E566/12),S565,IF(A566+IF(N566=0,0,IF(E566=0,ROUNDUP(N566/G566,0),ROUNDUP(NPER(E566/12,-G566,N566),0)))&lt;S565,A566+IF(N566=0,0,IF(E566=0,ROUNDUP(N566/G566,0),ROUNDUP(NPER(E566/12,-G566,N566),0))),S565))))))</f>
        <v>359</v>
      </c>
      <c r="T566" s="35" t="str">
        <f t="shared" si="143"/>
        <v/>
      </c>
      <c r="U566" s="3">
        <f t="shared" si="128"/>
        <v>0</v>
      </c>
      <c r="V566" s="3">
        <f t="shared" si="129"/>
        <v>0</v>
      </c>
      <c r="W566" s="3">
        <f t="shared" si="130"/>
        <v>0</v>
      </c>
      <c r="X566" s="3">
        <f t="shared" si="131"/>
        <v>0</v>
      </c>
      <c r="Y566" s="3">
        <f>0</f>
        <v>0</v>
      </c>
      <c r="Z566" s="3">
        <f t="shared" si="132"/>
        <v>0</v>
      </c>
      <c r="AA566">
        <f>ROUND(IF(FALSE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,0)</f>
        <v>0</v>
      </c>
    </row>
    <row r="567" spans="1:27">
      <c r="A567" s="30">
        <f>562</f>
        <v>562</v>
      </c>
      <c r="B567" s="31">
        <f>EDATE(入力!$B$6,A567-1)</f>
        <v>63310</v>
      </c>
      <c r="C567" s="32">
        <f t="shared" si="133"/>
        <v>0</v>
      </c>
      <c r="D567" s="32">
        <f t="shared" si="134"/>
        <v>0</v>
      </c>
      <c r="E567" s="33">
        <f>IF(AND(T566="",A567&lt;=S566),IF(A567&lt;入力!$B$11,入力!$B$10,入力!$B$12),0)</f>
        <v>0</v>
      </c>
      <c r="F567" s="32">
        <f t="shared" si="135"/>
        <v>0</v>
      </c>
      <c r="G567" s="32">
        <f>ROUND(IF(NOT(AND(T566="",A567&lt;=S566)),0,IF(FALSE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),0)</f>
        <v>0</v>
      </c>
      <c r="H567" s="32">
        <f t="shared" si="136"/>
        <v>0</v>
      </c>
      <c r="I567" s="32">
        <f t="shared" si="137"/>
        <v>0</v>
      </c>
      <c r="J567" s="32">
        <f t="shared" si="138"/>
        <v>0</v>
      </c>
      <c r="K567" s="32">
        <f t="shared" si="139"/>
        <v>0</v>
      </c>
      <c r="L567" s="32">
        <f t="shared" si="140"/>
        <v>0</v>
      </c>
      <c r="M567" s="32">
        <f>IF(AND(AND(T566="",A567&lt;=S566),A567=入力!$B$15),ROUND(MIN(入力!$B$16,MAX(0,C567-L567)),0),0)</f>
        <v>0</v>
      </c>
      <c r="N567" s="32">
        <f t="shared" si="141"/>
        <v>0</v>
      </c>
      <c r="O567" s="32">
        <f t="shared" si="142"/>
        <v>10725103</v>
      </c>
      <c r="P567" s="34" t="str">
        <f>IF(NOT(AND(T566="",A567&lt;=S566)),"",IF(FALSE,"繰上返済後再計算","")&amp;IF(AND(入力!$B$13="有効",A567&gt;1,MOD(A567-1,60)=0),IF(FALSE,"・","")&amp;"5年見直し","")&amp;IF(AND(A567=入力!$B$11,A567&gt;1),IF(OR(FALSE,AND(入力!$B$13="有効",A567&gt;1,MOD(A567-1,60)=0)),"・","")&amp;"金利変更","")&amp;IF(AND(OR(AND(入力!$B$13="有効",A567&gt;1,MOD(A567-1,60)=0),AND(A567=入力!$B$11,A567&gt;1)),入力!$B$14="有効",IF(E567=0,ROUND(C567/MAX(1,S566-A567+1),0),ROUND(-PMT(E567/12,MAX(1,S566-A567+1),C567),0))&gt;ROUND(G566*1.25,0),NOT(FALSE)),"・上限適用",""))</f>
        <v/>
      </c>
      <c r="Q567" s="35" t="str">
        <f>IF(AND(T566="",A567&lt;=S566),入力!$B$13,"")</f>
        <v/>
      </c>
      <c r="R567" s="32" t="str">
        <f>IF(AND(AND(T566="",A567&lt;=S566),OR(AND(入力!$B$13="有効",A567&gt;1,MOD(A567-1,60)=0),AND(A567=入力!$B$11,A567&gt;1)),入力!$B$14="有効"),ROUND(G566*1.25,0),"")</f>
        <v/>
      </c>
      <c r="S567" s="36">
        <f>IF(A567&lt;&gt;入力!$B$15,S566,IF(K567&lt;&gt;0,S566,IF(G567&lt;=F567,S566,IF(M567&lt;=0,S566,IF(AND(N567&gt;0,E567&gt;0,G567&lt;=N567*E567/12),S566,IF(A567+IF(N567=0,0,IF(E567=0,ROUNDUP(N567/G567,0),ROUNDUP(NPER(E567/12,-G567,N567),0)))&lt;S566,A567+IF(N567=0,0,IF(E567=0,ROUNDUP(N567/G567,0),ROUNDUP(NPER(E567/12,-G567,N567),0))),S566))))))</f>
        <v>359</v>
      </c>
      <c r="T567" s="35" t="str">
        <f t="shared" si="143"/>
        <v/>
      </c>
      <c r="U567" s="3">
        <f t="shared" si="128"/>
        <v>0</v>
      </c>
      <c r="V567" s="3">
        <f t="shared" si="129"/>
        <v>0</v>
      </c>
      <c r="W567" s="3">
        <f t="shared" si="130"/>
        <v>0</v>
      </c>
      <c r="X567" s="3">
        <f t="shared" si="131"/>
        <v>0</v>
      </c>
      <c r="Y567" s="3">
        <f>0</f>
        <v>0</v>
      </c>
      <c r="Z567" s="3">
        <f t="shared" si="132"/>
        <v>0</v>
      </c>
      <c r="AA567">
        <f>ROUND(IF(FALSE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,0)</f>
        <v>0</v>
      </c>
    </row>
    <row r="568" spans="1:27">
      <c r="A568" s="30">
        <f>563</f>
        <v>563</v>
      </c>
      <c r="B568" s="31">
        <f>EDATE(入力!$B$6,A568-1)</f>
        <v>63341</v>
      </c>
      <c r="C568" s="32">
        <f t="shared" si="133"/>
        <v>0</v>
      </c>
      <c r="D568" s="32">
        <f t="shared" si="134"/>
        <v>0</v>
      </c>
      <c r="E568" s="33">
        <f>IF(AND(T567="",A568&lt;=S567),IF(A568&lt;入力!$B$11,入力!$B$10,入力!$B$12),0)</f>
        <v>0</v>
      </c>
      <c r="F568" s="32">
        <f t="shared" si="135"/>
        <v>0</v>
      </c>
      <c r="G568" s="32">
        <f>ROUND(IF(NOT(AND(T567="",A568&lt;=S567)),0,IF(FALSE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),0)</f>
        <v>0</v>
      </c>
      <c r="H568" s="32">
        <f t="shared" si="136"/>
        <v>0</v>
      </c>
      <c r="I568" s="32">
        <f t="shared" si="137"/>
        <v>0</v>
      </c>
      <c r="J568" s="32">
        <f t="shared" si="138"/>
        <v>0</v>
      </c>
      <c r="K568" s="32">
        <f t="shared" si="139"/>
        <v>0</v>
      </c>
      <c r="L568" s="32">
        <f t="shared" si="140"/>
        <v>0</v>
      </c>
      <c r="M568" s="32">
        <f>IF(AND(AND(T567="",A568&lt;=S567),A568=入力!$B$15),ROUND(MIN(入力!$B$16,MAX(0,C568-L568)),0),0)</f>
        <v>0</v>
      </c>
      <c r="N568" s="32">
        <f t="shared" si="141"/>
        <v>0</v>
      </c>
      <c r="O568" s="32">
        <f t="shared" si="142"/>
        <v>10725103</v>
      </c>
      <c r="P568" s="34" t="str">
        <f>IF(NOT(AND(T567="",A568&lt;=S567)),"",IF(FALSE,"繰上返済後再計算","")&amp;IF(AND(入力!$B$13="有効",A568&gt;1,MOD(A568-1,60)=0),IF(FALSE,"・","")&amp;"5年見直し","")&amp;IF(AND(A568=入力!$B$11,A568&gt;1),IF(OR(FALSE,AND(入力!$B$13="有効",A568&gt;1,MOD(A568-1,60)=0)),"・","")&amp;"金利変更","")&amp;IF(AND(OR(AND(入力!$B$13="有効",A568&gt;1,MOD(A568-1,60)=0),AND(A568=入力!$B$11,A568&gt;1)),入力!$B$14="有効",IF(E568=0,ROUND(C568/MAX(1,S567-A568+1),0),ROUND(-PMT(E568/12,MAX(1,S567-A568+1),C568),0))&gt;ROUND(G567*1.25,0),NOT(FALSE)),"・上限適用",""))</f>
        <v/>
      </c>
      <c r="Q568" s="35" t="str">
        <f>IF(AND(T567="",A568&lt;=S567),入力!$B$13,"")</f>
        <v/>
      </c>
      <c r="R568" s="32" t="str">
        <f>IF(AND(AND(T567="",A568&lt;=S567),OR(AND(入力!$B$13="有効",A568&gt;1,MOD(A568-1,60)=0),AND(A568=入力!$B$11,A568&gt;1)),入力!$B$14="有効"),ROUND(G567*1.25,0),"")</f>
        <v/>
      </c>
      <c r="S568" s="36">
        <f>IF(A568&lt;&gt;入力!$B$15,S567,IF(K568&lt;&gt;0,S567,IF(G568&lt;=F568,S567,IF(M568&lt;=0,S567,IF(AND(N568&gt;0,E568&gt;0,G568&lt;=N568*E568/12),S567,IF(A568+IF(N568=0,0,IF(E568=0,ROUNDUP(N568/G568,0),ROUNDUP(NPER(E568/12,-G568,N568),0)))&lt;S567,A568+IF(N568=0,0,IF(E568=0,ROUNDUP(N568/G568,0),ROUNDUP(NPER(E568/12,-G568,N568),0))),S567))))))</f>
        <v>359</v>
      </c>
      <c r="T568" s="35" t="str">
        <f t="shared" si="143"/>
        <v/>
      </c>
      <c r="U568" s="3">
        <f t="shared" si="128"/>
        <v>0</v>
      </c>
      <c r="V568" s="3">
        <f t="shared" si="129"/>
        <v>0</v>
      </c>
      <c r="W568" s="3">
        <f t="shared" si="130"/>
        <v>0</v>
      </c>
      <c r="X568" s="3">
        <f t="shared" si="131"/>
        <v>0</v>
      </c>
      <c r="Y568" s="3">
        <f>0</f>
        <v>0</v>
      </c>
      <c r="Z568" s="3">
        <f t="shared" si="132"/>
        <v>0</v>
      </c>
      <c r="AA568">
        <f>ROUND(IF(FALSE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,0)</f>
        <v>0</v>
      </c>
    </row>
    <row r="569" spans="1:27">
      <c r="A569" s="30">
        <f>564</f>
        <v>564</v>
      </c>
      <c r="B569" s="31">
        <f>EDATE(入力!$B$6,A569-1)</f>
        <v>63371</v>
      </c>
      <c r="C569" s="32">
        <f t="shared" si="133"/>
        <v>0</v>
      </c>
      <c r="D569" s="32">
        <f t="shared" si="134"/>
        <v>0</v>
      </c>
      <c r="E569" s="33">
        <f>IF(AND(T568="",A569&lt;=S568),IF(A569&lt;入力!$B$11,入力!$B$10,入力!$B$12),0)</f>
        <v>0</v>
      </c>
      <c r="F569" s="32">
        <f t="shared" si="135"/>
        <v>0</v>
      </c>
      <c r="G569" s="32">
        <f>ROUND(IF(NOT(AND(T568="",A569&lt;=S568)),0,IF(FALSE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),0)</f>
        <v>0</v>
      </c>
      <c r="H569" s="32">
        <f t="shared" si="136"/>
        <v>0</v>
      </c>
      <c r="I569" s="32">
        <f t="shared" si="137"/>
        <v>0</v>
      </c>
      <c r="J569" s="32">
        <f t="shared" si="138"/>
        <v>0</v>
      </c>
      <c r="K569" s="32">
        <f t="shared" si="139"/>
        <v>0</v>
      </c>
      <c r="L569" s="32">
        <f t="shared" si="140"/>
        <v>0</v>
      </c>
      <c r="M569" s="32">
        <f>IF(AND(AND(T568="",A569&lt;=S568),A569=入力!$B$15),ROUND(MIN(入力!$B$16,MAX(0,C569-L569)),0),0)</f>
        <v>0</v>
      </c>
      <c r="N569" s="32">
        <f t="shared" si="141"/>
        <v>0</v>
      </c>
      <c r="O569" s="32">
        <f t="shared" si="142"/>
        <v>10725103</v>
      </c>
      <c r="P569" s="34" t="str">
        <f>IF(NOT(AND(T568="",A569&lt;=S568)),"",IF(FALSE,"繰上返済後再計算","")&amp;IF(AND(入力!$B$13="有効",A569&gt;1,MOD(A569-1,60)=0),IF(FALSE,"・","")&amp;"5年見直し","")&amp;IF(AND(A569=入力!$B$11,A569&gt;1),IF(OR(FALSE,AND(入力!$B$13="有効",A569&gt;1,MOD(A569-1,60)=0)),"・","")&amp;"金利変更","")&amp;IF(AND(OR(AND(入力!$B$13="有効",A569&gt;1,MOD(A569-1,60)=0),AND(A569=入力!$B$11,A569&gt;1)),入力!$B$14="有効",IF(E569=0,ROUND(C569/MAX(1,S568-A569+1),0),ROUND(-PMT(E569/12,MAX(1,S568-A569+1),C569),0))&gt;ROUND(G568*1.25,0),NOT(FALSE)),"・上限適用",""))</f>
        <v/>
      </c>
      <c r="Q569" s="35" t="str">
        <f>IF(AND(T568="",A569&lt;=S568),入力!$B$13,"")</f>
        <v/>
      </c>
      <c r="R569" s="32" t="str">
        <f>IF(AND(AND(T568="",A569&lt;=S568),OR(AND(入力!$B$13="有効",A569&gt;1,MOD(A569-1,60)=0),AND(A569=入力!$B$11,A569&gt;1)),入力!$B$14="有効"),ROUND(G568*1.25,0),"")</f>
        <v/>
      </c>
      <c r="S569" s="36">
        <f>IF(A569&lt;&gt;入力!$B$15,S568,IF(K569&lt;&gt;0,S568,IF(G569&lt;=F569,S568,IF(M569&lt;=0,S568,IF(AND(N569&gt;0,E569&gt;0,G569&lt;=N569*E569/12),S568,IF(A569+IF(N569=0,0,IF(E569=0,ROUNDUP(N569/G569,0),ROUNDUP(NPER(E569/12,-G569,N569),0)))&lt;S568,A569+IF(N569=0,0,IF(E569=0,ROUNDUP(N569/G569,0),ROUNDUP(NPER(E569/12,-G569,N569),0))),S568))))))</f>
        <v>359</v>
      </c>
      <c r="T569" s="35" t="str">
        <f t="shared" si="143"/>
        <v/>
      </c>
      <c r="U569" s="3">
        <f t="shared" si="128"/>
        <v>0</v>
      </c>
      <c r="V569" s="3">
        <f t="shared" si="129"/>
        <v>0</v>
      </c>
      <c r="W569" s="3">
        <f t="shared" si="130"/>
        <v>0</v>
      </c>
      <c r="X569" s="3">
        <f t="shared" si="131"/>
        <v>0</v>
      </c>
      <c r="Y569" s="3">
        <f>0</f>
        <v>0</v>
      </c>
      <c r="Z569" s="3">
        <f t="shared" si="132"/>
        <v>0</v>
      </c>
      <c r="AA569">
        <f>ROUND(IF(FALSE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,0)</f>
        <v>0</v>
      </c>
    </row>
    <row r="570" spans="1:27">
      <c r="A570" s="30">
        <f>565</f>
        <v>565</v>
      </c>
      <c r="B570" s="31">
        <f>EDATE(入力!$B$6,A570-1)</f>
        <v>63402</v>
      </c>
      <c r="C570" s="32">
        <f t="shared" si="133"/>
        <v>0</v>
      </c>
      <c r="D570" s="32">
        <f t="shared" si="134"/>
        <v>0</v>
      </c>
      <c r="E570" s="33">
        <f>IF(AND(T569="",A570&lt;=S569),IF(A570&lt;入力!$B$11,入力!$B$10,入力!$B$12),0)</f>
        <v>0</v>
      </c>
      <c r="F570" s="32">
        <f t="shared" si="135"/>
        <v>0</v>
      </c>
      <c r="G570" s="32">
        <f>ROUND(IF(NOT(AND(T569="",A570&lt;=S569)),0,IF(FALSE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),0)</f>
        <v>0</v>
      </c>
      <c r="H570" s="32">
        <f t="shared" si="136"/>
        <v>0</v>
      </c>
      <c r="I570" s="32">
        <f t="shared" si="137"/>
        <v>0</v>
      </c>
      <c r="J570" s="32">
        <f t="shared" si="138"/>
        <v>0</v>
      </c>
      <c r="K570" s="32">
        <f t="shared" si="139"/>
        <v>0</v>
      </c>
      <c r="L570" s="32">
        <f t="shared" si="140"/>
        <v>0</v>
      </c>
      <c r="M570" s="32">
        <f>IF(AND(AND(T569="",A570&lt;=S569),A570=入力!$B$15),ROUND(MIN(入力!$B$16,MAX(0,C570-L570)),0),0)</f>
        <v>0</v>
      </c>
      <c r="N570" s="32">
        <f t="shared" si="141"/>
        <v>0</v>
      </c>
      <c r="O570" s="32">
        <f t="shared" si="142"/>
        <v>10725103</v>
      </c>
      <c r="P570" s="34" t="str">
        <f>IF(NOT(AND(T569="",A570&lt;=S569)),"",IF(FALSE,"繰上返済後再計算","")&amp;IF(AND(入力!$B$13="有効",A570&gt;1,MOD(A570-1,60)=0),IF(FALSE,"・","")&amp;"5年見直し","")&amp;IF(AND(A570=入力!$B$11,A570&gt;1),IF(OR(FALSE,AND(入力!$B$13="有効",A570&gt;1,MOD(A570-1,60)=0)),"・","")&amp;"金利変更","")&amp;IF(AND(OR(AND(入力!$B$13="有効",A570&gt;1,MOD(A570-1,60)=0),AND(A570=入力!$B$11,A570&gt;1)),入力!$B$14="有効",IF(E570=0,ROUND(C570/MAX(1,S569-A570+1),0),ROUND(-PMT(E570/12,MAX(1,S569-A570+1),C570),0))&gt;ROUND(G569*1.25,0),NOT(FALSE)),"・上限適用",""))</f>
        <v/>
      </c>
      <c r="Q570" s="35" t="str">
        <f>IF(AND(T569="",A570&lt;=S569),入力!$B$13,"")</f>
        <v/>
      </c>
      <c r="R570" s="32" t="str">
        <f>IF(AND(AND(T569="",A570&lt;=S569),OR(AND(入力!$B$13="有効",A570&gt;1,MOD(A570-1,60)=0),AND(A570=入力!$B$11,A570&gt;1)),入力!$B$14="有効"),ROUND(G569*1.25,0),"")</f>
        <v/>
      </c>
      <c r="S570" s="36">
        <f>IF(A570&lt;&gt;入力!$B$15,S569,IF(K570&lt;&gt;0,S569,IF(G570&lt;=F570,S569,IF(M570&lt;=0,S569,IF(AND(N570&gt;0,E570&gt;0,G570&lt;=N570*E570/12),S569,IF(A570+IF(N570=0,0,IF(E570=0,ROUNDUP(N570/G570,0),ROUNDUP(NPER(E570/12,-G570,N570),0)))&lt;S569,A570+IF(N570=0,0,IF(E570=0,ROUNDUP(N570/G570,0),ROUNDUP(NPER(E570/12,-G570,N570),0))),S569))))))</f>
        <v>359</v>
      </c>
      <c r="T570" s="35" t="str">
        <f t="shared" si="143"/>
        <v/>
      </c>
      <c r="U570" s="3">
        <f t="shared" si="128"/>
        <v>0</v>
      </c>
      <c r="V570" s="3">
        <f t="shared" si="129"/>
        <v>0</v>
      </c>
      <c r="W570" s="3">
        <f t="shared" si="130"/>
        <v>0</v>
      </c>
      <c r="X570" s="3">
        <f t="shared" si="131"/>
        <v>0</v>
      </c>
      <c r="Y570" s="3">
        <f>0</f>
        <v>0</v>
      </c>
      <c r="Z570" s="3">
        <f t="shared" si="132"/>
        <v>0</v>
      </c>
      <c r="AA570">
        <f>ROUND(IF(FALSE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,0)</f>
        <v>0</v>
      </c>
    </row>
    <row r="571" spans="1:27">
      <c r="A571" s="30">
        <f>566</f>
        <v>566</v>
      </c>
      <c r="B571" s="31">
        <f>EDATE(入力!$B$6,A571-1)</f>
        <v>63433</v>
      </c>
      <c r="C571" s="32">
        <f t="shared" si="133"/>
        <v>0</v>
      </c>
      <c r="D571" s="32">
        <f t="shared" si="134"/>
        <v>0</v>
      </c>
      <c r="E571" s="33">
        <f>IF(AND(T570="",A571&lt;=S570),IF(A571&lt;入力!$B$11,入力!$B$10,入力!$B$12),0)</f>
        <v>0</v>
      </c>
      <c r="F571" s="32">
        <f t="shared" si="135"/>
        <v>0</v>
      </c>
      <c r="G571" s="32">
        <f>ROUND(IF(NOT(AND(T570="",A571&lt;=S570)),0,IF(FALSE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),0)</f>
        <v>0</v>
      </c>
      <c r="H571" s="32">
        <f t="shared" si="136"/>
        <v>0</v>
      </c>
      <c r="I571" s="32">
        <f t="shared" si="137"/>
        <v>0</v>
      </c>
      <c r="J571" s="32">
        <f t="shared" si="138"/>
        <v>0</v>
      </c>
      <c r="K571" s="32">
        <f t="shared" si="139"/>
        <v>0</v>
      </c>
      <c r="L571" s="32">
        <f t="shared" si="140"/>
        <v>0</v>
      </c>
      <c r="M571" s="32">
        <f>IF(AND(AND(T570="",A571&lt;=S570),A571=入力!$B$15),ROUND(MIN(入力!$B$16,MAX(0,C571-L571)),0),0)</f>
        <v>0</v>
      </c>
      <c r="N571" s="32">
        <f t="shared" si="141"/>
        <v>0</v>
      </c>
      <c r="O571" s="32">
        <f t="shared" si="142"/>
        <v>10725103</v>
      </c>
      <c r="P571" s="34" t="str">
        <f>IF(NOT(AND(T570="",A571&lt;=S570)),"",IF(FALSE,"繰上返済後再計算","")&amp;IF(AND(入力!$B$13="有効",A571&gt;1,MOD(A571-1,60)=0),IF(FALSE,"・","")&amp;"5年見直し","")&amp;IF(AND(A571=入力!$B$11,A571&gt;1),IF(OR(FALSE,AND(入力!$B$13="有効",A571&gt;1,MOD(A571-1,60)=0)),"・","")&amp;"金利変更","")&amp;IF(AND(OR(AND(入力!$B$13="有効",A571&gt;1,MOD(A571-1,60)=0),AND(A571=入力!$B$11,A571&gt;1)),入力!$B$14="有効",IF(E571=0,ROUND(C571/MAX(1,S570-A571+1),0),ROUND(-PMT(E571/12,MAX(1,S570-A571+1),C571),0))&gt;ROUND(G570*1.25,0),NOT(FALSE)),"・上限適用",""))</f>
        <v/>
      </c>
      <c r="Q571" s="35" t="str">
        <f>IF(AND(T570="",A571&lt;=S570),入力!$B$13,"")</f>
        <v/>
      </c>
      <c r="R571" s="32" t="str">
        <f>IF(AND(AND(T570="",A571&lt;=S570),OR(AND(入力!$B$13="有効",A571&gt;1,MOD(A571-1,60)=0),AND(A571=入力!$B$11,A571&gt;1)),入力!$B$14="有効"),ROUND(G570*1.25,0),"")</f>
        <v/>
      </c>
      <c r="S571" s="36">
        <f>IF(A571&lt;&gt;入力!$B$15,S570,IF(K571&lt;&gt;0,S570,IF(G571&lt;=F571,S570,IF(M571&lt;=0,S570,IF(AND(N571&gt;0,E571&gt;0,G571&lt;=N571*E571/12),S570,IF(A571+IF(N571=0,0,IF(E571=0,ROUNDUP(N571/G571,0),ROUNDUP(NPER(E571/12,-G571,N571),0)))&lt;S570,A571+IF(N571=0,0,IF(E571=0,ROUNDUP(N571/G571,0),ROUNDUP(NPER(E571/12,-G571,N571),0))),S570))))))</f>
        <v>359</v>
      </c>
      <c r="T571" s="35" t="str">
        <f t="shared" si="143"/>
        <v/>
      </c>
      <c r="U571" s="3">
        <f t="shared" si="128"/>
        <v>0</v>
      </c>
      <c r="V571" s="3">
        <f t="shared" si="129"/>
        <v>0</v>
      </c>
      <c r="W571" s="3">
        <f t="shared" si="130"/>
        <v>0</v>
      </c>
      <c r="X571" s="3">
        <f t="shared" si="131"/>
        <v>0</v>
      </c>
      <c r="Y571" s="3">
        <f>0</f>
        <v>0</v>
      </c>
      <c r="Z571" s="3">
        <f t="shared" si="132"/>
        <v>0</v>
      </c>
      <c r="AA571">
        <f>ROUND(IF(FALSE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,0)</f>
        <v>0</v>
      </c>
    </row>
    <row r="572" spans="1:27">
      <c r="A572" s="30">
        <f>567</f>
        <v>567</v>
      </c>
      <c r="B572" s="31">
        <f>EDATE(入力!$B$6,A572-1)</f>
        <v>63463</v>
      </c>
      <c r="C572" s="32">
        <f t="shared" si="133"/>
        <v>0</v>
      </c>
      <c r="D572" s="32">
        <f t="shared" si="134"/>
        <v>0</v>
      </c>
      <c r="E572" s="33">
        <f>IF(AND(T571="",A572&lt;=S571),IF(A572&lt;入力!$B$11,入力!$B$10,入力!$B$12),0)</f>
        <v>0</v>
      </c>
      <c r="F572" s="32">
        <f t="shared" si="135"/>
        <v>0</v>
      </c>
      <c r="G572" s="32">
        <f>ROUND(IF(NOT(AND(T571="",A572&lt;=S571)),0,IF(FALSE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),0)</f>
        <v>0</v>
      </c>
      <c r="H572" s="32">
        <f t="shared" si="136"/>
        <v>0</v>
      </c>
      <c r="I572" s="32">
        <f t="shared" si="137"/>
        <v>0</v>
      </c>
      <c r="J572" s="32">
        <f t="shared" si="138"/>
        <v>0</v>
      </c>
      <c r="K572" s="32">
        <f t="shared" si="139"/>
        <v>0</v>
      </c>
      <c r="L572" s="32">
        <f t="shared" si="140"/>
        <v>0</v>
      </c>
      <c r="M572" s="32">
        <f>IF(AND(AND(T571="",A572&lt;=S571),A572=入力!$B$15),ROUND(MIN(入力!$B$16,MAX(0,C572-L572)),0),0)</f>
        <v>0</v>
      </c>
      <c r="N572" s="32">
        <f t="shared" si="141"/>
        <v>0</v>
      </c>
      <c r="O572" s="32">
        <f t="shared" si="142"/>
        <v>10725103</v>
      </c>
      <c r="P572" s="34" t="str">
        <f>IF(NOT(AND(T571="",A572&lt;=S571)),"",IF(FALSE,"繰上返済後再計算","")&amp;IF(AND(入力!$B$13="有効",A572&gt;1,MOD(A572-1,60)=0),IF(FALSE,"・","")&amp;"5年見直し","")&amp;IF(AND(A572=入力!$B$11,A572&gt;1),IF(OR(FALSE,AND(入力!$B$13="有効",A572&gt;1,MOD(A572-1,60)=0)),"・","")&amp;"金利変更","")&amp;IF(AND(OR(AND(入力!$B$13="有効",A572&gt;1,MOD(A572-1,60)=0),AND(A572=入力!$B$11,A572&gt;1)),入力!$B$14="有効",IF(E572=0,ROUND(C572/MAX(1,S571-A572+1),0),ROUND(-PMT(E572/12,MAX(1,S571-A572+1),C572),0))&gt;ROUND(G571*1.25,0),NOT(FALSE)),"・上限適用",""))</f>
        <v/>
      </c>
      <c r="Q572" s="35" t="str">
        <f>IF(AND(T571="",A572&lt;=S571),入力!$B$13,"")</f>
        <v/>
      </c>
      <c r="R572" s="32" t="str">
        <f>IF(AND(AND(T571="",A572&lt;=S571),OR(AND(入力!$B$13="有効",A572&gt;1,MOD(A572-1,60)=0),AND(A572=入力!$B$11,A572&gt;1)),入力!$B$14="有効"),ROUND(G571*1.25,0),"")</f>
        <v/>
      </c>
      <c r="S572" s="36">
        <f>IF(A572&lt;&gt;入力!$B$15,S571,IF(K572&lt;&gt;0,S571,IF(G572&lt;=F572,S571,IF(M572&lt;=0,S571,IF(AND(N572&gt;0,E572&gt;0,G572&lt;=N572*E572/12),S571,IF(A572+IF(N572=0,0,IF(E572=0,ROUNDUP(N572/G572,0),ROUNDUP(NPER(E572/12,-G572,N572),0)))&lt;S571,A572+IF(N572=0,0,IF(E572=0,ROUNDUP(N572/G572,0),ROUNDUP(NPER(E572/12,-G572,N572),0))),S571))))))</f>
        <v>359</v>
      </c>
      <c r="T572" s="35" t="str">
        <f t="shared" si="143"/>
        <v/>
      </c>
      <c r="U572" s="3">
        <f t="shared" si="128"/>
        <v>0</v>
      </c>
      <c r="V572" s="3">
        <f t="shared" si="129"/>
        <v>0</v>
      </c>
      <c r="W572" s="3">
        <f t="shared" si="130"/>
        <v>0</v>
      </c>
      <c r="X572" s="3">
        <f t="shared" si="131"/>
        <v>0</v>
      </c>
      <c r="Y572" s="3">
        <f>0</f>
        <v>0</v>
      </c>
      <c r="Z572" s="3">
        <f t="shared" si="132"/>
        <v>0</v>
      </c>
      <c r="AA572">
        <f>ROUND(IF(FALSE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,0)</f>
        <v>0</v>
      </c>
    </row>
    <row r="573" spans="1:27">
      <c r="A573" s="30">
        <f>568</f>
        <v>568</v>
      </c>
      <c r="B573" s="31">
        <f>EDATE(入力!$B$6,A573-1)</f>
        <v>63494</v>
      </c>
      <c r="C573" s="32">
        <f t="shared" si="133"/>
        <v>0</v>
      </c>
      <c r="D573" s="32">
        <f t="shared" si="134"/>
        <v>0</v>
      </c>
      <c r="E573" s="33">
        <f>IF(AND(T572="",A573&lt;=S572),IF(A573&lt;入力!$B$11,入力!$B$10,入力!$B$12),0)</f>
        <v>0</v>
      </c>
      <c r="F573" s="32">
        <f t="shared" si="135"/>
        <v>0</v>
      </c>
      <c r="G573" s="32">
        <f>ROUND(IF(NOT(AND(T572="",A573&lt;=S572)),0,IF(FALSE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),0)</f>
        <v>0</v>
      </c>
      <c r="H573" s="32">
        <f t="shared" si="136"/>
        <v>0</v>
      </c>
      <c r="I573" s="32">
        <f t="shared" si="137"/>
        <v>0</v>
      </c>
      <c r="J573" s="32">
        <f t="shared" si="138"/>
        <v>0</v>
      </c>
      <c r="K573" s="32">
        <f t="shared" si="139"/>
        <v>0</v>
      </c>
      <c r="L573" s="32">
        <f t="shared" si="140"/>
        <v>0</v>
      </c>
      <c r="M573" s="32">
        <f>IF(AND(AND(T572="",A573&lt;=S572),A573=入力!$B$15),ROUND(MIN(入力!$B$16,MAX(0,C573-L573)),0),0)</f>
        <v>0</v>
      </c>
      <c r="N573" s="32">
        <f t="shared" si="141"/>
        <v>0</v>
      </c>
      <c r="O573" s="32">
        <f t="shared" si="142"/>
        <v>10725103</v>
      </c>
      <c r="P573" s="34" t="str">
        <f>IF(NOT(AND(T572="",A573&lt;=S572)),"",IF(FALSE,"繰上返済後再計算","")&amp;IF(AND(入力!$B$13="有効",A573&gt;1,MOD(A573-1,60)=0),IF(FALSE,"・","")&amp;"5年見直し","")&amp;IF(AND(A573=入力!$B$11,A573&gt;1),IF(OR(FALSE,AND(入力!$B$13="有効",A573&gt;1,MOD(A573-1,60)=0)),"・","")&amp;"金利変更","")&amp;IF(AND(OR(AND(入力!$B$13="有効",A573&gt;1,MOD(A573-1,60)=0),AND(A573=入力!$B$11,A573&gt;1)),入力!$B$14="有効",IF(E573=0,ROUND(C573/MAX(1,S572-A573+1),0),ROUND(-PMT(E573/12,MAX(1,S572-A573+1),C573),0))&gt;ROUND(G572*1.25,0),NOT(FALSE)),"・上限適用",""))</f>
        <v/>
      </c>
      <c r="Q573" s="35" t="str">
        <f>IF(AND(T572="",A573&lt;=S572),入力!$B$13,"")</f>
        <v/>
      </c>
      <c r="R573" s="32" t="str">
        <f>IF(AND(AND(T572="",A573&lt;=S572),OR(AND(入力!$B$13="有効",A573&gt;1,MOD(A573-1,60)=0),AND(A573=入力!$B$11,A573&gt;1)),入力!$B$14="有効"),ROUND(G572*1.25,0),"")</f>
        <v/>
      </c>
      <c r="S573" s="36">
        <f>IF(A573&lt;&gt;入力!$B$15,S572,IF(K573&lt;&gt;0,S572,IF(G573&lt;=F573,S572,IF(M573&lt;=0,S572,IF(AND(N573&gt;0,E573&gt;0,G573&lt;=N573*E573/12),S572,IF(A573+IF(N573=0,0,IF(E573=0,ROUNDUP(N573/G573,0),ROUNDUP(NPER(E573/12,-G573,N573),0)))&lt;S572,A573+IF(N573=0,0,IF(E573=0,ROUNDUP(N573/G573,0),ROUNDUP(NPER(E573/12,-G573,N573),0))),S572))))))</f>
        <v>359</v>
      </c>
      <c r="T573" s="35" t="str">
        <f t="shared" si="143"/>
        <v/>
      </c>
      <c r="U573" s="3">
        <f t="shared" si="128"/>
        <v>0</v>
      </c>
      <c r="V573" s="3">
        <f t="shared" si="129"/>
        <v>0</v>
      </c>
      <c r="W573" s="3">
        <f t="shared" si="130"/>
        <v>0</v>
      </c>
      <c r="X573" s="3">
        <f t="shared" si="131"/>
        <v>0</v>
      </c>
      <c r="Y573" s="3">
        <f>0</f>
        <v>0</v>
      </c>
      <c r="Z573" s="3">
        <f t="shared" si="132"/>
        <v>0</v>
      </c>
      <c r="AA573">
        <f>ROUND(IF(FALSE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,0)</f>
        <v>0</v>
      </c>
    </row>
    <row r="574" spans="1:27">
      <c r="A574" s="30">
        <f>569</f>
        <v>569</v>
      </c>
      <c r="B574" s="31">
        <f>EDATE(入力!$B$6,A574-1)</f>
        <v>63524</v>
      </c>
      <c r="C574" s="32">
        <f t="shared" si="133"/>
        <v>0</v>
      </c>
      <c r="D574" s="32">
        <f t="shared" si="134"/>
        <v>0</v>
      </c>
      <c r="E574" s="33">
        <f>IF(AND(T573="",A574&lt;=S573),IF(A574&lt;入力!$B$11,入力!$B$10,入力!$B$12),0)</f>
        <v>0</v>
      </c>
      <c r="F574" s="32">
        <f t="shared" si="135"/>
        <v>0</v>
      </c>
      <c r="G574" s="32">
        <f>ROUND(IF(NOT(AND(T573="",A574&lt;=S573)),0,IF(FALSE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),0)</f>
        <v>0</v>
      </c>
      <c r="H574" s="32">
        <f t="shared" si="136"/>
        <v>0</v>
      </c>
      <c r="I574" s="32">
        <f t="shared" si="137"/>
        <v>0</v>
      </c>
      <c r="J574" s="32">
        <f t="shared" si="138"/>
        <v>0</v>
      </c>
      <c r="K574" s="32">
        <f t="shared" si="139"/>
        <v>0</v>
      </c>
      <c r="L574" s="32">
        <f t="shared" si="140"/>
        <v>0</v>
      </c>
      <c r="M574" s="32">
        <f>IF(AND(AND(T573="",A574&lt;=S573),A574=入力!$B$15),ROUND(MIN(入力!$B$16,MAX(0,C574-L574)),0),0)</f>
        <v>0</v>
      </c>
      <c r="N574" s="32">
        <f t="shared" si="141"/>
        <v>0</v>
      </c>
      <c r="O574" s="32">
        <f t="shared" si="142"/>
        <v>10725103</v>
      </c>
      <c r="P574" s="34" t="str">
        <f>IF(NOT(AND(T573="",A574&lt;=S573)),"",IF(FALSE,"繰上返済後再計算","")&amp;IF(AND(入力!$B$13="有効",A574&gt;1,MOD(A574-1,60)=0),IF(FALSE,"・","")&amp;"5年見直し","")&amp;IF(AND(A574=入力!$B$11,A574&gt;1),IF(OR(FALSE,AND(入力!$B$13="有効",A574&gt;1,MOD(A574-1,60)=0)),"・","")&amp;"金利変更","")&amp;IF(AND(OR(AND(入力!$B$13="有効",A574&gt;1,MOD(A574-1,60)=0),AND(A574=入力!$B$11,A574&gt;1)),入力!$B$14="有効",IF(E574=0,ROUND(C574/MAX(1,S573-A574+1),0),ROUND(-PMT(E574/12,MAX(1,S573-A574+1),C574),0))&gt;ROUND(G573*1.25,0),NOT(FALSE)),"・上限適用",""))</f>
        <v/>
      </c>
      <c r="Q574" s="35" t="str">
        <f>IF(AND(T573="",A574&lt;=S573),入力!$B$13,"")</f>
        <v/>
      </c>
      <c r="R574" s="32" t="str">
        <f>IF(AND(AND(T573="",A574&lt;=S573),OR(AND(入力!$B$13="有効",A574&gt;1,MOD(A574-1,60)=0),AND(A574=入力!$B$11,A574&gt;1)),入力!$B$14="有効"),ROUND(G573*1.25,0),"")</f>
        <v/>
      </c>
      <c r="S574" s="36">
        <f>IF(A574&lt;&gt;入力!$B$15,S573,IF(K574&lt;&gt;0,S573,IF(G574&lt;=F574,S573,IF(M574&lt;=0,S573,IF(AND(N574&gt;0,E574&gt;0,G574&lt;=N574*E574/12),S573,IF(A574+IF(N574=0,0,IF(E574=0,ROUNDUP(N574/G574,0),ROUNDUP(NPER(E574/12,-G574,N574),0)))&lt;S573,A574+IF(N574=0,0,IF(E574=0,ROUNDUP(N574/G574,0),ROUNDUP(NPER(E574/12,-G574,N574),0))),S573))))))</f>
        <v>359</v>
      </c>
      <c r="T574" s="35" t="str">
        <f t="shared" si="143"/>
        <v/>
      </c>
      <c r="U574" s="3">
        <f t="shared" si="128"/>
        <v>0</v>
      </c>
      <c r="V574" s="3">
        <f t="shared" si="129"/>
        <v>0</v>
      </c>
      <c r="W574" s="3">
        <f t="shared" si="130"/>
        <v>0</v>
      </c>
      <c r="X574" s="3">
        <f t="shared" si="131"/>
        <v>0</v>
      </c>
      <c r="Y574" s="3">
        <f>0</f>
        <v>0</v>
      </c>
      <c r="Z574" s="3">
        <f t="shared" si="132"/>
        <v>0</v>
      </c>
      <c r="AA574">
        <f>ROUND(IF(FALSE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,0)</f>
        <v>0</v>
      </c>
    </row>
    <row r="575" spans="1:27">
      <c r="A575" s="30">
        <f>570</f>
        <v>570</v>
      </c>
      <c r="B575" s="31">
        <f>EDATE(入力!$B$6,A575-1)</f>
        <v>63555</v>
      </c>
      <c r="C575" s="32">
        <f t="shared" si="133"/>
        <v>0</v>
      </c>
      <c r="D575" s="32">
        <f t="shared" si="134"/>
        <v>0</v>
      </c>
      <c r="E575" s="33">
        <f>IF(AND(T574="",A575&lt;=S574),IF(A575&lt;入力!$B$11,入力!$B$10,入力!$B$12),0)</f>
        <v>0</v>
      </c>
      <c r="F575" s="32">
        <f t="shared" si="135"/>
        <v>0</v>
      </c>
      <c r="G575" s="32">
        <f>ROUND(IF(NOT(AND(T574="",A575&lt;=S574)),0,IF(FALSE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),0)</f>
        <v>0</v>
      </c>
      <c r="H575" s="32">
        <f t="shared" si="136"/>
        <v>0</v>
      </c>
      <c r="I575" s="32">
        <f t="shared" si="137"/>
        <v>0</v>
      </c>
      <c r="J575" s="32">
        <f t="shared" si="138"/>
        <v>0</v>
      </c>
      <c r="K575" s="32">
        <f t="shared" si="139"/>
        <v>0</v>
      </c>
      <c r="L575" s="32">
        <f t="shared" si="140"/>
        <v>0</v>
      </c>
      <c r="M575" s="32">
        <f>IF(AND(AND(T574="",A575&lt;=S574),A575=入力!$B$15),ROUND(MIN(入力!$B$16,MAX(0,C575-L575)),0),0)</f>
        <v>0</v>
      </c>
      <c r="N575" s="32">
        <f t="shared" si="141"/>
        <v>0</v>
      </c>
      <c r="O575" s="32">
        <f t="shared" si="142"/>
        <v>10725103</v>
      </c>
      <c r="P575" s="34" t="str">
        <f>IF(NOT(AND(T574="",A575&lt;=S574)),"",IF(FALSE,"繰上返済後再計算","")&amp;IF(AND(入力!$B$13="有効",A575&gt;1,MOD(A575-1,60)=0),IF(FALSE,"・","")&amp;"5年見直し","")&amp;IF(AND(A575=入力!$B$11,A575&gt;1),IF(OR(FALSE,AND(入力!$B$13="有効",A575&gt;1,MOD(A575-1,60)=0)),"・","")&amp;"金利変更","")&amp;IF(AND(OR(AND(入力!$B$13="有効",A575&gt;1,MOD(A575-1,60)=0),AND(A575=入力!$B$11,A575&gt;1)),入力!$B$14="有効",IF(E575=0,ROUND(C575/MAX(1,S574-A575+1),0),ROUND(-PMT(E575/12,MAX(1,S574-A575+1),C575),0))&gt;ROUND(G574*1.25,0),NOT(FALSE)),"・上限適用",""))</f>
        <v/>
      </c>
      <c r="Q575" s="35" t="str">
        <f>IF(AND(T574="",A575&lt;=S574),入力!$B$13,"")</f>
        <v/>
      </c>
      <c r="R575" s="32" t="str">
        <f>IF(AND(AND(T574="",A575&lt;=S574),OR(AND(入力!$B$13="有効",A575&gt;1,MOD(A575-1,60)=0),AND(A575=入力!$B$11,A575&gt;1)),入力!$B$14="有効"),ROUND(G574*1.25,0),"")</f>
        <v/>
      </c>
      <c r="S575" s="36">
        <f>IF(A575&lt;&gt;入力!$B$15,S574,IF(K575&lt;&gt;0,S574,IF(G575&lt;=F575,S574,IF(M575&lt;=0,S574,IF(AND(N575&gt;0,E575&gt;0,G575&lt;=N575*E575/12),S574,IF(A575+IF(N575=0,0,IF(E575=0,ROUNDUP(N575/G575,0),ROUNDUP(NPER(E575/12,-G575,N575),0)))&lt;S574,A575+IF(N575=0,0,IF(E575=0,ROUNDUP(N575/G575,0),ROUNDUP(NPER(E575/12,-G575,N575),0))),S574))))))</f>
        <v>359</v>
      </c>
      <c r="T575" s="35" t="str">
        <f t="shared" si="143"/>
        <v/>
      </c>
      <c r="U575" s="3">
        <f t="shared" si="128"/>
        <v>0</v>
      </c>
      <c r="V575" s="3">
        <f t="shared" si="129"/>
        <v>0</v>
      </c>
      <c r="W575" s="3">
        <f t="shared" si="130"/>
        <v>0</v>
      </c>
      <c r="X575" s="3">
        <f t="shared" si="131"/>
        <v>0</v>
      </c>
      <c r="Y575" s="3">
        <f>0</f>
        <v>0</v>
      </c>
      <c r="Z575" s="3">
        <f t="shared" si="132"/>
        <v>0</v>
      </c>
      <c r="AA575">
        <f>ROUND(IF(FALSE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,0)</f>
        <v>0</v>
      </c>
    </row>
    <row r="576" spans="1:27">
      <c r="A576" s="30">
        <f>571</f>
        <v>571</v>
      </c>
      <c r="B576" s="31">
        <f>EDATE(入力!$B$6,A576-1)</f>
        <v>63586</v>
      </c>
      <c r="C576" s="32">
        <f t="shared" si="133"/>
        <v>0</v>
      </c>
      <c r="D576" s="32">
        <f t="shared" si="134"/>
        <v>0</v>
      </c>
      <c r="E576" s="33">
        <f>IF(AND(T575="",A576&lt;=S575),IF(A576&lt;入力!$B$11,入力!$B$10,入力!$B$12),0)</f>
        <v>0</v>
      </c>
      <c r="F576" s="32">
        <f t="shared" si="135"/>
        <v>0</v>
      </c>
      <c r="G576" s="32">
        <f>ROUND(IF(NOT(AND(T575="",A576&lt;=S575)),0,IF(FALSE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),0)</f>
        <v>0</v>
      </c>
      <c r="H576" s="32">
        <f t="shared" si="136"/>
        <v>0</v>
      </c>
      <c r="I576" s="32">
        <f t="shared" si="137"/>
        <v>0</v>
      </c>
      <c r="J576" s="32">
        <f t="shared" si="138"/>
        <v>0</v>
      </c>
      <c r="K576" s="32">
        <f t="shared" si="139"/>
        <v>0</v>
      </c>
      <c r="L576" s="32">
        <f t="shared" si="140"/>
        <v>0</v>
      </c>
      <c r="M576" s="32">
        <f>IF(AND(AND(T575="",A576&lt;=S575),A576=入力!$B$15),ROUND(MIN(入力!$B$16,MAX(0,C576-L576)),0),0)</f>
        <v>0</v>
      </c>
      <c r="N576" s="32">
        <f t="shared" si="141"/>
        <v>0</v>
      </c>
      <c r="O576" s="32">
        <f t="shared" si="142"/>
        <v>10725103</v>
      </c>
      <c r="P576" s="34" t="str">
        <f>IF(NOT(AND(T575="",A576&lt;=S575)),"",IF(FALSE,"繰上返済後再計算","")&amp;IF(AND(入力!$B$13="有効",A576&gt;1,MOD(A576-1,60)=0),IF(FALSE,"・","")&amp;"5年見直し","")&amp;IF(AND(A576=入力!$B$11,A576&gt;1),IF(OR(FALSE,AND(入力!$B$13="有効",A576&gt;1,MOD(A576-1,60)=0)),"・","")&amp;"金利変更","")&amp;IF(AND(OR(AND(入力!$B$13="有効",A576&gt;1,MOD(A576-1,60)=0),AND(A576=入力!$B$11,A576&gt;1)),入力!$B$14="有効",IF(E576=0,ROUND(C576/MAX(1,S575-A576+1),0),ROUND(-PMT(E576/12,MAX(1,S575-A576+1),C576),0))&gt;ROUND(G575*1.25,0),NOT(FALSE)),"・上限適用",""))</f>
        <v/>
      </c>
      <c r="Q576" s="35" t="str">
        <f>IF(AND(T575="",A576&lt;=S575),入力!$B$13,"")</f>
        <v/>
      </c>
      <c r="R576" s="32" t="str">
        <f>IF(AND(AND(T575="",A576&lt;=S575),OR(AND(入力!$B$13="有効",A576&gt;1,MOD(A576-1,60)=0),AND(A576=入力!$B$11,A576&gt;1)),入力!$B$14="有効"),ROUND(G575*1.25,0),"")</f>
        <v/>
      </c>
      <c r="S576" s="36">
        <f>IF(A576&lt;&gt;入力!$B$15,S575,IF(K576&lt;&gt;0,S575,IF(G576&lt;=F576,S575,IF(M576&lt;=0,S575,IF(AND(N576&gt;0,E576&gt;0,G576&lt;=N576*E576/12),S575,IF(A576+IF(N576=0,0,IF(E576=0,ROUNDUP(N576/G576,0),ROUNDUP(NPER(E576/12,-G576,N576),0)))&lt;S575,A576+IF(N576=0,0,IF(E576=0,ROUNDUP(N576/G576,0),ROUNDUP(NPER(E576/12,-G576,N576),0))),S575))))))</f>
        <v>359</v>
      </c>
      <c r="T576" s="35" t="str">
        <f t="shared" si="143"/>
        <v/>
      </c>
      <c r="U576" s="3">
        <f t="shared" si="128"/>
        <v>0</v>
      </c>
      <c r="V576" s="3">
        <f t="shared" si="129"/>
        <v>0</v>
      </c>
      <c r="W576" s="3">
        <f t="shared" si="130"/>
        <v>0</v>
      </c>
      <c r="X576" s="3">
        <f t="shared" si="131"/>
        <v>0</v>
      </c>
      <c r="Y576" s="3">
        <f>0</f>
        <v>0</v>
      </c>
      <c r="Z576" s="3">
        <f t="shared" si="132"/>
        <v>0</v>
      </c>
      <c r="AA576">
        <f>ROUND(IF(FALSE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,0)</f>
        <v>0</v>
      </c>
    </row>
    <row r="577" spans="1:27">
      <c r="A577" s="30">
        <f>572</f>
        <v>572</v>
      </c>
      <c r="B577" s="31">
        <f>EDATE(入力!$B$6,A577-1)</f>
        <v>63614</v>
      </c>
      <c r="C577" s="32">
        <f t="shared" si="133"/>
        <v>0</v>
      </c>
      <c r="D577" s="32">
        <f t="shared" si="134"/>
        <v>0</v>
      </c>
      <c r="E577" s="33">
        <f>IF(AND(T576="",A577&lt;=S576),IF(A577&lt;入力!$B$11,入力!$B$10,入力!$B$12),0)</f>
        <v>0</v>
      </c>
      <c r="F577" s="32">
        <f t="shared" si="135"/>
        <v>0</v>
      </c>
      <c r="G577" s="32">
        <f>ROUND(IF(NOT(AND(T576="",A577&lt;=S576)),0,IF(FALSE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),0)</f>
        <v>0</v>
      </c>
      <c r="H577" s="32">
        <f t="shared" si="136"/>
        <v>0</v>
      </c>
      <c r="I577" s="32">
        <f t="shared" si="137"/>
        <v>0</v>
      </c>
      <c r="J577" s="32">
        <f t="shared" si="138"/>
        <v>0</v>
      </c>
      <c r="K577" s="32">
        <f t="shared" si="139"/>
        <v>0</v>
      </c>
      <c r="L577" s="32">
        <f t="shared" si="140"/>
        <v>0</v>
      </c>
      <c r="M577" s="32">
        <f>IF(AND(AND(T576="",A577&lt;=S576),A577=入力!$B$15),ROUND(MIN(入力!$B$16,MAX(0,C577-L577)),0),0)</f>
        <v>0</v>
      </c>
      <c r="N577" s="32">
        <f t="shared" si="141"/>
        <v>0</v>
      </c>
      <c r="O577" s="32">
        <f t="shared" si="142"/>
        <v>10725103</v>
      </c>
      <c r="P577" s="34" t="str">
        <f>IF(NOT(AND(T576="",A577&lt;=S576)),"",IF(FALSE,"繰上返済後再計算","")&amp;IF(AND(入力!$B$13="有効",A577&gt;1,MOD(A577-1,60)=0),IF(FALSE,"・","")&amp;"5年見直し","")&amp;IF(AND(A577=入力!$B$11,A577&gt;1),IF(OR(FALSE,AND(入力!$B$13="有効",A577&gt;1,MOD(A577-1,60)=0)),"・","")&amp;"金利変更","")&amp;IF(AND(OR(AND(入力!$B$13="有効",A577&gt;1,MOD(A577-1,60)=0),AND(A577=入力!$B$11,A577&gt;1)),入力!$B$14="有効",IF(E577=0,ROUND(C577/MAX(1,S576-A577+1),0),ROUND(-PMT(E577/12,MAX(1,S576-A577+1),C577),0))&gt;ROUND(G576*1.25,0),NOT(FALSE)),"・上限適用",""))</f>
        <v/>
      </c>
      <c r="Q577" s="35" t="str">
        <f>IF(AND(T576="",A577&lt;=S576),入力!$B$13,"")</f>
        <v/>
      </c>
      <c r="R577" s="32" t="str">
        <f>IF(AND(AND(T576="",A577&lt;=S576),OR(AND(入力!$B$13="有効",A577&gt;1,MOD(A577-1,60)=0),AND(A577=入力!$B$11,A577&gt;1)),入力!$B$14="有効"),ROUND(G576*1.25,0),"")</f>
        <v/>
      </c>
      <c r="S577" s="36">
        <f>IF(A577&lt;&gt;入力!$B$15,S576,IF(K577&lt;&gt;0,S576,IF(G577&lt;=F577,S576,IF(M577&lt;=0,S576,IF(AND(N577&gt;0,E577&gt;0,G577&lt;=N577*E577/12),S576,IF(A577+IF(N577=0,0,IF(E577=0,ROUNDUP(N577/G577,0),ROUNDUP(NPER(E577/12,-G577,N577),0)))&lt;S576,A577+IF(N577=0,0,IF(E577=0,ROUNDUP(N577/G577,0),ROUNDUP(NPER(E577/12,-G577,N577),0))),S576))))))</f>
        <v>359</v>
      </c>
      <c r="T577" s="35" t="str">
        <f t="shared" si="143"/>
        <v/>
      </c>
      <c r="U577" s="3">
        <f t="shared" si="128"/>
        <v>0</v>
      </c>
      <c r="V577" s="3">
        <f t="shared" si="129"/>
        <v>0</v>
      </c>
      <c r="W577" s="3">
        <f t="shared" si="130"/>
        <v>0</v>
      </c>
      <c r="X577" s="3">
        <f t="shared" si="131"/>
        <v>0</v>
      </c>
      <c r="Y577" s="3">
        <f>0</f>
        <v>0</v>
      </c>
      <c r="Z577" s="3">
        <f t="shared" si="132"/>
        <v>0</v>
      </c>
      <c r="AA577">
        <f>ROUND(IF(FALSE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,0)</f>
        <v>0</v>
      </c>
    </row>
    <row r="578" spans="1:27">
      <c r="A578" s="30">
        <f>573</f>
        <v>573</v>
      </c>
      <c r="B578" s="31">
        <f>EDATE(入力!$B$6,A578-1)</f>
        <v>63645</v>
      </c>
      <c r="C578" s="32">
        <f t="shared" si="133"/>
        <v>0</v>
      </c>
      <c r="D578" s="32">
        <f t="shared" si="134"/>
        <v>0</v>
      </c>
      <c r="E578" s="33">
        <f>IF(AND(T577="",A578&lt;=S577),IF(A578&lt;入力!$B$11,入力!$B$10,入力!$B$12),0)</f>
        <v>0</v>
      </c>
      <c r="F578" s="32">
        <f t="shared" si="135"/>
        <v>0</v>
      </c>
      <c r="G578" s="32">
        <f>ROUND(IF(NOT(AND(T577="",A578&lt;=S577)),0,IF(FALSE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),0)</f>
        <v>0</v>
      </c>
      <c r="H578" s="32">
        <f t="shared" si="136"/>
        <v>0</v>
      </c>
      <c r="I578" s="32">
        <f t="shared" si="137"/>
        <v>0</v>
      </c>
      <c r="J578" s="32">
        <f t="shared" si="138"/>
        <v>0</v>
      </c>
      <c r="K578" s="32">
        <f t="shared" si="139"/>
        <v>0</v>
      </c>
      <c r="L578" s="32">
        <f t="shared" si="140"/>
        <v>0</v>
      </c>
      <c r="M578" s="32">
        <f>IF(AND(AND(T577="",A578&lt;=S577),A578=入力!$B$15),ROUND(MIN(入力!$B$16,MAX(0,C578-L578)),0),0)</f>
        <v>0</v>
      </c>
      <c r="N578" s="32">
        <f t="shared" si="141"/>
        <v>0</v>
      </c>
      <c r="O578" s="32">
        <f t="shared" si="142"/>
        <v>10725103</v>
      </c>
      <c r="P578" s="34" t="str">
        <f>IF(NOT(AND(T577="",A578&lt;=S577)),"",IF(FALSE,"繰上返済後再計算","")&amp;IF(AND(入力!$B$13="有効",A578&gt;1,MOD(A578-1,60)=0),IF(FALSE,"・","")&amp;"5年見直し","")&amp;IF(AND(A578=入力!$B$11,A578&gt;1),IF(OR(FALSE,AND(入力!$B$13="有効",A578&gt;1,MOD(A578-1,60)=0)),"・","")&amp;"金利変更","")&amp;IF(AND(OR(AND(入力!$B$13="有効",A578&gt;1,MOD(A578-1,60)=0),AND(A578=入力!$B$11,A578&gt;1)),入力!$B$14="有効",IF(E578=0,ROUND(C578/MAX(1,S577-A578+1),0),ROUND(-PMT(E578/12,MAX(1,S577-A578+1),C578),0))&gt;ROUND(G577*1.25,0),NOT(FALSE)),"・上限適用",""))</f>
        <v/>
      </c>
      <c r="Q578" s="35" t="str">
        <f>IF(AND(T577="",A578&lt;=S577),入力!$B$13,"")</f>
        <v/>
      </c>
      <c r="R578" s="32" t="str">
        <f>IF(AND(AND(T577="",A578&lt;=S577),OR(AND(入力!$B$13="有効",A578&gt;1,MOD(A578-1,60)=0),AND(A578=入力!$B$11,A578&gt;1)),入力!$B$14="有効"),ROUND(G577*1.25,0),"")</f>
        <v/>
      </c>
      <c r="S578" s="36">
        <f>IF(A578&lt;&gt;入力!$B$15,S577,IF(K578&lt;&gt;0,S577,IF(G578&lt;=F578,S577,IF(M578&lt;=0,S577,IF(AND(N578&gt;0,E578&gt;0,G578&lt;=N578*E578/12),S577,IF(A578+IF(N578=0,0,IF(E578=0,ROUNDUP(N578/G578,0),ROUNDUP(NPER(E578/12,-G578,N578),0)))&lt;S577,A578+IF(N578=0,0,IF(E578=0,ROUNDUP(N578/G578,0),ROUNDUP(NPER(E578/12,-G578,N578),0))),S577))))))</f>
        <v>359</v>
      </c>
      <c r="T578" s="35" t="str">
        <f t="shared" si="143"/>
        <v/>
      </c>
      <c r="U578" s="3">
        <f t="shared" si="128"/>
        <v>0</v>
      </c>
      <c r="V578" s="3">
        <f t="shared" si="129"/>
        <v>0</v>
      </c>
      <c r="W578" s="3">
        <f t="shared" si="130"/>
        <v>0</v>
      </c>
      <c r="X578" s="3">
        <f t="shared" si="131"/>
        <v>0</v>
      </c>
      <c r="Y578" s="3">
        <f>0</f>
        <v>0</v>
      </c>
      <c r="Z578" s="3">
        <f t="shared" si="132"/>
        <v>0</v>
      </c>
      <c r="AA578">
        <f>ROUND(IF(FALSE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,0)</f>
        <v>0</v>
      </c>
    </row>
    <row r="579" spans="1:27">
      <c r="A579" s="30">
        <f>574</f>
        <v>574</v>
      </c>
      <c r="B579" s="31">
        <f>EDATE(入力!$B$6,A579-1)</f>
        <v>63675</v>
      </c>
      <c r="C579" s="32">
        <f t="shared" si="133"/>
        <v>0</v>
      </c>
      <c r="D579" s="32">
        <f t="shared" si="134"/>
        <v>0</v>
      </c>
      <c r="E579" s="33">
        <f>IF(AND(T578="",A579&lt;=S578),IF(A579&lt;入力!$B$11,入力!$B$10,入力!$B$12),0)</f>
        <v>0</v>
      </c>
      <c r="F579" s="32">
        <f t="shared" si="135"/>
        <v>0</v>
      </c>
      <c r="G579" s="32">
        <f>ROUND(IF(NOT(AND(T578="",A579&lt;=S578)),0,IF(FALSE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),0)</f>
        <v>0</v>
      </c>
      <c r="H579" s="32">
        <f t="shared" si="136"/>
        <v>0</v>
      </c>
      <c r="I579" s="32">
        <f t="shared" si="137"/>
        <v>0</v>
      </c>
      <c r="J579" s="32">
        <f t="shared" si="138"/>
        <v>0</v>
      </c>
      <c r="K579" s="32">
        <f t="shared" si="139"/>
        <v>0</v>
      </c>
      <c r="L579" s="32">
        <f t="shared" si="140"/>
        <v>0</v>
      </c>
      <c r="M579" s="32">
        <f>IF(AND(AND(T578="",A579&lt;=S578),A579=入力!$B$15),ROUND(MIN(入力!$B$16,MAX(0,C579-L579)),0),0)</f>
        <v>0</v>
      </c>
      <c r="N579" s="32">
        <f t="shared" si="141"/>
        <v>0</v>
      </c>
      <c r="O579" s="32">
        <f t="shared" si="142"/>
        <v>10725103</v>
      </c>
      <c r="P579" s="34" t="str">
        <f>IF(NOT(AND(T578="",A579&lt;=S578)),"",IF(FALSE,"繰上返済後再計算","")&amp;IF(AND(入力!$B$13="有効",A579&gt;1,MOD(A579-1,60)=0),IF(FALSE,"・","")&amp;"5年見直し","")&amp;IF(AND(A579=入力!$B$11,A579&gt;1),IF(OR(FALSE,AND(入力!$B$13="有効",A579&gt;1,MOD(A579-1,60)=0)),"・","")&amp;"金利変更","")&amp;IF(AND(OR(AND(入力!$B$13="有効",A579&gt;1,MOD(A579-1,60)=0),AND(A579=入力!$B$11,A579&gt;1)),入力!$B$14="有効",IF(E579=0,ROUND(C579/MAX(1,S578-A579+1),0),ROUND(-PMT(E579/12,MAX(1,S578-A579+1),C579),0))&gt;ROUND(G578*1.25,0),NOT(FALSE)),"・上限適用",""))</f>
        <v/>
      </c>
      <c r="Q579" s="35" t="str">
        <f>IF(AND(T578="",A579&lt;=S578),入力!$B$13,"")</f>
        <v/>
      </c>
      <c r="R579" s="32" t="str">
        <f>IF(AND(AND(T578="",A579&lt;=S578),OR(AND(入力!$B$13="有効",A579&gt;1,MOD(A579-1,60)=0),AND(A579=入力!$B$11,A579&gt;1)),入力!$B$14="有効"),ROUND(G578*1.25,0),"")</f>
        <v/>
      </c>
      <c r="S579" s="36">
        <f>IF(A579&lt;&gt;入力!$B$15,S578,IF(K579&lt;&gt;0,S578,IF(G579&lt;=F579,S578,IF(M579&lt;=0,S578,IF(AND(N579&gt;0,E579&gt;0,G579&lt;=N579*E579/12),S578,IF(A579+IF(N579=0,0,IF(E579=0,ROUNDUP(N579/G579,0),ROUNDUP(NPER(E579/12,-G579,N579),0)))&lt;S578,A579+IF(N579=0,0,IF(E579=0,ROUNDUP(N579/G579,0),ROUNDUP(NPER(E579/12,-G579,N579),0))),S578))))))</f>
        <v>359</v>
      </c>
      <c r="T579" s="35" t="str">
        <f t="shared" si="143"/>
        <v/>
      </c>
      <c r="U579" s="3">
        <f t="shared" si="128"/>
        <v>0</v>
      </c>
      <c r="V579" s="3">
        <f t="shared" si="129"/>
        <v>0</v>
      </c>
      <c r="W579" s="3">
        <f t="shared" si="130"/>
        <v>0</v>
      </c>
      <c r="X579" s="3">
        <f t="shared" si="131"/>
        <v>0</v>
      </c>
      <c r="Y579" s="3">
        <f>0</f>
        <v>0</v>
      </c>
      <c r="Z579" s="3">
        <f t="shared" si="132"/>
        <v>0</v>
      </c>
      <c r="AA579">
        <f>ROUND(IF(FALSE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,0)</f>
        <v>0</v>
      </c>
    </row>
    <row r="580" spans="1:27">
      <c r="A580" s="30">
        <f>575</f>
        <v>575</v>
      </c>
      <c r="B580" s="31">
        <f>EDATE(入力!$B$6,A580-1)</f>
        <v>63706</v>
      </c>
      <c r="C580" s="32">
        <f t="shared" si="133"/>
        <v>0</v>
      </c>
      <c r="D580" s="32">
        <f t="shared" si="134"/>
        <v>0</v>
      </c>
      <c r="E580" s="33">
        <f>IF(AND(T579="",A580&lt;=S579),IF(A580&lt;入力!$B$11,入力!$B$10,入力!$B$12),0)</f>
        <v>0</v>
      </c>
      <c r="F580" s="32">
        <f t="shared" si="135"/>
        <v>0</v>
      </c>
      <c r="G580" s="32">
        <f>ROUND(IF(NOT(AND(T579="",A580&lt;=S579)),0,IF(FALSE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),0)</f>
        <v>0</v>
      </c>
      <c r="H580" s="32">
        <f t="shared" si="136"/>
        <v>0</v>
      </c>
      <c r="I580" s="32">
        <f t="shared" si="137"/>
        <v>0</v>
      </c>
      <c r="J580" s="32">
        <f t="shared" si="138"/>
        <v>0</v>
      </c>
      <c r="K580" s="32">
        <f t="shared" si="139"/>
        <v>0</v>
      </c>
      <c r="L580" s="32">
        <f t="shared" si="140"/>
        <v>0</v>
      </c>
      <c r="M580" s="32">
        <f>IF(AND(AND(T579="",A580&lt;=S579),A580=入力!$B$15),ROUND(MIN(入力!$B$16,MAX(0,C580-L580)),0),0)</f>
        <v>0</v>
      </c>
      <c r="N580" s="32">
        <f t="shared" si="141"/>
        <v>0</v>
      </c>
      <c r="O580" s="32">
        <f t="shared" si="142"/>
        <v>10725103</v>
      </c>
      <c r="P580" s="34" t="str">
        <f>IF(NOT(AND(T579="",A580&lt;=S579)),"",IF(FALSE,"繰上返済後再計算","")&amp;IF(AND(入力!$B$13="有効",A580&gt;1,MOD(A580-1,60)=0),IF(FALSE,"・","")&amp;"5年見直し","")&amp;IF(AND(A580=入力!$B$11,A580&gt;1),IF(OR(FALSE,AND(入力!$B$13="有効",A580&gt;1,MOD(A580-1,60)=0)),"・","")&amp;"金利変更","")&amp;IF(AND(OR(AND(入力!$B$13="有効",A580&gt;1,MOD(A580-1,60)=0),AND(A580=入力!$B$11,A580&gt;1)),入力!$B$14="有効",IF(E580=0,ROUND(C580/MAX(1,S579-A580+1),0),ROUND(-PMT(E580/12,MAX(1,S579-A580+1),C580),0))&gt;ROUND(G579*1.25,0),NOT(FALSE)),"・上限適用",""))</f>
        <v/>
      </c>
      <c r="Q580" s="35" t="str">
        <f>IF(AND(T579="",A580&lt;=S579),入力!$B$13,"")</f>
        <v/>
      </c>
      <c r="R580" s="32" t="str">
        <f>IF(AND(AND(T579="",A580&lt;=S579),OR(AND(入力!$B$13="有効",A580&gt;1,MOD(A580-1,60)=0),AND(A580=入力!$B$11,A580&gt;1)),入力!$B$14="有効"),ROUND(G579*1.25,0),"")</f>
        <v/>
      </c>
      <c r="S580" s="36">
        <f>IF(A580&lt;&gt;入力!$B$15,S579,IF(K580&lt;&gt;0,S579,IF(G580&lt;=F580,S579,IF(M580&lt;=0,S579,IF(AND(N580&gt;0,E580&gt;0,G580&lt;=N580*E580/12),S579,IF(A580+IF(N580=0,0,IF(E580=0,ROUNDUP(N580/G580,0),ROUNDUP(NPER(E580/12,-G580,N580),0)))&lt;S579,A580+IF(N580=0,0,IF(E580=0,ROUNDUP(N580/G580,0),ROUNDUP(NPER(E580/12,-G580,N580),0))),S579))))))</f>
        <v>359</v>
      </c>
      <c r="T580" s="35" t="str">
        <f t="shared" si="143"/>
        <v/>
      </c>
      <c r="U580" s="3">
        <f t="shared" si="128"/>
        <v>0</v>
      </c>
      <c r="V580" s="3">
        <f t="shared" si="129"/>
        <v>0</v>
      </c>
      <c r="W580" s="3">
        <f t="shared" si="130"/>
        <v>0</v>
      </c>
      <c r="X580" s="3">
        <f t="shared" si="131"/>
        <v>0</v>
      </c>
      <c r="Y580" s="3">
        <f>0</f>
        <v>0</v>
      </c>
      <c r="Z580" s="3">
        <f t="shared" si="132"/>
        <v>0</v>
      </c>
      <c r="AA580">
        <f>ROUND(IF(FALSE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,0)</f>
        <v>0</v>
      </c>
    </row>
    <row r="581" spans="1:27">
      <c r="A581" s="30">
        <f>576</f>
        <v>576</v>
      </c>
      <c r="B581" s="31">
        <f>EDATE(入力!$B$6,A581-1)</f>
        <v>63736</v>
      </c>
      <c r="C581" s="32">
        <f t="shared" si="133"/>
        <v>0</v>
      </c>
      <c r="D581" s="32">
        <f t="shared" si="134"/>
        <v>0</v>
      </c>
      <c r="E581" s="33">
        <f>IF(AND(T580="",A581&lt;=S580),IF(A581&lt;入力!$B$11,入力!$B$10,入力!$B$12),0)</f>
        <v>0</v>
      </c>
      <c r="F581" s="32">
        <f t="shared" si="135"/>
        <v>0</v>
      </c>
      <c r="G581" s="32">
        <f>ROUND(IF(NOT(AND(T580="",A581&lt;=S580)),0,IF(FALSE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),0)</f>
        <v>0</v>
      </c>
      <c r="H581" s="32">
        <f t="shared" si="136"/>
        <v>0</v>
      </c>
      <c r="I581" s="32">
        <f t="shared" si="137"/>
        <v>0</v>
      </c>
      <c r="J581" s="32">
        <f t="shared" si="138"/>
        <v>0</v>
      </c>
      <c r="K581" s="32">
        <f t="shared" si="139"/>
        <v>0</v>
      </c>
      <c r="L581" s="32">
        <f t="shared" si="140"/>
        <v>0</v>
      </c>
      <c r="M581" s="32">
        <f>IF(AND(AND(T580="",A581&lt;=S580),A581=入力!$B$15),ROUND(MIN(入力!$B$16,MAX(0,C581-L581)),0),0)</f>
        <v>0</v>
      </c>
      <c r="N581" s="32">
        <f t="shared" si="141"/>
        <v>0</v>
      </c>
      <c r="O581" s="32">
        <f t="shared" si="142"/>
        <v>10725103</v>
      </c>
      <c r="P581" s="34" t="str">
        <f>IF(NOT(AND(T580="",A581&lt;=S580)),"",IF(FALSE,"繰上返済後再計算","")&amp;IF(AND(入力!$B$13="有効",A581&gt;1,MOD(A581-1,60)=0),IF(FALSE,"・","")&amp;"5年見直し","")&amp;IF(AND(A581=入力!$B$11,A581&gt;1),IF(OR(FALSE,AND(入力!$B$13="有効",A581&gt;1,MOD(A581-1,60)=0)),"・","")&amp;"金利変更","")&amp;IF(AND(OR(AND(入力!$B$13="有効",A581&gt;1,MOD(A581-1,60)=0),AND(A581=入力!$B$11,A581&gt;1)),入力!$B$14="有効",IF(E581=0,ROUND(C581/MAX(1,S580-A581+1),0),ROUND(-PMT(E581/12,MAX(1,S580-A581+1),C581),0))&gt;ROUND(G580*1.25,0),NOT(FALSE)),"・上限適用",""))</f>
        <v/>
      </c>
      <c r="Q581" s="35" t="str">
        <f>IF(AND(T580="",A581&lt;=S580),入力!$B$13,"")</f>
        <v/>
      </c>
      <c r="R581" s="32" t="str">
        <f>IF(AND(AND(T580="",A581&lt;=S580),OR(AND(入力!$B$13="有効",A581&gt;1,MOD(A581-1,60)=0),AND(A581=入力!$B$11,A581&gt;1)),入力!$B$14="有効"),ROUND(G580*1.25,0),"")</f>
        <v/>
      </c>
      <c r="S581" s="36">
        <f>IF(A581&lt;&gt;入力!$B$15,S580,IF(K581&lt;&gt;0,S580,IF(G581&lt;=F581,S580,IF(M581&lt;=0,S580,IF(AND(N581&gt;0,E581&gt;0,G581&lt;=N581*E581/12),S580,IF(A581+IF(N581=0,0,IF(E581=0,ROUNDUP(N581/G581,0),ROUNDUP(NPER(E581/12,-G581,N581),0)))&lt;S580,A581+IF(N581=0,0,IF(E581=0,ROUNDUP(N581/G581,0),ROUNDUP(NPER(E581/12,-G581,N581),0))),S580))))))</f>
        <v>359</v>
      </c>
      <c r="T581" s="35" t="str">
        <f t="shared" si="143"/>
        <v/>
      </c>
      <c r="U581" s="3">
        <f t="shared" si="128"/>
        <v>0</v>
      </c>
      <c r="V581" s="3">
        <f t="shared" si="129"/>
        <v>0</v>
      </c>
      <c r="W581" s="3">
        <f t="shared" si="130"/>
        <v>0</v>
      </c>
      <c r="X581" s="3">
        <f t="shared" si="131"/>
        <v>0</v>
      </c>
      <c r="Y581" s="3">
        <f>0</f>
        <v>0</v>
      </c>
      <c r="Z581" s="3">
        <f t="shared" si="132"/>
        <v>0</v>
      </c>
      <c r="AA581">
        <f>ROUND(IF(FALSE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,0)</f>
        <v>0</v>
      </c>
    </row>
    <row r="582" spans="1:27">
      <c r="A582" s="30">
        <f>577</f>
        <v>577</v>
      </c>
      <c r="B582" s="31">
        <f>EDATE(入力!$B$6,A582-1)</f>
        <v>63767</v>
      </c>
      <c r="C582" s="32">
        <f t="shared" si="133"/>
        <v>0</v>
      </c>
      <c r="D582" s="32">
        <f t="shared" si="134"/>
        <v>0</v>
      </c>
      <c r="E582" s="33">
        <f>IF(AND(T581="",A582&lt;=S581),IF(A582&lt;入力!$B$11,入力!$B$10,入力!$B$12),0)</f>
        <v>0</v>
      </c>
      <c r="F582" s="32">
        <f t="shared" si="135"/>
        <v>0</v>
      </c>
      <c r="G582" s="32">
        <f>ROUND(IF(NOT(AND(T581="",A582&lt;=S581)),0,IF(FALSE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),0)</f>
        <v>0</v>
      </c>
      <c r="H582" s="32">
        <f t="shared" si="136"/>
        <v>0</v>
      </c>
      <c r="I582" s="32">
        <f t="shared" si="137"/>
        <v>0</v>
      </c>
      <c r="J582" s="32">
        <f t="shared" si="138"/>
        <v>0</v>
      </c>
      <c r="K582" s="32">
        <f t="shared" si="139"/>
        <v>0</v>
      </c>
      <c r="L582" s="32">
        <f t="shared" si="140"/>
        <v>0</v>
      </c>
      <c r="M582" s="32">
        <f>IF(AND(AND(T581="",A582&lt;=S581),A582=入力!$B$15),ROUND(MIN(入力!$B$16,MAX(0,C582-L582)),0),0)</f>
        <v>0</v>
      </c>
      <c r="N582" s="32">
        <f t="shared" si="141"/>
        <v>0</v>
      </c>
      <c r="O582" s="32">
        <f t="shared" si="142"/>
        <v>10725103</v>
      </c>
      <c r="P582" s="34" t="str">
        <f>IF(NOT(AND(T581="",A582&lt;=S581)),"",IF(FALSE,"繰上返済後再計算","")&amp;IF(AND(入力!$B$13="有効",A582&gt;1,MOD(A582-1,60)=0),IF(FALSE,"・","")&amp;"5年見直し","")&amp;IF(AND(A582=入力!$B$11,A582&gt;1),IF(OR(FALSE,AND(入力!$B$13="有効",A582&gt;1,MOD(A582-1,60)=0)),"・","")&amp;"金利変更","")&amp;IF(AND(OR(AND(入力!$B$13="有効",A582&gt;1,MOD(A582-1,60)=0),AND(A582=入力!$B$11,A582&gt;1)),入力!$B$14="有効",IF(E582=0,ROUND(C582/MAX(1,S581-A582+1),0),ROUND(-PMT(E582/12,MAX(1,S581-A582+1),C582),0))&gt;ROUND(G581*1.25,0),NOT(FALSE)),"・上限適用",""))</f>
        <v/>
      </c>
      <c r="Q582" s="35" t="str">
        <f>IF(AND(T581="",A582&lt;=S581),入力!$B$13,"")</f>
        <v/>
      </c>
      <c r="R582" s="32" t="str">
        <f>IF(AND(AND(T581="",A582&lt;=S581),OR(AND(入力!$B$13="有効",A582&gt;1,MOD(A582-1,60)=0),AND(A582=入力!$B$11,A582&gt;1)),入力!$B$14="有効"),ROUND(G581*1.25,0),"")</f>
        <v/>
      </c>
      <c r="S582" s="36">
        <f>IF(A582&lt;&gt;入力!$B$15,S581,IF(K582&lt;&gt;0,S581,IF(G582&lt;=F582,S581,IF(M582&lt;=0,S581,IF(AND(N582&gt;0,E582&gt;0,G582&lt;=N582*E582/12),S581,IF(A582+IF(N582=0,0,IF(E582=0,ROUNDUP(N582/G582,0),ROUNDUP(NPER(E582/12,-G582,N582),0)))&lt;S581,A582+IF(N582=0,0,IF(E582=0,ROUNDUP(N582/G582,0),ROUNDUP(NPER(E582/12,-G582,N582),0))),S581))))))</f>
        <v>359</v>
      </c>
      <c r="T582" s="35" t="str">
        <f t="shared" si="143"/>
        <v/>
      </c>
      <c r="U582" s="3">
        <f t="shared" ref="U582:U605" si="144">ABS(I582-MIN(H582,D582+F582))</f>
        <v>0</v>
      </c>
      <c r="V582" s="3">
        <f t="shared" ref="V582:V605" si="145">ABS(L582-(H582-I582))</f>
        <v>0</v>
      </c>
      <c r="W582" s="3">
        <f t="shared" ref="W582:W605" si="146">ABS(K582-(D582+J582))</f>
        <v>0</v>
      </c>
      <c r="X582" s="3">
        <f t="shared" ref="X582:X605" si="147">ABS(F582-ROUND(F582,0))+ABS(G582-ROUND(G582,0))+ABS(H582-ROUND(H582,0))+ABS(I582-ROUND(I582,0))+ABS(J582-ROUND(J582,0))+ABS(K582-ROUND(K582,0))+ABS(L582-ROUND(L582,0))+ABS(M582-ROUND(M582,0))+ABS(N582-ROUND(N582,0))+ABS(O582-ROUND(O582,0))</f>
        <v>0</v>
      </c>
      <c r="Y582" s="3">
        <f>0</f>
        <v>0</v>
      </c>
      <c r="Z582" s="3">
        <f t="shared" ref="Z582:Z605" si="148">SUM(--ISERROR(A582),--ISERROR(B582),--ISERROR(C582),--ISERROR(D582),--ISERROR(E582),--ISERROR(F582),--ISERROR(G582),--ISERROR(H582),--ISERROR(I582),--ISERROR(J582),--ISERROR(K582),--ISERROR(L582),--ISERROR(M582),--ISERROR(N582),--ISERROR(O582),--ISERROR(P582),--ISERROR(Q582),--ISERROR(R582),--ISERROR(S582),--ISERROR(T582))</f>
        <v>0</v>
      </c>
      <c r="AA582">
        <f>ROUND(IF(FALSE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,0)</f>
        <v>0</v>
      </c>
    </row>
    <row r="583" spans="1:27">
      <c r="A583" s="30">
        <f>578</f>
        <v>578</v>
      </c>
      <c r="B583" s="31">
        <f>EDATE(入力!$B$6,A583-1)</f>
        <v>63798</v>
      </c>
      <c r="C583" s="32">
        <f t="shared" ref="C583:C605" si="149">IF(AND(T582="",A583&lt;=S582),N582,0)</f>
        <v>0</v>
      </c>
      <c r="D583" s="32">
        <f t="shared" ref="D583:D605" si="150">IF(AND(T582="",A583&lt;=S582),K582,0)</f>
        <v>0</v>
      </c>
      <c r="E583" s="33">
        <f>IF(AND(T582="",A583&lt;=S582),IF(A583&lt;入力!$B$11,入力!$B$10,入力!$B$12),0)</f>
        <v>0</v>
      </c>
      <c r="F583" s="32">
        <f t="shared" ref="F583:F646" si="151">IF(AND(T582="",A583&lt;=S582),ROUND(C583*E583/12,0),0)</f>
        <v>0</v>
      </c>
      <c r="G583" s="32">
        <f>ROUND(IF(NOT(AND(T582="",A583&lt;=S582)),0,IF(FALSE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),0)</f>
        <v>0</v>
      </c>
      <c r="H583" s="32">
        <f t="shared" ref="H583:H646" si="152">IF(AND(T582="",A583&lt;=S582),ROUND(MIN(G583,C583+D583+F583),0),0)</f>
        <v>0</v>
      </c>
      <c r="I583" s="32">
        <f t="shared" ref="I583:I646" si="153">IF(AND(T582="",A583&lt;=S582),ROUND(MIN(H583,D583+F583),0),0)</f>
        <v>0</v>
      </c>
      <c r="J583" s="32">
        <f t="shared" ref="J583:J646" si="154">IF(AND(T582="",A583&lt;=S582),ROUND(F583-I583,0),0)</f>
        <v>0</v>
      </c>
      <c r="K583" s="32">
        <f t="shared" ref="K583:K646" si="155">IF(AND(T582="",A583&lt;=S582),ROUND(D583+J583,0),0)</f>
        <v>0</v>
      </c>
      <c r="L583" s="32">
        <f t="shared" ref="L583:L605" si="156">IF(AND(T582="",A583&lt;=S582),ROUND(H583-I583,0),0)</f>
        <v>0</v>
      </c>
      <c r="M583" s="32">
        <f>IF(AND(AND(T582="",A583&lt;=S582),A583=入力!$B$15),ROUND(MIN(入力!$B$16,MAX(0,C583-L583)),0),0)</f>
        <v>0</v>
      </c>
      <c r="N583" s="32">
        <f t="shared" ref="N583:N646" si="157">IF(AND(T582="",A583&lt;=S582),ROUND(MAX(0,C583-L583-M583),0),0)</f>
        <v>0</v>
      </c>
      <c r="O583" s="32">
        <f t="shared" ref="O583:O605" si="158">IF(AND(T582="",A583&lt;=S582),ROUND(O582+F583,0),O582)</f>
        <v>10725103</v>
      </c>
      <c r="P583" s="34" t="str">
        <f>IF(NOT(AND(T582="",A583&lt;=S582)),"",IF(FALSE,"繰上返済後再計算","")&amp;IF(AND(入力!$B$13="有効",A583&gt;1,MOD(A583-1,60)=0),IF(FALSE,"・","")&amp;"5年見直し","")&amp;IF(AND(A583=入力!$B$11,A583&gt;1),IF(OR(FALSE,AND(入力!$B$13="有効",A583&gt;1,MOD(A583-1,60)=0)),"・","")&amp;"金利変更","")&amp;IF(AND(OR(AND(入力!$B$13="有効",A583&gt;1,MOD(A583-1,60)=0),AND(A583=入力!$B$11,A583&gt;1)),入力!$B$14="有効",IF(E583=0,ROUND(C583/MAX(1,S582-A583+1),0),ROUND(-PMT(E583/12,MAX(1,S582-A583+1),C583),0))&gt;ROUND(G582*1.25,0),NOT(FALSE)),"・上限適用",""))</f>
        <v/>
      </c>
      <c r="Q583" s="35" t="str">
        <f>IF(AND(T582="",A583&lt;=S582),入力!$B$13,"")</f>
        <v/>
      </c>
      <c r="R583" s="32" t="str">
        <f>IF(AND(AND(T582="",A583&lt;=S582),OR(AND(入力!$B$13="有効",A583&gt;1,MOD(A583-1,60)=0),AND(A583=入力!$B$11,A583&gt;1)),入力!$B$14="有効"),ROUND(G582*1.25,0),"")</f>
        <v/>
      </c>
      <c r="S583" s="36">
        <f>IF(A583&lt;&gt;入力!$B$15,S582,IF(K583&lt;&gt;0,S582,IF(G583&lt;=F583,S582,IF(M583&lt;=0,S582,IF(AND(N583&gt;0,E583&gt;0,G583&lt;=N583*E583/12),S582,IF(A583+IF(N583=0,0,IF(E583=0,ROUNDUP(N583/G583,0),ROUNDUP(NPER(E583/12,-G583,N583),0)))&lt;S582,A583+IF(N583=0,0,IF(E583=0,ROUNDUP(N583/G583,0),ROUNDUP(NPER(E583/12,-G583,N583),0))),S582))))))</f>
        <v>359</v>
      </c>
      <c r="T583" s="35" t="str">
        <f t="shared" ref="T583:T646" si="159">IF(NOT(AND(T582="",A583&lt;=S582)),"",IF(AND(N583=0,K583=0),"完済",IF(A583=S583,"最終回清算","")))</f>
        <v/>
      </c>
      <c r="U583" s="3">
        <f t="shared" si="144"/>
        <v>0</v>
      </c>
      <c r="V583" s="3">
        <f t="shared" si="145"/>
        <v>0</v>
      </c>
      <c r="W583" s="3">
        <f t="shared" si="146"/>
        <v>0</v>
      </c>
      <c r="X583" s="3">
        <f t="shared" si="147"/>
        <v>0</v>
      </c>
      <c r="Y583" s="3">
        <f>0</f>
        <v>0</v>
      </c>
      <c r="Z583" s="3">
        <f t="shared" si="148"/>
        <v>0</v>
      </c>
      <c r="AA583">
        <f>ROUND(IF(FALSE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,0)</f>
        <v>0</v>
      </c>
    </row>
    <row r="584" spans="1:27">
      <c r="A584" s="30">
        <f>579</f>
        <v>579</v>
      </c>
      <c r="B584" s="31">
        <f>EDATE(入力!$B$6,A584-1)</f>
        <v>63828</v>
      </c>
      <c r="C584" s="32">
        <f t="shared" si="149"/>
        <v>0</v>
      </c>
      <c r="D584" s="32">
        <f t="shared" si="150"/>
        <v>0</v>
      </c>
      <c r="E584" s="33">
        <f>IF(AND(T583="",A584&lt;=S583),IF(A584&lt;入力!$B$11,入力!$B$10,入力!$B$12),0)</f>
        <v>0</v>
      </c>
      <c r="F584" s="32">
        <f t="shared" si="151"/>
        <v>0</v>
      </c>
      <c r="G584" s="32">
        <f>ROUND(IF(NOT(AND(T583="",A584&lt;=S583)),0,IF(FALSE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),0)</f>
        <v>0</v>
      </c>
      <c r="H584" s="32">
        <f t="shared" si="152"/>
        <v>0</v>
      </c>
      <c r="I584" s="32">
        <f t="shared" si="153"/>
        <v>0</v>
      </c>
      <c r="J584" s="32">
        <f t="shared" si="154"/>
        <v>0</v>
      </c>
      <c r="K584" s="32">
        <f t="shared" si="155"/>
        <v>0</v>
      </c>
      <c r="L584" s="32">
        <f t="shared" si="156"/>
        <v>0</v>
      </c>
      <c r="M584" s="32">
        <f>IF(AND(AND(T583="",A584&lt;=S583),A584=入力!$B$15),ROUND(MIN(入力!$B$16,MAX(0,C584-L584)),0),0)</f>
        <v>0</v>
      </c>
      <c r="N584" s="32">
        <f t="shared" si="157"/>
        <v>0</v>
      </c>
      <c r="O584" s="32">
        <f t="shared" si="158"/>
        <v>10725103</v>
      </c>
      <c r="P584" s="34" t="str">
        <f>IF(NOT(AND(T583="",A584&lt;=S583)),"",IF(FALSE,"繰上返済後再計算","")&amp;IF(AND(入力!$B$13="有効",A584&gt;1,MOD(A584-1,60)=0),IF(FALSE,"・","")&amp;"5年見直し","")&amp;IF(AND(A584=入力!$B$11,A584&gt;1),IF(OR(FALSE,AND(入力!$B$13="有効",A584&gt;1,MOD(A584-1,60)=0)),"・","")&amp;"金利変更","")&amp;IF(AND(OR(AND(入力!$B$13="有効",A584&gt;1,MOD(A584-1,60)=0),AND(A584=入力!$B$11,A584&gt;1)),入力!$B$14="有効",IF(E584=0,ROUND(C584/MAX(1,S583-A584+1),0),ROUND(-PMT(E584/12,MAX(1,S583-A584+1),C584),0))&gt;ROUND(G583*1.25,0),NOT(FALSE)),"・上限適用",""))</f>
        <v/>
      </c>
      <c r="Q584" s="35" t="str">
        <f>IF(AND(T583="",A584&lt;=S583),入力!$B$13,"")</f>
        <v/>
      </c>
      <c r="R584" s="32" t="str">
        <f>IF(AND(AND(T583="",A584&lt;=S583),OR(AND(入力!$B$13="有効",A584&gt;1,MOD(A584-1,60)=0),AND(A584=入力!$B$11,A584&gt;1)),入力!$B$14="有効"),ROUND(G583*1.25,0),"")</f>
        <v/>
      </c>
      <c r="S584" s="36">
        <f>IF(A584&lt;&gt;入力!$B$15,S583,IF(K584&lt;&gt;0,S583,IF(G584&lt;=F584,S583,IF(M584&lt;=0,S583,IF(AND(N584&gt;0,E584&gt;0,G584&lt;=N584*E584/12),S583,IF(A584+IF(N584=0,0,IF(E584=0,ROUNDUP(N584/G584,0),ROUNDUP(NPER(E584/12,-G584,N584),0)))&lt;S583,A584+IF(N584=0,0,IF(E584=0,ROUNDUP(N584/G584,0),ROUNDUP(NPER(E584/12,-G584,N584),0))),S583))))))</f>
        <v>359</v>
      </c>
      <c r="T584" s="35" t="str">
        <f t="shared" si="159"/>
        <v/>
      </c>
      <c r="U584" s="3">
        <f t="shared" si="144"/>
        <v>0</v>
      </c>
      <c r="V584" s="3">
        <f t="shared" si="145"/>
        <v>0</v>
      </c>
      <c r="W584" s="3">
        <f t="shared" si="146"/>
        <v>0</v>
      </c>
      <c r="X584" s="3">
        <f t="shared" si="147"/>
        <v>0</v>
      </c>
      <c r="Y584" s="3">
        <f>0</f>
        <v>0</v>
      </c>
      <c r="Z584" s="3">
        <f t="shared" si="148"/>
        <v>0</v>
      </c>
      <c r="AA584">
        <f>ROUND(IF(FALSE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,0)</f>
        <v>0</v>
      </c>
    </row>
    <row r="585" spans="1:27">
      <c r="A585" s="30">
        <f>580</f>
        <v>580</v>
      </c>
      <c r="B585" s="31">
        <f>EDATE(入力!$B$6,A585-1)</f>
        <v>63859</v>
      </c>
      <c r="C585" s="32">
        <f t="shared" si="149"/>
        <v>0</v>
      </c>
      <c r="D585" s="32">
        <f t="shared" si="150"/>
        <v>0</v>
      </c>
      <c r="E585" s="33">
        <f>IF(AND(T584="",A585&lt;=S584),IF(A585&lt;入力!$B$11,入力!$B$10,入力!$B$12),0)</f>
        <v>0</v>
      </c>
      <c r="F585" s="32">
        <f t="shared" si="151"/>
        <v>0</v>
      </c>
      <c r="G585" s="32">
        <f>ROUND(IF(NOT(AND(T584="",A585&lt;=S584)),0,IF(FALSE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),0)</f>
        <v>0</v>
      </c>
      <c r="H585" s="32">
        <f t="shared" si="152"/>
        <v>0</v>
      </c>
      <c r="I585" s="32">
        <f t="shared" si="153"/>
        <v>0</v>
      </c>
      <c r="J585" s="32">
        <f t="shared" si="154"/>
        <v>0</v>
      </c>
      <c r="K585" s="32">
        <f t="shared" si="155"/>
        <v>0</v>
      </c>
      <c r="L585" s="32">
        <f t="shared" si="156"/>
        <v>0</v>
      </c>
      <c r="M585" s="32">
        <f>IF(AND(AND(T584="",A585&lt;=S584),A585=入力!$B$15),ROUND(MIN(入力!$B$16,MAX(0,C585-L585)),0),0)</f>
        <v>0</v>
      </c>
      <c r="N585" s="32">
        <f t="shared" si="157"/>
        <v>0</v>
      </c>
      <c r="O585" s="32">
        <f t="shared" si="158"/>
        <v>10725103</v>
      </c>
      <c r="P585" s="34" t="str">
        <f>IF(NOT(AND(T584="",A585&lt;=S584)),"",IF(FALSE,"繰上返済後再計算","")&amp;IF(AND(入力!$B$13="有効",A585&gt;1,MOD(A585-1,60)=0),IF(FALSE,"・","")&amp;"5年見直し","")&amp;IF(AND(A585=入力!$B$11,A585&gt;1),IF(OR(FALSE,AND(入力!$B$13="有効",A585&gt;1,MOD(A585-1,60)=0)),"・","")&amp;"金利変更","")&amp;IF(AND(OR(AND(入力!$B$13="有効",A585&gt;1,MOD(A585-1,60)=0),AND(A585=入力!$B$11,A585&gt;1)),入力!$B$14="有効",IF(E585=0,ROUND(C585/MAX(1,S584-A585+1),0),ROUND(-PMT(E585/12,MAX(1,S584-A585+1),C585),0))&gt;ROUND(G584*1.25,0),NOT(FALSE)),"・上限適用",""))</f>
        <v/>
      </c>
      <c r="Q585" s="35" t="str">
        <f>IF(AND(T584="",A585&lt;=S584),入力!$B$13,"")</f>
        <v/>
      </c>
      <c r="R585" s="32" t="str">
        <f>IF(AND(AND(T584="",A585&lt;=S584),OR(AND(入力!$B$13="有効",A585&gt;1,MOD(A585-1,60)=0),AND(A585=入力!$B$11,A585&gt;1)),入力!$B$14="有効"),ROUND(G584*1.25,0),"")</f>
        <v/>
      </c>
      <c r="S585" s="36">
        <f>IF(A585&lt;&gt;入力!$B$15,S584,IF(K585&lt;&gt;0,S584,IF(G585&lt;=F585,S584,IF(M585&lt;=0,S584,IF(AND(N585&gt;0,E585&gt;0,G585&lt;=N585*E585/12),S584,IF(A585+IF(N585=0,0,IF(E585=0,ROUNDUP(N585/G585,0),ROUNDUP(NPER(E585/12,-G585,N585),0)))&lt;S584,A585+IF(N585=0,0,IF(E585=0,ROUNDUP(N585/G585,0),ROUNDUP(NPER(E585/12,-G585,N585),0))),S584))))))</f>
        <v>359</v>
      </c>
      <c r="T585" s="35" t="str">
        <f t="shared" si="159"/>
        <v/>
      </c>
      <c r="U585" s="3">
        <f t="shared" si="144"/>
        <v>0</v>
      </c>
      <c r="V585" s="3">
        <f t="shared" si="145"/>
        <v>0</v>
      </c>
      <c r="W585" s="3">
        <f t="shared" si="146"/>
        <v>0</v>
      </c>
      <c r="X585" s="3">
        <f t="shared" si="147"/>
        <v>0</v>
      </c>
      <c r="Y585" s="3">
        <f>0</f>
        <v>0</v>
      </c>
      <c r="Z585" s="3">
        <f t="shared" si="148"/>
        <v>0</v>
      </c>
      <c r="AA585">
        <f>ROUND(IF(FALSE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,0)</f>
        <v>0</v>
      </c>
    </row>
    <row r="586" spans="1:27">
      <c r="A586" s="30">
        <f>581</f>
        <v>581</v>
      </c>
      <c r="B586" s="31">
        <f>EDATE(入力!$B$6,A586-1)</f>
        <v>63889</v>
      </c>
      <c r="C586" s="32">
        <f t="shared" si="149"/>
        <v>0</v>
      </c>
      <c r="D586" s="32">
        <f t="shared" si="150"/>
        <v>0</v>
      </c>
      <c r="E586" s="33">
        <f>IF(AND(T585="",A586&lt;=S585),IF(A586&lt;入力!$B$11,入力!$B$10,入力!$B$12),0)</f>
        <v>0</v>
      </c>
      <c r="F586" s="32">
        <f t="shared" si="151"/>
        <v>0</v>
      </c>
      <c r="G586" s="32">
        <f>ROUND(IF(NOT(AND(T585="",A586&lt;=S585)),0,IF(FALSE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),0)</f>
        <v>0</v>
      </c>
      <c r="H586" s="32">
        <f t="shared" si="152"/>
        <v>0</v>
      </c>
      <c r="I586" s="32">
        <f t="shared" si="153"/>
        <v>0</v>
      </c>
      <c r="J586" s="32">
        <f t="shared" si="154"/>
        <v>0</v>
      </c>
      <c r="K586" s="32">
        <f t="shared" si="155"/>
        <v>0</v>
      </c>
      <c r="L586" s="32">
        <f t="shared" si="156"/>
        <v>0</v>
      </c>
      <c r="M586" s="32">
        <f>IF(AND(AND(T585="",A586&lt;=S585),A586=入力!$B$15),ROUND(MIN(入力!$B$16,MAX(0,C586-L586)),0),0)</f>
        <v>0</v>
      </c>
      <c r="N586" s="32">
        <f t="shared" si="157"/>
        <v>0</v>
      </c>
      <c r="O586" s="32">
        <f t="shared" si="158"/>
        <v>10725103</v>
      </c>
      <c r="P586" s="34" t="str">
        <f>IF(NOT(AND(T585="",A586&lt;=S585)),"",IF(FALSE,"繰上返済後再計算","")&amp;IF(AND(入力!$B$13="有効",A586&gt;1,MOD(A586-1,60)=0),IF(FALSE,"・","")&amp;"5年見直し","")&amp;IF(AND(A586=入力!$B$11,A586&gt;1),IF(OR(FALSE,AND(入力!$B$13="有効",A586&gt;1,MOD(A586-1,60)=0)),"・","")&amp;"金利変更","")&amp;IF(AND(OR(AND(入力!$B$13="有効",A586&gt;1,MOD(A586-1,60)=0),AND(A586=入力!$B$11,A586&gt;1)),入力!$B$14="有効",IF(E586=0,ROUND(C586/MAX(1,S585-A586+1),0),ROUND(-PMT(E586/12,MAX(1,S585-A586+1),C586),0))&gt;ROUND(G585*1.25,0),NOT(FALSE)),"・上限適用",""))</f>
        <v/>
      </c>
      <c r="Q586" s="35" t="str">
        <f>IF(AND(T585="",A586&lt;=S585),入力!$B$13,"")</f>
        <v/>
      </c>
      <c r="R586" s="32" t="str">
        <f>IF(AND(AND(T585="",A586&lt;=S585),OR(AND(入力!$B$13="有効",A586&gt;1,MOD(A586-1,60)=0),AND(A586=入力!$B$11,A586&gt;1)),入力!$B$14="有効"),ROUND(G585*1.25,0),"")</f>
        <v/>
      </c>
      <c r="S586" s="36">
        <f>IF(A586&lt;&gt;入力!$B$15,S585,IF(K586&lt;&gt;0,S585,IF(G586&lt;=F586,S585,IF(M586&lt;=0,S585,IF(AND(N586&gt;0,E586&gt;0,G586&lt;=N586*E586/12),S585,IF(A586+IF(N586=0,0,IF(E586=0,ROUNDUP(N586/G586,0),ROUNDUP(NPER(E586/12,-G586,N586),0)))&lt;S585,A586+IF(N586=0,0,IF(E586=0,ROUNDUP(N586/G586,0),ROUNDUP(NPER(E586/12,-G586,N586),0))),S585))))))</f>
        <v>359</v>
      </c>
      <c r="T586" s="35" t="str">
        <f t="shared" si="159"/>
        <v/>
      </c>
      <c r="U586" s="3">
        <f t="shared" si="144"/>
        <v>0</v>
      </c>
      <c r="V586" s="3">
        <f t="shared" si="145"/>
        <v>0</v>
      </c>
      <c r="W586" s="3">
        <f t="shared" si="146"/>
        <v>0</v>
      </c>
      <c r="X586" s="3">
        <f t="shared" si="147"/>
        <v>0</v>
      </c>
      <c r="Y586" s="3">
        <f>0</f>
        <v>0</v>
      </c>
      <c r="Z586" s="3">
        <f t="shared" si="148"/>
        <v>0</v>
      </c>
      <c r="AA586">
        <f>ROUND(IF(FALSE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,0)</f>
        <v>0</v>
      </c>
    </row>
    <row r="587" spans="1:27">
      <c r="A587" s="30">
        <f>582</f>
        <v>582</v>
      </c>
      <c r="B587" s="31">
        <f>EDATE(入力!$B$6,A587-1)</f>
        <v>63920</v>
      </c>
      <c r="C587" s="32">
        <f t="shared" si="149"/>
        <v>0</v>
      </c>
      <c r="D587" s="32">
        <f t="shared" si="150"/>
        <v>0</v>
      </c>
      <c r="E587" s="33">
        <f>IF(AND(T586="",A587&lt;=S586),IF(A587&lt;入力!$B$11,入力!$B$10,入力!$B$12),0)</f>
        <v>0</v>
      </c>
      <c r="F587" s="32">
        <f t="shared" si="151"/>
        <v>0</v>
      </c>
      <c r="G587" s="32">
        <f>ROUND(IF(NOT(AND(T586="",A587&lt;=S586)),0,IF(FALSE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),0)</f>
        <v>0</v>
      </c>
      <c r="H587" s="32">
        <f t="shared" si="152"/>
        <v>0</v>
      </c>
      <c r="I587" s="32">
        <f t="shared" si="153"/>
        <v>0</v>
      </c>
      <c r="J587" s="32">
        <f t="shared" si="154"/>
        <v>0</v>
      </c>
      <c r="K587" s="32">
        <f t="shared" si="155"/>
        <v>0</v>
      </c>
      <c r="L587" s="32">
        <f t="shared" si="156"/>
        <v>0</v>
      </c>
      <c r="M587" s="32">
        <f>IF(AND(AND(T586="",A587&lt;=S586),A587=入力!$B$15),ROUND(MIN(入力!$B$16,MAX(0,C587-L587)),0),0)</f>
        <v>0</v>
      </c>
      <c r="N587" s="32">
        <f t="shared" si="157"/>
        <v>0</v>
      </c>
      <c r="O587" s="32">
        <f t="shared" si="158"/>
        <v>10725103</v>
      </c>
      <c r="P587" s="34" t="str">
        <f>IF(NOT(AND(T586="",A587&lt;=S586)),"",IF(FALSE,"繰上返済後再計算","")&amp;IF(AND(入力!$B$13="有効",A587&gt;1,MOD(A587-1,60)=0),IF(FALSE,"・","")&amp;"5年見直し","")&amp;IF(AND(A587=入力!$B$11,A587&gt;1),IF(OR(FALSE,AND(入力!$B$13="有効",A587&gt;1,MOD(A587-1,60)=0)),"・","")&amp;"金利変更","")&amp;IF(AND(OR(AND(入力!$B$13="有効",A587&gt;1,MOD(A587-1,60)=0),AND(A587=入力!$B$11,A587&gt;1)),入力!$B$14="有効",IF(E587=0,ROUND(C587/MAX(1,S586-A587+1),0),ROUND(-PMT(E587/12,MAX(1,S586-A587+1),C587),0))&gt;ROUND(G586*1.25,0),NOT(FALSE)),"・上限適用",""))</f>
        <v/>
      </c>
      <c r="Q587" s="35" t="str">
        <f>IF(AND(T586="",A587&lt;=S586),入力!$B$13,"")</f>
        <v/>
      </c>
      <c r="R587" s="32" t="str">
        <f>IF(AND(AND(T586="",A587&lt;=S586),OR(AND(入力!$B$13="有効",A587&gt;1,MOD(A587-1,60)=0),AND(A587=入力!$B$11,A587&gt;1)),入力!$B$14="有効"),ROUND(G586*1.25,0),"")</f>
        <v/>
      </c>
      <c r="S587" s="36">
        <f>IF(A587&lt;&gt;入力!$B$15,S586,IF(K587&lt;&gt;0,S586,IF(G587&lt;=F587,S586,IF(M587&lt;=0,S586,IF(AND(N587&gt;0,E587&gt;0,G587&lt;=N587*E587/12),S586,IF(A587+IF(N587=0,0,IF(E587=0,ROUNDUP(N587/G587,0),ROUNDUP(NPER(E587/12,-G587,N587),0)))&lt;S586,A587+IF(N587=0,0,IF(E587=0,ROUNDUP(N587/G587,0),ROUNDUP(NPER(E587/12,-G587,N587),0))),S586))))))</f>
        <v>359</v>
      </c>
      <c r="T587" s="35" t="str">
        <f t="shared" si="159"/>
        <v/>
      </c>
      <c r="U587" s="3">
        <f t="shared" si="144"/>
        <v>0</v>
      </c>
      <c r="V587" s="3">
        <f t="shared" si="145"/>
        <v>0</v>
      </c>
      <c r="W587" s="3">
        <f t="shared" si="146"/>
        <v>0</v>
      </c>
      <c r="X587" s="3">
        <f t="shared" si="147"/>
        <v>0</v>
      </c>
      <c r="Y587" s="3">
        <f>0</f>
        <v>0</v>
      </c>
      <c r="Z587" s="3">
        <f t="shared" si="148"/>
        <v>0</v>
      </c>
      <c r="AA587">
        <f>ROUND(IF(FALSE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,0)</f>
        <v>0</v>
      </c>
    </row>
    <row r="588" spans="1:27">
      <c r="A588" s="30">
        <f>583</f>
        <v>583</v>
      </c>
      <c r="B588" s="31">
        <f>EDATE(入力!$B$6,A588-1)</f>
        <v>63951</v>
      </c>
      <c r="C588" s="32">
        <f t="shared" si="149"/>
        <v>0</v>
      </c>
      <c r="D588" s="32">
        <f t="shared" si="150"/>
        <v>0</v>
      </c>
      <c r="E588" s="33">
        <f>IF(AND(T587="",A588&lt;=S587),IF(A588&lt;入力!$B$11,入力!$B$10,入力!$B$12),0)</f>
        <v>0</v>
      </c>
      <c r="F588" s="32">
        <f t="shared" si="151"/>
        <v>0</v>
      </c>
      <c r="G588" s="32">
        <f>ROUND(IF(NOT(AND(T587="",A588&lt;=S587)),0,IF(FALSE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),0)</f>
        <v>0</v>
      </c>
      <c r="H588" s="32">
        <f t="shared" si="152"/>
        <v>0</v>
      </c>
      <c r="I588" s="32">
        <f t="shared" si="153"/>
        <v>0</v>
      </c>
      <c r="J588" s="32">
        <f t="shared" si="154"/>
        <v>0</v>
      </c>
      <c r="K588" s="32">
        <f t="shared" si="155"/>
        <v>0</v>
      </c>
      <c r="L588" s="32">
        <f t="shared" si="156"/>
        <v>0</v>
      </c>
      <c r="M588" s="32">
        <f>IF(AND(AND(T587="",A588&lt;=S587),A588=入力!$B$15),ROUND(MIN(入力!$B$16,MAX(0,C588-L588)),0),0)</f>
        <v>0</v>
      </c>
      <c r="N588" s="32">
        <f t="shared" si="157"/>
        <v>0</v>
      </c>
      <c r="O588" s="32">
        <f t="shared" si="158"/>
        <v>10725103</v>
      </c>
      <c r="P588" s="34" t="str">
        <f>IF(NOT(AND(T587="",A588&lt;=S587)),"",IF(FALSE,"繰上返済後再計算","")&amp;IF(AND(入力!$B$13="有効",A588&gt;1,MOD(A588-1,60)=0),IF(FALSE,"・","")&amp;"5年見直し","")&amp;IF(AND(A588=入力!$B$11,A588&gt;1),IF(OR(FALSE,AND(入力!$B$13="有効",A588&gt;1,MOD(A588-1,60)=0)),"・","")&amp;"金利変更","")&amp;IF(AND(OR(AND(入力!$B$13="有効",A588&gt;1,MOD(A588-1,60)=0),AND(A588=入力!$B$11,A588&gt;1)),入力!$B$14="有効",IF(E588=0,ROUND(C588/MAX(1,S587-A588+1),0),ROUND(-PMT(E588/12,MAX(1,S587-A588+1),C588),0))&gt;ROUND(G587*1.25,0),NOT(FALSE)),"・上限適用",""))</f>
        <v/>
      </c>
      <c r="Q588" s="35" t="str">
        <f>IF(AND(T587="",A588&lt;=S587),入力!$B$13,"")</f>
        <v/>
      </c>
      <c r="R588" s="32" t="str">
        <f>IF(AND(AND(T587="",A588&lt;=S587),OR(AND(入力!$B$13="有効",A588&gt;1,MOD(A588-1,60)=0),AND(A588=入力!$B$11,A588&gt;1)),入力!$B$14="有効"),ROUND(G587*1.25,0),"")</f>
        <v/>
      </c>
      <c r="S588" s="36">
        <f>IF(A588&lt;&gt;入力!$B$15,S587,IF(K588&lt;&gt;0,S587,IF(G588&lt;=F588,S587,IF(M588&lt;=0,S587,IF(AND(N588&gt;0,E588&gt;0,G588&lt;=N588*E588/12),S587,IF(A588+IF(N588=0,0,IF(E588=0,ROUNDUP(N588/G588,0),ROUNDUP(NPER(E588/12,-G588,N588),0)))&lt;S587,A588+IF(N588=0,0,IF(E588=0,ROUNDUP(N588/G588,0),ROUNDUP(NPER(E588/12,-G588,N588),0))),S587))))))</f>
        <v>359</v>
      </c>
      <c r="T588" s="35" t="str">
        <f t="shared" si="159"/>
        <v/>
      </c>
      <c r="U588" s="3">
        <f t="shared" si="144"/>
        <v>0</v>
      </c>
      <c r="V588" s="3">
        <f t="shared" si="145"/>
        <v>0</v>
      </c>
      <c r="W588" s="3">
        <f t="shared" si="146"/>
        <v>0</v>
      </c>
      <c r="X588" s="3">
        <f t="shared" si="147"/>
        <v>0</v>
      </c>
      <c r="Y588" s="3">
        <f>0</f>
        <v>0</v>
      </c>
      <c r="Z588" s="3">
        <f t="shared" si="148"/>
        <v>0</v>
      </c>
      <c r="AA588">
        <f>ROUND(IF(FALSE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,0)</f>
        <v>0</v>
      </c>
    </row>
    <row r="589" spans="1:27">
      <c r="A589" s="30">
        <f>584</f>
        <v>584</v>
      </c>
      <c r="B589" s="31">
        <f>EDATE(入力!$B$6,A589-1)</f>
        <v>63979</v>
      </c>
      <c r="C589" s="32">
        <f t="shared" si="149"/>
        <v>0</v>
      </c>
      <c r="D589" s="32">
        <f t="shared" si="150"/>
        <v>0</v>
      </c>
      <c r="E589" s="33">
        <f>IF(AND(T588="",A589&lt;=S588),IF(A589&lt;入力!$B$11,入力!$B$10,入力!$B$12),0)</f>
        <v>0</v>
      </c>
      <c r="F589" s="32">
        <f t="shared" si="151"/>
        <v>0</v>
      </c>
      <c r="G589" s="32">
        <f>ROUND(IF(NOT(AND(T588="",A589&lt;=S588)),0,IF(FALSE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),0)</f>
        <v>0</v>
      </c>
      <c r="H589" s="32">
        <f t="shared" si="152"/>
        <v>0</v>
      </c>
      <c r="I589" s="32">
        <f t="shared" si="153"/>
        <v>0</v>
      </c>
      <c r="J589" s="32">
        <f t="shared" si="154"/>
        <v>0</v>
      </c>
      <c r="K589" s="32">
        <f t="shared" si="155"/>
        <v>0</v>
      </c>
      <c r="L589" s="32">
        <f t="shared" si="156"/>
        <v>0</v>
      </c>
      <c r="M589" s="32">
        <f>IF(AND(AND(T588="",A589&lt;=S588),A589=入力!$B$15),ROUND(MIN(入力!$B$16,MAX(0,C589-L589)),0),0)</f>
        <v>0</v>
      </c>
      <c r="N589" s="32">
        <f t="shared" si="157"/>
        <v>0</v>
      </c>
      <c r="O589" s="32">
        <f t="shared" si="158"/>
        <v>10725103</v>
      </c>
      <c r="P589" s="34" t="str">
        <f>IF(NOT(AND(T588="",A589&lt;=S588)),"",IF(FALSE,"繰上返済後再計算","")&amp;IF(AND(入力!$B$13="有効",A589&gt;1,MOD(A589-1,60)=0),IF(FALSE,"・","")&amp;"5年見直し","")&amp;IF(AND(A589=入力!$B$11,A589&gt;1),IF(OR(FALSE,AND(入力!$B$13="有効",A589&gt;1,MOD(A589-1,60)=0)),"・","")&amp;"金利変更","")&amp;IF(AND(OR(AND(入力!$B$13="有効",A589&gt;1,MOD(A589-1,60)=0),AND(A589=入力!$B$11,A589&gt;1)),入力!$B$14="有効",IF(E589=0,ROUND(C589/MAX(1,S588-A589+1),0),ROUND(-PMT(E589/12,MAX(1,S588-A589+1),C589),0))&gt;ROUND(G588*1.25,0),NOT(FALSE)),"・上限適用",""))</f>
        <v/>
      </c>
      <c r="Q589" s="35" t="str">
        <f>IF(AND(T588="",A589&lt;=S588),入力!$B$13,"")</f>
        <v/>
      </c>
      <c r="R589" s="32" t="str">
        <f>IF(AND(AND(T588="",A589&lt;=S588),OR(AND(入力!$B$13="有効",A589&gt;1,MOD(A589-1,60)=0),AND(A589=入力!$B$11,A589&gt;1)),入力!$B$14="有効"),ROUND(G588*1.25,0),"")</f>
        <v/>
      </c>
      <c r="S589" s="36">
        <f>IF(A589&lt;&gt;入力!$B$15,S588,IF(K589&lt;&gt;0,S588,IF(G589&lt;=F589,S588,IF(M589&lt;=0,S588,IF(AND(N589&gt;0,E589&gt;0,G589&lt;=N589*E589/12),S588,IF(A589+IF(N589=0,0,IF(E589=0,ROUNDUP(N589/G589,0),ROUNDUP(NPER(E589/12,-G589,N589),0)))&lt;S588,A589+IF(N589=0,0,IF(E589=0,ROUNDUP(N589/G589,0),ROUNDUP(NPER(E589/12,-G589,N589),0))),S588))))))</f>
        <v>359</v>
      </c>
      <c r="T589" s="35" t="str">
        <f t="shared" si="159"/>
        <v/>
      </c>
      <c r="U589" s="3">
        <f t="shared" si="144"/>
        <v>0</v>
      </c>
      <c r="V589" s="3">
        <f t="shared" si="145"/>
        <v>0</v>
      </c>
      <c r="W589" s="3">
        <f t="shared" si="146"/>
        <v>0</v>
      </c>
      <c r="X589" s="3">
        <f t="shared" si="147"/>
        <v>0</v>
      </c>
      <c r="Y589" s="3">
        <f>0</f>
        <v>0</v>
      </c>
      <c r="Z589" s="3">
        <f t="shared" si="148"/>
        <v>0</v>
      </c>
      <c r="AA589">
        <f>ROUND(IF(FALSE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,0)</f>
        <v>0</v>
      </c>
    </row>
    <row r="590" spans="1:27">
      <c r="A590" s="30">
        <f>585</f>
        <v>585</v>
      </c>
      <c r="B590" s="31">
        <f>EDATE(入力!$B$6,A590-1)</f>
        <v>64010</v>
      </c>
      <c r="C590" s="32">
        <f t="shared" si="149"/>
        <v>0</v>
      </c>
      <c r="D590" s="32">
        <f t="shared" si="150"/>
        <v>0</v>
      </c>
      <c r="E590" s="33">
        <f>IF(AND(T589="",A590&lt;=S589),IF(A590&lt;入力!$B$11,入力!$B$10,入力!$B$12),0)</f>
        <v>0</v>
      </c>
      <c r="F590" s="32">
        <f t="shared" si="151"/>
        <v>0</v>
      </c>
      <c r="G590" s="32">
        <f>ROUND(IF(NOT(AND(T589="",A590&lt;=S589)),0,IF(FALSE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),0)</f>
        <v>0</v>
      </c>
      <c r="H590" s="32">
        <f t="shared" si="152"/>
        <v>0</v>
      </c>
      <c r="I590" s="32">
        <f t="shared" si="153"/>
        <v>0</v>
      </c>
      <c r="J590" s="32">
        <f t="shared" si="154"/>
        <v>0</v>
      </c>
      <c r="K590" s="32">
        <f t="shared" si="155"/>
        <v>0</v>
      </c>
      <c r="L590" s="32">
        <f t="shared" si="156"/>
        <v>0</v>
      </c>
      <c r="M590" s="32">
        <f>IF(AND(AND(T589="",A590&lt;=S589),A590=入力!$B$15),ROUND(MIN(入力!$B$16,MAX(0,C590-L590)),0),0)</f>
        <v>0</v>
      </c>
      <c r="N590" s="32">
        <f t="shared" si="157"/>
        <v>0</v>
      </c>
      <c r="O590" s="32">
        <f t="shared" si="158"/>
        <v>10725103</v>
      </c>
      <c r="P590" s="34" t="str">
        <f>IF(NOT(AND(T589="",A590&lt;=S589)),"",IF(FALSE,"繰上返済後再計算","")&amp;IF(AND(入力!$B$13="有効",A590&gt;1,MOD(A590-1,60)=0),IF(FALSE,"・","")&amp;"5年見直し","")&amp;IF(AND(A590=入力!$B$11,A590&gt;1),IF(OR(FALSE,AND(入力!$B$13="有効",A590&gt;1,MOD(A590-1,60)=0)),"・","")&amp;"金利変更","")&amp;IF(AND(OR(AND(入力!$B$13="有効",A590&gt;1,MOD(A590-1,60)=0),AND(A590=入力!$B$11,A590&gt;1)),入力!$B$14="有効",IF(E590=0,ROUND(C590/MAX(1,S589-A590+1),0),ROUND(-PMT(E590/12,MAX(1,S589-A590+1),C590),0))&gt;ROUND(G589*1.25,0),NOT(FALSE)),"・上限適用",""))</f>
        <v/>
      </c>
      <c r="Q590" s="35" t="str">
        <f>IF(AND(T589="",A590&lt;=S589),入力!$B$13,"")</f>
        <v/>
      </c>
      <c r="R590" s="32" t="str">
        <f>IF(AND(AND(T589="",A590&lt;=S589),OR(AND(入力!$B$13="有効",A590&gt;1,MOD(A590-1,60)=0),AND(A590=入力!$B$11,A590&gt;1)),入力!$B$14="有効"),ROUND(G589*1.25,0),"")</f>
        <v/>
      </c>
      <c r="S590" s="36">
        <f>IF(A590&lt;&gt;入力!$B$15,S589,IF(K590&lt;&gt;0,S589,IF(G590&lt;=F590,S589,IF(M590&lt;=0,S589,IF(AND(N590&gt;0,E590&gt;0,G590&lt;=N590*E590/12),S589,IF(A590+IF(N590=0,0,IF(E590=0,ROUNDUP(N590/G590,0),ROUNDUP(NPER(E590/12,-G590,N590),0)))&lt;S589,A590+IF(N590=0,0,IF(E590=0,ROUNDUP(N590/G590,0),ROUNDUP(NPER(E590/12,-G590,N590),0))),S589))))))</f>
        <v>359</v>
      </c>
      <c r="T590" s="35" t="str">
        <f t="shared" si="159"/>
        <v/>
      </c>
      <c r="U590" s="3">
        <f t="shared" si="144"/>
        <v>0</v>
      </c>
      <c r="V590" s="3">
        <f t="shared" si="145"/>
        <v>0</v>
      </c>
      <c r="W590" s="3">
        <f t="shared" si="146"/>
        <v>0</v>
      </c>
      <c r="X590" s="3">
        <f t="shared" si="147"/>
        <v>0</v>
      </c>
      <c r="Y590" s="3">
        <f>0</f>
        <v>0</v>
      </c>
      <c r="Z590" s="3">
        <f t="shared" si="148"/>
        <v>0</v>
      </c>
      <c r="AA590">
        <f>ROUND(IF(FALSE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,0)</f>
        <v>0</v>
      </c>
    </row>
    <row r="591" spans="1:27">
      <c r="A591" s="30">
        <f>586</f>
        <v>586</v>
      </c>
      <c r="B591" s="31">
        <f>EDATE(入力!$B$6,A591-1)</f>
        <v>64040</v>
      </c>
      <c r="C591" s="32">
        <f t="shared" si="149"/>
        <v>0</v>
      </c>
      <c r="D591" s="32">
        <f t="shared" si="150"/>
        <v>0</v>
      </c>
      <c r="E591" s="33">
        <f>IF(AND(T590="",A591&lt;=S590),IF(A591&lt;入力!$B$11,入力!$B$10,入力!$B$12),0)</f>
        <v>0</v>
      </c>
      <c r="F591" s="32">
        <f t="shared" si="151"/>
        <v>0</v>
      </c>
      <c r="G591" s="32">
        <f>ROUND(IF(NOT(AND(T590="",A591&lt;=S590)),0,IF(FALSE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),0)</f>
        <v>0</v>
      </c>
      <c r="H591" s="32">
        <f t="shared" si="152"/>
        <v>0</v>
      </c>
      <c r="I591" s="32">
        <f t="shared" si="153"/>
        <v>0</v>
      </c>
      <c r="J591" s="32">
        <f t="shared" si="154"/>
        <v>0</v>
      </c>
      <c r="K591" s="32">
        <f t="shared" si="155"/>
        <v>0</v>
      </c>
      <c r="L591" s="32">
        <f t="shared" si="156"/>
        <v>0</v>
      </c>
      <c r="M591" s="32">
        <f>IF(AND(AND(T590="",A591&lt;=S590),A591=入力!$B$15),ROUND(MIN(入力!$B$16,MAX(0,C591-L591)),0),0)</f>
        <v>0</v>
      </c>
      <c r="N591" s="32">
        <f t="shared" si="157"/>
        <v>0</v>
      </c>
      <c r="O591" s="32">
        <f t="shared" si="158"/>
        <v>10725103</v>
      </c>
      <c r="P591" s="34" t="str">
        <f>IF(NOT(AND(T590="",A591&lt;=S590)),"",IF(FALSE,"繰上返済後再計算","")&amp;IF(AND(入力!$B$13="有効",A591&gt;1,MOD(A591-1,60)=0),IF(FALSE,"・","")&amp;"5年見直し","")&amp;IF(AND(A591=入力!$B$11,A591&gt;1),IF(OR(FALSE,AND(入力!$B$13="有効",A591&gt;1,MOD(A591-1,60)=0)),"・","")&amp;"金利変更","")&amp;IF(AND(OR(AND(入力!$B$13="有効",A591&gt;1,MOD(A591-1,60)=0),AND(A591=入力!$B$11,A591&gt;1)),入力!$B$14="有効",IF(E591=0,ROUND(C591/MAX(1,S590-A591+1),0),ROUND(-PMT(E591/12,MAX(1,S590-A591+1),C591),0))&gt;ROUND(G590*1.25,0),NOT(FALSE)),"・上限適用",""))</f>
        <v/>
      </c>
      <c r="Q591" s="35" t="str">
        <f>IF(AND(T590="",A591&lt;=S590),入力!$B$13,"")</f>
        <v/>
      </c>
      <c r="R591" s="32" t="str">
        <f>IF(AND(AND(T590="",A591&lt;=S590),OR(AND(入力!$B$13="有効",A591&gt;1,MOD(A591-1,60)=0),AND(A591=入力!$B$11,A591&gt;1)),入力!$B$14="有効"),ROUND(G590*1.25,0),"")</f>
        <v/>
      </c>
      <c r="S591" s="36">
        <f>IF(A591&lt;&gt;入力!$B$15,S590,IF(K591&lt;&gt;0,S590,IF(G591&lt;=F591,S590,IF(M591&lt;=0,S590,IF(AND(N591&gt;0,E591&gt;0,G591&lt;=N591*E591/12),S590,IF(A591+IF(N591=0,0,IF(E591=0,ROUNDUP(N591/G591,0),ROUNDUP(NPER(E591/12,-G591,N591),0)))&lt;S590,A591+IF(N591=0,0,IF(E591=0,ROUNDUP(N591/G591,0),ROUNDUP(NPER(E591/12,-G591,N591),0))),S590))))))</f>
        <v>359</v>
      </c>
      <c r="T591" s="35" t="str">
        <f t="shared" si="159"/>
        <v/>
      </c>
      <c r="U591" s="3">
        <f t="shared" si="144"/>
        <v>0</v>
      </c>
      <c r="V591" s="3">
        <f t="shared" si="145"/>
        <v>0</v>
      </c>
      <c r="W591" s="3">
        <f t="shared" si="146"/>
        <v>0</v>
      </c>
      <c r="X591" s="3">
        <f t="shared" si="147"/>
        <v>0</v>
      </c>
      <c r="Y591" s="3">
        <f>0</f>
        <v>0</v>
      </c>
      <c r="Z591" s="3">
        <f t="shared" si="148"/>
        <v>0</v>
      </c>
      <c r="AA591">
        <f>ROUND(IF(FALSE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,0)</f>
        <v>0</v>
      </c>
    </row>
    <row r="592" spans="1:27">
      <c r="A592" s="30">
        <f>587</f>
        <v>587</v>
      </c>
      <c r="B592" s="31">
        <f>EDATE(入力!$B$6,A592-1)</f>
        <v>64071</v>
      </c>
      <c r="C592" s="32">
        <f t="shared" si="149"/>
        <v>0</v>
      </c>
      <c r="D592" s="32">
        <f t="shared" si="150"/>
        <v>0</v>
      </c>
      <c r="E592" s="33">
        <f>IF(AND(T591="",A592&lt;=S591),IF(A592&lt;入力!$B$11,入力!$B$10,入力!$B$12),0)</f>
        <v>0</v>
      </c>
      <c r="F592" s="32">
        <f t="shared" si="151"/>
        <v>0</v>
      </c>
      <c r="G592" s="32">
        <f>ROUND(IF(NOT(AND(T591="",A592&lt;=S591)),0,IF(FALSE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),0)</f>
        <v>0</v>
      </c>
      <c r="H592" s="32">
        <f t="shared" si="152"/>
        <v>0</v>
      </c>
      <c r="I592" s="32">
        <f t="shared" si="153"/>
        <v>0</v>
      </c>
      <c r="J592" s="32">
        <f t="shared" si="154"/>
        <v>0</v>
      </c>
      <c r="K592" s="32">
        <f t="shared" si="155"/>
        <v>0</v>
      </c>
      <c r="L592" s="32">
        <f t="shared" si="156"/>
        <v>0</v>
      </c>
      <c r="M592" s="32">
        <f>IF(AND(AND(T591="",A592&lt;=S591),A592=入力!$B$15),ROUND(MIN(入力!$B$16,MAX(0,C592-L592)),0),0)</f>
        <v>0</v>
      </c>
      <c r="N592" s="32">
        <f t="shared" si="157"/>
        <v>0</v>
      </c>
      <c r="O592" s="32">
        <f t="shared" si="158"/>
        <v>10725103</v>
      </c>
      <c r="P592" s="34" t="str">
        <f>IF(NOT(AND(T591="",A592&lt;=S591)),"",IF(FALSE,"繰上返済後再計算","")&amp;IF(AND(入力!$B$13="有効",A592&gt;1,MOD(A592-1,60)=0),IF(FALSE,"・","")&amp;"5年見直し","")&amp;IF(AND(A592=入力!$B$11,A592&gt;1),IF(OR(FALSE,AND(入力!$B$13="有効",A592&gt;1,MOD(A592-1,60)=0)),"・","")&amp;"金利変更","")&amp;IF(AND(OR(AND(入力!$B$13="有効",A592&gt;1,MOD(A592-1,60)=0),AND(A592=入力!$B$11,A592&gt;1)),入力!$B$14="有効",IF(E592=0,ROUND(C592/MAX(1,S591-A592+1),0),ROUND(-PMT(E592/12,MAX(1,S591-A592+1),C592),0))&gt;ROUND(G591*1.25,0),NOT(FALSE)),"・上限適用",""))</f>
        <v/>
      </c>
      <c r="Q592" s="35" t="str">
        <f>IF(AND(T591="",A592&lt;=S591),入力!$B$13,"")</f>
        <v/>
      </c>
      <c r="R592" s="32" t="str">
        <f>IF(AND(AND(T591="",A592&lt;=S591),OR(AND(入力!$B$13="有効",A592&gt;1,MOD(A592-1,60)=0),AND(A592=入力!$B$11,A592&gt;1)),入力!$B$14="有効"),ROUND(G591*1.25,0),"")</f>
        <v/>
      </c>
      <c r="S592" s="36">
        <f>IF(A592&lt;&gt;入力!$B$15,S591,IF(K592&lt;&gt;0,S591,IF(G592&lt;=F592,S591,IF(M592&lt;=0,S591,IF(AND(N592&gt;0,E592&gt;0,G592&lt;=N592*E592/12),S591,IF(A592+IF(N592=0,0,IF(E592=0,ROUNDUP(N592/G592,0),ROUNDUP(NPER(E592/12,-G592,N592),0)))&lt;S591,A592+IF(N592=0,0,IF(E592=0,ROUNDUP(N592/G592,0),ROUNDUP(NPER(E592/12,-G592,N592),0))),S591))))))</f>
        <v>359</v>
      </c>
      <c r="T592" s="35" t="str">
        <f t="shared" si="159"/>
        <v/>
      </c>
      <c r="U592" s="3">
        <f t="shared" si="144"/>
        <v>0</v>
      </c>
      <c r="V592" s="3">
        <f t="shared" si="145"/>
        <v>0</v>
      </c>
      <c r="W592" s="3">
        <f t="shared" si="146"/>
        <v>0</v>
      </c>
      <c r="X592" s="3">
        <f t="shared" si="147"/>
        <v>0</v>
      </c>
      <c r="Y592" s="3">
        <f>0</f>
        <v>0</v>
      </c>
      <c r="Z592" s="3">
        <f t="shared" si="148"/>
        <v>0</v>
      </c>
      <c r="AA592">
        <f>ROUND(IF(FALSE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,0)</f>
        <v>0</v>
      </c>
    </row>
    <row r="593" spans="1:27">
      <c r="A593" s="30">
        <f>588</f>
        <v>588</v>
      </c>
      <c r="B593" s="31">
        <f>EDATE(入力!$B$6,A593-1)</f>
        <v>64101</v>
      </c>
      <c r="C593" s="32">
        <f t="shared" si="149"/>
        <v>0</v>
      </c>
      <c r="D593" s="32">
        <f t="shared" si="150"/>
        <v>0</v>
      </c>
      <c r="E593" s="33">
        <f>IF(AND(T592="",A593&lt;=S592),IF(A593&lt;入力!$B$11,入力!$B$10,入力!$B$12),0)</f>
        <v>0</v>
      </c>
      <c r="F593" s="32">
        <f t="shared" si="151"/>
        <v>0</v>
      </c>
      <c r="G593" s="32">
        <f>ROUND(IF(NOT(AND(T592="",A593&lt;=S592)),0,IF(FALSE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),0)</f>
        <v>0</v>
      </c>
      <c r="H593" s="32">
        <f t="shared" si="152"/>
        <v>0</v>
      </c>
      <c r="I593" s="32">
        <f t="shared" si="153"/>
        <v>0</v>
      </c>
      <c r="J593" s="32">
        <f t="shared" si="154"/>
        <v>0</v>
      </c>
      <c r="K593" s="32">
        <f t="shared" si="155"/>
        <v>0</v>
      </c>
      <c r="L593" s="32">
        <f t="shared" si="156"/>
        <v>0</v>
      </c>
      <c r="M593" s="32">
        <f>IF(AND(AND(T592="",A593&lt;=S592),A593=入力!$B$15),ROUND(MIN(入力!$B$16,MAX(0,C593-L593)),0),0)</f>
        <v>0</v>
      </c>
      <c r="N593" s="32">
        <f t="shared" si="157"/>
        <v>0</v>
      </c>
      <c r="O593" s="32">
        <f t="shared" si="158"/>
        <v>10725103</v>
      </c>
      <c r="P593" s="34" t="str">
        <f>IF(NOT(AND(T592="",A593&lt;=S592)),"",IF(FALSE,"繰上返済後再計算","")&amp;IF(AND(入力!$B$13="有効",A593&gt;1,MOD(A593-1,60)=0),IF(FALSE,"・","")&amp;"5年見直し","")&amp;IF(AND(A593=入力!$B$11,A593&gt;1),IF(OR(FALSE,AND(入力!$B$13="有効",A593&gt;1,MOD(A593-1,60)=0)),"・","")&amp;"金利変更","")&amp;IF(AND(OR(AND(入力!$B$13="有効",A593&gt;1,MOD(A593-1,60)=0),AND(A593=入力!$B$11,A593&gt;1)),入力!$B$14="有効",IF(E593=0,ROUND(C593/MAX(1,S592-A593+1),0),ROUND(-PMT(E593/12,MAX(1,S592-A593+1),C593),0))&gt;ROUND(G592*1.25,0),NOT(FALSE)),"・上限適用",""))</f>
        <v/>
      </c>
      <c r="Q593" s="35" t="str">
        <f>IF(AND(T592="",A593&lt;=S592),入力!$B$13,"")</f>
        <v/>
      </c>
      <c r="R593" s="32" t="str">
        <f>IF(AND(AND(T592="",A593&lt;=S592),OR(AND(入力!$B$13="有効",A593&gt;1,MOD(A593-1,60)=0),AND(A593=入力!$B$11,A593&gt;1)),入力!$B$14="有効"),ROUND(G592*1.25,0),"")</f>
        <v/>
      </c>
      <c r="S593" s="36">
        <f>IF(A593&lt;&gt;入力!$B$15,S592,IF(K593&lt;&gt;0,S592,IF(G593&lt;=F593,S592,IF(M593&lt;=0,S592,IF(AND(N593&gt;0,E593&gt;0,G593&lt;=N593*E593/12),S592,IF(A593+IF(N593=0,0,IF(E593=0,ROUNDUP(N593/G593,0),ROUNDUP(NPER(E593/12,-G593,N593),0)))&lt;S592,A593+IF(N593=0,0,IF(E593=0,ROUNDUP(N593/G593,0),ROUNDUP(NPER(E593/12,-G593,N593),0))),S592))))))</f>
        <v>359</v>
      </c>
      <c r="T593" s="35" t="str">
        <f t="shared" si="159"/>
        <v/>
      </c>
      <c r="U593" s="3">
        <f t="shared" si="144"/>
        <v>0</v>
      </c>
      <c r="V593" s="3">
        <f t="shared" si="145"/>
        <v>0</v>
      </c>
      <c r="W593" s="3">
        <f t="shared" si="146"/>
        <v>0</v>
      </c>
      <c r="X593" s="3">
        <f t="shared" si="147"/>
        <v>0</v>
      </c>
      <c r="Y593" s="3">
        <f>0</f>
        <v>0</v>
      </c>
      <c r="Z593" s="3">
        <f t="shared" si="148"/>
        <v>0</v>
      </c>
      <c r="AA593">
        <f>ROUND(IF(FALSE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,0)</f>
        <v>0</v>
      </c>
    </row>
    <row r="594" spans="1:27">
      <c r="A594" s="30">
        <f>589</f>
        <v>589</v>
      </c>
      <c r="B594" s="31">
        <f>EDATE(入力!$B$6,A594-1)</f>
        <v>64132</v>
      </c>
      <c r="C594" s="32">
        <f t="shared" si="149"/>
        <v>0</v>
      </c>
      <c r="D594" s="32">
        <f t="shared" si="150"/>
        <v>0</v>
      </c>
      <c r="E594" s="33">
        <f>IF(AND(T593="",A594&lt;=S593),IF(A594&lt;入力!$B$11,入力!$B$10,入力!$B$12),0)</f>
        <v>0</v>
      </c>
      <c r="F594" s="32">
        <f t="shared" si="151"/>
        <v>0</v>
      </c>
      <c r="G594" s="32">
        <f>ROUND(IF(NOT(AND(T593="",A594&lt;=S593)),0,IF(FALSE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),0)</f>
        <v>0</v>
      </c>
      <c r="H594" s="32">
        <f t="shared" si="152"/>
        <v>0</v>
      </c>
      <c r="I594" s="32">
        <f t="shared" si="153"/>
        <v>0</v>
      </c>
      <c r="J594" s="32">
        <f t="shared" si="154"/>
        <v>0</v>
      </c>
      <c r="K594" s="32">
        <f t="shared" si="155"/>
        <v>0</v>
      </c>
      <c r="L594" s="32">
        <f t="shared" si="156"/>
        <v>0</v>
      </c>
      <c r="M594" s="32">
        <f>IF(AND(AND(T593="",A594&lt;=S593),A594=入力!$B$15),ROUND(MIN(入力!$B$16,MAX(0,C594-L594)),0),0)</f>
        <v>0</v>
      </c>
      <c r="N594" s="32">
        <f t="shared" si="157"/>
        <v>0</v>
      </c>
      <c r="O594" s="32">
        <f t="shared" si="158"/>
        <v>10725103</v>
      </c>
      <c r="P594" s="34" t="str">
        <f>IF(NOT(AND(T593="",A594&lt;=S593)),"",IF(FALSE,"繰上返済後再計算","")&amp;IF(AND(入力!$B$13="有効",A594&gt;1,MOD(A594-1,60)=0),IF(FALSE,"・","")&amp;"5年見直し","")&amp;IF(AND(A594=入力!$B$11,A594&gt;1),IF(OR(FALSE,AND(入力!$B$13="有効",A594&gt;1,MOD(A594-1,60)=0)),"・","")&amp;"金利変更","")&amp;IF(AND(OR(AND(入力!$B$13="有効",A594&gt;1,MOD(A594-1,60)=0),AND(A594=入力!$B$11,A594&gt;1)),入力!$B$14="有効",IF(E594=0,ROUND(C594/MAX(1,S593-A594+1),0),ROUND(-PMT(E594/12,MAX(1,S593-A594+1),C594),0))&gt;ROUND(G593*1.25,0),NOT(FALSE)),"・上限適用",""))</f>
        <v/>
      </c>
      <c r="Q594" s="35" t="str">
        <f>IF(AND(T593="",A594&lt;=S593),入力!$B$13,"")</f>
        <v/>
      </c>
      <c r="R594" s="32" t="str">
        <f>IF(AND(AND(T593="",A594&lt;=S593),OR(AND(入力!$B$13="有効",A594&gt;1,MOD(A594-1,60)=0),AND(A594=入力!$B$11,A594&gt;1)),入力!$B$14="有効"),ROUND(G593*1.25,0),"")</f>
        <v/>
      </c>
      <c r="S594" s="36">
        <f>IF(A594&lt;&gt;入力!$B$15,S593,IF(K594&lt;&gt;0,S593,IF(G594&lt;=F594,S593,IF(M594&lt;=0,S593,IF(AND(N594&gt;0,E594&gt;0,G594&lt;=N594*E594/12),S593,IF(A594+IF(N594=0,0,IF(E594=0,ROUNDUP(N594/G594,0),ROUNDUP(NPER(E594/12,-G594,N594),0)))&lt;S593,A594+IF(N594=0,0,IF(E594=0,ROUNDUP(N594/G594,0),ROUNDUP(NPER(E594/12,-G594,N594),0))),S593))))))</f>
        <v>359</v>
      </c>
      <c r="T594" s="35" t="str">
        <f t="shared" si="159"/>
        <v/>
      </c>
      <c r="U594" s="3">
        <f t="shared" si="144"/>
        <v>0</v>
      </c>
      <c r="V594" s="3">
        <f t="shared" si="145"/>
        <v>0</v>
      </c>
      <c r="W594" s="3">
        <f t="shared" si="146"/>
        <v>0</v>
      </c>
      <c r="X594" s="3">
        <f t="shared" si="147"/>
        <v>0</v>
      </c>
      <c r="Y594" s="3">
        <f>0</f>
        <v>0</v>
      </c>
      <c r="Z594" s="3">
        <f t="shared" si="148"/>
        <v>0</v>
      </c>
      <c r="AA594">
        <f>ROUND(IF(FALSE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,0)</f>
        <v>0</v>
      </c>
    </row>
    <row r="595" spans="1:27">
      <c r="A595" s="30">
        <f>590</f>
        <v>590</v>
      </c>
      <c r="B595" s="31">
        <f>EDATE(入力!$B$6,A595-1)</f>
        <v>64163</v>
      </c>
      <c r="C595" s="32">
        <f t="shared" si="149"/>
        <v>0</v>
      </c>
      <c r="D595" s="32">
        <f t="shared" si="150"/>
        <v>0</v>
      </c>
      <c r="E595" s="33">
        <f>IF(AND(T594="",A595&lt;=S594),IF(A595&lt;入力!$B$11,入力!$B$10,入力!$B$12),0)</f>
        <v>0</v>
      </c>
      <c r="F595" s="32">
        <f t="shared" si="151"/>
        <v>0</v>
      </c>
      <c r="G595" s="32">
        <f>ROUND(IF(NOT(AND(T594="",A595&lt;=S594)),0,IF(FALSE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),0)</f>
        <v>0</v>
      </c>
      <c r="H595" s="32">
        <f t="shared" si="152"/>
        <v>0</v>
      </c>
      <c r="I595" s="32">
        <f t="shared" si="153"/>
        <v>0</v>
      </c>
      <c r="J595" s="32">
        <f t="shared" si="154"/>
        <v>0</v>
      </c>
      <c r="K595" s="32">
        <f t="shared" si="155"/>
        <v>0</v>
      </c>
      <c r="L595" s="32">
        <f t="shared" si="156"/>
        <v>0</v>
      </c>
      <c r="M595" s="32">
        <f>IF(AND(AND(T594="",A595&lt;=S594),A595=入力!$B$15),ROUND(MIN(入力!$B$16,MAX(0,C595-L595)),0),0)</f>
        <v>0</v>
      </c>
      <c r="N595" s="32">
        <f t="shared" si="157"/>
        <v>0</v>
      </c>
      <c r="O595" s="32">
        <f t="shared" si="158"/>
        <v>10725103</v>
      </c>
      <c r="P595" s="34" t="str">
        <f>IF(NOT(AND(T594="",A595&lt;=S594)),"",IF(FALSE,"繰上返済後再計算","")&amp;IF(AND(入力!$B$13="有効",A595&gt;1,MOD(A595-1,60)=0),IF(FALSE,"・","")&amp;"5年見直し","")&amp;IF(AND(A595=入力!$B$11,A595&gt;1),IF(OR(FALSE,AND(入力!$B$13="有効",A595&gt;1,MOD(A595-1,60)=0)),"・","")&amp;"金利変更","")&amp;IF(AND(OR(AND(入力!$B$13="有効",A595&gt;1,MOD(A595-1,60)=0),AND(A595=入力!$B$11,A595&gt;1)),入力!$B$14="有効",IF(E595=0,ROUND(C595/MAX(1,S594-A595+1),0),ROUND(-PMT(E595/12,MAX(1,S594-A595+1),C595),0))&gt;ROUND(G594*1.25,0),NOT(FALSE)),"・上限適用",""))</f>
        <v/>
      </c>
      <c r="Q595" s="35" t="str">
        <f>IF(AND(T594="",A595&lt;=S594),入力!$B$13,"")</f>
        <v/>
      </c>
      <c r="R595" s="32" t="str">
        <f>IF(AND(AND(T594="",A595&lt;=S594),OR(AND(入力!$B$13="有効",A595&gt;1,MOD(A595-1,60)=0),AND(A595=入力!$B$11,A595&gt;1)),入力!$B$14="有効"),ROUND(G594*1.25,0),"")</f>
        <v/>
      </c>
      <c r="S595" s="36">
        <f>IF(A595&lt;&gt;入力!$B$15,S594,IF(K595&lt;&gt;0,S594,IF(G595&lt;=F595,S594,IF(M595&lt;=0,S594,IF(AND(N595&gt;0,E595&gt;0,G595&lt;=N595*E595/12),S594,IF(A595+IF(N595=0,0,IF(E595=0,ROUNDUP(N595/G595,0),ROUNDUP(NPER(E595/12,-G595,N595),0)))&lt;S594,A595+IF(N595=0,0,IF(E595=0,ROUNDUP(N595/G595,0),ROUNDUP(NPER(E595/12,-G595,N595),0))),S594))))))</f>
        <v>359</v>
      </c>
      <c r="T595" s="35" t="str">
        <f t="shared" si="159"/>
        <v/>
      </c>
      <c r="U595" s="3">
        <f t="shared" si="144"/>
        <v>0</v>
      </c>
      <c r="V595" s="3">
        <f t="shared" si="145"/>
        <v>0</v>
      </c>
      <c r="W595" s="3">
        <f t="shared" si="146"/>
        <v>0</v>
      </c>
      <c r="X595" s="3">
        <f t="shared" si="147"/>
        <v>0</v>
      </c>
      <c r="Y595" s="3">
        <f>0</f>
        <v>0</v>
      </c>
      <c r="Z595" s="3">
        <f t="shared" si="148"/>
        <v>0</v>
      </c>
      <c r="AA595">
        <f>ROUND(IF(FALSE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,0)</f>
        <v>0</v>
      </c>
    </row>
    <row r="596" spans="1:27">
      <c r="A596" s="30">
        <f>591</f>
        <v>591</v>
      </c>
      <c r="B596" s="31">
        <f>EDATE(入力!$B$6,A596-1)</f>
        <v>64193</v>
      </c>
      <c r="C596" s="32">
        <f t="shared" si="149"/>
        <v>0</v>
      </c>
      <c r="D596" s="32">
        <f t="shared" si="150"/>
        <v>0</v>
      </c>
      <c r="E596" s="33">
        <f>IF(AND(T595="",A596&lt;=S595),IF(A596&lt;入力!$B$11,入力!$B$10,入力!$B$12),0)</f>
        <v>0</v>
      </c>
      <c r="F596" s="32">
        <f t="shared" si="151"/>
        <v>0</v>
      </c>
      <c r="G596" s="32">
        <f>ROUND(IF(NOT(AND(T595="",A596&lt;=S595)),0,IF(FALSE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),0)</f>
        <v>0</v>
      </c>
      <c r="H596" s="32">
        <f t="shared" si="152"/>
        <v>0</v>
      </c>
      <c r="I596" s="32">
        <f t="shared" si="153"/>
        <v>0</v>
      </c>
      <c r="J596" s="32">
        <f t="shared" si="154"/>
        <v>0</v>
      </c>
      <c r="K596" s="32">
        <f t="shared" si="155"/>
        <v>0</v>
      </c>
      <c r="L596" s="32">
        <f t="shared" si="156"/>
        <v>0</v>
      </c>
      <c r="M596" s="32">
        <f>IF(AND(AND(T595="",A596&lt;=S595),A596=入力!$B$15),ROUND(MIN(入力!$B$16,MAX(0,C596-L596)),0),0)</f>
        <v>0</v>
      </c>
      <c r="N596" s="32">
        <f t="shared" si="157"/>
        <v>0</v>
      </c>
      <c r="O596" s="32">
        <f t="shared" si="158"/>
        <v>10725103</v>
      </c>
      <c r="P596" s="34" t="str">
        <f>IF(NOT(AND(T595="",A596&lt;=S595)),"",IF(FALSE,"繰上返済後再計算","")&amp;IF(AND(入力!$B$13="有効",A596&gt;1,MOD(A596-1,60)=0),IF(FALSE,"・","")&amp;"5年見直し","")&amp;IF(AND(A596=入力!$B$11,A596&gt;1),IF(OR(FALSE,AND(入力!$B$13="有効",A596&gt;1,MOD(A596-1,60)=0)),"・","")&amp;"金利変更","")&amp;IF(AND(OR(AND(入力!$B$13="有効",A596&gt;1,MOD(A596-1,60)=0),AND(A596=入力!$B$11,A596&gt;1)),入力!$B$14="有効",IF(E596=0,ROUND(C596/MAX(1,S595-A596+1),0),ROUND(-PMT(E596/12,MAX(1,S595-A596+1),C596),0))&gt;ROUND(G595*1.25,0),NOT(FALSE)),"・上限適用",""))</f>
        <v/>
      </c>
      <c r="Q596" s="35" t="str">
        <f>IF(AND(T595="",A596&lt;=S595),入力!$B$13,"")</f>
        <v/>
      </c>
      <c r="R596" s="32" t="str">
        <f>IF(AND(AND(T595="",A596&lt;=S595),OR(AND(入力!$B$13="有効",A596&gt;1,MOD(A596-1,60)=0),AND(A596=入力!$B$11,A596&gt;1)),入力!$B$14="有効"),ROUND(G595*1.25,0),"")</f>
        <v/>
      </c>
      <c r="S596" s="36">
        <f>IF(A596&lt;&gt;入力!$B$15,S595,IF(K596&lt;&gt;0,S595,IF(G596&lt;=F596,S595,IF(M596&lt;=0,S595,IF(AND(N596&gt;0,E596&gt;0,G596&lt;=N596*E596/12),S595,IF(A596+IF(N596=0,0,IF(E596=0,ROUNDUP(N596/G596,0),ROUNDUP(NPER(E596/12,-G596,N596),0)))&lt;S595,A596+IF(N596=0,0,IF(E596=0,ROUNDUP(N596/G596,0),ROUNDUP(NPER(E596/12,-G596,N596),0))),S595))))))</f>
        <v>359</v>
      </c>
      <c r="T596" s="35" t="str">
        <f t="shared" si="159"/>
        <v/>
      </c>
      <c r="U596" s="3">
        <f t="shared" si="144"/>
        <v>0</v>
      </c>
      <c r="V596" s="3">
        <f t="shared" si="145"/>
        <v>0</v>
      </c>
      <c r="W596" s="3">
        <f t="shared" si="146"/>
        <v>0</v>
      </c>
      <c r="X596" s="3">
        <f t="shared" si="147"/>
        <v>0</v>
      </c>
      <c r="Y596" s="3">
        <f>0</f>
        <v>0</v>
      </c>
      <c r="Z596" s="3">
        <f t="shared" si="148"/>
        <v>0</v>
      </c>
      <c r="AA596">
        <f>ROUND(IF(FALSE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,0)</f>
        <v>0</v>
      </c>
    </row>
    <row r="597" spans="1:27">
      <c r="A597" s="30">
        <f>592</f>
        <v>592</v>
      </c>
      <c r="B597" s="31">
        <f>EDATE(入力!$B$6,A597-1)</f>
        <v>64224</v>
      </c>
      <c r="C597" s="32">
        <f t="shared" si="149"/>
        <v>0</v>
      </c>
      <c r="D597" s="32">
        <f t="shared" si="150"/>
        <v>0</v>
      </c>
      <c r="E597" s="33">
        <f>IF(AND(T596="",A597&lt;=S596),IF(A597&lt;入力!$B$11,入力!$B$10,入力!$B$12),0)</f>
        <v>0</v>
      </c>
      <c r="F597" s="32">
        <f t="shared" si="151"/>
        <v>0</v>
      </c>
      <c r="G597" s="32">
        <f>ROUND(IF(NOT(AND(T596="",A597&lt;=S596)),0,IF(FALSE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),0)</f>
        <v>0</v>
      </c>
      <c r="H597" s="32">
        <f t="shared" si="152"/>
        <v>0</v>
      </c>
      <c r="I597" s="32">
        <f t="shared" si="153"/>
        <v>0</v>
      </c>
      <c r="J597" s="32">
        <f t="shared" si="154"/>
        <v>0</v>
      </c>
      <c r="K597" s="32">
        <f t="shared" si="155"/>
        <v>0</v>
      </c>
      <c r="L597" s="32">
        <f t="shared" si="156"/>
        <v>0</v>
      </c>
      <c r="M597" s="32">
        <f>IF(AND(AND(T596="",A597&lt;=S596),A597=入力!$B$15),ROUND(MIN(入力!$B$16,MAX(0,C597-L597)),0),0)</f>
        <v>0</v>
      </c>
      <c r="N597" s="32">
        <f t="shared" si="157"/>
        <v>0</v>
      </c>
      <c r="O597" s="32">
        <f t="shared" si="158"/>
        <v>10725103</v>
      </c>
      <c r="P597" s="34" t="str">
        <f>IF(NOT(AND(T596="",A597&lt;=S596)),"",IF(FALSE,"繰上返済後再計算","")&amp;IF(AND(入力!$B$13="有効",A597&gt;1,MOD(A597-1,60)=0),IF(FALSE,"・","")&amp;"5年見直し","")&amp;IF(AND(A597=入力!$B$11,A597&gt;1),IF(OR(FALSE,AND(入力!$B$13="有効",A597&gt;1,MOD(A597-1,60)=0)),"・","")&amp;"金利変更","")&amp;IF(AND(OR(AND(入力!$B$13="有効",A597&gt;1,MOD(A597-1,60)=0),AND(A597=入力!$B$11,A597&gt;1)),入力!$B$14="有効",IF(E597=0,ROUND(C597/MAX(1,S596-A597+1),0),ROUND(-PMT(E597/12,MAX(1,S596-A597+1),C597),0))&gt;ROUND(G596*1.25,0),NOT(FALSE)),"・上限適用",""))</f>
        <v/>
      </c>
      <c r="Q597" s="35" t="str">
        <f>IF(AND(T596="",A597&lt;=S596),入力!$B$13,"")</f>
        <v/>
      </c>
      <c r="R597" s="32" t="str">
        <f>IF(AND(AND(T596="",A597&lt;=S596),OR(AND(入力!$B$13="有効",A597&gt;1,MOD(A597-1,60)=0),AND(A597=入力!$B$11,A597&gt;1)),入力!$B$14="有効"),ROUND(G596*1.25,0),"")</f>
        <v/>
      </c>
      <c r="S597" s="36">
        <f>IF(A597&lt;&gt;入力!$B$15,S596,IF(K597&lt;&gt;0,S596,IF(G597&lt;=F597,S596,IF(M597&lt;=0,S596,IF(AND(N597&gt;0,E597&gt;0,G597&lt;=N597*E597/12),S596,IF(A597+IF(N597=0,0,IF(E597=0,ROUNDUP(N597/G597,0),ROUNDUP(NPER(E597/12,-G597,N597),0)))&lt;S596,A597+IF(N597=0,0,IF(E597=0,ROUNDUP(N597/G597,0),ROUNDUP(NPER(E597/12,-G597,N597),0))),S596))))))</f>
        <v>359</v>
      </c>
      <c r="T597" s="35" t="str">
        <f t="shared" si="159"/>
        <v/>
      </c>
      <c r="U597" s="3">
        <f t="shared" si="144"/>
        <v>0</v>
      </c>
      <c r="V597" s="3">
        <f t="shared" si="145"/>
        <v>0</v>
      </c>
      <c r="W597" s="3">
        <f t="shared" si="146"/>
        <v>0</v>
      </c>
      <c r="X597" s="3">
        <f t="shared" si="147"/>
        <v>0</v>
      </c>
      <c r="Y597" s="3">
        <f>0</f>
        <v>0</v>
      </c>
      <c r="Z597" s="3">
        <f t="shared" si="148"/>
        <v>0</v>
      </c>
      <c r="AA597">
        <f>ROUND(IF(FALSE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,0)</f>
        <v>0</v>
      </c>
    </row>
    <row r="598" spans="1:27">
      <c r="A598" s="30">
        <f>593</f>
        <v>593</v>
      </c>
      <c r="B598" s="31">
        <f>EDATE(入力!$B$6,A598-1)</f>
        <v>64254</v>
      </c>
      <c r="C598" s="32">
        <f t="shared" si="149"/>
        <v>0</v>
      </c>
      <c r="D598" s="32">
        <f t="shared" si="150"/>
        <v>0</v>
      </c>
      <c r="E598" s="33">
        <f>IF(AND(T597="",A598&lt;=S597),IF(A598&lt;入力!$B$11,入力!$B$10,入力!$B$12),0)</f>
        <v>0</v>
      </c>
      <c r="F598" s="32">
        <f t="shared" si="151"/>
        <v>0</v>
      </c>
      <c r="G598" s="32">
        <f>ROUND(IF(NOT(AND(T597="",A598&lt;=S597)),0,IF(FALSE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),0)</f>
        <v>0</v>
      </c>
      <c r="H598" s="32">
        <f t="shared" si="152"/>
        <v>0</v>
      </c>
      <c r="I598" s="32">
        <f t="shared" si="153"/>
        <v>0</v>
      </c>
      <c r="J598" s="32">
        <f t="shared" si="154"/>
        <v>0</v>
      </c>
      <c r="K598" s="32">
        <f t="shared" si="155"/>
        <v>0</v>
      </c>
      <c r="L598" s="32">
        <f t="shared" si="156"/>
        <v>0</v>
      </c>
      <c r="M598" s="32">
        <f>IF(AND(AND(T597="",A598&lt;=S597),A598=入力!$B$15),ROUND(MIN(入力!$B$16,MAX(0,C598-L598)),0),0)</f>
        <v>0</v>
      </c>
      <c r="N598" s="32">
        <f t="shared" si="157"/>
        <v>0</v>
      </c>
      <c r="O598" s="32">
        <f t="shared" si="158"/>
        <v>10725103</v>
      </c>
      <c r="P598" s="34" t="str">
        <f>IF(NOT(AND(T597="",A598&lt;=S597)),"",IF(FALSE,"繰上返済後再計算","")&amp;IF(AND(入力!$B$13="有効",A598&gt;1,MOD(A598-1,60)=0),IF(FALSE,"・","")&amp;"5年見直し","")&amp;IF(AND(A598=入力!$B$11,A598&gt;1),IF(OR(FALSE,AND(入力!$B$13="有効",A598&gt;1,MOD(A598-1,60)=0)),"・","")&amp;"金利変更","")&amp;IF(AND(OR(AND(入力!$B$13="有効",A598&gt;1,MOD(A598-1,60)=0),AND(A598=入力!$B$11,A598&gt;1)),入力!$B$14="有効",IF(E598=0,ROUND(C598/MAX(1,S597-A598+1),0),ROUND(-PMT(E598/12,MAX(1,S597-A598+1),C598),0))&gt;ROUND(G597*1.25,0),NOT(FALSE)),"・上限適用",""))</f>
        <v/>
      </c>
      <c r="Q598" s="35" t="str">
        <f>IF(AND(T597="",A598&lt;=S597),入力!$B$13,"")</f>
        <v/>
      </c>
      <c r="R598" s="32" t="str">
        <f>IF(AND(AND(T597="",A598&lt;=S597),OR(AND(入力!$B$13="有効",A598&gt;1,MOD(A598-1,60)=0),AND(A598=入力!$B$11,A598&gt;1)),入力!$B$14="有効"),ROUND(G597*1.25,0),"")</f>
        <v/>
      </c>
      <c r="S598" s="36">
        <f>IF(A598&lt;&gt;入力!$B$15,S597,IF(K598&lt;&gt;0,S597,IF(G598&lt;=F598,S597,IF(M598&lt;=0,S597,IF(AND(N598&gt;0,E598&gt;0,G598&lt;=N598*E598/12),S597,IF(A598+IF(N598=0,0,IF(E598=0,ROUNDUP(N598/G598,0),ROUNDUP(NPER(E598/12,-G598,N598),0)))&lt;S597,A598+IF(N598=0,0,IF(E598=0,ROUNDUP(N598/G598,0),ROUNDUP(NPER(E598/12,-G598,N598),0))),S597))))))</f>
        <v>359</v>
      </c>
      <c r="T598" s="35" t="str">
        <f t="shared" si="159"/>
        <v/>
      </c>
      <c r="U598" s="3">
        <f t="shared" si="144"/>
        <v>0</v>
      </c>
      <c r="V598" s="3">
        <f t="shared" si="145"/>
        <v>0</v>
      </c>
      <c r="W598" s="3">
        <f t="shared" si="146"/>
        <v>0</v>
      </c>
      <c r="X598" s="3">
        <f t="shared" si="147"/>
        <v>0</v>
      </c>
      <c r="Y598" s="3">
        <f>0</f>
        <v>0</v>
      </c>
      <c r="Z598" s="3">
        <f t="shared" si="148"/>
        <v>0</v>
      </c>
      <c r="AA598">
        <f>ROUND(IF(FALSE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,0)</f>
        <v>0</v>
      </c>
    </row>
    <row r="599" spans="1:27">
      <c r="A599" s="30">
        <f>594</f>
        <v>594</v>
      </c>
      <c r="B599" s="31">
        <f>EDATE(入力!$B$6,A599-1)</f>
        <v>64285</v>
      </c>
      <c r="C599" s="32">
        <f t="shared" si="149"/>
        <v>0</v>
      </c>
      <c r="D599" s="32">
        <f t="shared" si="150"/>
        <v>0</v>
      </c>
      <c r="E599" s="33">
        <f>IF(AND(T598="",A599&lt;=S598),IF(A599&lt;入力!$B$11,入力!$B$10,入力!$B$12),0)</f>
        <v>0</v>
      </c>
      <c r="F599" s="32">
        <f t="shared" si="151"/>
        <v>0</v>
      </c>
      <c r="G599" s="32">
        <f>ROUND(IF(NOT(AND(T598="",A599&lt;=S598)),0,IF(FALSE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),0)</f>
        <v>0</v>
      </c>
      <c r="H599" s="32">
        <f t="shared" si="152"/>
        <v>0</v>
      </c>
      <c r="I599" s="32">
        <f t="shared" si="153"/>
        <v>0</v>
      </c>
      <c r="J599" s="32">
        <f t="shared" si="154"/>
        <v>0</v>
      </c>
      <c r="K599" s="32">
        <f t="shared" si="155"/>
        <v>0</v>
      </c>
      <c r="L599" s="32">
        <f t="shared" si="156"/>
        <v>0</v>
      </c>
      <c r="M599" s="32">
        <f>IF(AND(AND(T598="",A599&lt;=S598),A599=入力!$B$15),ROUND(MIN(入力!$B$16,MAX(0,C599-L599)),0),0)</f>
        <v>0</v>
      </c>
      <c r="N599" s="32">
        <f t="shared" si="157"/>
        <v>0</v>
      </c>
      <c r="O599" s="32">
        <f t="shared" si="158"/>
        <v>10725103</v>
      </c>
      <c r="P599" s="34" t="str">
        <f>IF(NOT(AND(T598="",A599&lt;=S598)),"",IF(FALSE,"繰上返済後再計算","")&amp;IF(AND(入力!$B$13="有効",A599&gt;1,MOD(A599-1,60)=0),IF(FALSE,"・","")&amp;"5年見直し","")&amp;IF(AND(A599=入力!$B$11,A599&gt;1),IF(OR(FALSE,AND(入力!$B$13="有効",A599&gt;1,MOD(A599-1,60)=0)),"・","")&amp;"金利変更","")&amp;IF(AND(OR(AND(入力!$B$13="有効",A599&gt;1,MOD(A599-1,60)=0),AND(A599=入力!$B$11,A599&gt;1)),入力!$B$14="有効",IF(E599=0,ROUND(C599/MAX(1,S598-A599+1),0),ROUND(-PMT(E599/12,MAX(1,S598-A599+1),C599),0))&gt;ROUND(G598*1.25,0),NOT(FALSE)),"・上限適用",""))</f>
        <v/>
      </c>
      <c r="Q599" s="35" t="str">
        <f>IF(AND(T598="",A599&lt;=S598),入力!$B$13,"")</f>
        <v/>
      </c>
      <c r="R599" s="32" t="str">
        <f>IF(AND(AND(T598="",A599&lt;=S598),OR(AND(入力!$B$13="有効",A599&gt;1,MOD(A599-1,60)=0),AND(A599=入力!$B$11,A599&gt;1)),入力!$B$14="有効"),ROUND(G598*1.25,0),"")</f>
        <v/>
      </c>
      <c r="S599" s="36">
        <f>IF(A599&lt;&gt;入力!$B$15,S598,IF(K599&lt;&gt;0,S598,IF(G599&lt;=F599,S598,IF(M599&lt;=0,S598,IF(AND(N599&gt;0,E599&gt;0,G599&lt;=N599*E599/12),S598,IF(A599+IF(N599=0,0,IF(E599=0,ROUNDUP(N599/G599,0),ROUNDUP(NPER(E599/12,-G599,N599),0)))&lt;S598,A599+IF(N599=0,0,IF(E599=0,ROUNDUP(N599/G599,0),ROUNDUP(NPER(E599/12,-G599,N599),0))),S598))))))</f>
        <v>359</v>
      </c>
      <c r="T599" s="35" t="str">
        <f t="shared" si="159"/>
        <v/>
      </c>
      <c r="U599" s="3">
        <f t="shared" si="144"/>
        <v>0</v>
      </c>
      <c r="V599" s="3">
        <f t="shared" si="145"/>
        <v>0</v>
      </c>
      <c r="W599" s="3">
        <f t="shared" si="146"/>
        <v>0</v>
      </c>
      <c r="X599" s="3">
        <f t="shared" si="147"/>
        <v>0</v>
      </c>
      <c r="Y599" s="3">
        <f>0</f>
        <v>0</v>
      </c>
      <c r="Z599" s="3">
        <f t="shared" si="148"/>
        <v>0</v>
      </c>
      <c r="AA599">
        <f>ROUND(IF(FALSE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,0)</f>
        <v>0</v>
      </c>
    </row>
    <row r="600" spans="1:27">
      <c r="A600" s="30">
        <f>595</f>
        <v>595</v>
      </c>
      <c r="B600" s="31">
        <f>EDATE(入力!$B$6,A600-1)</f>
        <v>64316</v>
      </c>
      <c r="C600" s="32">
        <f t="shared" si="149"/>
        <v>0</v>
      </c>
      <c r="D600" s="32">
        <f t="shared" si="150"/>
        <v>0</v>
      </c>
      <c r="E600" s="33">
        <f>IF(AND(T599="",A600&lt;=S599),IF(A600&lt;入力!$B$11,入力!$B$10,入力!$B$12),0)</f>
        <v>0</v>
      </c>
      <c r="F600" s="32">
        <f t="shared" si="151"/>
        <v>0</v>
      </c>
      <c r="G600" s="32">
        <f>ROUND(IF(NOT(AND(T599="",A600&lt;=S599)),0,IF(FALSE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),0)</f>
        <v>0</v>
      </c>
      <c r="H600" s="32">
        <f t="shared" si="152"/>
        <v>0</v>
      </c>
      <c r="I600" s="32">
        <f t="shared" si="153"/>
        <v>0</v>
      </c>
      <c r="J600" s="32">
        <f t="shared" si="154"/>
        <v>0</v>
      </c>
      <c r="K600" s="32">
        <f t="shared" si="155"/>
        <v>0</v>
      </c>
      <c r="L600" s="32">
        <f t="shared" si="156"/>
        <v>0</v>
      </c>
      <c r="M600" s="32">
        <f>IF(AND(AND(T599="",A600&lt;=S599),A600=入力!$B$15),ROUND(MIN(入力!$B$16,MAX(0,C600-L600)),0),0)</f>
        <v>0</v>
      </c>
      <c r="N600" s="32">
        <f t="shared" si="157"/>
        <v>0</v>
      </c>
      <c r="O600" s="32">
        <f t="shared" si="158"/>
        <v>10725103</v>
      </c>
      <c r="P600" s="34" t="str">
        <f>IF(NOT(AND(T599="",A600&lt;=S599)),"",IF(FALSE,"繰上返済後再計算","")&amp;IF(AND(入力!$B$13="有効",A600&gt;1,MOD(A600-1,60)=0),IF(FALSE,"・","")&amp;"5年見直し","")&amp;IF(AND(A600=入力!$B$11,A600&gt;1),IF(OR(FALSE,AND(入力!$B$13="有効",A600&gt;1,MOD(A600-1,60)=0)),"・","")&amp;"金利変更","")&amp;IF(AND(OR(AND(入力!$B$13="有効",A600&gt;1,MOD(A600-1,60)=0),AND(A600=入力!$B$11,A600&gt;1)),入力!$B$14="有効",IF(E600=0,ROUND(C600/MAX(1,S599-A600+1),0),ROUND(-PMT(E600/12,MAX(1,S599-A600+1),C600),0))&gt;ROUND(G599*1.25,0),NOT(FALSE)),"・上限適用",""))</f>
        <v/>
      </c>
      <c r="Q600" s="35" t="str">
        <f>IF(AND(T599="",A600&lt;=S599),入力!$B$13,"")</f>
        <v/>
      </c>
      <c r="R600" s="32" t="str">
        <f>IF(AND(AND(T599="",A600&lt;=S599),OR(AND(入力!$B$13="有効",A600&gt;1,MOD(A600-1,60)=0),AND(A600=入力!$B$11,A600&gt;1)),入力!$B$14="有効"),ROUND(G599*1.25,0),"")</f>
        <v/>
      </c>
      <c r="S600" s="36">
        <f>IF(A600&lt;&gt;入力!$B$15,S599,IF(K600&lt;&gt;0,S599,IF(G600&lt;=F600,S599,IF(M600&lt;=0,S599,IF(AND(N600&gt;0,E600&gt;0,G600&lt;=N600*E600/12),S599,IF(A600+IF(N600=0,0,IF(E600=0,ROUNDUP(N600/G600,0),ROUNDUP(NPER(E600/12,-G600,N600),0)))&lt;S599,A600+IF(N600=0,0,IF(E600=0,ROUNDUP(N600/G600,0),ROUNDUP(NPER(E600/12,-G600,N600),0))),S599))))))</f>
        <v>359</v>
      </c>
      <c r="T600" s="35" t="str">
        <f t="shared" si="159"/>
        <v/>
      </c>
      <c r="U600" s="3">
        <f t="shared" si="144"/>
        <v>0</v>
      </c>
      <c r="V600" s="3">
        <f t="shared" si="145"/>
        <v>0</v>
      </c>
      <c r="W600" s="3">
        <f t="shared" si="146"/>
        <v>0</v>
      </c>
      <c r="X600" s="3">
        <f t="shared" si="147"/>
        <v>0</v>
      </c>
      <c r="Y600" s="3">
        <f>0</f>
        <v>0</v>
      </c>
      <c r="Z600" s="3">
        <f t="shared" si="148"/>
        <v>0</v>
      </c>
      <c r="AA600">
        <f>ROUND(IF(FALSE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,0)</f>
        <v>0</v>
      </c>
    </row>
    <row r="601" spans="1:27">
      <c r="A601" s="30">
        <f>596</f>
        <v>596</v>
      </c>
      <c r="B601" s="31">
        <f>EDATE(入力!$B$6,A601-1)</f>
        <v>64345</v>
      </c>
      <c r="C601" s="32">
        <f t="shared" si="149"/>
        <v>0</v>
      </c>
      <c r="D601" s="32">
        <f t="shared" si="150"/>
        <v>0</v>
      </c>
      <c r="E601" s="33">
        <f>IF(AND(T600="",A601&lt;=S600),IF(A601&lt;入力!$B$11,入力!$B$10,入力!$B$12),0)</f>
        <v>0</v>
      </c>
      <c r="F601" s="32">
        <f t="shared" si="151"/>
        <v>0</v>
      </c>
      <c r="G601" s="32">
        <f>ROUND(IF(NOT(AND(T600="",A601&lt;=S600)),0,IF(FALSE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),0)</f>
        <v>0</v>
      </c>
      <c r="H601" s="32">
        <f t="shared" si="152"/>
        <v>0</v>
      </c>
      <c r="I601" s="32">
        <f t="shared" si="153"/>
        <v>0</v>
      </c>
      <c r="J601" s="32">
        <f t="shared" si="154"/>
        <v>0</v>
      </c>
      <c r="K601" s="32">
        <f t="shared" si="155"/>
        <v>0</v>
      </c>
      <c r="L601" s="32">
        <f t="shared" si="156"/>
        <v>0</v>
      </c>
      <c r="M601" s="32">
        <f>IF(AND(AND(T600="",A601&lt;=S600),A601=入力!$B$15),ROUND(MIN(入力!$B$16,MAX(0,C601-L601)),0),0)</f>
        <v>0</v>
      </c>
      <c r="N601" s="32">
        <f t="shared" si="157"/>
        <v>0</v>
      </c>
      <c r="O601" s="32">
        <f t="shared" si="158"/>
        <v>10725103</v>
      </c>
      <c r="P601" s="34" t="str">
        <f>IF(NOT(AND(T600="",A601&lt;=S600)),"",IF(FALSE,"繰上返済後再計算","")&amp;IF(AND(入力!$B$13="有効",A601&gt;1,MOD(A601-1,60)=0),IF(FALSE,"・","")&amp;"5年見直し","")&amp;IF(AND(A601=入力!$B$11,A601&gt;1),IF(OR(FALSE,AND(入力!$B$13="有効",A601&gt;1,MOD(A601-1,60)=0)),"・","")&amp;"金利変更","")&amp;IF(AND(OR(AND(入力!$B$13="有効",A601&gt;1,MOD(A601-1,60)=0),AND(A601=入力!$B$11,A601&gt;1)),入力!$B$14="有効",IF(E601=0,ROUND(C601/MAX(1,S600-A601+1),0),ROUND(-PMT(E601/12,MAX(1,S600-A601+1),C601),0))&gt;ROUND(G600*1.25,0),NOT(FALSE)),"・上限適用",""))</f>
        <v/>
      </c>
      <c r="Q601" s="35" t="str">
        <f>IF(AND(T600="",A601&lt;=S600),入力!$B$13,"")</f>
        <v/>
      </c>
      <c r="R601" s="32" t="str">
        <f>IF(AND(AND(T600="",A601&lt;=S600),OR(AND(入力!$B$13="有効",A601&gt;1,MOD(A601-1,60)=0),AND(A601=入力!$B$11,A601&gt;1)),入力!$B$14="有効"),ROUND(G600*1.25,0),"")</f>
        <v/>
      </c>
      <c r="S601" s="36">
        <f>IF(A601&lt;&gt;入力!$B$15,S600,IF(K601&lt;&gt;0,S600,IF(G601&lt;=F601,S600,IF(M601&lt;=0,S600,IF(AND(N601&gt;0,E601&gt;0,G601&lt;=N601*E601/12),S600,IF(A601+IF(N601=0,0,IF(E601=0,ROUNDUP(N601/G601,0),ROUNDUP(NPER(E601/12,-G601,N601),0)))&lt;S600,A601+IF(N601=0,0,IF(E601=0,ROUNDUP(N601/G601,0),ROUNDUP(NPER(E601/12,-G601,N601),0))),S600))))))</f>
        <v>359</v>
      </c>
      <c r="T601" s="35" t="str">
        <f t="shared" si="159"/>
        <v/>
      </c>
      <c r="U601" s="3">
        <f t="shared" si="144"/>
        <v>0</v>
      </c>
      <c r="V601" s="3">
        <f t="shared" si="145"/>
        <v>0</v>
      </c>
      <c r="W601" s="3">
        <f t="shared" si="146"/>
        <v>0</v>
      </c>
      <c r="X601" s="3">
        <f t="shared" si="147"/>
        <v>0</v>
      </c>
      <c r="Y601" s="3">
        <f>0</f>
        <v>0</v>
      </c>
      <c r="Z601" s="3">
        <f t="shared" si="148"/>
        <v>0</v>
      </c>
      <c r="AA601">
        <f>ROUND(IF(FALSE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,0)</f>
        <v>0</v>
      </c>
    </row>
    <row r="602" spans="1:27">
      <c r="A602" s="30">
        <f>597</f>
        <v>597</v>
      </c>
      <c r="B602" s="31">
        <f>EDATE(入力!$B$6,A602-1)</f>
        <v>64376</v>
      </c>
      <c r="C602" s="32">
        <f t="shared" si="149"/>
        <v>0</v>
      </c>
      <c r="D602" s="32">
        <f t="shared" si="150"/>
        <v>0</v>
      </c>
      <c r="E602" s="33">
        <f>IF(AND(T601="",A602&lt;=S601),IF(A602&lt;入力!$B$11,入力!$B$10,入力!$B$12),0)</f>
        <v>0</v>
      </c>
      <c r="F602" s="32">
        <f t="shared" si="151"/>
        <v>0</v>
      </c>
      <c r="G602" s="32">
        <f>ROUND(IF(NOT(AND(T601="",A602&lt;=S601)),0,IF(FALSE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),0)</f>
        <v>0</v>
      </c>
      <c r="H602" s="32">
        <f t="shared" si="152"/>
        <v>0</v>
      </c>
      <c r="I602" s="32">
        <f t="shared" si="153"/>
        <v>0</v>
      </c>
      <c r="J602" s="32">
        <f t="shared" si="154"/>
        <v>0</v>
      </c>
      <c r="K602" s="32">
        <f t="shared" si="155"/>
        <v>0</v>
      </c>
      <c r="L602" s="32">
        <f t="shared" si="156"/>
        <v>0</v>
      </c>
      <c r="M602" s="32">
        <f>IF(AND(AND(T601="",A602&lt;=S601),A602=入力!$B$15),ROUND(MIN(入力!$B$16,MAX(0,C602-L602)),0),0)</f>
        <v>0</v>
      </c>
      <c r="N602" s="32">
        <f t="shared" si="157"/>
        <v>0</v>
      </c>
      <c r="O602" s="32">
        <f t="shared" si="158"/>
        <v>10725103</v>
      </c>
      <c r="P602" s="34" t="str">
        <f>IF(NOT(AND(T601="",A602&lt;=S601)),"",IF(FALSE,"繰上返済後再計算","")&amp;IF(AND(入力!$B$13="有効",A602&gt;1,MOD(A602-1,60)=0),IF(FALSE,"・","")&amp;"5年見直し","")&amp;IF(AND(A602=入力!$B$11,A602&gt;1),IF(OR(FALSE,AND(入力!$B$13="有効",A602&gt;1,MOD(A602-1,60)=0)),"・","")&amp;"金利変更","")&amp;IF(AND(OR(AND(入力!$B$13="有効",A602&gt;1,MOD(A602-1,60)=0),AND(A602=入力!$B$11,A602&gt;1)),入力!$B$14="有効",IF(E602=0,ROUND(C602/MAX(1,S601-A602+1),0),ROUND(-PMT(E602/12,MAX(1,S601-A602+1),C602),0))&gt;ROUND(G601*1.25,0),NOT(FALSE)),"・上限適用",""))</f>
        <v/>
      </c>
      <c r="Q602" s="35" t="str">
        <f>IF(AND(T601="",A602&lt;=S601),入力!$B$13,"")</f>
        <v/>
      </c>
      <c r="R602" s="32" t="str">
        <f>IF(AND(AND(T601="",A602&lt;=S601),OR(AND(入力!$B$13="有効",A602&gt;1,MOD(A602-1,60)=0),AND(A602=入力!$B$11,A602&gt;1)),入力!$B$14="有効"),ROUND(G601*1.25,0),"")</f>
        <v/>
      </c>
      <c r="S602" s="36">
        <f>IF(A602&lt;&gt;入力!$B$15,S601,IF(K602&lt;&gt;0,S601,IF(G602&lt;=F602,S601,IF(M602&lt;=0,S601,IF(AND(N602&gt;0,E602&gt;0,G602&lt;=N602*E602/12),S601,IF(A602+IF(N602=0,0,IF(E602=0,ROUNDUP(N602/G602,0),ROUNDUP(NPER(E602/12,-G602,N602),0)))&lt;S601,A602+IF(N602=0,0,IF(E602=0,ROUNDUP(N602/G602,0),ROUNDUP(NPER(E602/12,-G602,N602),0))),S601))))))</f>
        <v>359</v>
      </c>
      <c r="T602" s="35" t="str">
        <f t="shared" si="159"/>
        <v/>
      </c>
      <c r="U602" s="3">
        <f t="shared" si="144"/>
        <v>0</v>
      </c>
      <c r="V602" s="3">
        <f t="shared" si="145"/>
        <v>0</v>
      </c>
      <c r="W602" s="3">
        <f t="shared" si="146"/>
        <v>0</v>
      </c>
      <c r="X602" s="3">
        <f t="shared" si="147"/>
        <v>0</v>
      </c>
      <c r="Y602" s="3">
        <f>0</f>
        <v>0</v>
      </c>
      <c r="Z602" s="3">
        <f t="shared" si="148"/>
        <v>0</v>
      </c>
      <c r="AA602">
        <f>ROUND(IF(FALSE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,0)</f>
        <v>0</v>
      </c>
    </row>
    <row r="603" spans="1:27">
      <c r="A603" s="30">
        <f>598</f>
        <v>598</v>
      </c>
      <c r="B603" s="31">
        <f>EDATE(入力!$B$6,A603-1)</f>
        <v>64406</v>
      </c>
      <c r="C603" s="32">
        <f t="shared" si="149"/>
        <v>0</v>
      </c>
      <c r="D603" s="32">
        <f t="shared" si="150"/>
        <v>0</v>
      </c>
      <c r="E603" s="33">
        <f>IF(AND(T602="",A603&lt;=S602),IF(A603&lt;入力!$B$11,入力!$B$10,入力!$B$12),0)</f>
        <v>0</v>
      </c>
      <c r="F603" s="32">
        <f t="shared" si="151"/>
        <v>0</v>
      </c>
      <c r="G603" s="32">
        <f>ROUND(IF(NOT(AND(T602="",A603&lt;=S602)),0,IF(FALSE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),0)</f>
        <v>0</v>
      </c>
      <c r="H603" s="32">
        <f t="shared" si="152"/>
        <v>0</v>
      </c>
      <c r="I603" s="32">
        <f t="shared" si="153"/>
        <v>0</v>
      </c>
      <c r="J603" s="32">
        <f t="shared" si="154"/>
        <v>0</v>
      </c>
      <c r="K603" s="32">
        <f t="shared" si="155"/>
        <v>0</v>
      </c>
      <c r="L603" s="32">
        <f t="shared" si="156"/>
        <v>0</v>
      </c>
      <c r="M603" s="32">
        <f>IF(AND(AND(T602="",A603&lt;=S602),A603=入力!$B$15),ROUND(MIN(入力!$B$16,MAX(0,C603-L603)),0),0)</f>
        <v>0</v>
      </c>
      <c r="N603" s="32">
        <f t="shared" si="157"/>
        <v>0</v>
      </c>
      <c r="O603" s="32">
        <f t="shared" si="158"/>
        <v>10725103</v>
      </c>
      <c r="P603" s="34" t="str">
        <f>IF(NOT(AND(T602="",A603&lt;=S602)),"",IF(FALSE,"繰上返済後再計算","")&amp;IF(AND(入力!$B$13="有効",A603&gt;1,MOD(A603-1,60)=0),IF(FALSE,"・","")&amp;"5年見直し","")&amp;IF(AND(A603=入力!$B$11,A603&gt;1),IF(OR(FALSE,AND(入力!$B$13="有効",A603&gt;1,MOD(A603-1,60)=0)),"・","")&amp;"金利変更","")&amp;IF(AND(OR(AND(入力!$B$13="有効",A603&gt;1,MOD(A603-1,60)=0),AND(A603=入力!$B$11,A603&gt;1)),入力!$B$14="有効",IF(E603=0,ROUND(C603/MAX(1,S602-A603+1),0),ROUND(-PMT(E603/12,MAX(1,S602-A603+1),C603),0))&gt;ROUND(G602*1.25,0),NOT(FALSE)),"・上限適用",""))</f>
        <v/>
      </c>
      <c r="Q603" s="35" t="str">
        <f>IF(AND(T602="",A603&lt;=S602),入力!$B$13,"")</f>
        <v/>
      </c>
      <c r="R603" s="32" t="str">
        <f>IF(AND(AND(T602="",A603&lt;=S602),OR(AND(入力!$B$13="有効",A603&gt;1,MOD(A603-1,60)=0),AND(A603=入力!$B$11,A603&gt;1)),入力!$B$14="有効"),ROUND(G602*1.25,0),"")</f>
        <v/>
      </c>
      <c r="S603" s="36">
        <f>IF(A603&lt;&gt;入力!$B$15,S602,IF(K603&lt;&gt;0,S602,IF(G603&lt;=F603,S602,IF(M603&lt;=0,S602,IF(AND(N603&gt;0,E603&gt;0,G603&lt;=N603*E603/12),S602,IF(A603+IF(N603=0,0,IF(E603=0,ROUNDUP(N603/G603,0),ROUNDUP(NPER(E603/12,-G603,N603),0)))&lt;S602,A603+IF(N603=0,0,IF(E603=0,ROUNDUP(N603/G603,0),ROUNDUP(NPER(E603/12,-G603,N603),0))),S602))))))</f>
        <v>359</v>
      </c>
      <c r="T603" s="35" t="str">
        <f t="shared" si="159"/>
        <v/>
      </c>
      <c r="U603" s="3">
        <f t="shared" si="144"/>
        <v>0</v>
      </c>
      <c r="V603" s="3">
        <f t="shared" si="145"/>
        <v>0</v>
      </c>
      <c r="W603" s="3">
        <f t="shared" si="146"/>
        <v>0</v>
      </c>
      <c r="X603" s="3">
        <f t="shared" si="147"/>
        <v>0</v>
      </c>
      <c r="Y603" s="3">
        <f>0</f>
        <v>0</v>
      </c>
      <c r="Z603" s="3">
        <f t="shared" si="148"/>
        <v>0</v>
      </c>
      <c r="AA603">
        <f>ROUND(IF(FALSE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,0)</f>
        <v>0</v>
      </c>
    </row>
    <row r="604" spans="1:27">
      <c r="A604" s="30">
        <f>599</f>
        <v>599</v>
      </c>
      <c r="B604" s="31">
        <f>EDATE(入力!$B$6,A604-1)</f>
        <v>64437</v>
      </c>
      <c r="C604" s="32">
        <f t="shared" si="149"/>
        <v>0</v>
      </c>
      <c r="D604" s="32">
        <f t="shared" si="150"/>
        <v>0</v>
      </c>
      <c r="E604" s="33">
        <f>IF(AND(T603="",A604&lt;=S603),IF(A604&lt;入力!$B$11,入力!$B$10,入力!$B$12),0)</f>
        <v>0</v>
      </c>
      <c r="F604" s="32">
        <f t="shared" si="151"/>
        <v>0</v>
      </c>
      <c r="G604" s="32">
        <f>ROUND(IF(NOT(AND(T603="",A604&lt;=S603)),0,IF(FALSE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),0)</f>
        <v>0</v>
      </c>
      <c r="H604" s="32">
        <f t="shared" si="152"/>
        <v>0</v>
      </c>
      <c r="I604" s="32">
        <f t="shared" si="153"/>
        <v>0</v>
      </c>
      <c r="J604" s="32">
        <f t="shared" si="154"/>
        <v>0</v>
      </c>
      <c r="K604" s="32">
        <f t="shared" si="155"/>
        <v>0</v>
      </c>
      <c r="L604" s="32">
        <f t="shared" si="156"/>
        <v>0</v>
      </c>
      <c r="M604" s="32">
        <f>IF(AND(AND(T603="",A604&lt;=S603),A604=入力!$B$15),ROUND(MIN(入力!$B$16,MAX(0,C604-L604)),0),0)</f>
        <v>0</v>
      </c>
      <c r="N604" s="32">
        <f t="shared" si="157"/>
        <v>0</v>
      </c>
      <c r="O604" s="32">
        <f t="shared" si="158"/>
        <v>10725103</v>
      </c>
      <c r="P604" s="34" t="str">
        <f>IF(NOT(AND(T603="",A604&lt;=S603)),"",IF(FALSE,"繰上返済後再計算","")&amp;IF(AND(入力!$B$13="有効",A604&gt;1,MOD(A604-1,60)=0),IF(FALSE,"・","")&amp;"5年見直し","")&amp;IF(AND(A604=入力!$B$11,A604&gt;1),IF(OR(FALSE,AND(入力!$B$13="有効",A604&gt;1,MOD(A604-1,60)=0)),"・","")&amp;"金利変更","")&amp;IF(AND(OR(AND(入力!$B$13="有効",A604&gt;1,MOD(A604-1,60)=0),AND(A604=入力!$B$11,A604&gt;1)),入力!$B$14="有効",IF(E604=0,ROUND(C604/MAX(1,S603-A604+1),0),ROUND(-PMT(E604/12,MAX(1,S603-A604+1),C604),0))&gt;ROUND(G603*1.25,0),NOT(FALSE)),"・上限適用",""))</f>
        <v/>
      </c>
      <c r="Q604" s="35" t="str">
        <f>IF(AND(T603="",A604&lt;=S603),入力!$B$13,"")</f>
        <v/>
      </c>
      <c r="R604" s="32" t="str">
        <f>IF(AND(AND(T603="",A604&lt;=S603),OR(AND(入力!$B$13="有効",A604&gt;1,MOD(A604-1,60)=0),AND(A604=入力!$B$11,A604&gt;1)),入力!$B$14="有効"),ROUND(G603*1.25,0),"")</f>
        <v/>
      </c>
      <c r="S604" s="36">
        <f>IF(A604&lt;&gt;入力!$B$15,S603,IF(K604&lt;&gt;0,S603,IF(G604&lt;=F604,S603,IF(M604&lt;=0,S603,IF(AND(N604&gt;0,E604&gt;0,G604&lt;=N604*E604/12),S603,IF(A604+IF(N604=0,0,IF(E604=0,ROUNDUP(N604/G604,0),ROUNDUP(NPER(E604/12,-G604,N604),0)))&lt;S603,A604+IF(N604=0,0,IF(E604=0,ROUNDUP(N604/G604,0),ROUNDUP(NPER(E604/12,-G604,N604),0))),S603))))))</f>
        <v>359</v>
      </c>
      <c r="T604" s="35" t="str">
        <f t="shared" si="159"/>
        <v/>
      </c>
      <c r="U604" s="3">
        <f t="shared" si="144"/>
        <v>0</v>
      </c>
      <c r="V604" s="3">
        <f t="shared" si="145"/>
        <v>0</v>
      </c>
      <c r="W604" s="3">
        <f t="shared" si="146"/>
        <v>0</v>
      </c>
      <c r="X604" s="3">
        <f t="shared" si="147"/>
        <v>0</v>
      </c>
      <c r="Y604" s="3">
        <f>0</f>
        <v>0</v>
      </c>
      <c r="Z604" s="3">
        <f t="shared" si="148"/>
        <v>0</v>
      </c>
      <c r="AA604">
        <f>ROUND(IF(FALSE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,0)</f>
        <v>0</v>
      </c>
    </row>
    <row r="605" spans="1:27">
      <c r="A605" s="37">
        <f>600</f>
        <v>600</v>
      </c>
      <c r="B605" s="38">
        <f>EDATE(入力!$B$6,A605-1)</f>
        <v>64467</v>
      </c>
      <c r="C605" s="39">
        <f t="shared" si="149"/>
        <v>0</v>
      </c>
      <c r="D605" s="39">
        <f t="shared" si="150"/>
        <v>0</v>
      </c>
      <c r="E605" s="40">
        <f>IF(AND(T604="",A605&lt;=S604),IF(A605&lt;入力!$B$11,入力!$B$10,入力!$B$12),0)</f>
        <v>0</v>
      </c>
      <c r="F605" s="39">
        <f t="shared" si="151"/>
        <v>0</v>
      </c>
      <c r="G605" s="39">
        <f>ROUND(IF(NOT(AND(T604="",A605&lt;=S604)),0,IF(FALSE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),0)</f>
        <v>0</v>
      </c>
      <c r="H605" s="39">
        <f t="shared" si="152"/>
        <v>0</v>
      </c>
      <c r="I605" s="39">
        <f t="shared" si="153"/>
        <v>0</v>
      </c>
      <c r="J605" s="39">
        <f t="shared" si="154"/>
        <v>0</v>
      </c>
      <c r="K605" s="39">
        <f t="shared" si="155"/>
        <v>0</v>
      </c>
      <c r="L605" s="39">
        <f t="shared" si="156"/>
        <v>0</v>
      </c>
      <c r="M605" s="39">
        <f>IF(AND(AND(T604="",A605&lt;=S604),A605=入力!$B$15),ROUND(MIN(入力!$B$16,MAX(0,C605-L605)),0),0)</f>
        <v>0</v>
      </c>
      <c r="N605" s="39">
        <f t="shared" si="157"/>
        <v>0</v>
      </c>
      <c r="O605" s="39">
        <f t="shared" si="158"/>
        <v>10725103</v>
      </c>
      <c r="P605" s="41" t="str">
        <f>IF(NOT(AND(T604="",A605&lt;=S604)),"",IF(FALSE,"繰上返済後再計算","")&amp;IF(AND(入力!$B$13="有効",A605&gt;1,MOD(A605-1,60)=0),IF(FALSE,"・","")&amp;"5年見直し","")&amp;IF(AND(A605=入力!$B$11,A605&gt;1),IF(OR(FALSE,AND(入力!$B$13="有効",A605&gt;1,MOD(A605-1,60)=0)),"・","")&amp;"金利変更","")&amp;IF(AND(OR(AND(入力!$B$13="有効",A605&gt;1,MOD(A605-1,60)=0),AND(A605=入力!$B$11,A605&gt;1)),入力!$B$14="有効",IF(E605=0,ROUND(C605/MAX(1,S604-A605+1),0),ROUND(-PMT(E605/12,MAX(1,S604-A605+1),C605),0))&gt;ROUND(G604*1.25,0),NOT(FALSE)),"・上限適用",""))</f>
        <v/>
      </c>
      <c r="Q605" s="42" t="str">
        <f>IF(AND(T604="",A605&lt;=S604),入力!$B$13,"")</f>
        <v/>
      </c>
      <c r="R605" s="39" t="str">
        <f>IF(AND(AND(T604="",A605&lt;=S604),OR(AND(入力!$B$13="有効",A605&gt;1,MOD(A605-1,60)=0),AND(A605=入力!$B$11,A605&gt;1)),入力!$B$14="有効"),ROUND(G604*1.25,0),"")</f>
        <v/>
      </c>
      <c r="S605" s="43">
        <f>IF(A605&lt;&gt;入力!$B$15,S604,IF(K605&lt;&gt;0,S604,IF(G605&lt;=F605,S604,IF(M605&lt;=0,S604,IF(AND(N605&gt;0,E605&gt;0,G605&lt;=N605*E605/12),S604,IF(A605+IF(N605=0,0,IF(E605=0,ROUNDUP(N605/G605,0),ROUNDUP(NPER(E605/12,-G605,N605),0)))&lt;S604,A605+IF(N605=0,0,IF(E605=0,ROUNDUP(N605/G605,0),ROUNDUP(NPER(E605/12,-G605,N605),0))),S604))))))</f>
        <v>359</v>
      </c>
      <c r="T605" s="42" t="str">
        <f t="shared" si="159"/>
        <v/>
      </c>
      <c r="U605" s="3">
        <f t="shared" si="144"/>
        <v>0</v>
      </c>
      <c r="V605" s="3">
        <f t="shared" si="145"/>
        <v>0</v>
      </c>
      <c r="W605" s="3">
        <f t="shared" si="146"/>
        <v>0</v>
      </c>
      <c r="X605" s="3">
        <f t="shared" si="147"/>
        <v>0</v>
      </c>
      <c r="Y605" s="3">
        <f>0</f>
        <v>0</v>
      </c>
      <c r="Z605" s="3">
        <f t="shared" si="148"/>
        <v>0</v>
      </c>
      <c r="AA605">
        <f>ROUND(IF(FALSE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,0)</f>
        <v>0</v>
      </c>
    </row>
  </sheetData>
  <mergeCells count="2">
    <mergeCell ref="A1:T1"/>
    <mergeCell ref="A2:T3"/>
  </mergeCells>
  <phoneticPr fontId="1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605"/>
  <sheetViews>
    <sheetView showGridLines="0" workbookViewId="0"/>
  </sheetViews>
  <sheetFormatPr baseColWidth="10" defaultColWidth="8.83203125" defaultRowHeight="14"/>
  <cols>
    <col min="1" max="1" width="7" customWidth="1"/>
    <col min="2" max="2" width="13" customWidth="1"/>
    <col min="3" max="6" width="15" customWidth="1"/>
    <col min="7" max="8" width="18" customWidth="1"/>
    <col min="9" max="15" width="15" customWidth="1"/>
    <col min="16" max="16" width="30" customWidth="1"/>
    <col min="17" max="17" width="12" customWidth="1"/>
    <col min="18" max="18" width="15" customWidth="1"/>
    <col min="19" max="19" width="13" customWidth="1"/>
    <col min="20" max="20" width="14" customWidth="1"/>
    <col min="21" max="27" width="2" customWidth="1"/>
  </cols>
  <sheetData>
    <row r="1" spans="1:27" ht="30" customHeight="1">
      <c r="A1" s="47" t="s">
        <v>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2"/>
      <c r="V1" s="22"/>
      <c r="W1" s="22"/>
      <c r="X1" s="22"/>
      <c r="Y1" s="22"/>
      <c r="Z1" s="22"/>
      <c r="AA1" s="2"/>
    </row>
    <row r="2" spans="1:27" ht="24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3"/>
      <c r="V2" s="3"/>
      <c r="W2" s="3"/>
      <c r="X2" s="3"/>
      <c r="Y2" s="3"/>
      <c r="Z2" s="3"/>
    </row>
    <row r="3" spans="1:27" ht="24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3"/>
      <c r="V3" s="3"/>
      <c r="W3" s="3"/>
      <c r="X3" s="3"/>
      <c r="Y3" s="3"/>
      <c r="Z3" s="3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42" customHeight="1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25</v>
      </c>
      <c r="N5" s="1" t="s">
        <v>69</v>
      </c>
      <c r="O5" s="1" t="s">
        <v>70</v>
      </c>
      <c r="P5" s="1" t="s">
        <v>71</v>
      </c>
      <c r="Q5" s="1" t="s">
        <v>20</v>
      </c>
      <c r="R5" s="1" t="s">
        <v>72</v>
      </c>
      <c r="S5" s="1" t="s">
        <v>73</v>
      </c>
      <c r="T5" s="1" t="s">
        <v>74</v>
      </c>
      <c r="U5" s="1" t="s">
        <v>75</v>
      </c>
      <c r="V5" s="1" t="s">
        <v>76</v>
      </c>
      <c r="W5" s="1" t="s">
        <v>77</v>
      </c>
      <c r="X5" s="1" t="s">
        <v>78</v>
      </c>
      <c r="Y5" s="1" t="s">
        <v>79</v>
      </c>
      <c r="Z5" s="1" t="s">
        <v>80</v>
      </c>
      <c r="AA5" s="1" t="s">
        <v>81</v>
      </c>
    </row>
    <row r="6" spans="1:27">
      <c r="A6" s="23">
        <f>1</f>
        <v>1</v>
      </c>
      <c r="B6" s="24">
        <f>EDATE(入力!$B$6,A6-1)</f>
        <v>46235</v>
      </c>
      <c r="C6" s="25">
        <f>入力!$B$7</f>
        <v>35000000</v>
      </c>
      <c r="D6" s="25">
        <f>0</f>
        <v>0</v>
      </c>
      <c r="E6" s="26">
        <f>IF(TRUE,IF(A6&lt;入力!$B$11,入力!$B$10,入力!$B$12),0)</f>
        <v>7.0000000000000001E-3</v>
      </c>
      <c r="F6" s="25">
        <f>IF(TRUE,ROUND(C6*E6/12,0),0)</f>
        <v>20417</v>
      </c>
      <c r="G6" s="25">
        <f>ROUND(IF(E6=0,ROUND(入力!$B$7/入力!$B$9,0),ROUND(-PMT(E6/12,入力!$B$9,入力!$B$7),0)),0)</f>
        <v>93982</v>
      </c>
      <c r="H6" s="25">
        <f>IF(TRUE,ROUND(MIN(G6,C6+D6+F6),0),0)</f>
        <v>93982</v>
      </c>
      <c r="I6" s="25">
        <f>IF(TRUE,ROUND(MIN(H6,D6+F6),0),0)</f>
        <v>20417</v>
      </c>
      <c r="J6" s="25">
        <f>IF(TRUE,ROUND(F6-I6,0),0)</f>
        <v>0</v>
      </c>
      <c r="K6" s="25">
        <f>IF(TRUE,ROUND(D6+J6,0),0)</f>
        <v>0</v>
      </c>
      <c r="L6" s="25">
        <f>IF(TRUE,ROUND(H6-I6,0),0)</f>
        <v>73565</v>
      </c>
      <c r="M6" s="25">
        <f>IF(AND(TRUE,A6=入力!$B$15),ROUND(MIN(入力!$B$16,MAX(0,C6-L6)),0),0)</f>
        <v>0</v>
      </c>
      <c r="N6" s="25">
        <f>IF(TRUE,ROUND(MAX(0,C6-L6-M6),0),0)</f>
        <v>34926435</v>
      </c>
      <c r="O6" s="25">
        <f>ROUND(F6,0)</f>
        <v>20417</v>
      </c>
      <c r="P6" s="27" t="str">
        <f>""</f>
        <v/>
      </c>
      <c r="Q6" s="28" t="str">
        <f>IF(TRUE,入力!$B$13,"")</f>
        <v>有効</v>
      </c>
      <c r="R6" s="25" t="str">
        <f>""</f>
        <v/>
      </c>
      <c r="S6" s="29">
        <f>入力!$B$9</f>
        <v>420</v>
      </c>
      <c r="T6" s="28" t="str">
        <f>IF(NOT(TRUE),"",IF(AND(N6=0,K6=0),"完済",IF(A6=S6,"最終回清算","")))</f>
        <v/>
      </c>
      <c r="U6" s="3">
        <f t="shared" ref="U6:U69" si="0">ABS(I6-MIN(H6,D6+F6))</f>
        <v>0</v>
      </c>
      <c r="V6" s="3">
        <f t="shared" ref="V6:V69" si="1">ABS(L6-(H6-I6))</f>
        <v>0</v>
      </c>
      <c r="W6" s="3">
        <f t="shared" ref="W6:W69" si="2">ABS(K6-(D6+J6))</f>
        <v>0</v>
      </c>
      <c r="X6" s="3">
        <f t="shared" ref="X6:X69" si="3">ABS(F6-ROUND(F6,0))+ABS(G6-ROUND(G6,0))+ABS(H6-ROUND(H6,0))+ABS(I6-ROUND(I6,0))+ABS(J6-ROUND(J6,0))+ABS(K6-ROUND(K6,0))+ABS(L6-ROUND(L6,0))+ABS(M6-ROUND(M6,0))+ABS(N6-ROUND(N6,0))+ABS(O6-ROUND(O6,0))</f>
        <v>0</v>
      </c>
      <c r="Y6" s="3">
        <f>0</f>
        <v>0</v>
      </c>
      <c r="Z6" s="3">
        <f t="shared" ref="Z6:Z69" si="4">SUM(--ISERROR(A6),--ISERROR(B6),--ISERROR(C6),--ISERROR(D6),--ISERROR(E6),--ISERROR(F6),--ISERROR(G6),--ISERROR(H6),--ISERROR(I6),--ISERROR(J6),--ISERROR(K6),--ISERROR(L6),--ISERROR(M6),--ISERROR(N6),--ISERROR(O6),--ISERROR(P6),--ISERROR(Q6),--ISERROR(R6),--ISERROR(S6),--ISERROR(T6))</f>
        <v>0</v>
      </c>
      <c r="AA6">
        <f>ROUND(IF(E6=0,ROUND(入力!$B$7/入力!$B$9,0),ROUND(-PMT(E6/12,入力!$B$9,入力!$B$7),0)),0)</f>
        <v>93982</v>
      </c>
    </row>
    <row r="7" spans="1:27">
      <c r="A7" s="30">
        <f>2</f>
        <v>2</v>
      </c>
      <c r="B7" s="31">
        <f>EDATE(入力!$B$6,A7-1)</f>
        <v>46266</v>
      </c>
      <c r="C7" s="32">
        <f t="shared" ref="C7:C70" si="5">IF(AND(T6="",A7&lt;=S6),N6,0)</f>
        <v>34926435</v>
      </c>
      <c r="D7" s="32">
        <f t="shared" ref="D7:D70" si="6">IF(AND(T6="",A7&lt;=S6),K6,0)</f>
        <v>0</v>
      </c>
      <c r="E7" s="33">
        <f>IF(AND(T6="",A7&lt;=S6),IF(A7&lt;入力!$B$11,入力!$B$10,入力!$B$12),0)</f>
        <v>7.0000000000000001E-3</v>
      </c>
      <c r="F7" s="32">
        <f t="shared" ref="F7:F70" si="7">IF(AND(T6="",A7&lt;=S6),ROUND(C7*E7/12,0),0)</f>
        <v>20374</v>
      </c>
      <c r="G7" s="32">
        <f>ROUND(IF(NOT(AND(T6="",A7&lt;=S6)),0,IF(A7=入力!$B$15+1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),0)</f>
        <v>93982</v>
      </c>
      <c r="H7" s="32">
        <f t="shared" ref="H7:H70" si="8">IF(AND(T6="",A7&lt;=S6),ROUND(MIN(G7,C7+D7+F7),0),0)</f>
        <v>93982</v>
      </c>
      <c r="I7" s="32">
        <f t="shared" ref="I7:I70" si="9">IF(AND(T6="",A7&lt;=S6),ROUND(MIN(H7,D7+F7),0),0)</f>
        <v>20374</v>
      </c>
      <c r="J7" s="32">
        <f t="shared" ref="J7:J70" si="10">IF(AND(T6="",A7&lt;=S6),ROUND(F7-I7,0),0)</f>
        <v>0</v>
      </c>
      <c r="K7" s="32">
        <f t="shared" ref="K7:K70" si="11">IF(AND(T6="",A7&lt;=S6),ROUND(D7+J7,0),0)</f>
        <v>0</v>
      </c>
      <c r="L7" s="32">
        <f t="shared" ref="L7:L70" si="12">IF(AND(T6="",A7&lt;=S6),ROUND(H7-I7,0),0)</f>
        <v>73608</v>
      </c>
      <c r="M7" s="32">
        <f>IF(AND(AND(T6="",A7&lt;=S6),A7=入力!$B$15),ROUND(MIN(入力!$B$16,MAX(0,C7-L7)),0),0)</f>
        <v>0</v>
      </c>
      <c r="N7" s="32">
        <f t="shared" ref="N7:N70" si="13">IF(AND(T6="",A7&lt;=S6),ROUND(MAX(0,C7-L7-M7),0),0)</f>
        <v>34852827</v>
      </c>
      <c r="O7" s="32">
        <f t="shared" ref="O7:O70" si="14">IF(AND(T6="",A7&lt;=S6),ROUND(O6+F7,0),O6)</f>
        <v>40791</v>
      </c>
      <c r="P7" s="34" t="str">
        <f>IF(NOT(AND(T6="",A7&lt;=S6)),"",IF(A7=入力!$B$15+1,"繰上返済後再計算","")&amp;IF(AND(入力!$B$13="有効",A7&gt;1,MOD(A7-1,60)=0),IF(A7=入力!$B$15+1,"・","")&amp;"5年見直し","")&amp;IF(AND(A7=入力!$B$11,A7&gt;1),IF(OR(A7=入力!$B$15+1,AND(入力!$B$13="有効",A7&gt;1,MOD(A7-1,60)=0)),"・","")&amp;"金利変更","")&amp;IF(AND(OR(AND(入力!$B$13="有効",A7&gt;1,MOD(A7-1,60)=0),AND(A7=入力!$B$11,A7&gt;1)),入力!$B$14="有効",IF(E7=0,ROUND(C7/MAX(1,S6-A7+1),0),ROUND(-PMT(E7/12,MAX(1,S6-A7+1),C7),0))&gt;ROUND(G6*1.25,0),NOT(A7=入力!$B$15+1)),"・上限適用",""))</f>
        <v/>
      </c>
      <c r="Q7" s="35" t="str">
        <f>IF(AND(T6="",A7&lt;=S6),入力!$B$13,"")</f>
        <v>有効</v>
      </c>
      <c r="R7" s="32" t="str">
        <f>IF(AND(AND(T6="",A7&lt;=S6),OR(AND(入力!$B$13="有効",A7&gt;1,MOD(A7-1,60)=0),AND(A7=入力!$B$11,A7&gt;1)),入力!$B$14="有効"),ROUND(G6*1.25,0),"")</f>
        <v/>
      </c>
      <c r="S7" s="36">
        <f t="shared" ref="S7:S70" si="15">S6</f>
        <v>420</v>
      </c>
      <c r="T7" s="35" t="str">
        <f t="shared" ref="T7:T70" si="16">IF(NOT(AND(T6="",A7&lt;=S6)),"",IF(AND(N7=0,K7=0),"完済",IF(A7=S7,"最終回清算","")))</f>
        <v/>
      </c>
      <c r="U7" s="3">
        <f t="shared" si="0"/>
        <v>0</v>
      </c>
      <c r="V7" s="3">
        <f t="shared" si="1"/>
        <v>0</v>
      </c>
      <c r="W7" s="3">
        <f t="shared" si="2"/>
        <v>0</v>
      </c>
      <c r="X7" s="3">
        <f t="shared" si="3"/>
        <v>0</v>
      </c>
      <c r="Y7" s="3">
        <f>0</f>
        <v>0</v>
      </c>
      <c r="Z7" s="3">
        <f t="shared" si="4"/>
        <v>0</v>
      </c>
      <c r="AA7">
        <f>ROUND(IF(A7=入力!$B$15+1,IF(E7=0,ROUND(C7/MAX(1,S6-A7+1),0),ROUND(-PMT(E7/12,MAX(1,S6-A7+1)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,0)</f>
        <v>93982</v>
      </c>
    </row>
    <row r="8" spans="1:27">
      <c r="A8" s="30">
        <f>3</f>
        <v>3</v>
      </c>
      <c r="B8" s="31">
        <f>EDATE(入力!$B$6,A8-1)</f>
        <v>46296</v>
      </c>
      <c r="C8" s="32">
        <f t="shared" si="5"/>
        <v>34852827</v>
      </c>
      <c r="D8" s="32">
        <f t="shared" si="6"/>
        <v>0</v>
      </c>
      <c r="E8" s="33">
        <f>IF(AND(T7="",A8&lt;=S7),IF(A8&lt;入力!$B$11,入力!$B$10,入力!$B$12),0)</f>
        <v>7.0000000000000001E-3</v>
      </c>
      <c r="F8" s="32">
        <f t="shared" si="7"/>
        <v>20331</v>
      </c>
      <c r="G8" s="32">
        <f>ROUND(IF(NOT(AND(T7="",A8&lt;=S7)),0,IF(A8=入力!$B$15+1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),0)</f>
        <v>93982</v>
      </c>
      <c r="H8" s="32">
        <f t="shared" si="8"/>
        <v>93982</v>
      </c>
      <c r="I8" s="32">
        <f t="shared" si="9"/>
        <v>20331</v>
      </c>
      <c r="J8" s="32">
        <f t="shared" si="10"/>
        <v>0</v>
      </c>
      <c r="K8" s="32">
        <f t="shared" si="11"/>
        <v>0</v>
      </c>
      <c r="L8" s="32">
        <f t="shared" si="12"/>
        <v>73651</v>
      </c>
      <c r="M8" s="32">
        <f>IF(AND(AND(T7="",A8&lt;=S7),A8=入力!$B$15),ROUND(MIN(入力!$B$16,MAX(0,C8-L8)),0),0)</f>
        <v>0</v>
      </c>
      <c r="N8" s="32">
        <f t="shared" si="13"/>
        <v>34779176</v>
      </c>
      <c r="O8" s="32">
        <f t="shared" si="14"/>
        <v>61122</v>
      </c>
      <c r="P8" s="34" t="str">
        <f>IF(NOT(AND(T7="",A8&lt;=S7)),"",IF(A8=入力!$B$15+1,"繰上返済後再計算","")&amp;IF(AND(入力!$B$13="有効",A8&gt;1,MOD(A8-1,60)=0),IF(A8=入力!$B$15+1,"・","")&amp;"5年見直し","")&amp;IF(AND(A8=入力!$B$11,A8&gt;1),IF(OR(A8=入力!$B$15+1,AND(入力!$B$13="有効",A8&gt;1,MOD(A8-1,60)=0)),"・","")&amp;"金利変更","")&amp;IF(AND(OR(AND(入力!$B$13="有効",A8&gt;1,MOD(A8-1,60)=0),AND(A8=入力!$B$11,A8&gt;1)),入力!$B$14="有効",IF(E8=0,ROUND(C8/MAX(1,S7-A8+1),0),ROUND(-PMT(E8/12,MAX(1,S7-A8+1),C8),0))&gt;ROUND(G7*1.25,0),NOT(A8=入力!$B$15+1)),"・上限適用",""))</f>
        <v/>
      </c>
      <c r="Q8" s="35" t="str">
        <f>IF(AND(T7="",A8&lt;=S7),入力!$B$13,"")</f>
        <v>有効</v>
      </c>
      <c r="R8" s="32" t="str">
        <f>IF(AND(AND(T7="",A8&lt;=S7),OR(AND(入力!$B$13="有効",A8&gt;1,MOD(A8-1,60)=0),AND(A8=入力!$B$11,A8&gt;1)),入力!$B$14="有効"),ROUND(G7*1.25,0),"")</f>
        <v/>
      </c>
      <c r="S8" s="36">
        <f t="shared" si="15"/>
        <v>420</v>
      </c>
      <c r="T8" s="35" t="str">
        <f t="shared" si="16"/>
        <v/>
      </c>
      <c r="U8" s="3">
        <f t="shared" si="0"/>
        <v>0</v>
      </c>
      <c r="V8" s="3">
        <f t="shared" si="1"/>
        <v>0</v>
      </c>
      <c r="W8" s="3">
        <f t="shared" si="2"/>
        <v>0</v>
      </c>
      <c r="X8" s="3">
        <f t="shared" si="3"/>
        <v>0</v>
      </c>
      <c r="Y8" s="3">
        <f>0</f>
        <v>0</v>
      </c>
      <c r="Z8" s="3">
        <f t="shared" si="4"/>
        <v>0</v>
      </c>
      <c r="AA8">
        <f>ROUND(IF(A8=入力!$B$15+1,IF(E8=0,ROUND(C8/MAX(1,S7-A8+1),0),ROUND(-PMT(E8/12,MAX(1,S7-A8+1)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,0)</f>
        <v>93982</v>
      </c>
    </row>
    <row r="9" spans="1:27">
      <c r="A9" s="30">
        <f>4</f>
        <v>4</v>
      </c>
      <c r="B9" s="31">
        <f>EDATE(入力!$B$6,A9-1)</f>
        <v>46327</v>
      </c>
      <c r="C9" s="32">
        <f t="shared" si="5"/>
        <v>34779176</v>
      </c>
      <c r="D9" s="32">
        <f t="shared" si="6"/>
        <v>0</v>
      </c>
      <c r="E9" s="33">
        <f>IF(AND(T8="",A9&lt;=S8),IF(A9&lt;入力!$B$11,入力!$B$10,入力!$B$12),0)</f>
        <v>7.0000000000000001E-3</v>
      </c>
      <c r="F9" s="32">
        <f t="shared" si="7"/>
        <v>20288</v>
      </c>
      <c r="G9" s="32">
        <f>ROUND(IF(NOT(AND(T8="",A9&lt;=S8)),0,IF(A9=入力!$B$15+1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),0)</f>
        <v>93982</v>
      </c>
      <c r="H9" s="32">
        <f t="shared" si="8"/>
        <v>93982</v>
      </c>
      <c r="I9" s="32">
        <f t="shared" si="9"/>
        <v>20288</v>
      </c>
      <c r="J9" s="32">
        <f t="shared" si="10"/>
        <v>0</v>
      </c>
      <c r="K9" s="32">
        <f t="shared" si="11"/>
        <v>0</v>
      </c>
      <c r="L9" s="32">
        <f t="shared" si="12"/>
        <v>73694</v>
      </c>
      <c r="M9" s="32">
        <f>IF(AND(AND(T8="",A9&lt;=S8),A9=入力!$B$15),ROUND(MIN(入力!$B$16,MAX(0,C9-L9)),0),0)</f>
        <v>0</v>
      </c>
      <c r="N9" s="32">
        <f t="shared" si="13"/>
        <v>34705482</v>
      </c>
      <c r="O9" s="32">
        <f t="shared" si="14"/>
        <v>81410</v>
      </c>
      <c r="P9" s="34" t="str">
        <f>IF(NOT(AND(T8="",A9&lt;=S8)),"",IF(A9=入力!$B$15+1,"繰上返済後再計算","")&amp;IF(AND(入力!$B$13="有効",A9&gt;1,MOD(A9-1,60)=0),IF(A9=入力!$B$15+1,"・","")&amp;"5年見直し","")&amp;IF(AND(A9=入力!$B$11,A9&gt;1),IF(OR(A9=入力!$B$15+1,AND(入力!$B$13="有効",A9&gt;1,MOD(A9-1,60)=0)),"・","")&amp;"金利変更","")&amp;IF(AND(OR(AND(入力!$B$13="有効",A9&gt;1,MOD(A9-1,60)=0),AND(A9=入力!$B$11,A9&gt;1)),入力!$B$14="有効",IF(E9=0,ROUND(C9/MAX(1,S8-A9+1),0),ROUND(-PMT(E9/12,MAX(1,S8-A9+1),C9),0))&gt;ROUND(G8*1.25,0),NOT(A9=入力!$B$15+1)),"・上限適用",""))</f>
        <v/>
      </c>
      <c r="Q9" s="35" t="str">
        <f>IF(AND(T8="",A9&lt;=S8),入力!$B$13,"")</f>
        <v>有効</v>
      </c>
      <c r="R9" s="32" t="str">
        <f>IF(AND(AND(T8="",A9&lt;=S8),OR(AND(入力!$B$13="有効",A9&gt;1,MOD(A9-1,60)=0),AND(A9=入力!$B$11,A9&gt;1)),入力!$B$14="有効"),ROUND(G8*1.25,0),"")</f>
        <v/>
      </c>
      <c r="S9" s="36">
        <f t="shared" si="15"/>
        <v>420</v>
      </c>
      <c r="T9" s="35" t="str">
        <f t="shared" si="16"/>
        <v/>
      </c>
      <c r="U9" s="3">
        <f t="shared" si="0"/>
        <v>0</v>
      </c>
      <c r="V9" s="3">
        <f t="shared" si="1"/>
        <v>0</v>
      </c>
      <c r="W9" s="3">
        <f t="shared" si="2"/>
        <v>0</v>
      </c>
      <c r="X9" s="3">
        <f t="shared" si="3"/>
        <v>0</v>
      </c>
      <c r="Y9" s="3">
        <f>0</f>
        <v>0</v>
      </c>
      <c r="Z9" s="3">
        <f t="shared" si="4"/>
        <v>0</v>
      </c>
      <c r="AA9">
        <f>ROUND(IF(A9=入力!$B$15+1,IF(E9=0,ROUND(C9/MAX(1,S8-A9+1),0),ROUND(-PMT(E9/12,MAX(1,S8-A9+1)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,0)</f>
        <v>93982</v>
      </c>
    </row>
    <row r="10" spans="1:27">
      <c r="A10" s="30">
        <f>5</f>
        <v>5</v>
      </c>
      <c r="B10" s="31">
        <f>EDATE(入力!$B$6,A10-1)</f>
        <v>46357</v>
      </c>
      <c r="C10" s="32">
        <f t="shared" si="5"/>
        <v>34705482</v>
      </c>
      <c r="D10" s="32">
        <f t="shared" si="6"/>
        <v>0</v>
      </c>
      <c r="E10" s="33">
        <f>IF(AND(T9="",A10&lt;=S9),IF(A10&lt;入力!$B$11,入力!$B$10,入力!$B$12),0)</f>
        <v>7.0000000000000001E-3</v>
      </c>
      <c r="F10" s="32">
        <f t="shared" si="7"/>
        <v>20245</v>
      </c>
      <c r="G10" s="32">
        <f>ROUND(IF(NOT(AND(T9="",A10&lt;=S9)),0,IF(A10=入力!$B$15+1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),0)</f>
        <v>93982</v>
      </c>
      <c r="H10" s="32">
        <f t="shared" si="8"/>
        <v>93982</v>
      </c>
      <c r="I10" s="32">
        <f t="shared" si="9"/>
        <v>20245</v>
      </c>
      <c r="J10" s="32">
        <f t="shared" si="10"/>
        <v>0</v>
      </c>
      <c r="K10" s="32">
        <f t="shared" si="11"/>
        <v>0</v>
      </c>
      <c r="L10" s="32">
        <f t="shared" si="12"/>
        <v>73737</v>
      </c>
      <c r="M10" s="32">
        <f>IF(AND(AND(T9="",A10&lt;=S9),A10=入力!$B$15),ROUND(MIN(入力!$B$16,MAX(0,C10-L10)),0),0)</f>
        <v>0</v>
      </c>
      <c r="N10" s="32">
        <f t="shared" si="13"/>
        <v>34631745</v>
      </c>
      <c r="O10" s="32">
        <f t="shared" si="14"/>
        <v>101655</v>
      </c>
      <c r="P10" s="34" t="str">
        <f>IF(NOT(AND(T9="",A10&lt;=S9)),"",IF(A10=入力!$B$15+1,"繰上返済後再計算","")&amp;IF(AND(入力!$B$13="有効",A10&gt;1,MOD(A10-1,60)=0),IF(A10=入力!$B$15+1,"・","")&amp;"5年見直し","")&amp;IF(AND(A10=入力!$B$11,A10&gt;1),IF(OR(A10=入力!$B$15+1,AND(入力!$B$13="有効",A10&gt;1,MOD(A10-1,60)=0)),"・","")&amp;"金利変更","")&amp;IF(AND(OR(AND(入力!$B$13="有効",A10&gt;1,MOD(A10-1,60)=0),AND(A10=入力!$B$11,A10&gt;1)),入力!$B$14="有効",IF(E10=0,ROUND(C10/MAX(1,S9-A10+1),0),ROUND(-PMT(E10/12,MAX(1,S9-A10+1),C10),0))&gt;ROUND(G9*1.25,0),NOT(A10=入力!$B$15+1)),"・上限適用",""))</f>
        <v/>
      </c>
      <c r="Q10" s="35" t="str">
        <f>IF(AND(T9="",A10&lt;=S9),入力!$B$13,"")</f>
        <v>有効</v>
      </c>
      <c r="R10" s="32" t="str">
        <f>IF(AND(AND(T9="",A10&lt;=S9),OR(AND(入力!$B$13="有効",A10&gt;1,MOD(A10-1,60)=0),AND(A10=入力!$B$11,A10&gt;1)),入力!$B$14="有効"),ROUND(G9*1.25,0),"")</f>
        <v/>
      </c>
      <c r="S10" s="36">
        <f t="shared" si="15"/>
        <v>420</v>
      </c>
      <c r="T10" s="35" t="str">
        <f t="shared" si="16"/>
        <v/>
      </c>
      <c r="U10" s="3">
        <f t="shared" si="0"/>
        <v>0</v>
      </c>
      <c r="V10" s="3">
        <f t="shared" si="1"/>
        <v>0</v>
      </c>
      <c r="W10" s="3">
        <f t="shared" si="2"/>
        <v>0</v>
      </c>
      <c r="X10" s="3">
        <f t="shared" si="3"/>
        <v>0</v>
      </c>
      <c r="Y10" s="3">
        <f>0</f>
        <v>0</v>
      </c>
      <c r="Z10" s="3">
        <f t="shared" si="4"/>
        <v>0</v>
      </c>
      <c r="AA10">
        <f>ROUND(IF(A10=入力!$B$15+1,IF(E10=0,ROUND(C10/MAX(1,S9-A10+1),0),ROUND(-PMT(E10/12,MAX(1,S9-A10+1)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,0)</f>
        <v>93982</v>
      </c>
    </row>
    <row r="11" spans="1:27">
      <c r="A11" s="30">
        <f>6</f>
        <v>6</v>
      </c>
      <c r="B11" s="31">
        <f>EDATE(入力!$B$6,A11-1)</f>
        <v>46388</v>
      </c>
      <c r="C11" s="32">
        <f t="shared" si="5"/>
        <v>34631745</v>
      </c>
      <c r="D11" s="32">
        <f t="shared" si="6"/>
        <v>0</v>
      </c>
      <c r="E11" s="33">
        <f>IF(AND(T10="",A11&lt;=S10),IF(A11&lt;入力!$B$11,入力!$B$10,入力!$B$12),0)</f>
        <v>7.0000000000000001E-3</v>
      </c>
      <c r="F11" s="32">
        <f t="shared" si="7"/>
        <v>20202</v>
      </c>
      <c r="G11" s="32">
        <f>ROUND(IF(NOT(AND(T10="",A11&lt;=S10)),0,IF(A11=入力!$B$15+1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),0)</f>
        <v>93982</v>
      </c>
      <c r="H11" s="32">
        <f t="shared" si="8"/>
        <v>93982</v>
      </c>
      <c r="I11" s="32">
        <f t="shared" si="9"/>
        <v>20202</v>
      </c>
      <c r="J11" s="32">
        <f t="shared" si="10"/>
        <v>0</v>
      </c>
      <c r="K11" s="32">
        <f t="shared" si="11"/>
        <v>0</v>
      </c>
      <c r="L11" s="32">
        <f t="shared" si="12"/>
        <v>73780</v>
      </c>
      <c r="M11" s="32">
        <f>IF(AND(AND(T10="",A11&lt;=S10),A11=入力!$B$15),ROUND(MIN(入力!$B$16,MAX(0,C11-L11)),0),0)</f>
        <v>0</v>
      </c>
      <c r="N11" s="32">
        <f t="shared" si="13"/>
        <v>34557965</v>
      </c>
      <c r="O11" s="32">
        <f t="shared" si="14"/>
        <v>121857</v>
      </c>
      <c r="P11" s="34" t="str">
        <f>IF(NOT(AND(T10="",A11&lt;=S10)),"",IF(A11=入力!$B$15+1,"繰上返済後再計算","")&amp;IF(AND(入力!$B$13="有効",A11&gt;1,MOD(A11-1,60)=0),IF(A11=入力!$B$15+1,"・","")&amp;"5年見直し","")&amp;IF(AND(A11=入力!$B$11,A11&gt;1),IF(OR(A11=入力!$B$15+1,AND(入力!$B$13="有効",A11&gt;1,MOD(A11-1,60)=0)),"・","")&amp;"金利変更","")&amp;IF(AND(OR(AND(入力!$B$13="有効",A11&gt;1,MOD(A11-1,60)=0),AND(A11=入力!$B$11,A11&gt;1)),入力!$B$14="有効",IF(E11=0,ROUND(C11/MAX(1,S10-A11+1),0),ROUND(-PMT(E11/12,MAX(1,S10-A11+1),C11),0))&gt;ROUND(G10*1.25,0),NOT(A11=入力!$B$15+1)),"・上限適用",""))</f>
        <v/>
      </c>
      <c r="Q11" s="35" t="str">
        <f>IF(AND(T10="",A11&lt;=S10),入力!$B$13,"")</f>
        <v>有効</v>
      </c>
      <c r="R11" s="32" t="str">
        <f>IF(AND(AND(T10="",A11&lt;=S10),OR(AND(入力!$B$13="有効",A11&gt;1,MOD(A11-1,60)=0),AND(A11=入力!$B$11,A11&gt;1)),入力!$B$14="有効"),ROUND(G10*1.25,0),"")</f>
        <v/>
      </c>
      <c r="S11" s="36">
        <f t="shared" si="15"/>
        <v>420</v>
      </c>
      <c r="T11" s="35" t="str">
        <f t="shared" si="16"/>
        <v/>
      </c>
      <c r="U11" s="3">
        <f t="shared" si="0"/>
        <v>0</v>
      </c>
      <c r="V11" s="3">
        <f t="shared" si="1"/>
        <v>0</v>
      </c>
      <c r="W11" s="3">
        <f t="shared" si="2"/>
        <v>0</v>
      </c>
      <c r="X11" s="3">
        <f t="shared" si="3"/>
        <v>0</v>
      </c>
      <c r="Y11" s="3">
        <f>0</f>
        <v>0</v>
      </c>
      <c r="Z11" s="3">
        <f t="shared" si="4"/>
        <v>0</v>
      </c>
      <c r="AA11">
        <f>ROUND(IF(A11=入力!$B$15+1,IF(E11=0,ROUND(C11/MAX(1,S10-A11+1),0),ROUND(-PMT(E11/12,MAX(1,S10-A11+1)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,0)</f>
        <v>93982</v>
      </c>
    </row>
    <row r="12" spans="1:27">
      <c r="A12" s="30">
        <f>7</f>
        <v>7</v>
      </c>
      <c r="B12" s="31">
        <f>EDATE(入力!$B$6,A12-1)</f>
        <v>46419</v>
      </c>
      <c r="C12" s="32">
        <f t="shared" si="5"/>
        <v>34557965</v>
      </c>
      <c r="D12" s="32">
        <f t="shared" si="6"/>
        <v>0</v>
      </c>
      <c r="E12" s="33">
        <f>IF(AND(T11="",A12&lt;=S11),IF(A12&lt;入力!$B$11,入力!$B$10,入力!$B$12),0)</f>
        <v>7.0000000000000001E-3</v>
      </c>
      <c r="F12" s="32">
        <f t="shared" si="7"/>
        <v>20159</v>
      </c>
      <c r="G12" s="32">
        <f>ROUND(IF(NOT(AND(T11="",A12&lt;=S11)),0,IF(A12=入力!$B$15+1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),0)</f>
        <v>93982</v>
      </c>
      <c r="H12" s="32">
        <f t="shared" si="8"/>
        <v>93982</v>
      </c>
      <c r="I12" s="32">
        <f t="shared" si="9"/>
        <v>20159</v>
      </c>
      <c r="J12" s="32">
        <f t="shared" si="10"/>
        <v>0</v>
      </c>
      <c r="K12" s="32">
        <f t="shared" si="11"/>
        <v>0</v>
      </c>
      <c r="L12" s="32">
        <f t="shared" si="12"/>
        <v>73823</v>
      </c>
      <c r="M12" s="32">
        <f>IF(AND(AND(T11="",A12&lt;=S11),A12=入力!$B$15),ROUND(MIN(入力!$B$16,MAX(0,C12-L12)),0),0)</f>
        <v>0</v>
      </c>
      <c r="N12" s="32">
        <f t="shared" si="13"/>
        <v>34484142</v>
      </c>
      <c r="O12" s="32">
        <f t="shared" si="14"/>
        <v>142016</v>
      </c>
      <c r="P12" s="34" t="str">
        <f>IF(NOT(AND(T11="",A12&lt;=S11)),"",IF(A12=入力!$B$15+1,"繰上返済後再計算","")&amp;IF(AND(入力!$B$13="有効",A12&gt;1,MOD(A12-1,60)=0),IF(A12=入力!$B$15+1,"・","")&amp;"5年見直し","")&amp;IF(AND(A12=入力!$B$11,A12&gt;1),IF(OR(A12=入力!$B$15+1,AND(入力!$B$13="有効",A12&gt;1,MOD(A12-1,60)=0)),"・","")&amp;"金利変更","")&amp;IF(AND(OR(AND(入力!$B$13="有効",A12&gt;1,MOD(A12-1,60)=0),AND(A12=入力!$B$11,A12&gt;1)),入力!$B$14="有効",IF(E12=0,ROUND(C12/MAX(1,S11-A12+1),0),ROUND(-PMT(E12/12,MAX(1,S11-A12+1),C12),0))&gt;ROUND(G11*1.25,0),NOT(A12=入力!$B$15+1)),"・上限適用",""))</f>
        <v/>
      </c>
      <c r="Q12" s="35" t="str">
        <f>IF(AND(T11="",A12&lt;=S11),入力!$B$13,"")</f>
        <v>有効</v>
      </c>
      <c r="R12" s="32" t="str">
        <f>IF(AND(AND(T11="",A12&lt;=S11),OR(AND(入力!$B$13="有効",A12&gt;1,MOD(A12-1,60)=0),AND(A12=入力!$B$11,A12&gt;1)),入力!$B$14="有効"),ROUND(G11*1.25,0),"")</f>
        <v/>
      </c>
      <c r="S12" s="36">
        <f t="shared" si="15"/>
        <v>420</v>
      </c>
      <c r="T12" s="35" t="str">
        <f t="shared" si="16"/>
        <v/>
      </c>
      <c r="U12" s="3">
        <f t="shared" si="0"/>
        <v>0</v>
      </c>
      <c r="V12" s="3">
        <f t="shared" si="1"/>
        <v>0</v>
      </c>
      <c r="W12" s="3">
        <f t="shared" si="2"/>
        <v>0</v>
      </c>
      <c r="X12" s="3">
        <f t="shared" si="3"/>
        <v>0</v>
      </c>
      <c r="Y12" s="3">
        <f>0</f>
        <v>0</v>
      </c>
      <c r="Z12" s="3">
        <f t="shared" si="4"/>
        <v>0</v>
      </c>
      <c r="AA12">
        <f>ROUND(IF(A12=入力!$B$15+1,IF(E12=0,ROUND(C12/MAX(1,S11-A12+1),0),ROUND(-PMT(E12/12,MAX(1,S11-A12+1)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,0)</f>
        <v>93982</v>
      </c>
    </row>
    <row r="13" spans="1:27">
      <c r="A13" s="30">
        <f>8</f>
        <v>8</v>
      </c>
      <c r="B13" s="31">
        <f>EDATE(入力!$B$6,A13-1)</f>
        <v>46447</v>
      </c>
      <c r="C13" s="32">
        <f t="shared" si="5"/>
        <v>34484142</v>
      </c>
      <c r="D13" s="32">
        <f t="shared" si="6"/>
        <v>0</v>
      </c>
      <c r="E13" s="33">
        <f>IF(AND(T12="",A13&lt;=S12),IF(A13&lt;入力!$B$11,入力!$B$10,入力!$B$12),0)</f>
        <v>7.0000000000000001E-3</v>
      </c>
      <c r="F13" s="32">
        <f t="shared" si="7"/>
        <v>20116</v>
      </c>
      <c r="G13" s="32">
        <f>ROUND(IF(NOT(AND(T12="",A13&lt;=S12)),0,IF(A13=入力!$B$15+1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),0)</f>
        <v>93982</v>
      </c>
      <c r="H13" s="32">
        <f t="shared" si="8"/>
        <v>93982</v>
      </c>
      <c r="I13" s="32">
        <f t="shared" si="9"/>
        <v>20116</v>
      </c>
      <c r="J13" s="32">
        <f t="shared" si="10"/>
        <v>0</v>
      </c>
      <c r="K13" s="32">
        <f t="shared" si="11"/>
        <v>0</v>
      </c>
      <c r="L13" s="32">
        <f t="shared" si="12"/>
        <v>73866</v>
      </c>
      <c r="M13" s="32">
        <f>IF(AND(AND(T12="",A13&lt;=S12),A13=入力!$B$15),ROUND(MIN(入力!$B$16,MAX(0,C13-L13)),0),0)</f>
        <v>0</v>
      </c>
      <c r="N13" s="32">
        <f t="shared" si="13"/>
        <v>34410276</v>
      </c>
      <c r="O13" s="32">
        <f t="shared" si="14"/>
        <v>162132</v>
      </c>
      <c r="P13" s="34" t="str">
        <f>IF(NOT(AND(T12="",A13&lt;=S12)),"",IF(A13=入力!$B$15+1,"繰上返済後再計算","")&amp;IF(AND(入力!$B$13="有効",A13&gt;1,MOD(A13-1,60)=0),IF(A13=入力!$B$15+1,"・","")&amp;"5年見直し","")&amp;IF(AND(A13=入力!$B$11,A13&gt;1),IF(OR(A13=入力!$B$15+1,AND(入力!$B$13="有効",A13&gt;1,MOD(A13-1,60)=0)),"・","")&amp;"金利変更","")&amp;IF(AND(OR(AND(入力!$B$13="有効",A13&gt;1,MOD(A13-1,60)=0),AND(A13=入力!$B$11,A13&gt;1)),入力!$B$14="有効",IF(E13=0,ROUND(C13/MAX(1,S12-A13+1),0),ROUND(-PMT(E13/12,MAX(1,S12-A13+1),C13),0))&gt;ROUND(G12*1.25,0),NOT(A13=入力!$B$15+1)),"・上限適用",""))</f>
        <v/>
      </c>
      <c r="Q13" s="35" t="str">
        <f>IF(AND(T12="",A13&lt;=S12),入力!$B$13,"")</f>
        <v>有効</v>
      </c>
      <c r="R13" s="32" t="str">
        <f>IF(AND(AND(T12="",A13&lt;=S12),OR(AND(入力!$B$13="有効",A13&gt;1,MOD(A13-1,60)=0),AND(A13=入力!$B$11,A13&gt;1)),入力!$B$14="有効"),ROUND(G12*1.25,0),"")</f>
        <v/>
      </c>
      <c r="S13" s="36">
        <f t="shared" si="15"/>
        <v>420</v>
      </c>
      <c r="T13" s="35" t="str">
        <f t="shared" si="16"/>
        <v/>
      </c>
      <c r="U13" s="3">
        <f t="shared" si="0"/>
        <v>0</v>
      </c>
      <c r="V13" s="3">
        <f t="shared" si="1"/>
        <v>0</v>
      </c>
      <c r="W13" s="3">
        <f t="shared" si="2"/>
        <v>0</v>
      </c>
      <c r="X13" s="3">
        <f t="shared" si="3"/>
        <v>0</v>
      </c>
      <c r="Y13" s="3">
        <f>0</f>
        <v>0</v>
      </c>
      <c r="Z13" s="3">
        <f t="shared" si="4"/>
        <v>0</v>
      </c>
      <c r="AA13">
        <f>ROUND(IF(A13=入力!$B$15+1,IF(E13=0,ROUND(C13/MAX(1,S12-A13+1),0),ROUND(-PMT(E13/12,MAX(1,S12-A13+1)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,0)</f>
        <v>93982</v>
      </c>
    </row>
    <row r="14" spans="1:27">
      <c r="A14" s="30">
        <f>9</f>
        <v>9</v>
      </c>
      <c r="B14" s="31">
        <f>EDATE(入力!$B$6,A14-1)</f>
        <v>46478</v>
      </c>
      <c r="C14" s="32">
        <f t="shared" si="5"/>
        <v>34410276</v>
      </c>
      <c r="D14" s="32">
        <f t="shared" si="6"/>
        <v>0</v>
      </c>
      <c r="E14" s="33">
        <f>IF(AND(T13="",A14&lt;=S13),IF(A14&lt;入力!$B$11,入力!$B$10,入力!$B$12),0)</f>
        <v>7.0000000000000001E-3</v>
      </c>
      <c r="F14" s="32">
        <f t="shared" si="7"/>
        <v>20073</v>
      </c>
      <c r="G14" s="32">
        <f>ROUND(IF(NOT(AND(T13="",A14&lt;=S13)),0,IF(A14=入力!$B$15+1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),0)</f>
        <v>93982</v>
      </c>
      <c r="H14" s="32">
        <f t="shared" si="8"/>
        <v>93982</v>
      </c>
      <c r="I14" s="32">
        <f t="shared" si="9"/>
        <v>20073</v>
      </c>
      <c r="J14" s="32">
        <f t="shared" si="10"/>
        <v>0</v>
      </c>
      <c r="K14" s="32">
        <f t="shared" si="11"/>
        <v>0</v>
      </c>
      <c r="L14" s="32">
        <f t="shared" si="12"/>
        <v>73909</v>
      </c>
      <c r="M14" s="32">
        <f>IF(AND(AND(T13="",A14&lt;=S13),A14=入力!$B$15),ROUND(MIN(入力!$B$16,MAX(0,C14-L14)),0),0)</f>
        <v>0</v>
      </c>
      <c r="N14" s="32">
        <f t="shared" si="13"/>
        <v>34336367</v>
      </c>
      <c r="O14" s="32">
        <f t="shared" si="14"/>
        <v>182205</v>
      </c>
      <c r="P14" s="34" t="str">
        <f>IF(NOT(AND(T13="",A14&lt;=S13)),"",IF(A14=入力!$B$15+1,"繰上返済後再計算","")&amp;IF(AND(入力!$B$13="有効",A14&gt;1,MOD(A14-1,60)=0),IF(A14=入力!$B$15+1,"・","")&amp;"5年見直し","")&amp;IF(AND(A14=入力!$B$11,A14&gt;1),IF(OR(A14=入力!$B$15+1,AND(入力!$B$13="有効",A14&gt;1,MOD(A14-1,60)=0)),"・","")&amp;"金利変更","")&amp;IF(AND(OR(AND(入力!$B$13="有効",A14&gt;1,MOD(A14-1,60)=0),AND(A14=入力!$B$11,A14&gt;1)),入力!$B$14="有効",IF(E14=0,ROUND(C14/MAX(1,S13-A14+1),0),ROUND(-PMT(E14/12,MAX(1,S13-A14+1),C14),0))&gt;ROUND(G13*1.25,0),NOT(A14=入力!$B$15+1)),"・上限適用",""))</f>
        <v/>
      </c>
      <c r="Q14" s="35" t="str">
        <f>IF(AND(T13="",A14&lt;=S13),入力!$B$13,"")</f>
        <v>有効</v>
      </c>
      <c r="R14" s="32" t="str">
        <f>IF(AND(AND(T13="",A14&lt;=S13),OR(AND(入力!$B$13="有効",A14&gt;1,MOD(A14-1,60)=0),AND(A14=入力!$B$11,A14&gt;1)),入力!$B$14="有効"),ROUND(G13*1.25,0),"")</f>
        <v/>
      </c>
      <c r="S14" s="36">
        <f t="shared" si="15"/>
        <v>420</v>
      </c>
      <c r="T14" s="35" t="str">
        <f t="shared" si="16"/>
        <v/>
      </c>
      <c r="U14" s="3">
        <f t="shared" si="0"/>
        <v>0</v>
      </c>
      <c r="V14" s="3">
        <f t="shared" si="1"/>
        <v>0</v>
      </c>
      <c r="W14" s="3">
        <f t="shared" si="2"/>
        <v>0</v>
      </c>
      <c r="X14" s="3">
        <f t="shared" si="3"/>
        <v>0</v>
      </c>
      <c r="Y14" s="3">
        <f>0</f>
        <v>0</v>
      </c>
      <c r="Z14" s="3">
        <f t="shared" si="4"/>
        <v>0</v>
      </c>
      <c r="AA14">
        <f>ROUND(IF(A14=入力!$B$15+1,IF(E14=0,ROUND(C14/MAX(1,S13-A14+1),0),ROUND(-PMT(E14/12,MAX(1,S13-A14+1)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,0)</f>
        <v>93982</v>
      </c>
    </row>
    <row r="15" spans="1:27">
      <c r="A15" s="30">
        <f>10</f>
        <v>10</v>
      </c>
      <c r="B15" s="31">
        <f>EDATE(入力!$B$6,A15-1)</f>
        <v>46508</v>
      </c>
      <c r="C15" s="32">
        <f t="shared" si="5"/>
        <v>34336367</v>
      </c>
      <c r="D15" s="32">
        <f t="shared" si="6"/>
        <v>0</v>
      </c>
      <c r="E15" s="33">
        <f>IF(AND(T14="",A15&lt;=S14),IF(A15&lt;入力!$B$11,入力!$B$10,入力!$B$12),0)</f>
        <v>7.0000000000000001E-3</v>
      </c>
      <c r="F15" s="32">
        <f t="shared" si="7"/>
        <v>20030</v>
      </c>
      <c r="G15" s="32">
        <f>ROUND(IF(NOT(AND(T14="",A15&lt;=S14)),0,IF(A15=入力!$B$15+1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),0)</f>
        <v>93982</v>
      </c>
      <c r="H15" s="32">
        <f t="shared" si="8"/>
        <v>93982</v>
      </c>
      <c r="I15" s="32">
        <f t="shared" si="9"/>
        <v>20030</v>
      </c>
      <c r="J15" s="32">
        <f t="shared" si="10"/>
        <v>0</v>
      </c>
      <c r="K15" s="32">
        <f t="shared" si="11"/>
        <v>0</v>
      </c>
      <c r="L15" s="32">
        <f t="shared" si="12"/>
        <v>73952</v>
      </c>
      <c r="M15" s="32">
        <f>IF(AND(AND(T14="",A15&lt;=S14),A15=入力!$B$15),ROUND(MIN(入力!$B$16,MAX(0,C15-L15)),0),0)</f>
        <v>0</v>
      </c>
      <c r="N15" s="32">
        <f t="shared" si="13"/>
        <v>34262415</v>
      </c>
      <c r="O15" s="32">
        <f t="shared" si="14"/>
        <v>202235</v>
      </c>
      <c r="P15" s="34" t="str">
        <f>IF(NOT(AND(T14="",A15&lt;=S14)),"",IF(A15=入力!$B$15+1,"繰上返済後再計算","")&amp;IF(AND(入力!$B$13="有効",A15&gt;1,MOD(A15-1,60)=0),IF(A15=入力!$B$15+1,"・","")&amp;"5年見直し","")&amp;IF(AND(A15=入力!$B$11,A15&gt;1),IF(OR(A15=入力!$B$15+1,AND(入力!$B$13="有効",A15&gt;1,MOD(A15-1,60)=0)),"・","")&amp;"金利変更","")&amp;IF(AND(OR(AND(入力!$B$13="有効",A15&gt;1,MOD(A15-1,60)=0),AND(A15=入力!$B$11,A15&gt;1)),入力!$B$14="有効",IF(E15=0,ROUND(C15/MAX(1,S14-A15+1),0),ROUND(-PMT(E15/12,MAX(1,S14-A15+1),C15),0))&gt;ROUND(G14*1.25,0),NOT(A15=入力!$B$15+1)),"・上限適用",""))</f>
        <v/>
      </c>
      <c r="Q15" s="35" t="str">
        <f>IF(AND(T14="",A15&lt;=S14),入力!$B$13,"")</f>
        <v>有効</v>
      </c>
      <c r="R15" s="32" t="str">
        <f>IF(AND(AND(T14="",A15&lt;=S14),OR(AND(入力!$B$13="有効",A15&gt;1,MOD(A15-1,60)=0),AND(A15=入力!$B$11,A15&gt;1)),入力!$B$14="有効"),ROUND(G14*1.25,0),"")</f>
        <v/>
      </c>
      <c r="S15" s="36">
        <f t="shared" si="15"/>
        <v>420</v>
      </c>
      <c r="T15" s="35" t="str">
        <f t="shared" si="16"/>
        <v/>
      </c>
      <c r="U15" s="3">
        <f t="shared" si="0"/>
        <v>0</v>
      </c>
      <c r="V15" s="3">
        <f t="shared" si="1"/>
        <v>0</v>
      </c>
      <c r="W15" s="3">
        <f t="shared" si="2"/>
        <v>0</v>
      </c>
      <c r="X15" s="3">
        <f t="shared" si="3"/>
        <v>0</v>
      </c>
      <c r="Y15" s="3">
        <f>0</f>
        <v>0</v>
      </c>
      <c r="Z15" s="3">
        <f t="shared" si="4"/>
        <v>0</v>
      </c>
      <c r="AA15">
        <f>ROUND(IF(A15=入力!$B$15+1,IF(E15=0,ROUND(C15/MAX(1,S14-A15+1),0),ROUND(-PMT(E15/12,MAX(1,S14-A15+1)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,0)</f>
        <v>93982</v>
      </c>
    </row>
    <row r="16" spans="1:27">
      <c r="A16" s="30">
        <f>11</f>
        <v>11</v>
      </c>
      <c r="B16" s="31">
        <f>EDATE(入力!$B$6,A16-1)</f>
        <v>46539</v>
      </c>
      <c r="C16" s="32">
        <f t="shared" si="5"/>
        <v>34262415</v>
      </c>
      <c r="D16" s="32">
        <f t="shared" si="6"/>
        <v>0</v>
      </c>
      <c r="E16" s="33">
        <f>IF(AND(T15="",A16&lt;=S15),IF(A16&lt;入力!$B$11,入力!$B$10,入力!$B$12),0)</f>
        <v>7.0000000000000001E-3</v>
      </c>
      <c r="F16" s="32">
        <f t="shared" si="7"/>
        <v>19986</v>
      </c>
      <c r="G16" s="32">
        <f>ROUND(IF(NOT(AND(T15="",A16&lt;=S15)),0,IF(A16=入力!$B$15+1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),0)</f>
        <v>93982</v>
      </c>
      <c r="H16" s="32">
        <f t="shared" si="8"/>
        <v>93982</v>
      </c>
      <c r="I16" s="32">
        <f t="shared" si="9"/>
        <v>19986</v>
      </c>
      <c r="J16" s="32">
        <f t="shared" si="10"/>
        <v>0</v>
      </c>
      <c r="K16" s="32">
        <f t="shared" si="11"/>
        <v>0</v>
      </c>
      <c r="L16" s="32">
        <f t="shared" si="12"/>
        <v>73996</v>
      </c>
      <c r="M16" s="32">
        <f>IF(AND(AND(T15="",A16&lt;=S15),A16=入力!$B$15),ROUND(MIN(入力!$B$16,MAX(0,C16-L16)),0),0)</f>
        <v>0</v>
      </c>
      <c r="N16" s="32">
        <f t="shared" si="13"/>
        <v>34188419</v>
      </c>
      <c r="O16" s="32">
        <f t="shared" si="14"/>
        <v>222221</v>
      </c>
      <c r="P16" s="34" t="str">
        <f>IF(NOT(AND(T15="",A16&lt;=S15)),"",IF(A16=入力!$B$15+1,"繰上返済後再計算","")&amp;IF(AND(入力!$B$13="有効",A16&gt;1,MOD(A16-1,60)=0),IF(A16=入力!$B$15+1,"・","")&amp;"5年見直し","")&amp;IF(AND(A16=入力!$B$11,A16&gt;1),IF(OR(A16=入力!$B$15+1,AND(入力!$B$13="有効",A16&gt;1,MOD(A16-1,60)=0)),"・","")&amp;"金利変更","")&amp;IF(AND(OR(AND(入力!$B$13="有効",A16&gt;1,MOD(A16-1,60)=0),AND(A16=入力!$B$11,A16&gt;1)),入力!$B$14="有効",IF(E16=0,ROUND(C16/MAX(1,S15-A16+1),0),ROUND(-PMT(E16/12,MAX(1,S15-A16+1),C16),0))&gt;ROUND(G15*1.25,0),NOT(A16=入力!$B$15+1)),"・上限適用",""))</f>
        <v/>
      </c>
      <c r="Q16" s="35" t="str">
        <f>IF(AND(T15="",A16&lt;=S15),入力!$B$13,"")</f>
        <v>有効</v>
      </c>
      <c r="R16" s="32" t="str">
        <f>IF(AND(AND(T15="",A16&lt;=S15),OR(AND(入力!$B$13="有効",A16&gt;1,MOD(A16-1,60)=0),AND(A16=入力!$B$11,A16&gt;1)),入力!$B$14="有効"),ROUND(G15*1.25,0),"")</f>
        <v/>
      </c>
      <c r="S16" s="36">
        <f t="shared" si="15"/>
        <v>420</v>
      </c>
      <c r="T16" s="35" t="str">
        <f t="shared" si="16"/>
        <v/>
      </c>
      <c r="U16" s="3">
        <f t="shared" si="0"/>
        <v>0</v>
      </c>
      <c r="V16" s="3">
        <f t="shared" si="1"/>
        <v>0</v>
      </c>
      <c r="W16" s="3">
        <f t="shared" si="2"/>
        <v>0</v>
      </c>
      <c r="X16" s="3">
        <f t="shared" si="3"/>
        <v>0</v>
      </c>
      <c r="Y16" s="3">
        <f>0</f>
        <v>0</v>
      </c>
      <c r="Z16" s="3">
        <f t="shared" si="4"/>
        <v>0</v>
      </c>
      <c r="AA16">
        <f>ROUND(IF(A16=入力!$B$15+1,IF(E16=0,ROUND(C16/MAX(1,S15-A16+1),0),ROUND(-PMT(E16/12,MAX(1,S15-A16+1)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,0)</f>
        <v>93982</v>
      </c>
    </row>
    <row r="17" spans="1:27">
      <c r="A17" s="30">
        <f>12</f>
        <v>12</v>
      </c>
      <c r="B17" s="31">
        <f>EDATE(入力!$B$6,A17-1)</f>
        <v>46569</v>
      </c>
      <c r="C17" s="32">
        <f t="shared" si="5"/>
        <v>34188419</v>
      </c>
      <c r="D17" s="32">
        <f t="shared" si="6"/>
        <v>0</v>
      </c>
      <c r="E17" s="33">
        <f>IF(AND(T16="",A17&lt;=S16),IF(A17&lt;入力!$B$11,入力!$B$10,入力!$B$12),0)</f>
        <v>7.0000000000000001E-3</v>
      </c>
      <c r="F17" s="32">
        <f t="shared" si="7"/>
        <v>19943</v>
      </c>
      <c r="G17" s="32">
        <f>ROUND(IF(NOT(AND(T16="",A17&lt;=S16)),0,IF(A17=入力!$B$15+1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),0)</f>
        <v>93982</v>
      </c>
      <c r="H17" s="32">
        <f t="shared" si="8"/>
        <v>93982</v>
      </c>
      <c r="I17" s="32">
        <f t="shared" si="9"/>
        <v>19943</v>
      </c>
      <c r="J17" s="32">
        <f t="shared" si="10"/>
        <v>0</v>
      </c>
      <c r="K17" s="32">
        <f t="shared" si="11"/>
        <v>0</v>
      </c>
      <c r="L17" s="32">
        <f t="shared" si="12"/>
        <v>74039</v>
      </c>
      <c r="M17" s="32">
        <f>IF(AND(AND(T16="",A17&lt;=S16),A17=入力!$B$15),ROUND(MIN(入力!$B$16,MAX(0,C17-L17)),0),0)</f>
        <v>0</v>
      </c>
      <c r="N17" s="32">
        <f t="shared" si="13"/>
        <v>34114380</v>
      </c>
      <c r="O17" s="32">
        <f t="shared" si="14"/>
        <v>242164</v>
      </c>
      <c r="P17" s="34" t="str">
        <f>IF(NOT(AND(T16="",A17&lt;=S16)),"",IF(A17=入力!$B$15+1,"繰上返済後再計算","")&amp;IF(AND(入力!$B$13="有効",A17&gt;1,MOD(A17-1,60)=0),IF(A17=入力!$B$15+1,"・","")&amp;"5年見直し","")&amp;IF(AND(A17=入力!$B$11,A17&gt;1),IF(OR(A17=入力!$B$15+1,AND(入力!$B$13="有効",A17&gt;1,MOD(A17-1,60)=0)),"・","")&amp;"金利変更","")&amp;IF(AND(OR(AND(入力!$B$13="有効",A17&gt;1,MOD(A17-1,60)=0),AND(A17=入力!$B$11,A17&gt;1)),入力!$B$14="有効",IF(E17=0,ROUND(C17/MAX(1,S16-A17+1),0),ROUND(-PMT(E17/12,MAX(1,S16-A17+1),C17),0))&gt;ROUND(G16*1.25,0),NOT(A17=入力!$B$15+1)),"・上限適用",""))</f>
        <v/>
      </c>
      <c r="Q17" s="35" t="str">
        <f>IF(AND(T16="",A17&lt;=S16),入力!$B$13,"")</f>
        <v>有効</v>
      </c>
      <c r="R17" s="32" t="str">
        <f>IF(AND(AND(T16="",A17&lt;=S16),OR(AND(入力!$B$13="有効",A17&gt;1,MOD(A17-1,60)=0),AND(A17=入力!$B$11,A17&gt;1)),入力!$B$14="有効"),ROUND(G16*1.25,0),"")</f>
        <v/>
      </c>
      <c r="S17" s="36">
        <f t="shared" si="15"/>
        <v>420</v>
      </c>
      <c r="T17" s="35" t="str">
        <f t="shared" si="16"/>
        <v/>
      </c>
      <c r="U17" s="3">
        <f t="shared" si="0"/>
        <v>0</v>
      </c>
      <c r="V17" s="3">
        <f t="shared" si="1"/>
        <v>0</v>
      </c>
      <c r="W17" s="3">
        <f t="shared" si="2"/>
        <v>0</v>
      </c>
      <c r="X17" s="3">
        <f t="shared" si="3"/>
        <v>0</v>
      </c>
      <c r="Y17" s="3">
        <f>0</f>
        <v>0</v>
      </c>
      <c r="Z17" s="3">
        <f t="shared" si="4"/>
        <v>0</v>
      </c>
      <c r="AA17">
        <f>ROUND(IF(A17=入力!$B$15+1,IF(E17=0,ROUND(C17/MAX(1,S16-A17+1),0),ROUND(-PMT(E17/12,MAX(1,S16-A17+1)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,0)</f>
        <v>93982</v>
      </c>
    </row>
    <row r="18" spans="1:27">
      <c r="A18" s="30">
        <f>13</f>
        <v>13</v>
      </c>
      <c r="B18" s="31">
        <f>EDATE(入力!$B$6,A18-1)</f>
        <v>46600</v>
      </c>
      <c r="C18" s="32">
        <f t="shared" si="5"/>
        <v>34114380</v>
      </c>
      <c r="D18" s="32">
        <f t="shared" si="6"/>
        <v>0</v>
      </c>
      <c r="E18" s="33">
        <f>IF(AND(T17="",A18&lt;=S17),IF(A18&lt;入力!$B$11,入力!$B$10,入力!$B$12),0)</f>
        <v>7.0000000000000001E-3</v>
      </c>
      <c r="F18" s="32">
        <f t="shared" si="7"/>
        <v>19900</v>
      </c>
      <c r="G18" s="32">
        <f>ROUND(IF(NOT(AND(T17="",A18&lt;=S17)),0,IF(A18=入力!$B$15+1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),0)</f>
        <v>93982</v>
      </c>
      <c r="H18" s="32">
        <f t="shared" si="8"/>
        <v>93982</v>
      </c>
      <c r="I18" s="32">
        <f t="shared" si="9"/>
        <v>19900</v>
      </c>
      <c r="J18" s="32">
        <f t="shared" si="10"/>
        <v>0</v>
      </c>
      <c r="K18" s="32">
        <f t="shared" si="11"/>
        <v>0</v>
      </c>
      <c r="L18" s="32">
        <f t="shared" si="12"/>
        <v>74082</v>
      </c>
      <c r="M18" s="32">
        <f>IF(AND(AND(T17="",A18&lt;=S17),A18=入力!$B$15),ROUND(MIN(入力!$B$16,MAX(0,C18-L18)),0),0)</f>
        <v>0</v>
      </c>
      <c r="N18" s="32">
        <f t="shared" si="13"/>
        <v>34040298</v>
      </c>
      <c r="O18" s="32">
        <f t="shared" si="14"/>
        <v>262064</v>
      </c>
      <c r="P18" s="34" t="str">
        <f>IF(NOT(AND(T17="",A18&lt;=S17)),"",IF(A18=入力!$B$15+1,"繰上返済後再計算","")&amp;IF(AND(入力!$B$13="有効",A18&gt;1,MOD(A18-1,60)=0),IF(A18=入力!$B$15+1,"・","")&amp;"5年見直し","")&amp;IF(AND(A18=入力!$B$11,A18&gt;1),IF(OR(A18=入力!$B$15+1,AND(入力!$B$13="有効",A18&gt;1,MOD(A18-1,60)=0)),"・","")&amp;"金利変更","")&amp;IF(AND(OR(AND(入力!$B$13="有効",A18&gt;1,MOD(A18-1,60)=0),AND(A18=入力!$B$11,A18&gt;1)),入力!$B$14="有効",IF(E18=0,ROUND(C18/MAX(1,S17-A18+1),0),ROUND(-PMT(E18/12,MAX(1,S17-A18+1),C18),0))&gt;ROUND(G17*1.25,0),NOT(A18=入力!$B$15+1)),"・上限適用",""))</f>
        <v/>
      </c>
      <c r="Q18" s="35" t="str">
        <f>IF(AND(T17="",A18&lt;=S17),入力!$B$13,"")</f>
        <v>有効</v>
      </c>
      <c r="R18" s="32" t="str">
        <f>IF(AND(AND(T17="",A18&lt;=S17),OR(AND(入力!$B$13="有効",A18&gt;1,MOD(A18-1,60)=0),AND(A18=入力!$B$11,A18&gt;1)),入力!$B$14="有効"),ROUND(G17*1.25,0),"")</f>
        <v/>
      </c>
      <c r="S18" s="36">
        <f t="shared" si="15"/>
        <v>420</v>
      </c>
      <c r="T18" s="35" t="str">
        <f t="shared" si="16"/>
        <v/>
      </c>
      <c r="U18" s="3">
        <f t="shared" si="0"/>
        <v>0</v>
      </c>
      <c r="V18" s="3">
        <f t="shared" si="1"/>
        <v>0</v>
      </c>
      <c r="W18" s="3">
        <f t="shared" si="2"/>
        <v>0</v>
      </c>
      <c r="X18" s="3">
        <f t="shared" si="3"/>
        <v>0</v>
      </c>
      <c r="Y18" s="3">
        <f>0</f>
        <v>0</v>
      </c>
      <c r="Z18" s="3">
        <f t="shared" si="4"/>
        <v>0</v>
      </c>
      <c r="AA18">
        <f>ROUND(IF(A18=入力!$B$15+1,IF(E18=0,ROUND(C18/MAX(1,S17-A18+1),0),ROUND(-PMT(E18/12,MAX(1,S17-A18+1)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,0)</f>
        <v>93982</v>
      </c>
    </row>
    <row r="19" spans="1:27">
      <c r="A19" s="30">
        <f>14</f>
        <v>14</v>
      </c>
      <c r="B19" s="31">
        <f>EDATE(入力!$B$6,A19-1)</f>
        <v>46631</v>
      </c>
      <c r="C19" s="32">
        <f t="shared" si="5"/>
        <v>34040298</v>
      </c>
      <c r="D19" s="32">
        <f t="shared" si="6"/>
        <v>0</v>
      </c>
      <c r="E19" s="33">
        <f>IF(AND(T18="",A19&lt;=S18),IF(A19&lt;入力!$B$11,入力!$B$10,入力!$B$12),0)</f>
        <v>7.0000000000000001E-3</v>
      </c>
      <c r="F19" s="32">
        <f t="shared" si="7"/>
        <v>19857</v>
      </c>
      <c r="G19" s="32">
        <f>ROUND(IF(NOT(AND(T18="",A19&lt;=S18)),0,IF(A19=入力!$B$15+1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),0)</f>
        <v>93982</v>
      </c>
      <c r="H19" s="32">
        <f t="shared" si="8"/>
        <v>93982</v>
      </c>
      <c r="I19" s="32">
        <f t="shared" si="9"/>
        <v>19857</v>
      </c>
      <c r="J19" s="32">
        <f t="shared" si="10"/>
        <v>0</v>
      </c>
      <c r="K19" s="32">
        <f t="shared" si="11"/>
        <v>0</v>
      </c>
      <c r="L19" s="32">
        <f t="shared" si="12"/>
        <v>74125</v>
      </c>
      <c r="M19" s="32">
        <f>IF(AND(AND(T18="",A19&lt;=S18),A19=入力!$B$15),ROUND(MIN(入力!$B$16,MAX(0,C19-L19)),0),0)</f>
        <v>0</v>
      </c>
      <c r="N19" s="32">
        <f t="shared" si="13"/>
        <v>33966173</v>
      </c>
      <c r="O19" s="32">
        <f t="shared" si="14"/>
        <v>281921</v>
      </c>
      <c r="P19" s="34" t="str">
        <f>IF(NOT(AND(T18="",A19&lt;=S18)),"",IF(A19=入力!$B$15+1,"繰上返済後再計算","")&amp;IF(AND(入力!$B$13="有効",A19&gt;1,MOD(A19-1,60)=0),IF(A19=入力!$B$15+1,"・","")&amp;"5年見直し","")&amp;IF(AND(A19=入力!$B$11,A19&gt;1),IF(OR(A19=入力!$B$15+1,AND(入力!$B$13="有効",A19&gt;1,MOD(A19-1,60)=0)),"・","")&amp;"金利変更","")&amp;IF(AND(OR(AND(入力!$B$13="有効",A19&gt;1,MOD(A19-1,60)=0),AND(A19=入力!$B$11,A19&gt;1)),入力!$B$14="有効",IF(E19=0,ROUND(C19/MAX(1,S18-A19+1),0),ROUND(-PMT(E19/12,MAX(1,S18-A19+1),C19),0))&gt;ROUND(G18*1.25,0),NOT(A19=入力!$B$15+1)),"・上限適用",""))</f>
        <v/>
      </c>
      <c r="Q19" s="35" t="str">
        <f>IF(AND(T18="",A19&lt;=S18),入力!$B$13,"")</f>
        <v>有効</v>
      </c>
      <c r="R19" s="32" t="str">
        <f>IF(AND(AND(T18="",A19&lt;=S18),OR(AND(入力!$B$13="有効",A19&gt;1,MOD(A19-1,60)=0),AND(A19=入力!$B$11,A19&gt;1)),入力!$B$14="有効"),ROUND(G18*1.25,0),"")</f>
        <v/>
      </c>
      <c r="S19" s="36">
        <f t="shared" si="15"/>
        <v>420</v>
      </c>
      <c r="T19" s="35" t="str">
        <f t="shared" si="16"/>
        <v/>
      </c>
      <c r="U19" s="3">
        <f t="shared" si="0"/>
        <v>0</v>
      </c>
      <c r="V19" s="3">
        <f t="shared" si="1"/>
        <v>0</v>
      </c>
      <c r="W19" s="3">
        <f t="shared" si="2"/>
        <v>0</v>
      </c>
      <c r="X19" s="3">
        <f t="shared" si="3"/>
        <v>0</v>
      </c>
      <c r="Y19" s="3">
        <f>0</f>
        <v>0</v>
      </c>
      <c r="Z19" s="3">
        <f t="shared" si="4"/>
        <v>0</v>
      </c>
      <c r="AA19">
        <f>ROUND(IF(A19=入力!$B$15+1,IF(E19=0,ROUND(C19/MAX(1,S18-A19+1),0),ROUND(-PMT(E19/12,MAX(1,S18-A19+1)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,0)</f>
        <v>93982</v>
      </c>
    </row>
    <row r="20" spans="1:27">
      <c r="A20" s="30">
        <f>15</f>
        <v>15</v>
      </c>
      <c r="B20" s="31">
        <f>EDATE(入力!$B$6,A20-1)</f>
        <v>46661</v>
      </c>
      <c r="C20" s="32">
        <f t="shared" si="5"/>
        <v>33966173</v>
      </c>
      <c r="D20" s="32">
        <f t="shared" si="6"/>
        <v>0</v>
      </c>
      <c r="E20" s="33">
        <f>IF(AND(T19="",A20&lt;=S19),IF(A20&lt;入力!$B$11,入力!$B$10,入力!$B$12),0)</f>
        <v>7.0000000000000001E-3</v>
      </c>
      <c r="F20" s="32">
        <f t="shared" si="7"/>
        <v>19814</v>
      </c>
      <c r="G20" s="32">
        <f>ROUND(IF(NOT(AND(T19="",A20&lt;=S19)),0,IF(A20=入力!$B$15+1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),0)</f>
        <v>93982</v>
      </c>
      <c r="H20" s="32">
        <f t="shared" si="8"/>
        <v>93982</v>
      </c>
      <c r="I20" s="32">
        <f t="shared" si="9"/>
        <v>19814</v>
      </c>
      <c r="J20" s="32">
        <f t="shared" si="10"/>
        <v>0</v>
      </c>
      <c r="K20" s="32">
        <f t="shared" si="11"/>
        <v>0</v>
      </c>
      <c r="L20" s="32">
        <f t="shared" si="12"/>
        <v>74168</v>
      </c>
      <c r="M20" s="32">
        <f>IF(AND(AND(T19="",A20&lt;=S19),A20=入力!$B$15),ROUND(MIN(入力!$B$16,MAX(0,C20-L20)),0),0)</f>
        <v>0</v>
      </c>
      <c r="N20" s="32">
        <f t="shared" si="13"/>
        <v>33892005</v>
      </c>
      <c r="O20" s="32">
        <f t="shared" si="14"/>
        <v>301735</v>
      </c>
      <c r="P20" s="34" t="str">
        <f>IF(NOT(AND(T19="",A20&lt;=S19)),"",IF(A20=入力!$B$15+1,"繰上返済後再計算","")&amp;IF(AND(入力!$B$13="有効",A20&gt;1,MOD(A20-1,60)=0),IF(A20=入力!$B$15+1,"・","")&amp;"5年見直し","")&amp;IF(AND(A20=入力!$B$11,A20&gt;1),IF(OR(A20=入力!$B$15+1,AND(入力!$B$13="有効",A20&gt;1,MOD(A20-1,60)=0)),"・","")&amp;"金利変更","")&amp;IF(AND(OR(AND(入力!$B$13="有効",A20&gt;1,MOD(A20-1,60)=0),AND(A20=入力!$B$11,A20&gt;1)),入力!$B$14="有効",IF(E20=0,ROUND(C20/MAX(1,S19-A20+1),0),ROUND(-PMT(E20/12,MAX(1,S19-A20+1),C20),0))&gt;ROUND(G19*1.25,0),NOT(A20=入力!$B$15+1)),"・上限適用",""))</f>
        <v/>
      </c>
      <c r="Q20" s="35" t="str">
        <f>IF(AND(T19="",A20&lt;=S19),入力!$B$13,"")</f>
        <v>有効</v>
      </c>
      <c r="R20" s="32" t="str">
        <f>IF(AND(AND(T19="",A20&lt;=S19),OR(AND(入力!$B$13="有効",A20&gt;1,MOD(A20-1,60)=0),AND(A20=入力!$B$11,A20&gt;1)),入力!$B$14="有効"),ROUND(G19*1.25,0),"")</f>
        <v/>
      </c>
      <c r="S20" s="36">
        <f t="shared" si="15"/>
        <v>420</v>
      </c>
      <c r="T20" s="35" t="str">
        <f t="shared" si="16"/>
        <v/>
      </c>
      <c r="U20" s="3">
        <f t="shared" si="0"/>
        <v>0</v>
      </c>
      <c r="V20" s="3">
        <f t="shared" si="1"/>
        <v>0</v>
      </c>
      <c r="W20" s="3">
        <f t="shared" si="2"/>
        <v>0</v>
      </c>
      <c r="X20" s="3">
        <f t="shared" si="3"/>
        <v>0</v>
      </c>
      <c r="Y20" s="3">
        <f>0</f>
        <v>0</v>
      </c>
      <c r="Z20" s="3">
        <f t="shared" si="4"/>
        <v>0</v>
      </c>
      <c r="AA20">
        <f>ROUND(IF(A20=入力!$B$15+1,IF(E20=0,ROUND(C20/MAX(1,S19-A20+1),0),ROUND(-PMT(E20/12,MAX(1,S19-A20+1)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,0)</f>
        <v>93982</v>
      </c>
    </row>
    <row r="21" spans="1:27">
      <c r="A21" s="30">
        <f>16</f>
        <v>16</v>
      </c>
      <c r="B21" s="31">
        <f>EDATE(入力!$B$6,A21-1)</f>
        <v>46692</v>
      </c>
      <c r="C21" s="32">
        <f t="shared" si="5"/>
        <v>33892005</v>
      </c>
      <c r="D21" s="32">
        <f t="shared" si="6"/>
        <v>0</v>
      </c>
      <c r="E21" s="33">
        <f>IF(AND(T20="",A21&lt;=S20),IF(A21&lt;入力!$B$11,入力!$B$10,入力!$B$12),0)</f>
        <v>7.0000000000000001E-3</v>
      </c>
      <c r="F21" s="32">
        <f t="shared" si="7"/>
        <v>19770</v>
      </c>
      <c r="G21" s="32">
        <f>ROUND(IF(NOT(AND(T20="",A21&lt;=S20)),0,IF(A21=入力!$B$15+1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),0)</f>
        <v>93982</v>
      </c>
      <c r="H21" s="32">
        <f t="shared" si="8"/>
        <v>93982</v>
      </c>
      <c r="I21" s="32">
        <f t="shared" si="9"/>
        <v>19770</v>
      </c>
      <c r="J21" s="32">
        <f t="shared" si="10"/>
        <v>0</v>
      </c>
      <c r="K21" s="32">
        <f t="shared" si="11"/>
        <v>0</v>
      </c>
      <c r="L21" s="32">
        <f t="shared" si="12"/>
        <v>74212</v>
      </c>
      <c r="M21" s="32">
        <f>IF(AND(AND(T20="",A21&lt;=S20),A21=入力!$B$15),ROUND(MIN(入力!$B$16,MAX(0,C21-L21)),0),0)</f>
        <v>0</v>
      </c>
      <c r="N21" s="32">
        <f t="shared" si="13"/>
        <v>33817793</v>
      </c>
      <c r="O21" s="32">
        <f t="shared" si="14"/>
        <v>321505</v>
      </c>
      <c r="P21" s="34" t="str">
        <f>IF(NOT(AND(T20="",A21&lt;=S20)),"",IF(A21=入力!$B$15+1,"繰上返済後再計算","")&amp;IF(AND(入力!$B$13="有効",A21&gt;1,MOD(A21-1,60)=0),IF(A21=入力!$B$15+1,"・","")&amp;"5年見直し","")&amp;IF(AND(A21=入力!$B$11,A21&gt;1),IF(OR(A21=入力!$B$15+1,AND(入力!$B$13="有効",A21&gt;1,MOD(A21-1,60)=0)),"・","")&amp;"金利変更","")&amp;IF(AND(OR(AND(入力!$B$13="有効",A21&gt;1,MOD(A21-1,60)=0),AND(A21=入力!$B$11,A21&gt;1)),入力!$B$14="有効",IF(E21=0,ROUND(C21/MAX(1,S20-A21+1),0),ROUND(-PMT(E21/12,MAX(1,S20-A21+1),C21),0))&gt;ROUND(G20*1.25,0),NOT(A21=入力!$B$15+1)),"・上限適用",""))</f>
        <v/>
      </c>
      <c r="Q21" s="35" t="str">
        <f>IF(AND(T20="",A21&lt;=S20),入力!$B$13,"")</f>
        <v>有効</v>
      </c>
      <c r="R21" s="32" t="str">
        <f>IF(AND(AND(T20="",A21&lt;=S20),OR(AND(入力!$B$13="有効",A21&gt;1,MOD(A21-1,60)=0),AND(A21=入力!$B$11,A21&gt;1)),入力!$B$14="有効"),ROUND(G20*1.25,0),"")</f>
        <v/>
      </c>
      <c r="S21" s="36">
        <f t="shared" si="15"/>
        <v>420</v>
      </c>
      <c r="T21" s="35" t="str">
        <f t="shared" si="16"/>
        <v/>
      </c>
      <c r="U21" s="3">
        <f t="shared" si="0"/>
        <v>0</v>
      </c>
      <c r="V21" s="3">
        <f t="shared" si="1"/>
        <v>0</v>
      </c>
      <c r="W21" s="3">
        <f t="shared" si="2"/>
        <v>0</v>
      </c>
      <c r="X21" s="3">
        <f t="shared" si="3"/>
        <v>0</v>
      </c>
      <c r="Y21" s="3">
        <f>0</f>
        <v>0</v>
      </c>
      <c r="Z21" s="3">
        <f t="shared" si="4"/>
        <v>0</v>
      </c>
      <c r="AA21">
        <f>ROUND(IF(A21=入力!$B$15+1,IF(E21=0,ROUND(C21/MAX(1,S20-A21+1),0),ROUND(-PMT(E21/12,MAX(1,S20-A21+1)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,0)</f>
        <v>93982</v>
      </c>
    </row>
    <row r="22" spans="1:27">
      <c r="A22" s="30">
        <f>17</f>
        <v>17</v>
      </c>
      <c r="B22" s="31">
        <f>EDATE(入力!$B$6,A22-1)</f>
        <v>46722</v>
      </c>
      <c r="C22" s="32">
        <f t="shared" si="5"/>
        <v>33817793</v>
      </c>
      <c r="D22" s="32">
        <f t="shared" si="6"/>
        <v>0</v>
      </c>
      <c r="E22" s="33">
        <f>IF(AND(T21="",A22&lt;=S21),IF(A22&lt;入力!$B$11,入力!$B$10,入力!$B$12),0)</f>
        <v>7.0000000000000001E-3</v>
      </c>
      <c r="F22" s="32">
        <f t="shared" si="7"/>
        <v>19727</v>
      </c>
      <c r="G22" s="32">
        <f>ROUND(IF(NOT(AND(T21="",A22&lt;=S21)),0,IF(A22=入力!$B$15+1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),0)</f>
        <v>93982</v>
      </c>
      <c r="H22" s="32">
        <f t="shared" si="8"/>
        <v>93982</v>
      </c>
      <c r="I22" s="32">
        <f t="shared" si="9"/>
        <v>19727</v>
      </c>
      <c r="J22" s="32">
        <f t="shared" si="10"/>
        <v>0</v>
      </c>
      <c r="K22" s="32">
        <f t="shared" si="11"/>
        <v>0</v>
      </c>
      <c r="L22" s="32">
        <f t="shared" si="12"/>
        <v>74255</v>
      </c>
      <c r="M22" s="32">
        <f>IF(AND(AND(T21="",A22&lt;=S21),A22=入力!$B$15),ROUND(MIN(入力!$B$16,MAX(0,C22-L22)),0),0)</f>
        <v>0</v>
      </c>
      <c r="N22" s="32">
        <f t="shared" si="13"/>
        <v>33743538</v>
      </c>
      <c r="O22" s="32">
        <f t="shared" si="14"/>
        <v>341232</v>
      </c>
      <c r="P22" s="34" t="str">
        <f>IF(NOT(AND(T21="",A22&lt;=S21)),"",IF(A22=入力!$B$15+1,"繰上返済後再計算","")&amp;IF(AND(入力!$B$13="有効",A22&gt;1,MOD(A22-1,60)=0),IF(A22=入力!$B$15+1,"・","")&amp;"5年見直し","")&amp;IF(AND(A22=入力!$B$11,A22&gt;1),IF(OR(A22=入力!$B$15+1,AND(入力!$B$13="有効",A22&gt;1,MOD(A22-1,60)=0)),"・","")&amp;"金利変更","")&amp;IF(AND(OR(AND(入力!$B$13="有効",A22&gt;1,MOD(A22-1,60)=0),AND(A22=入力!$B$11,A22&gt;1)),入力!$B$14="有効",IF(E22=0,ROUND(C22/MAX(1,S21-A22+1),0),ROUND(-PMT(E22/12,MAX(1,S21-A22+1),C22),0))&gt;ROUND(G21*1.25,0),NOT(A22=入力!$B$15+1)),"・上限適用",""))</f>
        <v/>
      </c>
      <c r="Q22" s="35" t="str">
        <f>IF(AND(T21="",A22&lt;=S21),入力!$B$13,"")</f>
        <v>有効</v>
      </c>
      <c r="R22" s="32" t="str">
        <f>IF(AND(AND(T21="",A22&lt;=S21),OR(AND(入力!$B$13="有効",A22&gt;1,MOD(A22-1,60)=0),AND(A22=入力!$B$11,A22&gt;1)),入力!$B$14="有効"),ROUND(G21*1.25,0),"")</f>
        <v/>
      </c>
      <c r="S22" s="36">
        <f t="shared" si="15"/>
        <v>420</v>
      </c>
      <c r="T22" s="35" t="str">
        <f t="shared" si="16"/>
        <v/>
      </c>
      <c r="U22" s="3">
        <f t="shared" si="0"/>
        <v>0</v>
      </c>
      <c r="V22" s="3">
        <f t="shared" si="1"/>
        <v>0</v>
      </c>
      <c r="W22" s="3">
        <f t="shared" si="2"/>
        <v>0</v>
      </c>
      <c r="X22" s="3">
        <f t="shared" si="3"/>
        <v>0</v>
      </c>
      <c r="Y22" s="3">
        <f>0</f>
        <v>0</v>
      </c>
      <c r="Z22" s="3">
        <f t="shared" si="4"/>
        <v>0</v>
      </c>
      <c r="AA22">
        <f>ROUND(IF(A22=入力!$B$15+1,IF(E22=0,ROUND(C22/MAX(1,S21-A22+1),0),ROUND(-PMT(E22/12,MAX(1,S21-A22+1)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,0)</f>
        <v>93982</v>
      </c>
    </row>
    <row r="23" spans="1:27">
      <c r="A23" s="30">
        <f>18</f>
        <v>18</v>
      </c>
      <c r="B23" s="31">
        <f>EDATE(入力!$B$6,A23-1)</f>
        <v>46753</v>
      </c>
      <c r="C23" s="32">
        <f t="shared" si="5"/>
        <v>33743538</v>
      </c>
      <c r="D23" s="32">
        <f t="shared" si="6"/>
        <v>0</v>
      </c>
      <c r="E23" s="33">
        <f>IF(AND(T22="",A23&lt;=S22),IF(A23&lt;入力!$B$11,入力!$B$10,入力!$B$12),0)</f>
        <v>7.0000000000000001E-3</v>
      </c>
      <c r="F23" s="32">
        <f t="shared" si="7"/>
        <v>19684</v>
      </c>
      <c r="G23" s="32">
        <f>ROUND(IF(NOT(AND(T22="",A23&lt;=S22)),0,IF(A23=入力!$B$15+1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),0)</f>
        <v>93982</v>
      </c>
      <c r="H23" s="32">
        <f t="shared" si="8"/>
        <v>93982</v>
      </c>
      <c r="I23" s="32">
        <f t="shared" si="9"/>
        <v>19684</v>
      </c>
      <c r="J23" s="32">
        <f t="shared" si="10"/>
        <v>0</v>
      </c>
      <c r="K23" s="32">
        <f t="shared" si="11"/>
        <v>0</v>
      </c>
      <c r="L23" s="32">
        <f t="shared" si="12"/>
        <v>74298</v>
      </c>
      <c r="M23" s="32">
        <f>IF(AND(AND(T22="",A23&lt;=S22),A23=入力!$B$15),ROUND(MIN(入力!$B$16,MAX(0,C23-L23)),0),0)</f>
        <v>0</v>
      </c>
      <c r="N23" s="32">
        <f t="shared" si="13"/>
        <v>33669240</v>
      </c>
      <c r="O23" s="32">
        <f t="shared" si="14"/>
        <v>360916</v>
      </c>
      <c r="P23" s="34" t="str">
        <f>IF(NOT(AND(T22="",A23&lt;=S22)),"",IF(A23=入力!$B$15+1,"繰上返済後再計算","")&amp;IF(AND(入力!$B$13="有効",A23&gt;1,MOD(A23-1,60)=0),IF(A23=入力!$B$15+1,"・","")&amp;"5年見直し","")&amp;IF(AND(A23=入力!$B$11,A23&gt;1),IF(OR(A23=入力!$B$15+1,AND(入力!$B$13="有効",A23&gt;1,MOD(A23-1,60)=0)),"・","")&amp;"金利変更","")&amp;IF(AND(OR(AND(入力!$B$13="有効",A23&gt;1,MOD(A23-1,60)=0),AND(A23=入力!$B$11,A23&gt;1)),入力!$B$14="有効",IF(E23=0,ROUND(C23/MAX(1,S22-A23+1),0),ROUND(-PMT(E23/12,MAX(1,S22-A23+1),C23),0))&gt;ROUND(G22*1.25,0),NOT(A23=入力!$B$15+1)),"・上限適用",""))</f>
        <v/>
      </c>
      <c r="Q23" s="35" t="str">
        <f>IF(AND(T22="",A23&lt;=S22),入力!$B$13,"")</f>
        <v>有効</v>
      </c>
      <c r="R23" s="32" t="str">
        <f>IF(AND(AND(T22="",A23&lt;=S22),OR(AND(入力!$B$13="有効",A23&gt;1,MOD(A23-1,60)=0),AND(A23=入力!$B$11,A23&gt;1)),入力!$B$14="有効"),ROUND(G22*1.25,0),"")</f>
        <v/>
      </c>
      <c r="S23" s="36">
        <f t="shared" si="15"/>
        <v>420</v>
      </c>
      <c r="T23" s="35" t="str">
        <f t="shared" si="16"/>
        <v/>
      </c>
      <c r="U23" s="3">
        <f t="shared" si="0"/>
        <v>0</v>
      </c>
      <c r="V23" s="3">
        <f t="shared" si="1"/>
        <v>0</v>
      </c>
      <c r="W23" s="3">
        <f t="shared" si="2"/>
        <v>0</v>
      </c>
      <c r="X23" s="3">
        <f t="shared" si="3"/>
        <v>0</v>
      </c>
      <c r="Y23" s="3">
        <f>0</f>
        <v>0</v>
      </c>
      <c r="Z23" s="3">
        <f t="shared" si="4"/>
        <v>0</v>
      </c>
      <c r="AA23">
        <f>ROUND(IF(A23=入力!$B$15+1,IF(E23=0,ROUND(C23/MAX(1,S22-A23+1),0),ROUND(-PMT(E23/12,MAX(1,S22-A23+1)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,0)</f>
        <v>93982</v>
      </c>
    </row>
    <row r="24" spans="1:27">
      <c r="A24" s="30">
        <f>19</f>
        <v>19</v>
      </c>
      <c r="B24" s="31">
        <f>EDATE(入力!$B$6,A24-1)</f>
        <v>46784</v>
      </c>
      <c r="C24" s="32">
        <f t="shared" si="5"/>
        <v>33669240</v>
      </c>
      <c r="D24" s="32">
        <f t="shared" si="6"/>
        <v>0</v>
      </c>
      <c r="E24" s="33">
        <f>IF(AND(T23="",A24&lt;=S23),IF(A24&lt;入力!$B$11,入力!$B$10,入力!$B$12),0)</f>
        <v>7.0000000000000001E-3</v>
      </c>
      <c r="F24" s="32">
        <f t="shared" si="7"/>
        <v>19640</v>
      </c>
      <c r="G24" s="32">
        <f>ROUND(IF(NOT(AND(T23="",A24&lt;=S23)),0,IF(A24=入力!$B$15+1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),0)</f>
        <v>93982</v>
      </c>
      <c r="H24" s="32">
        <f t="shared" si="8"/>
        <v>93982</v>
      </c>
      <c r="I24" s="32">
        <f t="shared" si="9"/>
        <v>19640</v>
      </c>
      <c r="J24" s="32">
        <f t="shared" si="10"/>
        <v>0</v>
      </c>
      <c r="K24" s="32">
        <f t="shared" si="11"/>
        <v>0</v>
      </c>
      <c r="L24" s="32">
        <f t="shared" si="12"/>
        <v>74342</v>
      </c>
      <c r="M24" s="32">
        <f>IF(AND(AND(T23="",A24&lt;=S23),A24=入力!$B$15),ROUND(MIN(入力!$B$16,MAX(0,C24-L24)),0),0)</f>
        <v>0</v>
      </c>
      <c r="N24" s="32">
        <f t="shared" si="13"/>
        <v>33594898</v>
      </c>
      <c r="O24" s="32">
        <f t="shared" si="14"/>
        <v>380556</v>
      </c>
      <c r="P24" s="34" t="str">
        <f>IF(NOT(AND(T23="",A24&lt;=S23)),"",IF(A24=入力!$B$15+1,"繰上返済後再計算","")&amp;IF(AND(入力!$B$13="有効",A24&gt;1,MOD(A24-1,60)=0),IF(A24=入力!$B$15+1,"・","")&amp;"5年見直し","")&amp;IF(AND(A24=入力!$B$11,A24&gt;1),IF(OR(A24=入力!$B$15+1,AND(入力!$B$13="有効",A24&gt;1,MOD(A24-1,60)=0)),"・","")&amp;"金利変更","")&amp;IF(AND(OR(AND(入力!$B$13="有効",A24&gt;1,MOD(A24-1,60)=0),AND(A24=入力!$B$11,A24&gt;1)),入力!$B$14="有効",IF(E24=0,ROUND(C24/MAX(1,S23-A24+1),0),ROUND(-PMT(E24/12,MAX(1,S23-A24+1),C24),0))&gt;ROUND(G23*1.25,0),NOT(A24=入力!$B$15+1)),"・上限適用",""))</f>
        <v/>
      </c>
      <c r="Q24" s="35" t="str">
        <f>IF(AND(T23="",A24&lt;=S23),入力!$B$13,"")</f>
        <v>有効</v>
      </c>
      <c r="R24" s="32" t="str">
        <f>IF(AND(AND(T23="",A24&lt;=S23),OR(AND(入力!$B$13="有効",A24&gt;1,MOD(A24-1,60)=0),AND(A24=入力!$B$11,A24&gt;1)),入力!$B$14="有効"),ROUND(G23*1.25,0),"")</f>
        <v/>
      </c>
      <c r="S24" s="36">
        <f t="shared" si="15"/>
        <v>420</v>
      </c>
      <c r="T24" s="35" t="str">
        <f t="shared" si="16"/>
        <v/>
      </c>
      <c r="U24" s="3">
        <f t="shared" si="0"/>
        <v>0</v>
      </c>
      <c r="V24" s="3">
        <f t="shared" si="1"/>
        <v>0</v>
      </c>
      <c r="W24" s="3">
        <f t="shared" si="2"/>
        <v>0</v>
      </c>
      <c r="X24" s="3">
        <f t="shared" si="3"/>
        <v>0</v>
      </c>
      <c r="Y24" s="3">
        <f>0</f>
        <v>0</v>
      </c>
      <c r="Z24" s="3">
        <f t="shared" si="4"/>
        <v>0</v>
      </c>
      <c r="AA24">
        <f>ROUND(IF(A24=入力!$B$15+1,IF(E24=0,ROUND(C24/MAX(1,S23-A24+1),0),ROUND(-PMT(E24/12,MAX(1,S23-A24+1)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,0)</f>
        <v>93982</v>
      </c>
    </row>
    <row r="25" spans="1:27">
      <c r="A25" s="30">
        <f>20</f>
        <v>20</v>
      </c>
      <c r="B25" s="31">
        <f>EDATE(入力!$B$6,A25-1)</f>
        <v>46813</v>
      </c>
      <c r="C25" s="32">
        <f t="shared" si="5"/>
        <v>33594898</v>
      </c>
      <c r="D25" s="32">
        <f t="shared" si="6"/>
        <v>0</v>
      </c>
      <c r="E25" s="33">
        <f>IF(AND(T24="",A25&lt;=S24),IF(A25&lt;入力!$B$11,入力!$B$10,入力!$B$12),0)</f>
        <v>7.0000000000000001E-3</v>
      </c>
      <c r="F25" s="32">
        <f t="shared" si="7"/>
        <v>19597</v>
      </c>
      <c r="G25" s="32">
        <f>ROUND(IF(NOT(AND(T24="",A25&lt;=S24)),0,IF(A25=入力!$B$15+1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),0)</f>
        <v>93982</v>
      </c>
      <c r="H25" s="32">
        <f t="shared" si="8"/>
        <v>93982</v>
      </c>
      <c r="I25" s="32">
        <f t="shared" si="9"/>
        <v>19597</v>
      </c>
      <c r="J25" s="32">
        <f t="shared" si="10"/>
        <v>0</v>
      </c>
      <c r="K25" s="32">
        <f t="shared" si="11"/>
        <v>0</v>
      </c>
      <c r="L25" s="32">
        <f t="shared" si="12"/>
        <v>74385</v>
      </c>
      <c r="M25" s="32">
        <f>IF(AND(AND(T24="",A25&lt;=S24),A25=入力!$B$15),ROUND(MIN(入力!$B$16,MAX(0,C25-L25)),0),0)</f>
        <v>0</v>
      </c>
      <c r="N25" s="32">
        <f t="shared" si="13"/>
        <v>33520513</v>
      </c>
      <c r="O25" s="32">
        <f t="shared" si="14"/>
        <v>400153</v>
      </c>
      <c r="P25" s="34" t="str">
        <f>IF(NOT(AND(T24="",A25&lt;=S24)),"",IF(A25=入力!$B$15+1,"繰上返済後再計算","")&amp;IF(AND(入力!$B$13="有効",A25&gt;1,MOD(A25-1,60)=0),IF(A25=入力!$B$15+1,"・","")&amp;"5年見直し","")&amp;IF(AND(A25=入力!$B$11,A25&gt;1),IF(OR(A25=入力!$B$15+1,AND(入力!$B$13="有効",A25&gt;1,MOD(A25-1,60)=0)),"・","")&amp;"金利変更","")&amp;IF(AND(OR(AND(入力!$B$13="有効",A25&gt;1,MOD(A25-1,60)=0),AND(A25=入力!$B$11,A25&gt;1)),入力!$B$14="有効",IF(E25=0,ROUND(C25/MAX(1,S24-A25+1),0),ROUND(-PMT(E25/12,MAX(1,S24-A25+1),C25),0))&gt;ROUND(G24*1.25,0),NOT(A25=入力!$B$15+1)),"・上限適用",""))</f>
        <v/>
      </c>
      <c r="Q25" s="35" t="str">
        <f>IF(AND(T24="",A25&lt;=S24),入力!$B$13,"")</f>
        <v>有効</v>
      </c>
      <c r="R25" s="32" t="str">
        <f>IF(AND(AND(T24="",A25&lt;=S24),OR(AND(入力!$B$13="有効",A25&gt;1,MOD(A25-1,60)=0),AND(A25=入力!$B$11,A25&gt;1)),入力!$B$14="有効"),ROUND(G24*1.25,0),"")</f>
        <v/>
      </c>
      <c r="S25" s="36">
        <f t="shared" si="15"/>
        <v>420</v>
      </c>
      <c r="T25" s="35" t="str">
        <f t="shared" si="16"/>
        <v/>
      </c>
      <c r="U25" s="3">
        <f t="shared" si="0"/>
        <v>0</v>
      </c>
      <c r="V25" s="3">
        <f t="shared" si="1"/>
        <v>0</v>
      </c>
      <c r="W25" s="3">
        <f t="shared" si="2"/>
        <v>0</v>
      </c>
      <c r="X25" s="3">
        <f t="shared" si="3"/>
        <v>0</v>
      </c>
      <c r="Y25" s="3">
        <f>0</f>
        <v>0</v>
      </c>
      <c r="Z25" s="3">
        <f t="shared" si="4"/>
        <v>0</v>
      </c>
      <c r="AA25">
        <f>ROUND(IF(A25=入力!$B$15+1,IF(E25=0,ROUND(C25/MAX(1,S24-A25+1),0),ROUND(-PMT(E25/12,MAX(1,S24-A25+1)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,0)</f>
        <v>93982</v>
      </c>
    </row>
    <row r="26" spans="1:27">
      <c r="A26" s="30">
        <f>21</f>
        <v>21</v>
      </c>
      <c r="B26" s="31">
        <f>EDATE(入力!$B$6,A26-1)</f>
        <v>46844</v>
      </c>
      <c r="C26" s="32">
        <f t="shared" si="5"/>
        <v>33520513</v>
      </c>
      <c r="D26" s="32">
        <f t="shared" si="6"/>
        <v>0</v>
      </c>
      <c r="E26" s="33">
        <f>IF(AND(T25="",A26&lt;=S25),IF(A26&lt;入力!$B$11,入力!$B$10,入力!$B$12),0)</f>
        <v>7.0000000000000001E-3</v>
      </c>
      <c r="F26" s="32">
        <f t="shared" si="7"/>
        <v>19554</v>
      </c>
      <c r="G26" s="32">
        <f>ROUND(IF(NOT(AND(T25="",A26&lt;=S25)),0,IF(A26=入力!$B$15+1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),0)</f>
        <v>93982</v>
      </c>
      <c r="H26" s="32">
        <f t="shared" si="8"/>
        <v>93982</v>
      </c>
      <c r="I26" s="32">
        <f t="shared" si="9"/>
        <v>19554</v>
      </c>
      <c r="J26" s="32">
        <f t="shared" si="10"/>
        <v>0</v>
      </c>
      <c r="K26" s="32">
        <f t="shared" si="11"/>
        <v>0</v>
      </c>
      <c r="L26" s="32">
        <f t="shared" si="12"/>
        <v>74428</v>
      </c>
      <c r="M26" s="32">
        <f>IF(AND(AND(T25="",A26&lt;=S25),A26=入力!$B$15),ROUND(MIN(入力!$B$16,MAX(0,C26-L26)),0),0)</f>
        <v>0</v>
      </c>
      <c r="N26" s="32">
        <f t="shared" si="13"/>
        <v>33446085</v>
      </c>
      <c r="O26" s="32">
        <f t="shared" si="14"/>
        <v>419707</v>
      </c>
      <c r="P26" s="34" t="str">
        <f>IF(NOT(AND(T25="",A26&lt;=S25)),"",IF(A26=入力!$B$15+1,"繰上返済後再計算","")&amp;IF(AND(入力!$B$13="有効",A26&gt;1,MOD(A26-1,60)=0),IF(A26=入力!$B$15+1,"・","")&amp;"5年見直し","")&amp;IF(AND(A26=入力!$B$11,A26&gt;1),IF(OR(A26=入力!$B$15+1,AND(入力!$B$13="有効",A26&gt;1,MOD(A26-1,60)=0)),"・","")&amp;"金利変更","")&amp;IF(AND(OR(AND(入力!$B$13="有効",A26&gt;1,MOD(A26-1,60)=0),AND(A26=入力!$B$11,A26&gt;1)),入力!$B$14="有効",IF(E26=0,ROUND(C26/MAX(1,S25-A26+1),0),ROUND(-PMT(E26/12,MAX(1,S25-A26+1),C26),0))&gt;ROUND(G25*1.25,0),NOT(A26=入力!$B$15+1)),"・上限適用",""))</f>
        <v/>
      </c>
      <c r="Q26" s="35" t="str">
        <f>IF(AND(T25="",A26&lt;=S25),入力!$B$13,"")</f>
        <v>有効</v>
      </c>
      <c r="R26" s="32" t="str">
        <f>IF(AND(AND(T25="",A26&lt;=S25),OR(AND(入力!$B$13="有効",A26&gt;1,MOD(A26-1,60)=0),AND(A26=入力!$B$11,A26&gt;1)),入力!$B$14="有効"),ROUND(G25*1.25,0),"")</f>
        <v/>
      </c>
      <c r="S26" s="36">
        <f t="shared" si="15"/>
        <v>420</v>
      </c>
      <c r="T26" s="35" t="str">
        <f t="shared" si="16"/>
        <v/>
      </c>
      <c r="U26" s="3">
        <f t="shared" si="0"/>
        <v>0</v>
      </c>
      <c r="V26" s="3">
        <f t="shared" si="1"/>
        <v>0</v>
      </c>
      <c r="W26" s="3">
        <f t="shared" si="2"/>
        <v>0</v>
      </c>
      <c r="X26" s="3">
        <f t="shared" si="3"/>
        <v>0</v>
      </c>
      <c r="Y26" s="3">
        <f>0</f>
        <v>0</v>
      </c>
      <c r="Z26" s="3">
        <f t="shared" si="4"/>
        <v>0</v>
      </c>
      <c r="AA26">
        <f>ROUND(IF(A26=入力!$B$15+1,IF(E26=0,ROUND(C26/MAX(1,S25-A26+1),0),ROUND(-PMT(E26/12,MAX(1,S25-A26+1)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,0)</f>
        <v>93982</v>
      </c>
    </row>
    <row r="27" spans="1:27">
      <c r="A27" s="30">
        <f>22</f>
        <v>22</v>
      </c>
      <c r="B27" s="31">
        <f>EDATE(入力!$B$6,A27-1)</f>
        <v>46874</v>
      </c>
      <c r="C27" s="32">
        <f t="shared" si="5"/>
        <v>33446085</v>
      </c>
      <c r="D27" s="32">
        <f t="shared" si="6"/>
        <v>0</v>
      </c>
      <c r="E27" s="33">
        <f>IF(AND(T26="",A27&lt;=S26),IF(A27&lt;入力!$B$11,入力!$B$10,入力!$B$12),0)</f>
        <v>7.0000000000000001E-3</v>
      </c>
      <c r="F27" s="32">
        <f t="shared" si="7"/>
        <v>19510</v>
      </c>
      <c r="G27" s="32">
        <f>ROUND(IF(NOT(AND(T26="",A27&lt;=S26)),0,IF(A27=入力!$B$15+1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),0)</f>
        <v>93982</v>
      </c>
      <c r="H27" s="32">
        <f t="shared" si="8"/>
        <v>93982</v>
      </c>
      <c r="I27" s="32">
        <f t="shared" si="9"/>
        <v>19510</v>
      </c>
      <c r="J27" s="32">
        <f t="shared" si="10"/>
        <v>0</v>
      </c>
      <c r="K27" s="32">
        <f t="shared" si="11"/>
        <v>0</v>
      </c>
      <c r="L27" s="32">
        <f t="shared" si="12"/>
        <v>74472</v>
      </c>
      <c r="M27" s="32">
        <f>IF(AND(AND(T26="",A27&lt;=S26),A27=入力!$B$15),ROUND(MIN(入力!$B$16,MAX(0,C27-L27)),0),0)</f>
        <v>0</v>
      </c>
      <c r="N27" s="32">
        <f t="shared" si="13"/>
        <v>33371613</v>
      </c>
      <c r="O27" s="32">
        <f t="shared" si="14"/>
        <v>439217</v>
      </c>
      <c r="P27" s="34" t="str">
        <f>IF(NOT(AND(T26="",A27&lt;=S26)),"",IF(A27=入力!$B$15+1,"繰上返済後再計算","")&amp;IF(AND(入力!$B$13="有効",A27&gt;1,MOD(A27-1,60)=0),IF(A27=入力!$B$15+1,"・","")&amp;"5年見直し","")&amp;IF(AND(A27=入力!$B$11,A27&gt;1),IF(OR(A27=入力!$B$15+1,AND(入力!$B$13="有効",A27&gt;1,MOD(A27-1,60)=0)),"・","")&amp;"金利変更","")&amp;IF(AND(OR(AND(入力!$B$13="有効",A27&gt;1,MOD(A27-1,60)=0),AND(A27=入力!$B$11,A27&gt;1)),入力!$B$14="有効",IF(E27=0,ROUND(C27/MAX(1,S26-A27+1),0),ROUND(-PMT(E27/12,MAX(1,S26-A27+1),C27),0))&gt;ROUND(G26*1.25,0),NOT(A27=入力!$B$15+1)),"・上限適用",""))</f>
        <v/>
      </c>
      <c r="Q27" s="35" t="str">
        <f>IF(AND(T26="",A27&lt;=S26),入力!$B$13,"")</f>
        <v>有効</v>
      </c>
      <c r="R27" s="32" t="str">
        <f>IF(AND(AND(T26="",A27&lt;=S26),OR(AND(入力!$B$13="有効",A27&gt;1,MOD(A27-1,60)=0),AND(A27=入力!$B$11,A27&gt;1)),入力!$B$14="有効"),ROUND(G26*1.25,0),"")</f>
        <v/>
      </c>
      <c r="S27" s="36">
        <f t="shared" si="15"/>
        <v>420</v>
      </c>
      <c r="T27" s="35" t="str">
        <f t="shared" si="16"/>
        <v/>
      </c>
      <c r="U27" s="3">
        <f t="shared" si="0"/>
        <v>0</v>
      </c>
      <c r="V27" s="3">
        <f t="shared" si="1"/>
        <v>0</v>
      </c>
      <c r="W27" s="3">
        <f t="shared" si="2"/>
        <v>0</v>
      </c>
      <c r="X27" s="3">
        <f t="shared" si="3"/>
        <v>0</v>
      </c>
      <c r="Y27" s="3">
        <f>0</f>
        <v>0</v>
      </c>
      <c r="Z27" s="3">
        <f t="shared" si="4"/>
        <v>0</v>
      </c>
      <c r="AA27">
        <f>ROUND(IF(A27=入力!$B$15+1,IF(E27=0,ROUND(C27/MAX(1,S26-A27+1),0),ROUND(-PMT(E27/12,MAX(1,S26-A27+1)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,0)</f>
        <v>93982</v>
      </c>
    </row>
    <row r="28" spans="1:27">
      <c r="A28" s="30">
        <f>23</f>
        <v>23</v>
      </c>
      <c r="B28" s="31">
        <f>EDATE(入力!$B$6,A28-1)</f>
        <v>46905</v>
      </c>
      <c r="C28" s="32">
        <f t="shared" si="5"/>
        <v>33371613</v>
      </c>
      <c r="D28" s="32">
        <f t="shared" si="6"/>
        <v>0</v>
      </c>
      <c r="E28" s="33">
        <f>IF(AND(T27="",A28&lt;=S27),IF(A28&lt;入力!$B$11,入力!$B$10,入力!$B$12),0)</f>
        <v>7.0000000000000001E-3</v>
      </c>
      <c r="F28" s="32">
        <f t="shared" si="7"/>
        <v>19467</v>
      </c>
      <c r="G28" s="32">
        <f>ROUND(IF(NOT(AND(T27="",A28&lt;=S27)),0,IF(A28=入力!$B$15+1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),0)</f>
        <v>93982</v>
      </c>
      <c r="H28" s="32">
        <f t="shared" si="8"/>
        <v>93982</v>
      </c>
      <c r="I28" s="32">
        <f t="shared" si="9"/>
        <v>19467</v>
      </c>
      <c r="J28" s="32">
        <f t="shared" si="10"/>
        <v>0</v>
      </c>
      <c r="K28" s="32">
        <f t="shared" si="11"/>
        <v>0</v>
      </c>
      <c r="L28" s="32">
        <f t="shared" si="12"/>
        <v>74515</v>
      </c>
      <c r="M28" s="32">
        <f>IF(AND(AND(T27="",A28&lt;=S27),A28=入力!$B$15),ROUND(MIN(入力!$B$16,MAX(0,C28-L28)),0),0)</f>
        <v>0</v>
      </c>
      <c r="N28" s="32">
        <f t="shared" si="13"/>
        <v>33297098</v>
      </c>
      <c r="O28" s="32">
        <f t="shared" si="14"/>
        <v>458684</v>
      </c>
      <c r="P28" s="34" t="str">
        <f>IF(NOT(AND(T27="",A28&lt;=S27)),"",IF(A28=入力!$B$15+1,"繰上返済後再計算","")&amp;IF(AND(入力!$B$13="有効",A28&gt;1,MOD(A28-1,60)=0),IF(A28=入力!$B$15+1,"・","")&amp;"5年見直し","")&amp;IF(AND(A28=入力!$B$11,A28&gt;1),IF(OR(A28=入力!$B$15+1,AND(入力!$B$13="有効",A28&gt;1,MOD(A28-1,60)=0)),"・","")&amp;"金利変更","")&amp;IF(AND(OR(AND(入力!$B$13="有効",A28&gt;1,MOD(A28-1,60)=0),AND(A28=入力!$B$11,A28&gt;1)),入力!$B$14="有効",IF(E28=0,ROUND(C28/MAX(1,S27-A28+1),0),ROUND(-PMT(E28/12,MAX(1,S27-A28+1),C28),0))&gt;ROUND(G27*1.25,0),NOT(A28=入力!$B$15+1)),"・上限適用",""))</f>
        <v/>
      </c>
      <c r="Q28" s="35" t="str">
        <f>IF(AND(T27="",A28&lt;=S27),入力!$B$13,"")</f>
        <v>有効</v>
      </c>
      <c r="R28" s="32" t="str">
        <f>IF(AND(AND(T27="",A28&lt;=S27),OR(AND(入力!$B$13="有効",A28&gt;1,MOD(A28-1,60)=0),AND(A28=入力!$B$11,A28&gt;1)),入力!$B$14="有効"),ROUND(G27*1.25,0),"")</f>
        <v/>
      </c>
      <c r="S28" s="36">
        <f t="shared" si="15"/>
        <v>420</v>
      </c>
      <c r="T28" s="35" t="str">
        <f t="shared" si="16"/>
        <v/>
      </c>
      <c r="U28" s="3">
        <f t="shared" si="0"/>
        <v>0</v>
      </c>
      <c r="V28" s="3">
        <f t="shared" si="1"/>
        <v>0</v>
      </c>
      <c r="W28" s="3">
        <f t="shared" si="2"/>
        <v>0</v>
      </c>
      <c r="X28" s="3">
        <f t="shared" si="3"/>
        <v>0</v>
      </c>
      <c r="Y28" s="3">
        <f>0</f>
        <v>0</v>
      </c>
      <c r="Z28" s="3">
        <f t="shared" si="4"/>
        <v>0</v>
      </c>
      <c r="AA28">
        <f>ROUND(IF(A28=入力!$B$15+1,IF(E28=0,ROUND(C28/MAX(1,S27-A28+1),0),ROUND(-PMT(E28/12,MAX(1,S27-A28+1)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,0)</f>
        <v>93982</v>
      </c>
    </row>
    <row r="29" spans="1:27">
      <c r="A29" s="30">
        <f>24</f>
        <v>24</v>
      </c>
      <c r="B29" s="31">
        <f>EDATE(入力!$B$6,A29-1)</f>
        <v>46935</v>
      </c>
      <c r="C29" s="32">
        <f t="shared" si="5"/>
        <v>33297098</v>
      </c>
      <c r="D29" s="32">
        <f t="shared" si="6"/>
        <v>0</v>
      </c>
      <c r="E29" s="33">
        <f>IF(AND(T28="",A29&lt;=S28),IF(A29&lt;入力!$B$11,入力!$B$10,入力!$B$12),0)</f>
        <v>7.0000000000000001E-3</v>
      </c>
      <c r="F29" s="32">
        <f t="shared" si="7"/>
        <v>19423</v>
      </c>
      <c r="G29" s="32">
        <f>ROUND(IF(NOT(AND(T28="",A29&lt;=S28)),0,IF(A29=入力!$B$15+1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),0)</f>
        <v>93982</v>
      </c>
      <c r="H29" s="32">
        <f t="shared" si="8"/>
        <v>93982</v>
      </c>
      <c r="I29" s="32">
        <f t="shared" si="9"/>
        <v>19423</v>
      </c>
      <c r="J29" s="32">
        <f t="shared" si="10"/>
        <v>0</v>
      </c>
      <c r="K29" s="32">
        <f t="shared" si="11"/>
        <v>0</v>
      </c>
      <c r="L29" s="32">
        <f t="shared" si="12"/>
        <v>74559</v>
      </c>
      <c r="M29" s="32">
        <f>IF(AND(AND(T28="",A29&lt;=S28),A29=入力!$B$15),ROUND(MIN(入力!$B$16,MAX(0,C29-L29)),0),0)</f>
        <v>0</v>
      </c>
      <c r="N29" s="32">
        <f t="shared" si="13"/>
        <v>33222539</v>
      </c>
      <c r="O29" s="32">
        <f t="shared" si="14"/>
        <v>478107</v>
      </c>
      <c r="P29" s="34" t="str">
        <f>IF(NOT(AND(T28="",A29&lt;=S28)),"",IF(A29=入力!$B$15+1,"繰上返済後再計算","")&amp;IF(AND(入力!$B$13="有効",A29&gt;1,MOD(A29-1,60)=0),IF(A29=入力!$B$15+1,"・","")&amp;"5年見直し","")&amp;IF(AND(A29=入力!$B$11,A29&gt;1),IF(OR(A29=入力!$B$15+1,AND(入力!$B$13="有効",A29&gt;1,MOD(A29-1,60)=0)),"・","")&amp;"金利変更","")&amp;IF(AND(OR(AND(入力!$B$13="有効",A29&gt;1,MOD(A29-1,60)=0),AND(A29=入力!$B$11,A29&gt;1)),入力!$B$14="有効",IF(E29=0,ROUND(C29/MAX(1,S28-A29+1),0),ROUND(-PMT(E29/12,MAX(1,S28-A29+1),C29),0))&gt;ROUND(G28*1.25,0),NOT(A29=入力!$B$15+1)),"・上限適用",""))</f>
        <v/>
      </c>
      <c r="Q29" s="35" t="str">
        <f>IF(AND(T28="",A29&lt;=S28),入力!$B$13,"")</f>
        <v>有効</v>
      </c>
      <c r="R29" s="32" t="str">
        <f>IF(AND(AND(T28="",A29&lt;=S28),OR(AND(入力!$B$13="有効",A29&gt;1,MOD(A29-1,60)=0),AND(A29=入力!$B$11,A29&gt;1)),入力!$B$14="有効"),ROUND(G28*1.25,0),"")</f>
        <v/>
      </c>
      <c r="S29" s="36">
        <f t="shared" si="15"/>
        <v>420</v>
      </c>
      <c r="T29" s="35" t="str">
        <f t="shared" si="16"/>
        <v/>
      </c>
      <c r="U29" s="3">
        <f t="shared" si="0"/>
        <v>0</v>
      </c>
      <c r="V29" s="3">
        <f t="shared" si="1"/>
        <v>0</v>
      </c>
      <c r="W29" s="3">
        <f t="shared" si="2"/>
        <v>0</v>
      </c>
      <c r="X29" s="3">
        <f t="shared" si="3"/>
        <v>0</v>
      </c>
      <c r="Y29" s="3">
        <f>0</f>
        <v>0</v>
      </c>
      <c r="Z29" s="3">
        <f t="shared" si="4"/>
        <v>0</v>
      </c>
      <c r="AA29">
        <f>ROUND(IF(A29=入力!$B$15+1,IF(E29=0,ROUND(C29/MAX(1,S28-A29+1),0),ROUND(-PMT(E29/12,MAX(1,S28-A29+1)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,0)</f>
        <v>93982</v>
      </c>
    </row>
    <row r="30" spans="1:27">
      <c r="A30" s="30">
        <f>25</f>
        <v>25</v>
      </c>
      <c r="B30" s="31">
        <f>EDATE(入力!$B$6,A30-1)</f>
        <v>46966</v>
      </c>
      <c r="C30" s="32">
        <f t="shared" si="5"/>
        <v>33222539</v>
      </c>
      <c r="D30" s="32">
        <f t="shared" si="6"/>
        <v>0</v>
      </c>
      <c r="E30" s="33">
        <f>IF(AND(T29="",A30&lt;=S29),IF(A30&lt;入力!$B$11,入力!$B$10,入力!$B$12),0)</f>
        <v>7.0000000000000001E-3</v>
      </c>
      <c r="F30" s="32">
        <f t="shared" si="7"/>
        <v>19380</v>
      </c>
      <c r="G30" s="32">
        <f>ROUND(IF(NOT(AND(T29="",A30&lt;=S29)),0,IF(A30=入力!$B$15+1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),0)</f>
        <v>93982</v>
      </c>
      <c r="H30" s="32">
        <f t="shared" si="8"/>
        <v>93982</v>
      </c>
      <c r="I30" s="32">
        <f t="shared" si="9"/>
        <v>19380</v>
      </c>
      <c r="J30" s="32">
        <f t="shared" si="10"/>
        <v>0</v>
      </c>
      <c r="K30" s="32">
        <f t="shared" si="11"/>
        <v>0</v>
      </c>
      <c r="L30" s="32">
        <f t="shared" si="12"/>
        <v>74602</v>
      </c>
      <c r="M30" s="32">
        <f>IF(AND(AND(T29="",A30&lt;=S29),A30=入力!$B$15),ROUND(MIN(入力!$B$16,MAX(0,C30-L30)),0),0)</f>
        <v>0</v>
      </c>
      <c r="N30" s="32">
        <f t="shared" si="13"/>
        <v>33147937</v>
      </c>
      <c r="O30" s="32">
        <f t="shared" si="14"/>
        <v>497487</v>
      </c>
      <c r="P30" s="34" t="str">
        <f>IF(NOT(AND(T29="",A30&lt;=S29)),"",IF(A30=入力!$B$15+1,"繰上返済後再計算","")&amp;IF(AND(入力!$B$13="有効",A30&gt;1,MOD(A30-1,60)=0),IF(A30=入力!$B$15+1,"・","")&amp;"5年見直し","")&amp;IF(AND(A30=入力!$B$11,A30&gt;1),IF(OR(A30=入力!$B$15+1,AND(入力!$B$13="有効",A30&gt;1,MOD(A30-1,60)=0)),"・","")&amp;"金利変更","")&amp;IF(AND(OR(AND(入力!$B$13="有効",A30&gt;1,MOD(A30-1,60)=0),AND(A30=入力!$B$11,A30&gt;1)),入力!$B$14="有効",IF(E30=0,ROUND(C30/MAX(1,S29-A30+1),0),ROUND(-PMT(E30/12,MAX(1,S29-A30+1),C30),0))&gt;ROUND(G29*1.25,0),NOT(A30=入力!$B$15+1)),"・上限適用",""))</f>
        <v/>
      </c>
      <c r="Q30" s="35" t="str">
        <f>IF(AND(T29="",A30&lt;=S29),入力!$B$13,"")</f>
        <v>有効</v>
      </c>
      <c r="R30" s="32" t="str">
        <f>IF(AND(AND(T29="",A30&lt;=S29),OR(AND(入力!$B$13="有効",A30&gt;1,MOD(A30-1,60)=0),AND(A30=入力!$B$11,A30&gt;1)),入力!$B$14="有効"),ROUND(G29*1.25,0),"")</f>
        <v/>
      </c>
      <c r="S30" s="36">
        <f t="shared" si="15"/>
        <v>420</v>
      </c>
      <c r="T30" s="35" t="str">
        <f t="shared" si="16"/>
        <v/>
      </c>
      <c r="U30" s="3">
        <f t="shared" si="0"/>
        <v>0</v>
      </c>
      <c r="V30" s="3">
        <f t="shared" si="1"/>
        <v>0</v>
      </c>
      <c r="W30" s="3">
        <f t="shared" si="2"/>
        <v>0</v>
      </c>
      <c r="X30" s="3">
        <f t="shared" si="3"/>
        <v>0</v>
      </c>
      <c r="Y30" s="3">
        <f>0</f>
        <v>0</v>
      </c>
      <c r="Z30" s="3">
        <f t="shared" si="4"/>
        <v>0</v>
      </c>
      <c r="AA30">
        <f>ROUND(IF(A30=入力!$B$15+1,IF(E30=0,ROUND(C30/MAX(1,S29-A30+1),0),ROUND(-PMT(E30/12,MAX(1,S29-A30+1)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,0)</f>
        <v>93982</v>
      </c>
    </row>
    <row r="31" spans="1:27">
      <c r="A31" s="30">
        <f>26</f>
        <v>26</v>
      </c>
      <c r="B31" s="31">
        <f>EDATE(入力!$B$6,A31-1)</f>
        <v>46997</v>
      </c>
      <c r="C31" s="32">
        <f t="shared" si="5"/>
        <v>33147937</v>
      </c>
      <c r="D31" s="32">
        <f t="shared" si="6"/>
        <v>0</v>
      </c>
      <c r="E31" s="33">
        <f>IF(AND(T30="",A31&lt;=S30),IF(A31&lt;入力!$B$11,入力!$B$10,入力!$B$12),0)</f>
        <v>7.0000000000000001E-3</v>
      </c>
      <c r="F31" s="32">
        <f t="shared" si="7"/>
        <v>19336</v>
      </c>
      <c r="G31" s="32">
        <f>ROUND(IF(NOT(AND(T30="",A31&lt;=S30)),0,IF(A31=入力!$B$15+1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),0)</f>
        <v>93982</v>
      </c>
      <c r="H31" s="32">
        <f t="shared" si="8"/>
        <v>93982</v>
      </c>
      <c r="I31" s="32">
        <f t="shared" si="9"/>
        <v>19336</v>
      </c>
      <c r="J31" s="32">
        <f t="shared" si="10"/>
        <v>0</v>
      </c>
      <c r="K31" s="32">
        <f t="shared" si="11"/>
        <v>0</v>
      </c>
      <c r="L31" s="32">
        <f t="shared" si="12"/>
        <v>74646</v>
      </c>
      <c r="M31" s="32">
        <f>IF(AND(AND(T30="",A31&lt;=S30),A31=入力!$B$15),ROUND(MIN(入力!$B$16,MAX(0,C31-L31)),0),0)</f>
        <v>0</v>
      </c>
      <c r="N31" s="32">
        <f t="shared" si="13"/>
        <v>33073291</v>
      </c>
      <c r="O31" s="32">
        <f t="shared" si="14"/>
        <v>516823</v>
      </c>
      <c r="P31" s="34" t="str">
        <f>IF(NOT(AND(T30="",A31&lt;=S30)),"",IF(A31=入力!$B$15+1,"繰上返済後再計算","")&amp;IF(AND(入力!$B$13="有効",A31&gt;1,MOD(A31-1,60)=0),IF(A31=入力!$B$15+1,"・","")&amp;"5年見直し","")&amp;IF(AND(A31=入力!$B$11,A31&gt;1),IF(OR(A31=入力!$B$15+1,AND(入力!$B$13="有効",A31&gt;1,MOD(A31-1,60)=0)),"・","")&amp;"金利変更","")&amp;IF(AND(OR(AND(入力!$B$13="有効",A31&gt;1,MOD(A31-1,60)=0),AND(A31=入力!$B$11,A31&gt;1)),入力!$B$14="有効",IF(E31=0,ROUND(C31/MAX(1,S30-A31+1),0),ROUND(-PMT(E31/12,MAX(1,S30-A31+1),C31),0))&gt;ROUND(G30*1.25,0),NOT(A31=入力!$B$15+1)),"・上限適用",""))</f>
        <v/>
      </c>
      <c r="Q31" s="35" t="str">
        <f>IF(AND(T30="",A31&lt;=S30),入力!$B$13,"")</f>
        <v>有効</v>
      </c>
      <c r="R31" s="32" t="str">
        <f>IF(AND(AND(T30="",A31&lt;=S30),OR(AND(入力!$B$13="有効",A31&gt;1,MOD(A31-1,60)=0),AND(A31=入力!$B$11,A31&gt;1)),入力!$B$14="有効"),ROUND(G30*1.25,0),"")</f>
        <v/>
      </c>
      <c r="S31" s="36">
        <f t="shared" si="15"/>
        <v>420</v>
      </c>
      <c r="T31" s="35" t="str">
        <f t="shared" si="16"/>
        <v/>
      </c>
      <c r="U31" s="3">
        <f t="shared" si="0"/>
        <v>0</v>
      </c>
      <c r="V31" s="3">
        <f t="shared" si="1"/>
        <v>0</v>
      </c>
      <c r="W31" s="3">
        <f t="shared" si="2"/>
        <v>0</v>
      </c>
      <c r="X31" s="3">
        <f t="shared" si="3"/>
        <v>0</v>
      </c>
      <c r="Y31" s="3">
        <f>0</f>
        <v>0</v>
      </c>
      <c r="Z31" s="3">
        <f t="shared" si="4"/>
        <v>0</v>
      </c>
      <c r="AA31">
        <f>ROUND(IF(A31=入力!$B$15+1,IF(E31=0,ROUND(C31/MAX(1,S30-A31+1),0),ROUND(-PMT(E31/12,MAX(1,S30-A31+1)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,0)</f>
        <v>93982</v>
      </c>
    </row>
    <row r="32" spans="1:27">
      <c r="A32" s="30">
        <f>27</f>
        <v>27</v>
      </c>
      <c r="B32" s="31">
        <f>EDATE(入力!$B$6,A32-1)</f>
        <v>47027</v>
      </c>
      <c r="C32" s="32">
        <f t="shared" si="5"/>
        <v>33073291</v>
      </c>
      <c r="D32" s="32">
        <f t="shared" si="6"/>
        <v>0</v>
      </c>
      <c r="E32" s="33">
        <f>IF(AND(T31="",A32&lt;=S31),IF(A32&lt;入力!$B$11,入力!$B$10,入力!$B$12),0)</f>
        <v>7.0000000000000001E-3</v>
      </c>
      <c r="F32" s="32">
        <f t="shared" si="7"/>
        <v>19293</v>
      </c>
      <c r="G32" s="32">
        <f>ROUND(IF(NOT(AND(T31="",A32&lt;=S31)),0,IF(A32=入力!$B$15+1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),0)</f>
        <v>93982</v>
      </c>
      <c r="H32" s="32">
        <f t="shared" si="8"/>
        <v>93982</v>
      </c>
      <c r="I32" s="32">
        <f t="shared" si="9"/>
        <v>19293</v>
      </c>
      <c r="J32" s="32">
        <f t="shared" si="10"/>
        <v>0</v>
      </c>
      <c r="K32" s="32">
        <f t="shared" si="11"/>
        <v>0</v>
      </c>
      <c r="L32" s="32">
        <f t="shared" si="12"/>
        <v>74689</v>
      </c>
      <c r="M32" s="32">
        <f>IF(AND(AND(T31="",A32&lt;=S31),A32=入力!$B$15),ROUND(MIN(入力!$B$16,MAX(0,C32-L32)),0),0)</f>
        <v>0</v>
      </c>
      <c r="N32" s="32">
        <f t="shared" si="13"/>
        <v>32998602</v>
      </c>
      <c r="O32" s="32">
        <f t="shared" si="14"/>
        <v>536116</v>
      </c>
      <c r="P32" s="34" t="str">
        <f>IF(NOT(AND(T31="",A32&lt;=S31)),"",IF(A32=入力!$B$15+1,"繰上返済後再計算","")&amp;IF(AND(入力!$B$13="有効",A32&gt;1,MOD(A32-1,60)=0),IF(A32=入力!$B$15+1,"・","")&amp;"5年見直し","")&amp;IF(AND(A32=入力!$B$11,A32&gt;1),IF(OR(A32=入力!$B$15+1,AND(入力!$B$13="有効",A32&gt;1,MOD(A32-1,60)=0)),"・","")&amp;"金利変更","")&amp;IF(AND(OR(AND(入力!$B$13="有効",A32&gt;1,MOD(A32-1,60)=0),AND(A32=入力!$B$11,A32&gt;1)),入力!$B$14="有効",IF(E32=0,ROUND(C32/MAX(1,S31-A32+1),0),ROUND(-PMT(E32/12,MAX(1,S31-A32+1),C32),0))&gt;ROUND(G31*1.25,0),NOT(A32=入力!$B$15+1)),"・上限適用",""))</f>
        <v/>
      </c>
      <c r="Q32" s="35" t="str">
        <f>IF(AND(T31="",A32&lt;=S31),入力!$B$13,"")</f>
        <v>有効</v>
      </c>
      <c r="R32" s="32" t="str">
        <f>IF(AND(AND(T31="",A32&lt;=S31),OR(AND(入力!$B$13="有効",A32&gt;1,MOD(A32-1,60)=0),AND(A32=入力!$B$11,A32&gt;1)),入力!$B$14="有効"),ROUND(G31*1.25,0),"")</f>
        <v/>
      </c>
      <c r="S32" s="36">
        <f t="shared" si="15"/>
        <v>420</v>
      </c>
      <c r="T32" s="35" t="str">
        <f t="shared" si="16"/>
        <v/>
      </c>
      <c r="U32" s="3">
        <f t="shared" si="0"/>
        <v>0</v>
      </c>
      <c r="V32" s="3">
        <f t="shared" si="1"/>
        <v>0</v>
      </c>
      <c r="W32" s="3">
        <f t="shared" si="2"/>
        <v>0</v>
      </c>
      <c r="X32" s="3">
        <f t="shared" si="3"/>
        <v>0</v>
      </c>
      <c r="Y32" s="3">
        <f>0</f>
        <v>0</v>
      </c>
      <c r="Z32" s="3">
        <f t="shared" si="4"/>
        <v>0</v>
      </c>
      <c r="AA32">
        <f>ROUND(IF(A32=入力!$B$15+1,IF(E32=0,ROUND(C32/MAX(1,S31-A32+1),0),ROUND(-PMT(E32/12,MAX(1,S31-A32+1)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,0)</f>
        <v>93982</v>
      </c>
    </row>
    <row r="33" spans="1:27">
      <c r="A33" s="30">
        <f>28</f>
        <v>28</v>
      </c>
      <c r="B33" s="31">
        <f>EDATE(入力!$B$6,A33-1)</f>
        <v>47058</v>
      </c>
      <c r="C33" s="32">
        <f t="shared" si="5"/>
        <v>32998602</v>
      </c>
      <c r="D33" s="32">
        <f t="shared" si="6"/>
        <v>0</v>
      </c>
      <c r="E33" s="33">
        <f>IF(AND(T32="",A33&lt;=S32),IF(A33&lt;入力!$B$11,入力!$B$10,入力!$B$12),0)</f>
        <v>7.0000000000000001E-3</v>
      </c>
      <c r="F33" s="32">
        <f t="shared" si="7"/>
        <v>19249</v>
      </c>
      <c r="G33" s="32">
        <f>ROUND(IF(NOT(AND(T32="",A33&lt;=S32)),0,IF(A33=入力!$B$15+1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),0)</f>
        <v>93982</v>
      </c>
      <c r="H33" s="32">
        <f t="shared" si="8"/>
        <v>93982</v>
      </c>
      <c r="I33" s="32">
        <f t="shared" si="9"/>
        <v>19249</v>
      </c>
      <c r="J33" s="32">
        <f t="shared" si="10"/>
        <v>0</v>
      </c>
      <c r="K33" s="32">
        <f t="shared" si="11"/>
        <v>0</v>
      </c>
      <c r="L33" s="32">
        <f t="shared" si="12"/>
        <v>74733</v>
      </c>
      <c r="M33" s="32">
        <f>IF(AND(AND(T32="",A33&lt;=S32),A33=入力!$B$15),ROUND(MIN(入力!$B$16,MAX(0,C33-L33)),0),0)</f>
        <v>0</v>
      </c>
      <c r="N33" s="32">
        <f t="shared" si="13"/>
        <v>32923869</v>
      </c>
      <c r="O33" s="32">
        <f t="shared" si="14"/>
        <v>555365</v>
      </c>
      <c r="P33" s="34" t="str">
        <f>IF(NOT(AND(T32="",A33&lt;=S32)),"",IF(A33=入力!$B$15+1,"繰上返済後再計算","")&amp;IF(AND(入力!$B$13="有効",A33&gt;1,MOD(A33-1,60)=0),IF(A33=入力!$B$15+1,"・","")&amp;"5年見直し","")&amp;IF(AND(A33=入力!$B$11,A33&gt;1),IF(OR(A33=入力!$B$15+1,AND(入力!$B$13="有効",A33&gt;1,MOD(A33-1,60)=0)),"・","")&amp;"金利変更","")&amp;IF(AND(OR(AND(入力!$B$13="有効",A33&gt;1,MOD(A33-1,60)=0),AND(A33=入力!$B$11,A33&gt;1)),入力!$B$14="有効",IF(E33=0,ROUND(C33/MAX(1,S32-A33+1),0),ROUND(-PMT(E33/12,MAX(1,S32-A33+1),C33),0))&gt;ROUND(G32*1.25,0),NOT(A33=入力!$B$15+1)),"・上限適用",""))</f>
        <v/>
      </c>
      <c r="Q33" s="35" t="str">
        <f>IF(AND(T32="",A33&lt;=S32),入力!$B$13,"")</f>
        <v>有効</v>
      </c>
      <c r="R33" s="32" t="str">
        <f>IF(AND(AND(T32="",A33&lt;=S32),OR(AND(入力!$B$13="有効",A33&gt;1,MOD(A33-1,60)=0),AND(A33=入力!$B$11,A33&gt;1)),入力!$B$14="有効"),ROUND(G32*1.25,0),"")</f>
        <v/>
      </c>
      <c r="S33" s="36">
        <f t="shared" si="15"/>
        <v>420</v>
      </c>
      <c r="T33" s="35" t="str">
        <f t="shared" si="16"/>
        <v/>
      </c>
      <c r="U33" s="3">
        <f t="shared" si="0"/>
        <v>0</v>
      </c>
      <c r="V33" s="3">
        <f t="shared" si="1"/>
        <v>0</v>
      </c>
      <c r="W33" s="3">
        <f t="shared" si="2"/>
        <v>0</v>
      </c>
      <c r="X33" s="3">
        <f t="shared" si="3"/>
        <v>0</v>
      </c>
      <c r="Y33" s="3">
        <f>0</f>
        <v>0</v>
      </c>
      <c r="Z33" s="3">
        <f t="shared" si="4"/>
        <v>0</v>
      </c>
      <c r="AA33">
        <f>ROUND(IF(A33=入力!$B$15+1,IF(E33=0,ROUND(C33/MAX(1,S32-A33+1),0),ROUND(-PMT(E33/12,MAX(1,S32-A33+1)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,0)</f>
        <v>93982</v>
      </c>
    </row>
    <row r="34" spans="1:27">
      <c r="A34" s="30">
        <f>29</f>
        <v>29</v>
      </c>
      <c r="B34" s="31">
        <f>EDATE(入力!$B$6,A34-1)</f>
        <v>47088</v>
      </c>
      <c r="C34" s="32">
        <f t="shared" si="5"/>
        <v>32923869</v>
      </c>
      <c r="D34" s="32">
        <f t="shared" si="6"/>
        <v>0</v>
      </c>
      <c r="E34" s="33">
        <f>IF(AND(T33="",A34&lt;=S33),IF(A34&lt;入力!$B$11,入力!$B$10,入力!$B$12),0)</f>
        <v>7.0000000000000001E-3</v>
      </c>
      <c r="F34" s="32">
        <f t="shared" si="7"/>
        <v>19206</v>
      </c>
      <c r="G34" s="32">
        <f>ROUND(IF(NOT(AND(T33="",A34&lt;=S33)),0,IF(A34=入力!$B$15+1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),0)</f>
        <v>93982</v>
      </c>
      <c r="H34" s="32">
        <f t="shared" si="8"/>
        <v>93982</v>
      </c>
      <c r="I34" s="32">
        <f t="shared" si="9"/>
        <v>19206</v>
      </c>
      <c r="J34" s="32">
        <f t="shared" si="10"/>
        <v>0</v>
      </c>
      <c r="K34" s="32">
        <f t="shared" si="11"/>
        <v>0</v>
      </c>
      <c r="L34" s="32">
        <f t="shared" si="12"/>
        <v>74776</v>
      </c>
      <c r="M34" s="32">
        <f>IF(AND(AND(T33="",A34&lt;=S33),A34=入力!$B$15),ROUND(MIN(入力!$B$16,MAX(0,C34-L34)),0),0)</f>
        <v>0</v>
      </c>
      <c r="N34" s="32">
        <f t="shared" si="13"/>
        <v>32849093</v>
      </c>
      <c r="O34" s="32">
        <f t="shared" si="14"/>
        <v>574571</v>
      </c>
      <c r="P34" s="34" t="str">
        <f>IF(NOT(AND(T33="",A34&lt;=S33)),"",IF(A34=入力!$B$15+1,"繰上返済後再計算","")&amp;IF(AND(入力!$B$13="有効",A34&gt;1,MOD(A34-1,60)=0),IF(A34=入力!$B$15+1,"・","")&amp;"5年見直し","")&amp;IF(AND(A34=入力!$B$11,A34&gt;1),IF(OR(A34=入力!$B$15+1,AND(入力!$B$13="有効",A34&gt;1,MOD(A34-1,60)=0)),"・","")&amp;"金利変更","")&amp;IF(AND(OR(AND(入力!$B$13="有効",A34&gt;1,MOD(A34-1,60)=0),AND(A34=入力!$B$11,A34&gt;1)),入力!$B$14="有効",IF(E34=0,ROUND(C34/MAX(1,S33-A34+1),0),ROUND(-PMT(E34/12,MAX(1,S33-A34+1),C34),0))&gt;ROUND(G33*1.25,0),NOT(A34=入力!$B$15+1)),"・上限適用",""))</f>
        <v/>
      </c>
      <c r="Q34" s="35" t="str">
        <f>IF(AND(T33="",A34&lt;=S33),入力!$B$13,"")</f>
        <v>有効</v>
      </c>
      <c r="R34" s="32" t="str">
        <f>IF(AND(AND(T33="",A34&lt;=S33),OR(AND(入力!$B$13="有効",A34&gt;1,MOD(A34-1,60)=0),AND(A34=入力!$B$11,A34&gt;1)),入力!$B$14="有効"),ROUND(G33*1.25,0),"")</f>
        <v/>
      </c>
      <c r="S34" s="36">
        <f t="shared" si="15"/>
        <v>420</v>
      </c>
      <c r="T34" s="35" t="str">
        <f t="shared" si="16"/>
        <v/>
      </c>
      <c r="U34" s="3">
        <f t="shared" si="0"/>
        <v>0</v>
      </c>
      <c r="V34" s="3">
        <f t="shared" si="1"/>
        <v>0</v>
      </c>
      <c r="W34" s="3">
        <f t="shared" si="2"/>
        <v>0</v>
      </c>
      <c r="X34" s="3">
        <f t="shared" si="3"/>
        <v>0</v>
      </c>
      <c r="Y34" s="3">
        <f>0</f>
        <v>0</v>
      </c>
      <c r="Z34" s="3">
        <f t="shared" si="4"/>
        <v>0</v>
      </c>
      <c r="AA34">
        <f>ROUND(IF(A34=入力!$B$15+1,IF(E34=0,ROUND(C34/MAX(1,S33-A34+1),0),ROUND(-PMT(E34/12,MAX(1,S33-A34+1)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,0)</f>
        <v>93982</v>
      </c>
    </row>
    <row r="35" spans="1:27">
      <c r="A35" s="30">
        <f>30</f>
        <v>30</v>
      </c>
      <c r="B35" s="31">
        <f>EDATE(入力!$B$6,A35-1)</f>
        <v>47119</v>
      </c>
      <c r="C35" s="32">
        <f t="shared" si="5"/>
        <v>32849093</v>
      </c>
      <c r="D35" s="32">
        <f t="shared" si="6"/>
        <v>0</v>
      </c>
      <c r="E35" s="33">
        <f>IF(AND(T34="",A35&lt;=S34),IF(A35&lt;入力!$B$11,入力!$B$10,入力!$B$12),0)</f>
        <v>7.0000000000000001E-3</v>
      </c>
      <c r="F35" s="32">
        <f t="shared" si="7"/>
        <v>19162</v>
      </c>
      <c r="G35" s="32">
        <f>ROUND(IF(NOT(AND(T34="",A35&lt;=S34)),0,IF(A35=入力!$B$15+1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),0)</f>
        <v>93982</v>
      </c>
      <c r="H35" s="32">
        <f t="shared" si="8"/>
        <v>93982</v>
      </c>
      <c r="I35" s="32">
        <f t="shared" si="9"/>
        <v>19162</v>
      </c>
      <c r="J35" s="32">
        <f t="shared" si="10"/>
        <v>0</v>
      </c>
      <c r="K35" s="32">
        <f t="shared" si="11"/>
        <v>0</v>
      </c>
      <c r="L35" s="32">
        <f t="shared" si="12"/>
        <v>74820</v>
      </c>
      <c r="M35" s="32">
        <f>IF(AND(AND(T34="",A35&lt;=S34),A35=入力!$B$15),ROUND(MIN(入力!$B$16,MAX(0,C35-L35)),0),0)</f>
        <v>0</v>
      </c>
      <c r="N35" s="32">
        <f t="shared" si="13"/>
        <v>32774273</v>
      </c>
      <c r="O35" s="32">
        <f t="shared" si="14"/>
        <v>593733</v>
      </c>
      <c r="P35" s="34" t="str">
        <f>IF(NOT(AND(T34="",A35&lt;=S34)),"",IF(A35=入力!$B$15+1,"繰上返済後再計算","")&amp;IF(AND(入力!$B$13="有効",A35&gt;1,MOD(A35-1,60)=0),IF(A35=入力!$B$15+1,"・","")&amp;"5年見直し","")&amp;IF(AND(A35=入力!$B$11,A35&gt;1),IF(OR(A35=入力!$B$15+1,AND(入力!$B$13="有効",A35&gt;1,MOD(A35-1,60)=0)),"・","")&amp;"金利変更","")&amp;IF(AND(OR(AND(入力!$B$13="有効",A35&gt;1,MOD(A35-1,60)=0),AND(A35=入力!$B$11,A35&gt;1)),入力!$B$14="有効",IF(E35=0,ROUND(C35/MAX(1,S34-A35+1),0),ROUND(-PMT(E35/12,MAX(1,S34-A35+1),C35),0))&gt;ROUND(G34*1.25,0),NOT(A35=入力!$B$15+1)),"・上限適用",""))</f>
        <v/>
      </c>
      <c r="Q35" s="35" t="str">
        <f>IF(AND(T34="",A35&lt;=S34),入力!$B$13,"")</f>
        <v>有効</v>
      </c>
      <c r="R35" s="32" t="str">
        <f>IF(AND(AND(T34="",A35&lt;=S34),OR(AND(入力!$B$13="有効",A35&gt;1,MOD(A35-1,60)=0),AND(A35=入力!$B$11,A35&gt;1)),入力!$B$14="有効"),ROUND(G34*1.25,0),"")</f>
        <v/>
      </c>
      <c r="S35" s="36">
        <f t="shared" si="15"/>
        <v>420</v>
      </c>
      <c r="T35" s="35" t="str">
        <f t="shared" si="16"/>
        <v/>
      </c>
      <c r="U35" s="3">
        <f t="shared" si="0"/>
        <v>0</v>
      </c>
      <c r="V35" s="3">
        <f t="shared" si="1"/>
        <v>0</v>
      </c>
      <c r="W35" s="3">
        <f t="shared" si="2"/>
        <v>0</v>
      </c>
      <c r="X35" s="3">
        <f t="shared" si="3"/>
        <v>0</v>
      </c>
      <c r="Y35" s="3">
        <f>0</f>
        <v>0</v>
      </c>
      <c r="Z35" s="3">
        <f t="shared" si="4"/>
        <v>0</v>
      </c>
      <c r="AA35">
        <f>ROUND(IF(A35=入力!$B$15+1,IF(E35=0,ROUND(C35/MAX(1,S34-A35+1),0),ROUND(-PMT(E35/12,MAX(1,S34-A35+1)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,0)</f>
        <v>93982</v>
      </c>
    </row>
    <row r="36" spans="1:27">
      <c r="A36" s="30">
        <f>31</f>
        <v>31</v>
      </c>
      <c r="B36" s="31">
        <f>EDATE(入力!$B$6,A36-1)</f>
        <v>47150</v>
      </c>
      <c r="C36" s="32">
        <f t="shared" si="5"/>
        <v>32774273</v>
      </c>
      <c r="D36" s="32">
        <f t="shared" si="6"/>
        <v>0</v>
      </c>
      <c r="E36" s="33">
        <f>IF(AND(T35="",A36&lt;=S35),IF(A36&lt;入力!$B$11,入力!$B$10,入力!$B$12),0)</f>
        <v>7.0000000000000001E-3</v>
      </c>
      <c r="F36" s="32">
        <f t="shared" si="7"/>
        <v>19118</v>
      </c>
      <c r="G36" s="32">
        <f>ROUND(IF(NOT(AND(T35="",A36&lt;=S35)),0,IF(A36=入力!$B$15+1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),0)</f>
        <v>93982</v>
      </c>
      <c r="H36" s="32">
        <f t="shared" si="8"/>
        <v>93982</v>
      </c>
      <c r="I36" s="32">
        <f t="shared" si="9"/>
        <v>19118</v>
      </c>
      <c r="J36" s="32">
        <f t="shared" si="10"/>
        <v>0</v>
      </c>
      <c r="K36" s="32">
        <f t="shared" si="11"/>
        <v>0</v>
      </c>
      <c r="L36" s="32">
        <f t="shared" si="12"/>
        <v>74864</v>
      </c>
      <c r="M36" s="32">
        <f>IF(AND(AND(T35="",A36&lt;=S35),A36=入力!$B$15),ROUND(MIN(入力!$B$16,MAX(0,C36-L36)),0),0)</f>
        <v>0</v>
      </c>
      <c r="N36" s="32">
        <f t="shared" si="13"/>
        <v>32699409</v>
      </c>
      <c r="O36" s="32">
        <f t="shared" si="14"/>
        <v>612851</v>
      </c>
      <c r="P36" s="34" t="str">
        <f>IF(NOT(AND(T35="",A36&lt;=S35)),"",IF(A36=入力!$B$15+1,"繰上返済後再計算","")&amp;IF(AND(入力!$B$13="有効",A36&gt;1,MOD(A36-1,60)=0),IF(A36=入力!$B$15+1,"・","")&amp;"5年見直し","")&amp;IF(AND(A36=入力!$B$11,A36&gt;1),IF(OR(A36=入力!$B$15+1,AND(入力!$B$13="有効",A36&gt;1,MOD(A36-1,60)=0)),"・","")&amp;"金利変更","")&amp;IF(AND(OR(AND(入力!$B$13="有効",A36&gt;1,MOD(A36-1,60)=0),AND(A36=入力!$B$11,A36&gt;1)),入力!$B$14="有効",IF(E36=0,ROUND(C36/MAX(1,S35-A36+1),0),ROUND(-PMT(E36/12,MAX(1,S35-A36+1),C36),0))&gt;ROUND(G35*1.25,0),NOT(A36=入力!$B$15+1)),"・上限適用",""))</f>
        <v/>
      </c>
      <c r="Q36" s="35" t="str">
        <f>IF(AND(T35="",A36&lt;=S35),入力!$B$13,"")</f>
        <v>有効</v>
      </c>
      <c r="R36" s="32" t="str">
        <f>IF(AND(AND(T35="",A36&lt;=S35),OR(AND(入力!$B$13="有効",A36&gt;1,MOD(A36-1,60)=0),AND(A36=入力!$B$11,A36&gt;1)),入力!$B$14="有効"),ROUND(G35*1.25,0),"")</f>
        <v/>
      </c>
      <c r="S36" s="36">
        <f t="shared" si="15"/>
        <v>420</v>
      </c>
      <c r="T36" s="35" t="str">
        <f t="shared" si="16"/>
        <v/>
      </c>
      <c r="U36" s="3">
        <f t="shared" si="0"/>
        <v>0</v>
      </c>
      <c r="V36" s="3">
        <f t="shared" si="1"/>
        <v>0</v>
      </c>
      <c r="W36" s="3">
        <f t="shared" si="2"/>
        <v>0</v>
      </c>
      <c r="X36" s="3">
        <f t="shared" si="3"/>
        <v>0</v>
      </c>
      <c r="Y36" s="3">
        <f>0</f>
        <v>0</v>
      </c>
      <c r="Z36" s="3">
        <f t="shared" si="4"/>
        <v>0</v>
      </c>
      <c r="AA36">
        <f>ROUND(IF(A36=入力!$B$15+1,IF(E36=0,ROUND(C36/MAX(1,S35-A36+1),0),ROUND(-PMT(E36/12,MAX(1,S35-A36+1)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,0)</f>
        <v>93982</v>
      </c>
    </row>
    <row r="37" spans="1:27">
      <c r="A37" s="30">
        <f>32</f>
        <v>32</v>
      </c>
      <c r="B37" s="31">
        <f>EDATE(入力!$B$6,A37-1)</f>
        <v>47178</v>
      </c>
      <c r="C37" s="32">
        <f t="shared" si="5"/>
        <v>32699409</v>
      </c>
      <c r="D37" s="32">
        <f t="shared" si="6"/>
        <v>0</v>
      </c>
      <c r="E37" s="33">
        <f>IF(AND(T36="",A37&lt;=S36),IF(A37&lt;入力!$B$11,入力!$B$10,入力!$B$12),0)</f>
        <v>7.0000000000000001E-3</v>
      </c>
      <c r="F37" s="32">
        <f t="shared" si="7"/>
        <v>19075</v>
      </c>
      <c r="G37" s="32">
        <f>ROUND(IF(NOT(AND(T36="",A37&lt;=S36)),0,IF(A37=入力!$B$15+1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),0)</f>
        <v>93982</v>
      </c>
      <c r="H37" s="32">
        <f t="shared" si="8"/>
        <v>93982</v>
      </c>
      <c r="I37" s="32">
        <f t="shared" si="9"/>
        <v>19075</v>
      </c>
      <c r="J37" s="32">
        <f t="shared" si="10"/>
        <v>0</v>
      </c>
      <c r="K37" s="32">
        <f t="shared" si="11"/>
        <v>0</v>
      </c>
      <c r="L37" s="32">
        <f t="shared" si="12"/>
        <v>74907</v>
      </c>
      <c r="M37" s="32">
        <f>IF(AND(AND(T36="",A37&lt;=S36),A37=入力!$B$15),ROUND(MIN(入力!$B$16,MAX(0,C37-L37)),0),0)</f>
        <v>0</v>
      </c>
      <c r="N37" s="32">
        <f t="shared" si="13"/>
        <v>32624502</v>
      </c>
      <c r="O37" s="32">
        <f t="shared" si="14"/>
        <v>631926</v>
      </c>
      <c r="P37" s="34" t="str">
        <f>IF(NOT(AND(T36="",A37&lt;=S36)),"",IF(A37=入力!$B$15+1,"繰上返済後再計算","")&amp;IF(AND(入力!$B$13="有効",A37&gt;1,MOD(A37-1,60)=0),IF(A37=入力!$B$15+1,"・","")&amp;"5年見直し","")&amp;IF(AND(A37=入力!$B$11,A37&gt;1),IF(OR(A37=入力!$B$15+1,AND(入力!$B$13="有効",A37&gt;1,MOD(A37-1,60)=0)),"・","")&amp;"金利変更","")&amp;IF(AND(OR(AND(入力!$B$13="有効",A37&gt;1,MOD(A37-1,60)=0),AND(A37=入力!$B$11,A37&gt;1)),入力!$B$14="有効",IF(E37=0,ROUND(C37/MAX(1,S36-A37+1),0),ROUND(-PMT(E37/12,MAX(1,S36-A37+1),C37),0))&gt;ROUND(G36*1.25,0),NOT(A37=入力!$B$15+1)),"・上限適用",""))</f>
        <v/>
      </c>
      <c r="Q37" s="35" t="str">
        <f>IF(AND(T36="",A37&lt;=S36),入力!$B$13,"")</f>
        <v>有効</v>
      </c>
      <c r="R37" s="32" t="str">
        <f>IF(AND(AND(T36="",A37&lt;=S36),OR(AND(入力!$B$13="有効",A37&gt;1,MOD(A37-1,60)=0),AND(A37=入力!$B$11,A37&gt;1)),入力!$B$14="有効"),ROUND(G36*1.25,0),"")</f>
        <v/>
      </c>
      <c r="S37" s="36">
        <f t="shared" si="15"/>
        <v>420</v>
      </c>
      <c r="T37" s="35" t="str">
        <f t="shared" si="16"/>
        <v/>
      </c>
      <c r="U37" s="3">
        <f t="shared" si="0"/>
        <v>0</v>
      </c>
      <c r="V37" s="3">
        <f t="shared" si="1"/>
        <v>0</v>
      </c>
      <c r="W37" s="3">
        <f t="shared" si="2"/>
        <v>0</v>
      </c>
      <c r="X37" s="3">
        <f t="shared" si="3"/>
        <v>0</v>
      </c>
      <c r="Y37" s="3">
        <f>0</f>
        <v>0</v>
      </c>
      <c r="Z37" s="3">
        <f t="shared" si="4"/>
        <v>0</v>
      </c>
      <c r="AA37">
        <f>ROUND(IF(A37=入力!$B$15+1,IF(E37=0,ROUND(C37/MAX(1,S36-A37+1),0),ROUND(-PMT(E37/12,MAX(1,S36-A37+1)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,0)</f>
        <v>93982</v>
      </c>
    </row>
    <row r="38" spans="1:27">
      <c r="A38" s="30">
        <f>33</f>
        <v>33</v>
      </c>
      <c r="B38" s="31">
        <f>EDATE(入力!$B$6,A38-1)</f>
        <v>47209</v>
      </c>
      <c r="C38" s="32">
        <f t="shared" si="5"/>
        <v>32624502</v>
      </c>
      <c r="D38" s="32">
        <f t="shared" si="6"/>
        <v>0</v>
      </c>
      <c r="E38" s="33">
        <f>IF(AND(T37="",A38&lt;=S37),IF(A38&lt;入力!$B$11,入力!$B$10,入力!$B$12),0)</f>
        <v>7.0000000000000001E-3</v>
      </c>
      <c r="F38" s="32">
        <f t="shared" si="7"/>
        <v>19031</v>
      </c>
      <c r="G38" s="32">
        <f>ROUND(IF(NOT(AND(T37="",A38&lt;=S37)),0,IF(A38=入力!$B$15+1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),0)</f>
        <v>93982</v>
      </c>
      <c r="H38" s="32">
        <f t="shared" si="8"/>
        <v>93982</v>
      </c>
      <c r="I38" s="32">
        <f t="shared" si="9"/>
        <v>19031</v>
      </c>
      <c r="J38" s="32">
        <f t="shared" si="10"/>
        <v>0</v>
      </c>
      <c r="K38" s="32">
        <f t="shared" si="11"/>
        <v>0</v>
      </c>
      <c r="L38" s="32">
        <f t="shared" si="12"/>
        <v>74951</v>
      </c>
      <c r="M38" s="32">
        <f>IF(AND(AND(T37="",A38&lt;=S37),A38=入力!$B$15),ROUND(MIN(入力!$B$16,MAX(0,C38-L38)),0),0)</f>
        <v>0</v>
      </c>
      <c r="N38" s="32">
        <f t="shared" si="13"/>
        <v>32549551</v>
      </c>
      <c r="O38" s="32">
        <f t="shared" si="14"/>
        <v>650957</v>
      </c>
      <c r="P38" s="34" t="str">
        <f>IF(NOT(AND(T37="",A38&lt;=S37)),"",IF(A38=入力!$B$15+1,"繰上返済後再計算","")&amp;IF(AND(入力!$B$13="有効",A38&gt;1,MOD(A38-1,60)=0),IF(A38=入力!$B$15+1,"・","")&amp;"5年見直し","")&amp;IF(AND(A38=入力!$B$11,A38&gt;1),IF(OR(A38=入力!$B$15+1,AND(入力!$B$13="有効",A38&gt;1,MOD(A38-1,60)=0)),"・","")&amp;"金利変更","")&amp;IF(AND(OR(AND(入力!$B$13="有効",A38&gt;1,MOD(A38-1,60)=0),AND(A38=入力!$B$11,A38&gt;1)),入力!$B$14="有効",IF(E38=0,ROUND(C38/MAX(1,S37-A38+1),0),ROUND(-PMT(E38/12,MAX(1,S37-A38+1),C38),0))&gt;ROUND(G37*1.25,0),NOT(A38=入力!$B$15+1)),"・上限適用",""))</f>
        <v/>
      </c>
      <c r="Q38" s="35" t="str">
        <f>IF(AND(T37="",A38&lt;=S37),入力!$B$13,"")</f>
        <v>有効</v>
      </c>
      <c r="R38" s="32" t="str">
        <f>IF(AND(AND(T37="",A38&lt;=S37),OR(AND(入力!$B$13="有効",A38&gt;1,MOD(A38-1,60)=0),AND(A38=入力!$B$11,A38&gt;1)),入力!$B$14="有効"),ROUND(G37*1.25,0),"")</f>
        <v/>
      </c>
      <c r="S38" s="36">
        <f t="shared" si="15"/>
        <v>420</v>
      </c>
      <c r="T38" s="35" t="str">
        <f t="shared" si="16"/>
        <v/>
      </c>
      <c r="U38" s="3">
        <f t="shared" si="0"/>
        <v>0</v>
      </c>
      <c r="V38" s="3">
        <f t="shared" si="1"/>
        <v>0</v>
      </c>
      <c r="W38" s="3">
        <f t="shared" si="2"/>
        <v>0</v>
      </c>
      <c r="X38" s="3">
        <f t="shared" si="3"/>
        <v>0</v>
      </c>
      <c r="Y38" s="3">
        <f>0</f>
        <v>0</v>
      </c>
      <c r="Z38" s="3">
        <f t="shared" si="4"/>
        <v>0</v>
      </c>
      <c r="AA38">
        <f>ROUND(IF(A38=入力!$B$15+1,IF(E38=0,ROUND(C38/MAX(1,S37-A38+1),0),ROUND(-PMT(E38/12,MAX(1,S37-A38+1)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,0)</f>
        <v>93982</v>
      </c>
    </row>
    <row r="39" spans="1:27">
      <c r="A39" s="30">
        <f>34</f>
        <v>34</v>
      </c>
      <c r="B39" s="31">
        <f>EDATE(入力!$B$6,A39-1)</f>
        <v>47239</v>
      </c>
      <c r="C39" s="32">
        <f t="shared" si="5"/>
        <v>32549551</v>
      </c>
      <c r="D39" s="32">
        <f t="shared" si="6"/>
        <v>0</v>
      </c>
      <c r="E39" s="33">
        <f>IF(AND(T38="",A39&lt;=S38),IF(A39&lt;入力!$B$11,入力!$B$10,入力!$B$12),0)</f>
        <v>7.0000000000000001E-3</v>
      </c>
      <c r="F39" s="32">
        <f t="shared" si="7"/>
        <v>18987</v>
      </c>
      <c r="G39" s="32">
        <f>ROUND(IF(NOT(AND(T38="",A39&lt;=S38)),0,IF(A39=入力!$B$15+1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),0)</f>
        <v>93982</v>
      </c>
      <c r="H39" s="32">
        <f t="shared" si="8"/>
        <v>93982</v>
      </c>
      <c r="I39" s="32">
        <f t="shared" si="9"/>
        <v>18987</v>
      </c>
      <c r="J39" s="32">
        <f t="shared" si="10"/>
        <v>0</v>
      </c>
      <c r="K39" s="32">
        <f t="shared" si="11"/>
        <v>0</v>
      </c>
      <c r="L39" s="32">
        <f t="shared" si="12"/>
        <v>74995</v>
      </c>
      <c r="M39" s="32">
        <f>IF(AND(AND(T38="",A39&lt;=S38),A39=入力!$B$15),ROUND(MIN(入力!$B$16,MAX(0,C39-L39)),0),0)</f>
        <v>0</v>
      </c>
      <c r="N39" s="32">
        <f t="shared" si="13"/>
        <v>32474556</v>
      </c>
      <c r="O39" s="32">
        <f t="shared" si="14"/>
        <v>669944</v>
      </c>
      <c r="P39" s="34" t="str">
        <f>IF(NOT(AND(T38="",A39&lt;=S38)),"",IF(A39=入力!$B$15+1,"繰上返済後再計算","")&amp;IF(AND(入力!$B$13="有効",A39&gt;1,MOD(A39-1,60)=0),IF(A39=入力!$B$15+1,"・","")&amp;"5年見直し","")&amp;IF(AND(A39=入力!$B$11,A39&gt;1),IF(OR(A39=入力!$B$15+1,AND(入力!$B$13="有効",A39&gt;1,MOD(A39-1,60)=0)),"・","")&amp;"金利変更","")&amp;IF(AND(OR(AND(入力!$B$13="有効",A39&gt;1,MOD(A39-1,60)=0),AND(A39=入力!$B$11,A39&gt;1)),入力!$B$14="有効",IF(E39=0,ROUND(C39/MAX(1,S38-A39+1),0),ROUND(-PMT(E39/12,MAX(1,S38-A39+1),C39),0))&gt;ROUND(G38*1.25,0),NOT(A39=入力!$B$15+1)),"・上限適用",""))</f>
        <v/>
      </c>
      <c r="Q39" s="35" t="str">
        <f>IF(AND(T38="",A39&lt;=S38),入力!$B$13,"")</f>
        <v>有効</v>
      </c>
      <c r="R39" s="32" t="str">
        <f>IF(AND(AND(T38="",A39&lt;=S38),OR(AND(入力!$B$13="有効",A39&gt;1,MOD(A39-1,60)=0),AND(A39=入力!$B$11,A39&gt;1)),入力!$B$14="有効"),ROUND(G38*1.25,0),"")</f>
        <v/>
      </c>
      <c r="S39" s="36">
        <f t="shared" si="15"/>
        <v>420</v>
      </c>
      <c r="T39" s="35" t="str">
        <f t="shared" si="16"/>
        <v/>
      </c>
      <c r="U39" s="3">
        <f t="shared" si="0"/>
        <v>0</v>
      </c>
      <c r="V39" s="3">
        <f t="shared" si="1"/>
        <v>0</v>
      </c>
      <c r="W39" s="3">
        <f t="shared" si="2"/>
        <v>0</v>
      </c>
      <c r="X39" s="3">
        <f t="shared" si="3"/>
        <v>0</v>
      </c>
      <c r="Y39" s="3">
        <f>0</f>
        <v>0</v>
      </c>
      <c r="Z39" s="3">
        <f t="shared" si="4"/>
        <v>0</v>
      </c>
      <c r="AA39">
        <f>ROUND(IF(A39=入力!$B$15+1,IF(E39=0,ROUND(C39/MAX(1,S38-A39+1),0),ROUND(-PMT(E39/12,MAX(1,S38-A39+1)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,0)</f>
        <v>93982</v>
      </c>
    </row>
    <row r="40" spans="1:27">
      <c r="A40" s="30">
        <f>35</f>
        <v>35</v>
      </c>
      <c r="B40" s="31">
        <f>EDATE(入力!$B$6,A40-1)</f>
        <v>47270</v>
      </c>
      <c r="C40" s="32">
        <f t="shared" si="5"/>
        <v>32474556</v>
      </c>
      <c r="D40" s="32">
        <f t="shared" si="6"/>
        <v>0</v>
      </c>
      <c r="E40" s="33">
        <f>IF(AND(T39="",A40&lt;=S39),IF(A40&lt;入力!$B$11,入力!$B$10,入力!$B$12),0)</f>
        <v>7.0000000000000001E-3</v>
      </c>
      <c r="F40" s="32">
        <f t="shared" si="7"/>
        <v>18943</v>
      </c>
      <c r="G40" s="32">
        <f>ROUND(IF(NOT(AND(T39="",A40&lt;=S39)),0,IF(A40=入力!$B$15+1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),0)</f>
        <v>93982</v>
      </c>
      <c r="H40" s="32">
        <f t="shared" si="8"/>
        <v>93982</v>
      </c>
      <c r="I40" s="32">
        <f t="shared" si="9"/>
        <v>18943</v>
      </c>
      <c r="J40" s="32">
        <f t="shared" si="10"/>
        <v>0</v>
      </c>
      <c r="K40" s="32">
        <f t="shared" si="11"/>
        <v>0</v>
      </c>
      <c r="L40" s="32">
        <f t="shared" si="12"/>
        <v>75039</v>
      </c>
      <c r="M40" s="32">
        <f>IF(AND(AND(T39="",A40&lt;=S39),A40=入力!$B$15),ROUND(MIN(入力!$B$16,MAX(0,C40-L40)),0),0)</f>
        <v>0</v>
      </c>
      <c r="N40" s="32">
        <f t="shared" si="13"/>
        <v>32399517</v>
      </c>
      <c r="O40" s="32">
        <f t="shared" si="14"/>
        <v>688887</v>
      </c>
      <c r="P40" s="34" t="str">
        <f>IF(NOT(AND(T39="",A40&lt;=S39)),"",IF(A40=入力!$B$15+1,"繰上返済後再計算","")&amp;IF(AND(入力!$B$13="有効",A40&gt;1,MOD(A40-1,60)=0),IF(A40=入力!$B$15+1,"・","")&amp;"5年見直し","")&amp;IF(AND(A40=入力!$B$11,A40&gt;1),IF(OR(A40=入力!$B$15+1,AND(入力!$B$13="有効",A40&gt;1,MOD(A40-1,60)=0)),"・","")&amp;"金利変更","")&amp;IF(AND(OR(AND(入力!$B$13="有効",A40&gt;1,MOD(A40-1,60)=0),AND(A40=入力!$B$11,A40&gt;1)),入力!$B$14="有効",IF(E40=0,ROUND(C40/MAX(1,S39-A40+1),0),ROUND(-PMT(E40/12,MAX(1,S39-A40+1),C40),0))&gt;ROUND(G39*1.25,0),NOT(A40=入力!$B$15+1)),"・上限適用",""))</f>
        <v/>
      </c>
      <c r="Q40" s="35" t="str">
        <f>IF(AND(T39="",A40&lt;=S39),入力!$B$13,"")</f>
        <v>有効</v>
      </c>
      <c r="R40" s="32" t="str">
        <f>IF(AND(AND(T39="",A40&lt;=S39),OR(AND(入力!$B$13="有効",A40&gt;1,MOD(A40-1,60)=0),AND(A40=入力!$B$11,A40&gt;1)),入力!$B$14="有効"),ROUND(G39*1.25,0),"")</f>
        <v/>
      </c>
      <c r="S40" s="36">
        <f t="shared" si="15"/>
        <v>420</v>
      </c>
      <c r="T40" s="35" t="str">
        <f t="shared" si="16"/>
        <v/>
      </c>
      <c r="U40" s="3">
        <f t="shared" si="0"/>
        <v>0</v>
      </c>
      <c r="V40" s="3">
        <f t="shared" si="1"/>
        <v>0</v>
      </c>
      <c r="W40" s="3">
        <f t="shared" si="2"/>
        <v>0</v>
      </c>
      <c r="X40" s="3">
        <f t="shared" si="3"/>
        <v>0</v>
      </c>
      <c r="Y40" s="3">
        <f>0</f>
        <v>0</v>
      </c>
      <c r="Z40" s="3">
        <f t="shared" si="4"/>
        <v>0</v>
      </c>
      <c r="AA40">
        <f>ROUND(IF(A40=入力!$B$15+1,IF(E40=0,ROUND(C40/MAX(1,S39-A40+1),0),ROUND(-PMT(E40/12,MAX(1,S39-A40+1)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,0)</f>
        <v>93982</v>
      </c>
    </row>
    <row r="41" spans="1:27">
      <c r="A41" s="30">
        <f>36</f>
        <v>36</v>
      </c>
      <c r="B41" s="31">
        <f>EDATE(入力!$B$6,A41-1)</f>
        <v>47300</v>
      </c>
      <c r="C41" s="32">
        <f t="shared" si="5"/>
        <v>32399517</v>
      </c>
      <c r="D41" s="32">
        <f t="shared" si="6"/>
        <v>0</v>
      </c>
      <c r="E41" s="33">
        <f>IF(AND(T40="",A41&lt;=S40),IF(A41&lt;入力!$B$11,入力!$B$10,入力!$B$12),0)</f>
        <v>7.0000000000000001E-3</v>
      </c>
      <c r="F41" s="32">
        <f t="shared" si="7"/>
        <v>18900</v>
      </c>
      <c r="G41" s="32">
        <f>ROUND(IF(NOT(AND(T40="",A41&lt;=S40)),0,IF(A41=入力!$B$15+1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),0)</f>
        <v>93982</v>
      </c>
      <c r="H41" s="32">
        <f t="shared" si="8"/>
        <v>93982</v>
      </c>
      <c r="I41" s="32">
        <f t="shared" si="9"/>
        <v>18900</v>
      </c>
      <c r="J41" s="32">
        <f t="shared" si="10"/>
        <v>0</v>
      </c>
      <c r="K41" s="32">
        <f t="shared" si="11"/>
        <v>0</v>
      </c>
      <c r="L41" s="32">
        <f t="shared" si="12"/>
        <v>75082</v>
      </c>
      <c r="M41" s="32">
        <f>IF(AND(AND(T40="",A41&lt;=S40),A41=入力!$B$15),ROUND(MIN(入力!$B$16,MAX(0,C41-L41)),0),0)</f>
        <v>0</v>
      </c>
      <c r="N41" s="32">
        <f t="shared" si="13"/>
        <v>32324435</v>
      </c>
      <c r="O41" s="32">
        <f t="shared" si="14"/>
        <v>707787</v>
      </c>
      <c r="P41" s="34" t="str">
        <f>IF(NOT(AND(T40="",A41&lt;=S40)),"",IF(A41=入力!$B$15+1,"繰上返済後再計算","")&amp;IF(AND(入力!$B$13="有効",A41&gt;1,MOD(A41-1,60)=0),IF(A41=入力!$B$15+1,"・","")&amp;"5年見直し","")&amp;IF(AND(A41=入力!$B$11,A41&gt;1),IF(OR(A41=入力!$B$15+1,AND(入力!$B$13="有効",A41&gt;1,MOD(A41-1,60)=0)),"・","")&amp;"金利変更","")&amp;IF(AND(OR(AND(入力!$B$13="有効",A41&gt;1,MOD(A41-1,60)=0),AND(A41=入力!$B$11,A41&gt;1)),入力!$B$14="有効",IF(E41=0,ROUND(C41/MAX(1,S40-A41+1),0),ROUND(-PMT(E41/12,MAX(1,S40-A41+1),C41),0))&gt;ROUND(G40*1.25,0),NOT(A41=入力!$B$15+1)),"・上限適用",""))</f>
        <v/>
      </c>
      <c r="Q41" s="35" t="str">
        <f>IF(AND(T40="",A41&lt;=S40),入力!$B$13,"")</f>
        <v>有効</v>
      </c>
      <c r="R41" s="32" t="str">
        <f>IF(AND(AND(T40="",A41&lt;=S40),OR(AND(入力!$B$13="有効",A41&gt;1,MOD(A41-1,60)=0),AND(A41=入力!$B$11,A41&gt;1)),入力!$B$14="有効"),ROUND(G40*1.25,0),"")</f>
        <v/>
      </c>
      <c r="S41" s="36">
        <f t="shared" si="15"/>
        <v>420</v>
      </c>
      <c r="T41" s="35" t="str">
        <f t="shared" si="16"/>
        <v/>
      </c>
      <c r="U41" s="3">
        <f t="shared" si="0"/>
        <v>0</v>
      </c>
      <c r="V41" s="3">
        <f t="shared" si="1"/>
        <v>0</v>
      </c>
      <c r="W41" s="3">
        <f t="shared" si="2"/>
        <v>0</v>
      </c>
      <c r="X41" s="3">
        <f t="shared" si="3"/>
        <v>0</v>
      </c>
      <c r="Y41" s="3">
        <f>0</f>
        <v>0</v>
      </c>
      <c r="Z41" s="3">
        <f t="shared" si="4"/>
        <v>0</v>
      </c>
      <c r="AA41">
        <f>ROUND(IF(A41=入力!$B$15+1,IF(E41=0,ROUND(C41/MAX(1,S40-A41+1),0),ROUND(-PMT(E41/12,MAX(1,S40-A41+1)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,0)</f>
        <v>93982</v>
      </c>
    </row>
    <row r="42" spans="1:27">
      <c r="A42" s="30">
        <f>37</f>
        <v>37</v>
      </c>
      <c r="B42" s="31">
        <f>EDATE(入力!$B$6,A42-1)</f>
        <v>47331</v>
      </c>
      <c r="C42" s="32">
        <f t="shared" si="5"/>
        <v>32324435</v>
      </c>
      <c r="D42" s="32">
        <f t="shared" si="6"/>
        <v>0</v>
      </c>
      <c r="E42" s="33">
        <f>IF(AND(T41="",A42&lt;=S41),IF(A42&lt;入力!$B$11,入力!$B$10,入力!$B$12),0)</f>
        <v>7.0000000000000001E-3</v>
      </c>
      <c r="F42" s="32">
        <f t="shared" si="7"/>
        <v>18856</v>
      </c>
      <c r="G42" s="32">
        <f>ROUND(IF(NOT(AND(T41="",A42&lt;=S41)),0,IF(A42=入力!$B$15+1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),0)</f>
        <v>93982</v>
      </c>
      <c r="H42" s="32">
        <f t="shared" si="8"/>
        <v>93982</v>
      </c>
      <c r="I42" s="32">
        <f t="shared" si="9"/>
        <v>18856</v>
      </c>
      <c r="J42" s="32">
        <f t="shared" si="10"/>
        <v>0</v>
      </c>
      <c r="K42" s="32">
        <f t="shared" si="11"/>
        <v>0</v>
      </c>
      <c r="L42" s="32">
        <f t="shared" si="12"/>
        <v>75126</v>
      </c>
      <c r="M42" s="32">
        <f>IF(AND(AND(T41="",A42&lt;=S41),A42=入力!$B$15),ROUND(MIN(入力!$B$16,MAX(0,C42-L42)),0),0)</f>
        <v>0</v>
      </c>
      <c r="N42" s="32">
        <f t="shared" si="13"/>
        <v>32249309</v>
      </c>
      <c r="O42" s="32">
        <f t="shared" si="14"/>
        <v>726643</v>
      </c>
      <c r="P42" s="34" t="str">
        <f>IF(NOT(AND(T41="",A42&lt;=S41)),"",IF(A42=入力!$B$15+1,"繰上返済後再計算","")&amp;IF(AND(入力!$B$13="有効",A42&gt;1,MOD(A42-1,60)=0),IF(A42=入力!$B$15+1,"・","")&amp;"5年見直し","")&amp;IF(AND(A42=入力!$B$11,A42&gt;1),IF(OR(A42=入力!$B$15+1,AND(入力!$B$13="有効",A42&gt;1,MOD(A42-1,60)=0)),"・","")&amp;"金利変更","")&amp;IF(AND(OR(AND(入力!$B$13="有効",A42&gt;1,MOD(A42-1,60)=0),AND(A42=入力!$B$11,A42&gt;1)),入力!$B$14="有効",IF(E42=0,ROUND(C42/MAX(1,S41-A42+1),0),ROUND(-PMT(E42/12,MAX(1,S41-A42+1),C42),0))&gt;ROUND(G41*1.25,0),NOT(A42=入力!$B$15+1)),"・上限適用",""))</f>
        <v/>
      </c>
      <c r="Q42" s="35" t="str">
        <f>IF(AND(T41="",A42&lt;=S41),入力!$B$13,"")</f>
        <v>有効</v>
      </c>
      <c r="R42" s="32" t="str">
        <f>IF(AND(AND(T41="",A42&lt;=S41),OR(AND(入力!$B$13="有効",A42&gt;1,MOD(A42-1,60)=0),AND(A42=入力!$B$11,A42&gt;1)),入力!$B$14="有効"),ROUND(G41*1.25,0),"")</f>
        <v/>
      </c>
      <c r="S42" s="36">
        <f t="shared" si="15"/>
        <v>420</v>
      </c>
      <c r="T42" s="35" t="str">
        <f t="shared" si="16"/>
        <v/>
      </c>
      <c r="U42" s="3">
        <f t="shared" si="0"/>
        <v>0</v>
      </c>
      <c r="V42" s="3">
        <f t="shared" si="1"/>
        <v>0</v>
      </c>
      <c r="W42" s="3">
        <f t="shared" si="2"/>
        <v>0</v>
      </c>
      <c r="X42" s="3">
        <f t="shared" si="3"/>
        <v>0</v>
      </c>
      <c r="Y42" s="3">
        <f>0</f>
        <v>0</v>
      </c>
      <c r="Z42" s="3">
        <f t="shared" si="4"/>
        <v>0</v>
      </c>
      <c r="AA42">
        <f>ROUND(IF(A42=入力!$B$15+1,IF(E42=0,ROUND(C42/MAX(1,S41-A42+1),0),ROUND(-PMT(E42/12,MAX(1,S41-A42+1)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,0)</f>
        <v>93982</v>
      </c>
    </row>
    <row r="43" spans="1:27">
      <c r="A43" s="30">
        <f>38</f>
        <v>38</v>
      </c>
      <c r="B43" s="31">
        <f>EDATE(入力!$B$6,A43-1)</f>
        <v>47362</v>
      </c>
      <c r="C43" s="32">
        <f t="shared" si="5"/>
        <v>32249309</v>
      </c>
      <c r="D43" s="32">
        <f t="shared" si="6"/>
        <v>0</v>
      </c>
      <c r="E43" s="33">
        <f>IF(AND(T42="",A43&lt;=S42),IF(A43&lt;入力!$B$11,入力!$B$10,入力!$B$12),0)</f>
        <v>7.0000000000000001E-3</v>
      </c>
      <c r="F43" s="32">
        <f t="shared" si="7"/>
        <v>18812</v>
      </c>
      <c r="G43" s="32">
        <f>ROUND(IF(NOT(AND(T42="",A43&lt;=S42)),0,IF(A43=入力!$B$15+1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),0)</f>
        <v>93982</v>
      </c>
      <c r="H43" s="32">
        <f t="shared" si="8"/>
        <v>93982</v>
      </c>
      <c r="I43" s="32">
        <f t="shared" si="9"/>
        <v>18812</v>
      </c>
      <c r="J43" s="32">
        <f t="shared" si="10"/>
        <v>0</v>
      </c>
      <c r="K43" s="32">
        <f t="shared" si="11"/>
        <v>0</v>
      </c>
      <c r="L43" s="32">
        <f t="shared" si="12"/>
        <v>75170</v>
      </c>
      <c r="M43" s="32">
        <f>IF(AND(AND(T42="",A43&lt;=S42),A43=入力!$B$15),ROUND(MIN(入力!$B$16,MAX(0,C43-L43)),0),0)</f>
        <v>0</v>
      </c>
      <c r="N43" s="32">
        <f t="shared" si="13"/>
        <v>32174139</v>
      </c>
      <c r="O43" s="32">
        <f t="shared" si="14"/>
        <v>745455</v>
      </c>
      <c r="P43" s="34" t="str">
        <f>IF(NOT(AND(T42="",A43&lt;=S42)),"",IF(A43=入力!$B$15+1,"繰上返済後再計算","")&amp;IF(AND(入力!$B$13="有効",A43&gt;1,MOD(A43-1,60)=0),IF(A43=入力!$B$15+1,"・","")&amp;"5年見直し","")&amp;IF(AND(A43=入力!$B$11,A43&gt;1),IF(OR(A43=入力!$B$15+1,AND(入力!$B$13="有効",A43&gt;1,MOD(A43-1,60)=0)),"・","")&amp;"金利変更","")&amp;IF(AND(OR(AND(入力!$B$13="有効",A43&gt;1,MOD(A43-1,60)=0),AND(A43=入力!$B$11,A43&gt;1)),入力!$B$14="有効",IF(E43=0,ROUND(C43/MAX(1,S42-A43+1),0),ROUND(-PMT(E43/12,MAX(1,S42-A43+1),C43),0))&gt;ROUND(G42*1.25,0),NOT(A43=入力!$B$15+1)),"・上限適用",""))</f>
        <v/>
      </c>
      <c r="Q43" s="35" t="str">
        <f>IF(AND(T42="",A43&lt;=S42),入力!$B$13,"")</f>
        <v>有効</v>
      </c>
      <c r="R43" s="32" t="str">
        <f>IF(AND(AND(T42="",A43&lt;=S42),OR(AND(入力!$B$13="有効",A43&gt;1,MOD(A43-1,60)=0),AND(A43=入力!$B$11,A43&gt;1)),入力!$B$14="有効"),ROUND(G42*1.25,0),"")</f>
        <v/>
      </c>
      <c r="S43" s="36">
        <f t="shared" si="15"/>
        <v>420</v>
      </c>
      <c r="T43" s="35" t="str">
        <f t="shared" si="16"/>
        <v/>
      </c>
      <c r="U43" s="3">
        <f t="shared" si="0"/>
        <v>0</v>
      </c>
      <c r="V43" s="3">
        <f t="shared" si="1"/>
        <v>0</v>
      </c>
      <c r="W43" s="3">
        <f t="shared" si="2"/>
        <v>0</v>
      </c>
      <c r="X43" s="3">
        <f t="shared" si="3"/>
        <v>0</v>
      </c>
      <c r="Y43" s="3">
        <f>0</f>
        <v>0</v>
      </c>
      <c r="Z43" s="3">
        <f t="shared" si="4"/>
        <v>0</v>
      </c>
      <c r="AA43">
        <f>ROUND(IF(A43=入力!$B$15+1,IF(E43=0,ROUND(C43/MAX(1,S42-A43+1),0),ROUND(-PMT(E43/12,MAX(1,S42-A43+1)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,0)</f>
        <v>93982</v>
      </c>
    </row>
    <row r="44" spans="1:27">
      <c r="A44" s="30">
        <f>39</f>
        <v>39</v>
      </c>
      <c r="B44" s="31">
        <f>EDATE(入力!$B$6,A44-1)</f>
        <v>47392</v>
      </c>
      <c r="C44" s="32">
        <f t="shared" si="5"/>
        <v>32174139</v>
      </c>
      <c r="D44" s="32">
        <f t="shared" si="6"/>
        <v>0</v>
      </c>
      <c r="E44" s="33">
        <f>IF(AND(T43="",A44&lt;=S43),IF(A44&lt;入力!$B$11,入力!$B$10,入力!$B$12),0)</f>
        <v>7.0000000000000001E-3</v>
      </c>
      <c r="F44" s="32">
        <f t="shared" si="7"/>
        <v>18768</v>
      </c>
      <c r="G44" s="32">
        <f>ROUND(IF(NOT(AND(T43="",A44&lt;=S43)),0,IF(A44=入力!$B$15+1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),0)</f>
        <v>93982</v>
      </c>
      <c r="H44" s="32">
        <f t="shared" si="8"/>
        <v>93982</v>
      </c>
      <c r="I44" s="32">
        <f t="shared" si="9"/>
        <v>18768</v>
      </c>
      <c r="J44" s="32">
        <f t="shared" si="10"/>
        <v>0</v>
      </c>
      <c r="K44" s="32">
        <f t="shared" si="11"/>
        <v>0</v>
      </c>
      <c r="L44" s="32">
        <f t="shared" si="12"/>
        <v>75214</v>
      </c>
      <c r="M44" s="32">
        <f>IF(AND(AND(T43="",A44&lt;=S43),A44=入力!$B$15),ROUND(MIN(入力!$B$16,MAX(0,C44-L44)),0),0)</f>
        <v>0</v>
      </c>
      <c r="N44" s="32">
        <f t="shared" si="13"/>
        <v>32098925</v>
      </c>
      <c r="O44" s="32">
        <f t="shared" si="14"/>
        <v>764223</v>
      </c>
      <c r="P44" s="34" t="str">
        <f>IF(NOT(AND(T43="",A44&lt;=S43)),"",IF(A44=入力!$B$15+1,"繰上返済後再計算","")&amp;IF(AND(入力!$B$13="有効",A44&gt;1,MOD(A44-1,60)=0),IF(A44=入力!$B$15+1,"・","")&amp;"5年見直し","")&amp;IF(AND(A44=入力!$B$11,A44&gt;1),IF(OR(A44=入力!$B$15+1,AND(入力!$B$13="有効",A44&gt;1,MOD(A44-1,60)=0)),"・","")&amp;"金利変更","")&amp;IF(AND(OR(AND(入力!$B$13="有効",A44&gt;1,MOD(A44-1,60)=0),AND(A44=入力!$B$11,A44&gt;1)),入力!$B$14="有効",IF(E44=0,ROUND(C44/MAX(1,S43-A44+1),0),ROUND(-PMT(E44/12,MAX(1,S43-A44+1),C44),0))&gt;ROUND(G43*1.25,0),NOT(A44=入力!$B$15+1)),"・上限適用",""))</f>
        <v/>
      </c>
      <c r="Q44" s="35" t="str">
        <f>IF(AND(T43="",A44&lt;=S43),入力!$B$13,"")</f>
        <v>有効</v>
      </c>
      <c r="R44" s="32" t="str">
        <f>IF(AND(AND(T43="",A44&lt;=S43),OR(AND(入力!$B$13="有効",A44&gt;1,MOD(A44-1,60)=0),AND(A44=入力!$B$11,A44&gt;1)),入力!$B$14="有効"),ROUND(G43*1.25,0),"")</f>
        <v/>
      </c>
      <c r="S44" s="36">
        <f t="shared" si="15"/>
        <v>420</v>
      </c>
      <c r="T44" s="35" t="str">
        <f t="shared" si="16"/>
        <v/>
      </c>
      <c r="U44" s="3">
        <f t="shared" si="0"/>
        <v>0</v>
      </c>
      <c r="V44" s="3">
        <f t="shared" si="1"/>
        <v>0</v>
      </c>
      <c r="W44" s="3">
        <f t="shared" si="2"/>
        <v>0</v>
      </c>
      <c r="X44" s="3">
        <f t="shared" si="3"/>
        <v>0</v>
      </c>
      <c r="Y44" s="3">
        <f>0</f>
        <v>0</v>
      </c>
      <c r="Z44" s="3">
        <f t="shared" si="4"/>
        <v>0</v>
      </c>
      <c r="AA44">
        <f>ROUND(IF(A44=入力!$B$15+1,IF(E44=0,ROUND(C44/MAX(1,S43-A44+1),0),ROUND(-PMT(E44/12,MAX(1,S43-A44+1)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,0)</f>
        <v>93982</v>
      </c>
    </row>
    <row r="45" spans="1:27">
      <c r="A45" s="30">
        <f>40</f>
        <v>40</v>
      </c>
      <c r="B45" s="31">
        <f>EDATE(入力!$B$6,A45-1)</f>
        <v>47423</v>
      </c>
      <c r="C45" s="32">
        <f t="shared" si="5"/>
        <v>32098925</v>
      </c>
      <c r="D45" s="32">
        <f t="shared" si="6"/>
        <v>0</v>
      </c>
      <c r="E45" s="33">
        <f>IF(AND(T44="",A45&lt;=S44),IF(A45&lt;入力!$B$11,入力!$B$10,入力!$B$12),0)</f>
        <v>7.0000000000000001E-3</v>
      </c>
      <c r="F45" s="32">
        <f t="shared" si="7"/>
        <v>18724</v>
      </c>
      <c r="G45" s="32">
        <f>ROUND(IF(NOT(AND(T44="",A45&lt;=S44)),0,IF(A45=入力!$B$15+1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),0)</f>
        <v>93982</v>
      </c>
      <c r="H45" s="32">
        <f t="shared" si="8"/>
        <v>93982</v>
      </c>
      <c r="I45" s="32">
        <f t="shared" si="9"/>
        <v>18724</v>
      </c>
      <c r="J45" s="32">
        <f t="shared" si="10"/>
        <v>0</v>
      </c>
      <c r="K45" s="32">
        <f t="shared" si="11"/>
        <v>0</v>
      </c>
      <c r="L45" s="32">
        <f t="shared" si="12"/>
        <v>75258</v>
      </c>
      <c r="M45" s="32">
        <f>IF(AND(AND(T44="",A45&lt;=S44),A45=入力!$B$15),ROUND(MIN(入力!$B$16,MAX(0,C45-L45)),0),0)</f>
        <v>0</v>
      </c>
      <c r="N45" s="32">
        <f t="shared" si="13"/>
        <v>32023667</v>
      </c>
      <c r="O45" s="32">
        <f t="shared" si="14"/>
        <v>782947</v>
      </c>
      <c r="P45" s="34" t="str">
        <f>IF(NOT(AND(T44="",A45&lt;=S44)),"",IF(A45=入力!$B$15+1,"繰上返済後再計算","")&amp;IF(AND(入力!$B$13="有効",A45&gt;1,MOD(A45-1,60)=0),IF(A45=入力!$B$15+1,"・","")&amp;"5年見直し","")&amp;IF(AND(A45=入力!$B$11,A45&gt;1),IF(OR(A45=入力!$B$15+1,AND(入力!$B$13="有効",A45&gt;1,MOD(A45-1,60)=0)),"・","")&amp;"金利変更","")&amp;IF(AND(OR(AND(入力!$B$13="有効",A45&gt;1,MOD(A45-1,60)=0),AND(A45=入力!$B$11,A45&gt;1)),入力!$B$14="有効",IF(E45=0,ROUND(C45/MAX(1,S44-A45+1),0),ROUND(-PMT(E45/12,MAX(1,S44-A45+1),C45),0))&gt;ROUND(G44*1.25,0),NOT(A45=入力!$B$15+1)),"・上限適用",""))</f>
        <v/>
      </c>
      <c r="Q45" s="35" t="str">
        <f>IF(AND(T44="",A45&lt;=S44),入力!$B$13,"")</f>
        <v>有効</v>
      </c>
      <c r="R45" s="32" t="str">
        <f>IF(AND(AND(T44="",A45&lt;=S44),OR(AND(入力!$B$13="有効",A45&gt;1,MOD(A45-1,60)=0),AND(A45=入力!$B$11,A45&gt;1)),入力!$B$14="有効"),ROUND(G44*1.25,0),"")</f>
        <v/>
      </c>
      <c r="S45" s="36">
        <f t="shared" si="15"/>
        <v>420</v>
      </c>
      <c r="T45" s="35" t="str">
        <f t="shared" si="16"/>
        <v/>
      </c>
      <c r="U45" s="3">
        <f t="shared" si="0"/>
        <v>0</v>
      </c>
      <c r="V45" s="3">
        <f t="shared" si="1"/>
        <v>0</v>
      </c>
      <c r="W45" s="3">
        <f t="shared" si="2"/>
        <v>0</v>
      </c>
      <c r="X45" s="3">
        <f t="shared" si="3"/>
        <v>0</v>
      </c>
      <c r="Y45" s="3">
        <f>0</f>
        <v>0</v>
      </c>
      <c r="Z45" s="3">
        <f t="shared" si="4"/>
        <v>0</v>
      </c>
      <c r="AA45">
        <f>ROUND(IF(A45=入力!$B$15+1,IF(E45=0,ROUND(C45/MAX(1,S44-A45+1),0),ROUND(-PMT(E45/12,MAX(1,S44-A45+1)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,0)</f>
        <v>93982</v>
      </c>
    </row>
    <row r="46" spans="1:27">
      <c r="A46" s="30">
        <f>41</f>
        <v>41</v>
      </c>
      <c r="B46" s="31">
        <f>EDATE(入力!$B$6,A46-1)</f>
        <v>47453</v>
      </c>
      <c r="C46" s="32">
        <f t="shared" si="5"/>
        <v>32023667</v>
      </c>
      <c r="D46" s="32">
        <f t="shared" si="6"/>
        <v>0</v>
      </c>
      <c r="E46" s="33">
        <f>IF(AND(T45="",A46&lt;=S45),IF(A46&lt;入力!$B$11,入力!$B$10,入力!$B$12),0)</f>
        <v>7.0000000000000001E-3</v>
      </c>
      <c r="F46" s="32">
        <f t="shared" si="7"/>
        <v>18680</v>
      </c>
      <c r="G46" s="32">
        <f>ROUND(IF(NOT(AND(T45="",A46&lt;=S45)),0,IF(A46=入力!$B$15+1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),0)</f>
        <v>93982</v>
      </c>
      <c r="H46" s="32">
        <f t="shared" si="8"/>
        <v>93982</v>
      </c>
      <c r="I46" s="32">
        <f t="shared" si="9"/>
        <v>18680</v>
      </c>
      <c r="J46" s="32">
        <f t="shared" si="10"/>
        <v>0</v>
      </c>
      <c r="K46" s="32">
        <f t="shared" si="11"/>
        <v>0</v>
      </c>
      <c r="L46" s="32">
        <f t="shared" si="12"/>
        <v>75302</v>
      </c>
      <c r="M46" s="32">
        <f>IF(AND(AND(T45="",A46&lt;=S45),A46=入力!$B$15),ROUND(MIN(入力!$B$16,MAX(0,C46-L46)),0),0)</f>
        <v>0</v>
      </c>
      <c r="N46" s="32">
        <f t="shared" si="13"/>
        <v>31948365</v>
      </c>
      <c r="O46" s="32">
        <f t="shared" si="14"/>
        <v>801627</v>
      </c>
      <c r="P46" s="34" t="str">
        <f>IF(NOT(AND(T45="",A46&lt;=S45)),"",IF(A46=入力!$B$15+1,"繰上返済後再計算","")&amp;IF(AND(入力!$B$13="有効",A46&gt;1,MOD(A46-1,60)=0),IF(A46=入力!$B$15+1,"・","")&amp;"5年見直し","")&amp;IF(AND(A46=入力!$B$11,A46&gt;1),IF(OR(A46=入力!$B$15+1,AND(入力!$B$13="有効",A46&gt;1,MOD(A46-1,60)=0)),"・","")&amp;"金利変更","")&amp;IF(AND(OR(AND(入力!$B$13="有効",A46&gt;1,MOD(A46-1,60)=0),AND(A46=入力!$B$11,A46&gt;1)),入力!$B$14="有効",IF(E46=0,ROUND(C46/MAX(1,S45-A46+1),0),ROUND(-PMT(E46/12,MAX(1,S45-A46+1),C46),0))&gt;ROUND(G45*1.25,0),NOT(A46=入力!$B$15+1)),"・上限適用",""))</f>
        <v/>
      </c>
      <c r="Q46" s="35" t="str">
        <f>IF(AND(T45="",A46&lt;=S45),入力!$B$13,"")</f>
        <v>有効</v>
      </c>
      <c r="R46" s="32" t="str">
        <f>IF(AND(AND(T45="",A46&lt;=S45),OR(AND(入力!$B$13="有効",A46&gt;1,MOD(A46-1,60)=0),AND(A46=入力!$B$11,A46&gt;1)),入力!$B$14="有効"),ROUND(G45*1.25,0),"")</f>
        <v/>
      </c>
      <c r="S46" s="36">
        <f t="shared" si="15"/>
        <v>420</v>
      </c>
      <c r="T46" s="35" t="str">
        <f t="shared" si="16"/>
        <v/>
      </c>
      <c r="U46" s="3">
        <f t="shared" si="0"/>
        <v>0</v>
      </c>
      <c r="V46" s="3">
        <f t="shared" si="1"/>
        <v>0</v>
      </c>
      <c r="W46" s="3">
        <f t="shared" si="2"/>
        <v>0</v>
      </c>
      <c r="X46" s="3">
        <f t="shared" si="3"/>
        <v>0</v>
      </c>
      <c r="Y46" s="3">
        <f>0</f>
        <v>0</v>
      </c>
      <c r="Z46" s="3">
        <f t="shared" si="4"/>
        <v>0</v>
      </c>
      <c r="AA46">
        <f>ROUND(IF(A46=入力!$B$15+1,IF(E46=0,ROUND(C46/MAX(1,S45-A46+1),0),ROUND(-PMT(E46/12,MAX(1,S45-A46+1)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,0)</f>
        <v>93982</v>
      </c>
    </row>
    <row r="47" spans="1:27">
      <c r="A47" s="30">
        <f>42</f>
        <v>42</v>
      </c>
      <c r="B47" s="31">
        <f>EDATE(入力!$B$6,A47-1)</f>
        <v>47484</v>
      </c>
      <c r="C47" s="32">
        <f t="shared" si="5"/>
        <v>31948365</v>
      </c>
      <c r="D47" s="32">
        <f t="shared" si="6"/>
        <v>0</v>
      </c>
      <c r="E47" s="33">
        <f>IF(AND(T46="",A47&lt;=S46),IF(A47&lt;入力!$B$11,入力!$B$10,入力!$B$12),0)</f>
        <v>7.0000000000000001E-3</v>
      </c>
      <c r="F47" s="32">
        <f t="shared" si="7"/>
        <v>18637</v>
      </c>
      <c r="G47" s="32">
        <f>ROUND(IF(NOT(AND(T46="",A47&lt;=S46)),0,IF(A47=入力!$B$15+1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),0)</f>
        <v>93982</v>
      </c>
      <c r="H47" s="32">
        <f t="shared" si="8"/>
        <v>93982</v>
      </c>
      <c r="I47" s="32">
        <f t="shared" si="9"/>
        <v>18637</v>
      </c>
      <c r="J47" s="32">
        <f t="shared" si="10"/>
        <v>0</v>
      </c>
      <c r="K47" s="32">
        <f t="shared" si="11"/>
        <v>0</v>
      </c>
      <c r="L47" s="32">
        <f t="shared" si="12"/>
        <v>75345</v>
      </c>
      <c r="M47" s="32">
        <f>IF(AND(AND(T46="",A47&lt;=S46),A47=入力!$B$15),ROUND(MIN(入力!$B$16,MAX(0,C47-L47)),0),0)</f>
        <v>0</v>
      </c>
      <c r="N47" s="32">
        <f t="shared" si="13"/>
        <v>31873020</v>
      </c>
      <c r="O47" s="32">
        <f t="shared" si="14"/>
        <v>820264</v>
      </c>
      <c r="P47" s="34" t="str">
        <f>IF(NOT(AND(T46="",A47&lt;=S46)),"",IF(A47=入力!$B$15+1,"繰上返済後再計算","")&amp;IF(AND(入力!$B$13="有効",A47&gt;1,MOD(A47-1,60)=0),IF(A47=入力!$B$15+1,"・","")&amp;"5年見直し","")&amp;IF(AND(A47=入力!$B$11,A47&gt;1),IF(OR(A47=入力!$B$15+1,AND(入力!$B$13="有効",A47&gt;1,MOD(A47-1,60)=0)),"・","")&amp;"金利変更","")&amp;IF(AND(OR(AND(入力!$B$13="有効",A47&gt;1,MOD(A47-1,60)=0),AND(A47=入力!$B$11,A47&gt;1)),入力!$B$14="有効",IF(E47=0,ROUND(C47/MAX(1,S46-A47+1),0),ROUND(-PMT(E47/12,MAX(1,S46-A47+1),C47),0))&gt;ROUND(G46*1.25,0),NOT(A47=入力!$B$15+1)),"・上限適用",""))</f>
        <v/>
      </c>
      <c r="Q47" s="35" t="str">
        <f>IF(AND(T46="",A47&lt;=S46),入力!$B$13,"")</f>
        <v>有効</v>
      </c>
      <c r="R47" s="32" t="str">
        <f>IF(AND(AND(T46="",A47&lt;=S46),OR(AND(入力!$B$13="有効",A47&gt;1,MOD(A47-1,60)=0),AND(A47=入力!$B$11,A47&gt;1)),入力!$B$14="有効"),ROUND(G46*1.25,0),"")</f>
        <v/>
      </c>
      <c r="S47" s="36">
        <f t="shared" si="15"/>
        <v>420</v>
      </c>
      <c r="T47" s="35" t="str">
        <f t="shared" si="16"/>
        <v/>
      </c>
      <c r="U47" s="3">
        <f t="shared" si="0"/>
        <v>0</v>
      </c>
      <c r="V47" s="3">
        <f t="shared" si="1"/>
        <v>0</v>
      </c>
      <c r="W47" s="3">
        <f t="shared" si="2"/>
        <v>0</v>
      </c>
      <c r="X47" s="3">
        <f t="shared" si="3"/>
        <v>0</v>
      </c>
      <c r="Y47" s="3">
        <f>0</f>
        <v>0</v>
      </c>
      <c r="Z47" s="3">
        <f t="shared" si="4"/>
        <v>0</v>
      </c>
      <c r="AA47">
        <f>ROUND(IF(A47=入力!$B$15+1,IF(E47=0,ROUND(C47/MAX(1,S46-A47+1),0),ROUND(-PMT(E47/12,MAX(1,S46-A47+1)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,0)</f>
        <v>93982</v>
      </c>
    </row>
    <row r="48" spans="1:27">
      <c r="A48" s="30">
        <f>43</f>
        <v>43</v>
      </c>
      <c r="B48" s="31">
        <f>EDATE(入力!$B$6,A48-1)</f>
        <v>47515</v>
      </c>
      <c r="C48" s="32">
        <f t="shared" si="5"/>
        <v>31873020</v>
      </c>
      <c r="D48" s="32">
        <f t="shared" si="6"/>
        <v>0</v>
      </c>
      <c r="E48" s="33">
        <f>IF(AND(T47="",A48&lt;=S47),IF(A48&lt;入力!$B$11,入力!$B$10,入力!$B$12),0)</f>
        <v>7.0000000000000001E-3</v>
      </c>
      <c r="F48" s="32">
        <f t="shared" si="7"/>
        <v>18593</v>
      </c>
      <c r="G48" s="32">
        <f>ROUND(IF(NOT(AND(T47="",A48&lt;=S47)),0,IF(A48=入力!$B$15+1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),0)</f>
        <v>93982</v>
      </c>
      <c r="H48" s="32">
        <f t="shared" si="8"/>
        <v>93982</v>
      </c>
      <c r="I48" s="32">
        <f t="shared" si="9"/>
        <v>18593</v>
      </c>
      <c r="J48" s="32">
        <f t="shared" si="10"/>
        <v>0</v>
      </c>
      <c r="K48" s="32">
        <f t="shared" si="11"/>
        <v>0</v>
      </c>
      <c r="L48" s="32">
        <f t="shared" si="12"/>
        <v>75389</v>
      </c>
      <c r="M48" s="32">
        <f>IF(AND(AND(T47="",A48&lt;=S47),A48=入力!$B$15),ROUND(MIN(入力!$B$16,MAX(0,C48-L48)),0),0)</f>
        <v>0</v>
      </c>
      <c r="N48" s="32">
        <f t="shared" si="13"/>
        <v>31797631</v>
      </c>
      <c r="O48" s="32">
        <f t="shared" si="14"/>
        <v>838857</v>
      </c>
      <c r="P48" s="34" t="str">
        <f>IF(NOT(AND(T47="",A48&lt;=S47)),"",IF(A48=入力!$B$15+1,"繰上返済後再計算","")&amp;IF(AND(入力!$B$13="有効",A48&gt;1,MOD(A48-1,60)=0),IF(A48=入力!$B$15+1,"・","")&amp;"5年見直し","")&amp;IF(AND(A48=入力!$B$11,A48&gt;1),IF(OR(A48=入力!$B$15+1,AND(入力!$B$13="有効",A48&gt;1,MOD(A48-1,60)=0)),"・","")&amp;"金利変更","")&amp;IF(AND(OR(AND(入力!$B$13="有効",A48&gt;1,MOD(A48-1,60)=0),AND(A48=入力!$B$11,A48&gt;1)),入力!$B$14="有効",IF(E48=0,ROUND(C48/MAX(1,S47-A48+1),0),ROUND(-PMT(E48/12,MAX(1,S47-A48+1),C48),0))&gt;ROUND(G47*1.25,0),NOT(A48=入力!$B$15+1)),"・上限適用",""))</f>
        <v/>
      </c>
      <c r="Q48" s="35" t="str">
        <f>IF(AND(T47="",A48&lt;=S47),入力!$B$13,"")</f>
        <v>有効</v>
      </c>
      <c r="R48" s="32" t="str">
        <f>IF(AND(AND(T47="",A48&lt;=S47),OR(AND(入力!$B$13="有効",A48&gt;1,MOD(A48-1,60)=0),AND(A48=入力!$B$11,A48&gt;1)),入力!$B$14="有効"),ROUND(G47*1.25,0),"")</f>
        <v/>
      </c>
      <c r="S48" s="36">
        <f t="shared" si="15"/>
        <v>420</v>
      </c>
      <c r="T48" s="35" t="str">
        <f t="shared" si="16"/>
        <v/>
      </c>
      <c r="U48" s="3">
        <f t="shared" si="0"/>
        <v>0</v>
      </c>
      <c r="V48" s="3">
        <f t="shared" si="1"/>
        <v>0</v>
      </c>
      <c r="W48" s="3">
        <f t="shared" si="2"/>
        <v>0</v>
      </c>
      <c r="X48" s="3">
        <f t="shared" si="3"/>
        <v>0</v>
      </c>
      <c r="Y48" s="3">
        <f>0</f>
        <v>0</v>
      </c>
      <c r="Z48" s="3">
        <f t="shared" si="4"/>
        <v>0</v>
      </c>
      <c r="AA48">
        <f>ROUND(IF(A48=入力!$B$15+1,IF(E48=0,ROUND(C48/MAX(1,S47-A48+1),0),ROUND(-PMT(E48/12,MAX(1,S47-A48+1)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,0)</f>
        <v>93982</v>
      </c>
    </row>
    <row r="49" spans="1:27">
      <c r="A49" s="30">
        <f>44</f>
        <v>44</v>
      </c>
      <c r="B49" s="31">
        <f>EDATE(入力!$B$6,A49-1)</f>
        <v>47543</v>
      </c>
      <c r="C49" s="32">
        <f t="shared" si="5"/>
        <v>31797631</v>
      </c>
      <c r="D49" s="32">
        <f t="shared" si="6"/>
        <v>0</v>
      </c>
      <c r="E49" s="33">
        <f>IF(AND(T48="",A49&lt;=S48),IF(A49&lt;入力!$B$11,入力!$B$10,入力!$B$12),0)</f>
        <v>7.0000000000000001E-3</v>
      </c>
      <c r="F49" s="32">
        <f t="shared" si="7"/>
        <v>18549</v>
      </c>
      <c r="G49" s="32">
        <f>ROUND(IF(NOT(AND(T48="",A49&lt;=S48)),0,IF(A49=入力!$B$15+1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),0)</f>
        <v>93982</v>
      </c>
      <c r="H49" s="32">
        <f t="shared" si="8"/>
        <v>93982</v>
      </c>
      <c r="I49" s="32">
        <f t="shared" si="9"/>
        <v>18549</v>
      </c>
      <c r="J49" s="32">
        <f t="shared" si="10"/>
        <v>0</v>
      </c>
      <c r="K49" s="32">
        <f t="shared" si="11"/>
        <v>0</v>
      </c>
      <c r="L49" s="32">
        <f t="shared" si="12"/>
        <v>75433</v>
      </c>
      <c r="M49" s="32">
        <f>IF(AND(AND(T48="",A49&lt;=S48),A49=入力!$B$15),ROUND(MIN(入力!$B$16,MAX(0,C49-L49)),0),0)</f>
        <v>0</v>
      </c>
      <c r="N49" s="32">
        <f t="shared" si="13"/>
        <v>31722198</v>
      </c>
      <c r="O49" s="32">
        <f t="shared" si="14"/>
        <v>857406</v>
      </c>
      <c r="P49" s="34" t="str">
        <f>IF(NOT(AND(T48="",A49&lt;=S48)),"",IF(A49=入力!$B$15+1,"繰上返済後再計算","")&amp;IF(AND(入力!$B$13="有効",A49&gt;1,MOD(A49-1,60)=0),IF(A49=入力!$B$15+1,"・","")&amp;"5年見直し","")&amp;IF(AND(A49=入力!$B$11,A49&gt;1),IF(OR(A49=入力!$B$15+1,AND(入力!$B$13="有効",A49&gt;1,MOD(A49-1,60)=0)),"・","")&amp;"金利変更","")&amp;IF(AND(OR(AND(入力!$B$13="有効",A49&gt;1,MOD(A49-1,60)=0),AND(A49=入力!$B$11,A49&gt;1)),入力!$B$14="有効",IF(E49=0,ROUND(C49/MAX(1,S48-A49+1),0),ROUND(-PMT(E49/12,MAX(1,S48-A49+1),C49),0))&gt;ROUND(G48*1.25,0),NOT(A49=入力!$B$15+1)),"・上限適用",""))</f>
        <v/>
      </c>
      <c r="Q49" s="35" t="str">
        <f>IF(AND(T48="",A49&lt;=S48),入力!$B$13,"")</f>
        <v>有効</v>
      </c>
      <c r="R49" s="32" t="str">
        <f>IF(AND(AND(T48="",A49&lt;=S48),OR(AND(入力!$B$13="有効",A49&gt;1,MOD(A49-1,60)=0),AND(A49=入力!$B$11,A49&gt;1)),入力!$B$14="有効"),ROUND(G48*1.25,0),"")</f>
        <v/>
      </c>
      <c r="S49" s="36">
        <f t="shared" si="15"/>
        <v>420</v>
      </c>
      <c r="T49" s="35" t="str">
        <f t="shared" si="16"/>
        <v/>
      </c>
      <c r="U49" s="3">
        <f t="shared" si="0"/>
        <v>0</v>
      </c>
      <c r="V49" s="3">
        <f t="shared" si="1"/>
        <v>0</v>
      </c>
      <c r="W49" s="3">
        <f t="shared" si="2"/>
        <v>0</v>
      </c>
      <c r="X49" s="3">
        <f t="shared" si="3"/>
        <v>0</v>
      </c>
      <c r="Y49" s="3">
        <f>0</f>
        <v>0</v>
      </c>
      <c r="Z49" s="3">
        <f t="shared" si="4"/>
        <v>0</v>
      </c>
      <c r="AA49">
        <f>ROUND(IF(A49=入力!$B$15+1,IF(E49=0,ROUND(C49/MAX(1,S48-A49+1),0),ROUND(-PMT(E49/12,MAX(1,S48-A49+1)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,0)</f>
        <v>93982</v>
      </c>
    </row>
    <row r="50" spans="1:27">
      <c r="A50" s="30">
        <f>45</f>
        <v>45</v>
      </c>
      <c r="B50" s="31">
        <f>EDATE(入力!$B$6,A50-1)</f>
        <v>47574</v>
      </c>
      <c r="C50" s="32">
        <f t="shared" si="5"/>
        <v>31722198</v>
      </c>
      <c r="D50" s="32">
        <f t="shared" si="6"/>
        <v>0</v>
      </c>
      <c r="E50" s="33">
        <f>IF(AND(T49="",A50&lt;=S49),IF(A50&lt;入力!$B$11,入力!$B$10,入力!$B$12),0)</f>
        <v>7.0000000000000001E-3</v>
      </c>
      <c r="F50" s="32">
        <f t="shared" si="7"/>
        <v>18505</v>
      </c>
      <c r="G50" s="32">
        <f>ROUND(IF(NOT(AND(T49="",A50&lt;=S49)),0,IF(A50=入力!$B$15+1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),0)</f>
        <v>93982</v>
      </c>
      <c r="H50" s="32">
        <f t="shared" si="8"/>
        <v>93982</v>
      </c>
      <c r="I50" s="32">
        <f t="shared" si="9"/>
        <v>18505</v>
      </c>
      <c r="J50" s="32">
        <f t="shared" si="10"/>
        <v>0</v>
      </c>
      <c r="K50" s="32">
        <f t="shared" si="11"/>
        <v>0</v>
      </c>
      <c r="L50" s="32">
        <f t="shared" si="12"/>
        <v>75477</v>
      </c>
      <c r="M50" s="32">
        <f>IF(AND(AND(T49="",A50&lt;=S49),A50=入力!$B$15),ROUND(MIN(入力!$B$16,MAX(0,C50-L50)),0),0)</f>
        <v>0</v>
      </c>
      <c r="N50" s="32">
        <f t="shared" si="13"/>
        <v>31646721</v>
      </c>
      <c r="O50" s="32">
        <f t="shared" si="14"/>
        <v>875911</v>
      </c>
      <c r="P50" s="34" t="str">
        <f>IF(NOT(AND(T49="",A50&lt;=S49)),"",IF(A50=入力!$B$15+1,"繰上返済後再計算","")&amp;IF(AND(入力!$B$13="有効",A50&gt;1,MOD(A50-1,60)=0),IF(A50=入力!$B$15+1,"・","")&amp;"5年見直し","")&amp;IF(AND(A50=入力!$B$11,A50&gt;1),IF(OR(A50=入力!$B$15+1,AND(入力!$B$13="有効",A50&gt;1,MOD(A50-1,60)=0)),"・","")&amp;"金利変更","")&amp;IF(AND(OR(AND(入力!$B$13="有効",A50&gt;1,MOD(A50-1,60)=0),AND(A50=入力!$B$11,A50&gt;1)),入力!$B$14="有効",IF(E50=0,ROUND(C50/MAX(1,S49-A50+1),0),ROUND(-PMT(E50/12,MAX(1,S49-A50+1),C50),0))&gt;ROUND(G49*1.25,0),NOT(A50=入力!$B$15+1)),"・上限適用",""))</f>
        <v/>
      </c>
      <c r="Q50" s="35" t="str">
        <f>IF(AND(T49="",A50&lt;=S49),入力!$B$13,"")</f>
        <v>有効</v>
      </c>
      <c r="R50" s="32" t="str">
        <f>IF(AND(AND(T49="",A50&lt;=S49),OR(AND(入力!$B$13="有効",A50&gt;1,MOD(A50-1,60)=0),AND(A50=入力!$B$11,A50&gt;1)),入力!$B$14="有効"),ROUND(G49*1.25,0),"")</f>
        <v/>
      </c>
      <c r="S50" s="36">
        <f t="shared" si="15"/>
        <v>420</v>
      </c>
      <c r="T50" s="35" t="str">
        <f t="shared" si="16"/>
        <v/>
      </c>
      <c r="U50" s="3">
        <f t="shared" si="0"/>
        <v>0</v>
      </c>
      <c r="V50" s="3">
        <f t="shared" si="1"/>
        <v>0</v>
      </c>
      <c r="W50" s="3">
        <f t="shared" si="2"/>
        <v>0</v>
      </c>
      <c r="X50" s="3">
        <f t="shared" si="3"/>
        <v>0</v>
      </c>
      <c r="Y50" s="3">
        <f>0</f>
        <v>0</v>
      </c>
      <c r="Z50" s="3">
        <f t="shared" si="4"/>
        <v>0</v>
      </c>
      <c r="AA50">
        <f>ROUND(IF(A50=入力!$B$15+1,IF(E50=0,ROUND(C50/MAX(1,S49-A50+1),0),ROUND(-PMT(E50/12,MAX(1,S49-A50+1)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,0)</f>
        <v>93982</v>
      </c>
    </row>
    <row r="51" spans="1:27">
      <c r="A51" s="30">
        <f>46</f>
        <v>46</v>
      </c>
      <c r="B51" s="31">
        <f>EDATE(入力!$B$6,A51-1)</f>
        <v>47604</v>
      </c>
      <c r="C51" s="32">
        <f t="shared" si="5"/>
        <v>31646721</v>
      </c>
      <c r="D51" s="32">
        <f t="shared" si="6"/>
        <v>0</v>
      </c>
      <c r="E51" s="33">
        <f>IF(AND(T50="",A51&lt;=S50),IF(A51&lt;入力!$B$11,入力!$B$10,入力!$B$12),0)</f>
        <v>7.0000000000000001E-3</v>
      </c>
      <c r="F51" s="32">
        <f t="shared" si="7"/>
        <v>18461</v>
      </c>
      <c r="G51" s="32">
        <f>ROUND(IF(NOT(AND(T50="",A51&lt;=S50)),0,IF(A51=入力!$B$15+1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),0)</f>
        <v>93982</v>
      </c>
      <c r="H51" s="32">
        <f t="shared" si="8"/>
        <v>93982</v>
      </c>
      <c r="I51" s="32">
        <f t="shared" si="9"/>
        <v>18461</v>
      </c>
      <c r="J51" s="32">
        <f t="shared" si="10"/>
        <v>0</v>
      </c>
      <c r="K51" s="32">
        <f t="shared" si="11"/>
        <v>0</v>
      </c>
      <c r="L51" s="32">
        <f t="shared" si="12"/>
        <v>75521</v>
      </c>
      <c r="M51" s="32">
        <f>IF(AND(AND(T50="",A51&lt;=S50),A51=入力!$B$15),ROUND(MIN(入力!$B$16,MAX(0,C51-L51)),0),0)</f>
        <v>0</v>
      </c>
      <c r="N51" s="32">
        <f t="shared" si="13"/>
        <v>31571200</v>
      </c>
      <c r="O51" s="32">
        <f t="shared" si="14"/>
        <v>894372</v>
      </c>
      <c r="P51" s="34" t="str">
        <f>IF(NOT(AND(T50="",A51&lt;=S50)),"",IF(A51=入力!$B$15+1,"繰上返済後再計算","")&amp;IF(AND(入力!$B$13="有効",A51&gt;1,MOD(A51-1,60)=0),IF(A51=入力!$B$15+1,"・","")&amp;"5年見直し","")&amp;IF(AND(A51=入力!$B$11,A51&gt;1),IF(OR(A51=入力!$B$15+1,AND(入力!$B$13="有効",A51&gt;1,MOD(A51-1,60)=0)),"・","")&amp;"金利変更","")&amp;IF(AND(OR(AND(入力!$B$13="有効",A51&gt;1,MOD(A51-1,60)=0),AND(A51=入力!$B$11,A51&gt;1)),入力!$B$14="有効",IF(E51=0,ROUND(C51/MAX(1,S50-A51+1),0),ROUND(-PMT(E51/12,MAX(1,S50-A51+1),C51),0))&gt;ROUND(G50*1.25,0),NOT(A51=入力!$B$15+1)),"・上限適用",""))</f>
        <v/>
      </c>
      <c r="Q51" s="35" t="str">
        <f>IF(AND(T50="",A51&lt;=S50),入力!$B$13,"")</f>
        <v>有効</v>
      </c>
      <c r="R51" s="32" t="str">
        <f>IF(AND(AND(T50="",A51&lt;=S50),OR(AND(入力!$B$13="有効",A51&gt;1,MOD(A51-1,60)=0),AND(A51=入力!$B$11,A51&gt;1)),入力!$B$14="有効"),ROUND(G50*1.25,0),"")</f>
        <v/>
      </c>
      <c r="S51" s="36">
        <f t="shared" si="15"/>
        <v>420</v>
      </c>
      <c r="T51" s="35" t="str">
        <f t="shared" si="16"/>
        <v/>
      </c>
      <c r="U51" s="3">
        <f t="shared" si="0"/>
        <v>0</v>
      </c>
      <c r="V51" s="3">
        <f t="shared" si="1"/>
        <v>0</v>
      </c>
      <c r="W51" s="3">
        <f t="shared" si="2"/>
        <v>0</v>
      </c>
      <c r="X51" s="3">
        <f t="shared" si="3"/>
        <v>0</v>
      </c>
      <c r="Y51" s="3">
        <f>0</f>
        <v>0</v>
      </c>
      <c r="Z51" s="3">
        <f t="shared" si="4"/>
        <v>0</v>
      </c>
      <c r="AA51">
        <f>ROUND(IF(A51=入力!$B$15+1,IF(E51=0,ROUND(C51/MAX(1,S50-A51+1),0),ROUND(-PMT(E51/12,MAX(1,S50-A51+1)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,0)</f>
        <v>93982</v>
      </c>
    </row>
    <row r="52" spans="1:27">
      <c r="A52" s="30">
        <f>47</f>
        <v>47</v>
      </c>
      <c r="B52" s="31">
        <f>EDATE(入力!$B$6,A52-1)</f>
        <v>47635</v>
      </c>
      <c r="C52" s="32">
        <f t="shared" si="5"/>
        <v>31571200</v>
      </c>
      <c r="D52" s="32">
        <f t="shared" si="6"/>
        <v>0</v>
      </c>
      <c r="E52" s="33">
        <f>IF(AND(T51="",A52&lt;=S51),IF(A52&lt;入力!$B$11,入力!$B$10,入力!$B$12),0)</f>
        <v>7.0000000000000001E-3</v>
      </c>
      <c r="F52" s="32">
        <f t="shared" si="7"/>
        <v>18417</v>
      </c>
      <c r="G52" s="32">
        <f>ROUND(IF(NOT(AND(T51="",A52&lt;=S51)),0,IF(A52=入力!$B$15+1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),0)</f>
        <v>93982</v>
      </c>
      <c r="H52" s="32">
        <f t="shared" si="8"/>
        <v>93982</v>
      </c>
      <c r="I52" s="32">
        <f t="shared" si="9"/>
        <v>18417</v>
      </c>
      <c r="J52" s="32">
        <f t="shared" si="10"/>
        <v>0</v>
      </c>
      <c r="K52" s="32">
        <f t="shared" si="11"/>
        <v>0</v>
      </c>
      <c r="L52" s="32">
        <f t="shared" si="12"/>
        <v>75565</v>
      </c>
      <c r="M52" s="32">
        <f>IF(AND(AND(T51="",A52&lt;=S51),A52=入力!$B$15),ROUND(MIN(入力!$B$16,MAX(0,C52-L52)),0),0)</f>
        <v>0</v>
      </c>
      <c r="N52" s="32">
        <f t="shared" si="13"/>
        <v>31495635</v>
      </c>
      <c r="O52" s="32">
        <f t="shared" si="14"/>
        <v>912789</v>
      </c>
      <c r="P52" s="34" t="str">
        <f>IF(NOT(AND(T51="",A52&lt;=S51)),"",IF(A52=入力!$B$15+1,"繰上返済後再計算","")&amp;IF(AND(入力!$B$13="有効",A52&gt;1,MOD(A52-1,60)=0),IF(A52=入力!$B$15+1,"・","")&amp;"5年見直し","")&amp;IF(AND(A52=入力!$B$11,A52&gt;1),IF(OR(A52=入力!$B$15+1,AND(入力!$B$13="有効",A52&gt;1,MOD(A52-1,60)=0)),"・","")&amp;"金利変更","")&amp;IF(AND(OR(AND(入力!$B$13="有効",A52&gt;1,MOD(A52-1,60)=0),AND(A52=入力!$B$11,A52&gt;1)),入力!$B$14="有効",IF(E52=0,ROUND(C52/MAX(1,S51-A52+1),0),ROUND(-PMT(E52/12,MAX(1,S51-A52+1),C52),0))&gt;ROUND(G51*1.25,0),NOT(A52=入力!$B$15+1)),"・上限適用",""))</f>
        <v/>
      </c>
      <c r="Q52" s="35" t="str">
        <f>IF(AND(T51="",A52&lt;=S51),入力!$B$13,"")</f>
        <v>有効</v>
      </c>
      <c r="R52" s="32" t="str">
        <f>IF(AND(AND(T51="",A52&lt;=S51),OR(AND(入力!$B$13="有効",A52&gt;1,MOD(A52-1,60)=0),AND(A52=入力!$B$11,A52&gt;1)),入力!$B$14="有効"),ROUND(G51*1.25,0),"")</f>
        <v/>
      </c>
      <c r="S52" s="36">
        <f t="shared" si="15"/>
        <v>420</v>
      </c>
      <c r="T52" s="35" t="str">
        <f t="shared" si="16"/>
        <v/>
      </c>
      <c r="U52" s="3">
        <f t="shared" si="0"/>
        <v>0</v>
      </c>
      <c r="V52" s="3">
        <f t="shared" si="1"/>
        <v>0</v>
      </c>
      <c r="W52" s="3">
        <f t="shared" si="2"/>
        <v>0</v>
      </c>
      <c r="X52" s="3">
        <f t="shared" si="3"/>
        <v>0</v>
      </c>
      <c r="Y52" s="3">
        <f>0</f>
        <v>0</v>
      </c>
      <c r="Z52" s="3">
        <f t="shared" si="4"/>
        <v>0</v>
      </c>
      <c r="AA52">
        <f>ROUND(IF(A52=入力!$B$15+1,IF(E52=0,ROUND(C52/MAX(1,S51-A52+1),0),ROUND(-PMT(E52/12,MAX(1,S51-A52+1)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,0)</f>
        <v>93982</v>
      </c>
    </row>
    <row r="53" spans="1:27">
      <c r="A53" s="30">
        <f>48</f>
        <v>48</v>
      </c>
      <c r="B53" s="31">
        <f>EDATE(入力!$B$6,A53-1)</f>
        <v>47665</v>
      </c>
      <c r="C53" s="32">
        <f t="shared" si="5"/>
        <v>31495635</v>
      </c>
      <c r="D53" s="32">
        <f t="shared" si="6"/>
        <v>0</v>
      </c>
      <c r="E53" s="33">
        <f>IF(AND(T52="",A53&lt;=S52),IF(A53&lt;入力!$B$11,入力!$B$10,入力!$B$12),0)</f>
        <v>7.0000000000000001E-3</v>
      </c>
      <c r="F53" s="32">
        <f t="shared" si="7"/>
        <v>18372</v>
      </c>
      <c r="G53" s="32">
        <f>ROUND(IF(NOT(AND(T52="",A53&lt;=S52)),0,IF(A53=入力!$B$15+1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),0)</f>
        <v>93982</v>
      </c>
      <c r="H53" s="32">
        <f t="shared" si="8"/>
        <v>93982</v>
      </c>
      <c r="I53" s="32">
        <f t="shared" si="9"/>
        <v>18372</v>
      </c>
      <c r="J53" s="32">
        <f t="shared" si="10"/>
        <v>0</v>
      </c>
      <c r="K53" s="32">
        <f t="shared" si="11"/>
        <v>0</v>
      </c>
      <c r="L53" s="32">
        <f t="shared" si="12"/>
        <v>75610</v>
      </c>
      <c r="M53" s="32">
        <f>IF(AND(AND(T52="",A53&lt;=S52),A53=入力!$B$15),ROUND(MIN(入力!$B$16,MAX(0,C53-L53)),0),0)</f>
        <v>0</v>
      </c>
      <c r="N53" s="32">
        <f t="shared" si="13"/>
        <v>31420025</v>
      </c>
      <c r="O53" s="32">
        <f t="shared" si="14"/>
        <v>931161</v>
      </c>
      <c r="P53" s="34" t="str">
        <f>IF(NOT(AND(T52="",A53&lt;=S52)),"",IF(A53=入力!$B$15+1,"繰上返済後再計算","")&amp;IF(AND(入力!$B$13="有効",A53&gt;1,MOD(A53-1,60)=0),IF(A53=入力!$B$15+1,"・","")&amp;"5年見直し","")&amp;IF(AND(A53=入力!$B$11,A53&gt;1),IF(OR(A53=入力!$B$15+1,AND(入力!$B$13="有効",A53&gt;1,MOD(A53-1,60)=0)),"・","")&amp;"金利変更","")&amp;IF(AND(OR(AND(入力!$B$13="有効",A53&gt;1,MOD(A53-1,60)=0),AND(A53=入力!$B$11,A53&gt;1)),入力!$B$14="有効",IF(E53=0,ROUND(C53/MAX(1,S52-A53+1),0),ROUND(-PMT(E53/12,MAX(1,S52-A53+1),C53),0))&gt;ROUND(G52*1.25,0),NOT(A53=入力!$B$15+1)),"・上限適用",""))</f>
        <v/>
      </c>
      <c r="Q53" s="35" t="str">
        <f>IF(AND(T52="",A53&lt;=S52),入力!$B$13,"")</f>
        <v>有効</v>
      </c>
      <c r="R53" s="32" t="str">
        <f>IF(AND(AND(T52="",A53&lt;=S52),OR(AND(入力!$B$13="有効",A53&gt;1,MOD(A53-1,60)=0),AND(A53=入力!$B$11,A53&gt;1)),入力!$B$14="有効"),ROUND(G52*1.25,0),"")</f>
        <v/>
      </c>
      <c r="S53" s="36">
        <f t="shared" si="15"/>
        <v>420</v>
      </c>
      <c r="T53" s="35" t="str">
        <f t="shared" si="16"/>
        <v/>
      </c>
      <c r="U53" s="3">
        <f t="shared" si="0"/>
        <v>0</v>
      </c>
      <c r="V53" s="3">
        <f t="shared" si="1"/>
        <v>0</v>
      </c>
      <c r="W53" s="3">
        <f t="shared" si="2"/>
        <v>0</v>
      </c>
      <c r="X53" s="3">
        <f t="shared" si="3"/>
        <v>0</v>
      </c>
      <c r="Y53" s="3">
        <f>0</f>
        <v>0</v>
      </c>
      <c r="Z53" s="3">
        <f t="shared" si="4"/>
        <v>0</v>
      </c>
      <c r="AA53">
        <f>ROUND(IF(A53=入力!$B$15+1,IF(E53=0,ROUND(C53/MAX(1,S52-A53+1),0),ROUND(-PMT(E53/12,MAX(1,S52-A53+1)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,0)</f>
        <v>93982</v>
      </c>
    </row>
    <row r="54" spans="1:27">
      <c r="A54" s="30">
        <f>49</f>
        <v>49</v>
      </c>
      <c r="B54" s="31">
        <f>EDATE(入力!$B$6,A54-1)</f>
        <v>47696</v>
      </c>
      <c r="C54" s="32">
        <f t="shared" si="5"/>
        <v>31420025</v>
      </c>
      <c r="D54" s="32">
        <f t="shared" si="6"/>
        <v>0</v>
      </c>
      <c r="E54" s="33">
        <f>IF(AND(T53="",A54&lt;=S53),IF(A54&lt;入力!$B$11,入力!$B$10,入力!$B$12),0)</f>
        <v>7.0000000000000001E-3</v>
      </c>
      <c r="F54" s="32">
        <f t="shared" si="7"/>
        <v>18328</v>
      </c>
      <c r="G54" s="32">
        <f>ROUND(IF(NOT(AND(T53="",A54&lt;=S53)),0,IF(A54=入力!$B$15+1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),0)</f>
        <v>93982</v>
      </c>
      <c r="H54" s="32">
        <f t="shared" si="8"/>
        <v>93982</v>
      </c>
      <c r="I54" s="32">
        <f t="shared" si="9"/>
        <v>18328</v>
      </c>
      <c r="J54" s="32">
        <f t="shared" si="10"/>
        <v>0</v>
      </c>
      <c r="K54" s="32">
        <f t="shared" si="11"/>
        <v>0</v>
      </c>
      <c r="L54" s="32">
        <f t="shared" si="12"/>
        <v>75654</v>
      </c>
      <c r="M54" s="32">
        <f>IF(AND(AND(T53="",A54&lt;=S53),A54=入力!$B$15),ROUND(MIN(入力!$B$16,MAX(0,C54-L54)),0),0)</f>
        <v>0</v>
      </c>
      <c r="N54" s="32">
        <f t="shared" si="13"/>
        <v>31344371</v>
      </c>
      <c r="O54" s="32">
        <f t="shared" si="14"/>
        <v>949489</v>
      </c>
      <c r="P54" s="34" t="str">
        <f>IF(NOT(AND(T53="",A54&lt;=S53)),"",IF(A54=入力!$B$15+1,"繰上返済後再計算","")&amp;IF(AND(入力!$B$13="有効",A54&gt;1,MOD(A54-1,60)=0),IF(A54=入力!$B$15+1,"・","")&amp;"5年見直し","")&amp;IF(AND(A54=入力!$B$11,A54&gt;1),IF(OR(A54=入力!$B$15+1,AND(入力!$B$13="有効",A54&gt;1,MOD(A54-1,60)=0)),"・","")&amp;"金利変更","")&amp;IF(AND(OR(AND(入力!$B$13="有効",A54&gt;1,MOD(A54-1,60)=0),AND(A54=入力!$B$11,A54&gt;1)),入力!$B$14="有効",IF(E54=0,ROUND(C54/MAX(1,S53-A54+1),0),ROUND(-PMT(E54/12,MAX(1,S53-A54+1),C54),0))&gt;ROUND(G53*1.25,0),NOT(A54=入力!$B$15+1)),"・上限適用",""))</f>
        <v/>
      </c>
      <c r="Q54" s="35" t="str">
        <f>IF(AND(T53="",A54&lt;=S53),入力!$B$13,"")</f>
        <v>有効</v>
      </c>
      <c r="R54" s="32" t="str">
        <f>IF(AND(AND(T53="",A54&lt;=S53),OR(AND(入力!$B$13="有効",A54&gt;1,MOD(A54-1,60)=0),AND(A54=入力!$B$11,A54&gt;1)),入力!$B$14="有効"),ROUND(G53*1.25,0),"")</f>
        <v/>
      </c>
      <c r="S54" s="36">
        <f t="shared" si="15"/>
        <v>420</v>
      </c>
      <c r="T54" s="35" t="str">
        <f t="shared" si="16"/>
        <v/>
      </c>
      <c r="U54" s="3">
        <f t="shared" si="0"/>
        <v>0</v>
      </c>
      <c r="V54" s="3">
        <f t="shared" si="1"/>
        <v>0</v>
      </c>
      <c r="W54" s="3">
        <f t="shared" si="2"/>
        <v>0</v>
      </c>
      <c r="X54" s="3">
        <f t="shared" si="3"/>
        <v>0</v>
      </c>
      <c r="Y54" s="3">
        <f>0</f>
        <v>0</v>
      </c>
      <c r="Z54" s="3">
        <f t="shared" si="4"/>
        <v>0</v>
      </c>
      <c r="AA54">
        <f>ROUND(IF(A54=入力!$B$15+1,IF(E54=0,ROUND(C54/MAX(1,S53-A54+1),0),ROUND(-PMT(E54/12,MAX(1,S53-A54+1)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,0)</f>
        <v>93982</v>
      </c>
    </row>
    <row r="55" spans="1:27">
      <c r="A55" s="30">
        <f>50</f>
        <v>50</v>
      </c>
      <c r="B55" s="31">
        <f>EDATE(入力!$B$6,A55-1)</f>
        <v>47727</v>
      </c>
      <c r="C55" s="32">
        <f t="shared" si="5"/>
        <v>31344371</v>
      </c>
      <c r="D55" s="32">
        <f t="shared" si="6"/>
        <v>0</v>
      </c>
      <c r="E55" s="33">
        <f>IF(AND(T54="",A55&lt;=S54),IF(A55&lt;入力!$B$11,入力!$B$10,入力!$B$12),0)</f>
        <v>7.0000000000000001E-3</v>
      </c>
      <c r="F55" s="32">
        <f t="shared" si="7"/>
        <v>18284</v>
      </c>
      <c r="G55" s="32">
        <f>ROUND(IF(NOT(AND(T54="",A55&lt;=S54)),0,IF(A55=入力!$B$15+1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),0)</f>
        <v>93982</v>
      </c>
      <c r="H55" s="32">
        <f t="shared" si="8"/>
        <v>93982</v>
      </c>
      <c r="I55" s="32">
        <f t="shared" si="9"/>
        <v>18284</v>
      </c>
      <c r="J55" s="32">
        <f t="shared" si="10"/>
        <v>0</v>
      </c>
      <c r="K55" s="32">
        <f t="shared" si="11"/>
        <v>0</v>
      </c>
      <c r="L55" s="32">
        <f t="shared" si="12"/>
        <v>75698</v>
      </c>
      <c r="M55" s="32">
        <f>IF(AND(AND(T54="",A55&lt;=S54),A55=入力!$B$15),ROUND(MIN(入力!$B$16,MAX(0,C55-L55)),0),0)</f>
        <v>0</v>
      </c>
      <c r="N55" s="32">
        <f t="shared" si="13"/>
        <v>31268673</v>
      </c>
      <c r="O55" s="32">
        <f t="shared" si="14"/>
        <v>967773</v>
      </c>
      <c r="P55" s="34" t="str">
        <f>IF(NOT(AND(T54="",A55&lt;=S54)),"",IF(A55=入力!$B$15+1,"繰上返済後再計算","")&amp;IF(AND(入力!$B$13="有効",A55&gt;1,MOD(A55-1,60)=0),IF(A55=入力!$B$15+1,"・","")&amp;"5年見直し","")&amp;IF(AND(A55=入力!$B$11,A55&gt;1),IF(OR(A55=入力!$B$15+1,AND(入力!$B$13="有効",A55&gt;1,MOD(A55-1,60)=0)),"・","")&amp;"金利変更","")&amp;IF(AND(OR(AND(入力!$B$13="有効",A55&gt;1,MOD(A55-1,60)=0),AND(A55=入力!$B$11,A55&gt;1)),入力!$B$14="有効",IF(E55=0,ROUND(C55/MAX(1,S54-A55+1),0),ROUND(-PMT(E55/12,MAX(1,S54-A55+1),C55),0))&gt;ROUND(G54*1.25,0),NOT(A55=入力!$B$15+1)),"・上限適用",""))</f>
        <v/>
      </c>
      <c r="Q55" s="35" t="str">
        <f>IF(AND(T54="",A55&lt;=S54),入力!$B$13,"")</f>
        <v>有効</v>
      </c>
      <c r="R55" s="32" t="str">
        <f>IF(AND(AND(T54="",A55&lt;=S54),OR(AND(入力!$B$13="有効",A55&gt;1,MOD(A55-1,60)=0),AND(A55=入力!$B$11,A55&gt;1)),入力!$B$14="有効"),ROUND(G54*1.25,0),"")</f>
        <v/>
      </c>
      <c r="S55" s="36">
        <f t="shared" si="15"/>
        <v>420</v>
      </c>
      <c r="T55" s="35" t="str">
        <f t="shared" si="16"/>
        <v/>
      </c>
      <c r="U55" s="3">
        <f t="shared" si="0"/>
        <v>0</v>
      </c>
      <c r="V55" s="3">
        <f t="shared" si="1"/>
        <v>0</v>
      </c>
      <c r="W55" s="3">
        <f t="shared" si="2"/>
        <v>0</v>
      </c>
      <c r="X55" s="3">
        <f t="shared" si="3"/>
        <v>0</v>
      </c>
      <c r="Y55" s="3">
        <f>0</f>
        <v>0</v>
      </c>
      <c r="Z55" s="3">
        <f t="shared" si="4"/>
        <v>0</v>
      </c>
      <c r="AA55">
        <f>ROUND(IF(A55=入力!$B$15+1,IF(E55=0,ROUND(C55/MAX(1,S54-A55+1),0),ROUND(-PMT(E55/12,MAX(1,S54-A55+1)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,0)</f>
        <v>93982</v>
      </c>
    </row>
    <row r="56" spans="1:27">
      <c r="A56" s="30">
        <f>51</f>
        <v>51</v>
      </c>
      <c r="B56" s="31">
        <f>EDATE(入力!$B$6,A56-1)</f>
        <v>47757</v>
      </c>
      <c r="C56" s="32">
        <f t="shared" si="5"/>
        <v>31268673</v>
      </c>
      <c r="D56" s="32">
        <f t="shared" si="6"/>
        <v>0</v>
      </c>
      <c r="E56" s="33">
        <f>IF(AND(T55="",A56&lt;=S55),IF(A56&lt;入力!$B$11,入力!$B$10,入力!$B$12),0)</f>
        <v>7.0000000000000001E-3</v>
      </c>
      <c r="F56" s="32">
        <f t="shared" si="7"/>
        <v>18240</v>
      </c>
      <c r="G56" s="32">
        <f>ROUND(IF(NOT(AND(T55="",A56&lt;=S55)),0,IF(A56=入力!$B$15+1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),0)</f>
        <v>93982</v>
      </c>
      <c r="H56" s="32">
        <f t="shared" si="8"/>
        <v>93982</v>
      </c>
      <c r="I56" s="32">
        <f t="shared" si="9"/>
        <v>18240</v>
      </c>
      <c r="J56" s="32">
        <f t="shared" si="10"/>
        <v>0</v>
      </c>
      <c r="K56" s="32">
        <f t="shared" si="11"/>
        <v>0</v>
      </c>
      <c r="L56" s="32">
        <f t="shared" si="12"/>
        <v>75742</v>
      </c>
      <c r="M56" s="32">
        <f>IF(AND(AND(T55="",A56&lt;=S55),A56=入力!$B$15),ROUND(MIN(入力!$B$16,MAX(0,C56-L56)),0),0)</f>
        <v>0</v>
      </c>
      <c r="N56" s="32">
        <f t="shared" si="13"/>
        <v>31192931</v>
      </c>
      <c r="O56" s="32">
        <f t="shared" si="14"/>
        <v>986013</v>
      </c>
      <c r="P56" s="34" t="str">
        <f>IF(NOT(AND(T55="",A56&lt;=S55)),"",IF(A56=入力!$B$15+1,"繰上返済後再計算","")&amp;IF(AND(入力!$B$13="有効",A56&gt;1,MOD(A56-1,60)=0),IF(A56=入力!$B$15+1,"・","")&amp;"5年見直し","")&amp;IF(AND(A56=入力!$B$11,A56&gt;1),IF(OR(A56=入力!$B$15+1,AND(入力!$B$13="有効",A56&gt;1,MOD(A56-1,60)=0)),"・","")&amp;"金利変更","")&amp;IF(AND(OR(AND(入力!$B$13="有効",A56&gt;1,MOD(A56-1,60)=0),AND(A56=入力!$B$11,A56&gt;1)),入力!$B$14="有効",IF(E56=0,ROUND(C56/MAX(1,S55-A56+1),0),ROUND(-PMT(E56/12,MAX(1,S55-A56+1),C56),0))&gt;ROUND(G55*1.25,0),NOT(A56=入力!$B$15+1)),"・上限適用",""))</f>
        <v/>
      </c>
      <c r="Q56" s="35" t="str">
        <f>IF(AND(T55="",A56&lt;=S55),入力!$B$13,"")</f>
        <v>有効</v>
      </c>
      <c r="R56" s="32" t="str">
        <f>IF(AND(AND(T55="",A56&lt;=S55),OR(AND(入力!$B$13="有効",A56&gt;1,MOD(A56-1,60)=0),AND(A56=入力!$B$11,A56&gt;1)),入力!$B$14="有効"),ROUND(G55*1.25,0),"")</f>
        <v/>
      </c>
      <c r="S56" s="36">
        <f t="shared" si="15"/>
        <v>420</v>
      </c>
      <c r="T56" s="35" t="str">
        <f t="shared" si="16"/>
        <v/>
      </c>
      <c r="U56" s="3">
        <f t="shared" si="0"/>
        <v>0</v>
      </c>
      <c r="V56" s="3">
        <f t="shared" si="1"/>
        <v>0</v>
      </c>
      <c r="W56" s="3">
        <f t="shared" si="2"/>
        <v>0</v>
      </c>
      <c r="X56" s="3">
        <f t="shared" si="3"/>
        <v>0</v>
      </c>
      <c r="Y56" s="3">
        <f>0</f>
        <v>0</v>
      </c>
      <c r="Z56" s="3">
        <f t="shared" si="4"/>
        <v>0</v>
      </c>
      <c r="AA56">
        <f>ROUND(IF(A56=入力!$B$15+1,IF(E56=0,ROUND(C56/MAX(1,S55-A56+1),0),ROUND(-PMT(E56/12,MAX(1,S55-A56+1)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,0)</f>
        <v>93982</v>
      </c>
    </row>
    <row r="57" spans="1:27">
      <c r="A57" s="30">
        <f>52</f>
        <v>52</v>
      </c>
      <c r="B57" s="31">
        <f>EDATE(入力!$B$6,A57-1)</f>
        <v>47788</v>
      </c>
      <c r="C57" s="32">
        <f t="shared" si="5"/>
        <v>31192931</v>
      </c>
      <c r="D57" s="32">
        <f t="shared" si="6"/>
        <v>0</v>
      </c>
      <c r="E57" s="33">
        <f>IF(AND(T56="",A57&lt;=S56),IF(A57&lt;入力!$B$11,入力!$B$10,入力!$B$12),0)</f>
        <v>7.0000000000000001E-3</v>
      </c>
      <c r="F57" s="32">
        <f t="shared" si="7"/>
        <v>18196</v>
      </c>
      <c r="G57" s="32">
        <f>ROUND(IF(NOT(AND(T56="",A57&lt;=S56)),0,IF(A57=入力!$B$15+1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),0)</f>
        <v>93982</v>
      </c>
      <c r="H57" s="32">
        <f t="shared" si="8"/>
        <v>93982</v>
      </c>
      <c r="I57" s="32">
        <f t="shared" si="9"/>
        <v>18196</v>
      </c>
      <c r="J57" s="32">
        <f t="shared" si="10"/>
        <v>0</v>
      </c>
      <c r="K57" s="32">
        <f t="shared" si="11"/>
        <v>0</v>
      </c>
      <c r="L57" s="32">
        <f t="shared" si="12"/>
        <v>75786</v>
      </c>
      <c r="M57" s="32">
        <f>IF(AND(AND(T56="",A57&lt;=S56),A57=入力!$B$15),ROUND(MIN(入力!$B$16,MAX(0,C57-L57)),0),0)</f>
        <v>0</v>
      </c>
      <c r="N57" s="32">
        <f t="shared" si="13"/>
        <v>31117145</v>
      </c>
      <c r="O57" s="32">
        <f t="shared" si="14"/>
        <v>1004209</v>
      </c>
      <c r="P57" s="34" t="str">
        <f>IF(NOT(AND(T56="",A57&lt;=S56)),"",IF(A57=入力!$B$15+1,"繰上返済後再計算","")&amp;IF(AND(入力!$B$13="有効",A57&gt;1,MOD(A57-1,60)=0),IF(A57=入力!$B$15+1,"・","")&amp;"5年見直し","")&amp;IF(AND(A57=入力!$B$11,A57&gt;1),IF(OR(A57=入力!$B$15+1,AND(入力!$B$13="有効",A57&gt;1,MOD(A57-1,60)=0)),"・","")&amp;"金利変更","")&amp;IF(AND(OR(AND(入力!$B$13="有効",A57&gt;1,MOD(A57-1,60)=0),AND(A57=入力!$B$11,A57&gt;1)),入力!$B$14="有効",IF(E57=0,ROUND(C57/MAX(1,S56-A57+1),0),ROUND(-PMT(E57/12,MAX(1,S56-A57+1),C57),0))&gt;ROUND(G56*1.25,0),NOT(A57=入力!$B$15+1)),"・上限適用",""))</f>
        <v/>
      </c>
      <c r="Q57" s="35" t="str">
        <f>IF(AND(T56="",A57&lt;=S56),入力!$B$13,"")</f>
        <v>有効</v>
      </c>
      <c r="R57" s="32" t="str">
        <f>IF(AND(AND(T56="",A57&lt;=S56),OR(AND(入力!$B$13="有効",A57&gt;1,MOD(A57-1,60)=0),AND(A57=入力!$B$11,A57&gt;1)),入力!$B$14="有効"),ROUND(G56*1.25,0),"")</f>
        <v/>
      </c>
      <c r="S57" s="36">
        <f t="shared" si="15"/>
        <v>420</v>
      </c>
      <c r="T57" s="35" t="str">
        <f t="shared" si="16"/>
        <v/>
      </c>
      <c r="U57" s="3">
        <f t="shared" si="0"/>
        <v>0</v>
      </c>
      <c r="V57" s="3">
        <f t="shared" si="1"/>
        <v>0</v>
      </c>
      <c r="W57" s="3">
        <f t="shared" si="2"/>
        <v>0</v>
      </c>
      <c r="X57" s="3">
        <f t="shared" si="3"/>
        <v>0</v>
      </c>
      <c r="Y57" s="3">
        <f>0</f>
        <v>0</v>
      </c>
      <c r="Z57" s="3">
        <f t="shared" si="4"/>
        <v>0</v>
      </c>
      <c r="AA57">
        <f>ROUND(IF(A57=入力!$B$15+1,IF(E57=0,ROUND(C57/MAX(1,S56-A57+1),0),ROUND(-PMT(E57/12,MAX(1,S56-A57+1)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,0)</f>
        <v>93982</v>
      </c>
    </row>
    <row r="58" spans="1:27">
      <c r="A58" s="30">
        <f>53</f>
        <v>53</v>
      </c>
      <c r="B58" s="31">
        <f>EDATE(入力!$B$6,A58-1)</f>
        <v>47818</v>
      </c>
      <c r="C58" s="32">
        <f t="shared" si="5"/>
        <v>31117145</v>
      </c>
      <c r="D58" s="32">
        <f t="shared" si="6"/>
        <v>0</v>
      </c>
      <c r="E58" s="33">
        <f>IF(AND(T57="",A58&lt;=S57),IF(A58&lt;入力!$B$11,入力!$B$10,入力!$B$12),0)</f>
        <v>7.0000000000000001E-3</v>
      </c>
      <c r="F58" s="32">
        <f t="shared" si="7"/>
        <v>18152</v>
      </c>
      <c r="G58" s="32">
        <f>ROUND(IF(NOT(AND(T57="",A58&lt;=S57)),0,IF(A58=入力!$B$15+1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),0)</f>
        <v>93982</v>
      </c>
      <c r="H58" s="32">
        <f t="shared" si="8"/>
        <v>93982</v>
      </c>
      <c r="I58" s="32">
        <f t="shared" si="9"/>
        <v>18152</v>
      </c>
      <c r="J58" s="32">
        <f t="shared" si="10"/>
        <v>0</v>
      </c>
      <c r="K58" s="32">
        <f t="shared" si="11"/>
        <v>0</v>
      </c>
      <c r="L58" s="32">
        <f t="shared" si="12"/>
        <v>75830</v>
      </c>
      <c r="M58" s="32">
        <f>IF(AND(AND(T57="",A58&lt;=S57),A58=入力!$B$15),ROUND(MIN(入力!$B$16,MAX(0,C58-L58)),0),0)</f>
        <v>0</v>
      </c>
      <c r="N58" s="32">
        <f t="shared" si="13"/>
        <v>31041315</v>
      </c>
      <c r="O58" s="32">
        <f t="shared" si="14"/>
        <v>1022361</v>
      </c>
      <c r="P58" s="34" t="str">
        <f>IF(NOT(AND(T57="",A58&lt;=S57)),"",IF(A58=入力!$B$15+1,"繰上返済後再計算","")&amp;IF(AND(入力!$B$13="有効",A58&gt;1,MOD(A58-1,60)=0),IF(A58=入力!$B$15+1,"・","")&amp;"5年見直し","")&amp;IF(AND(A58=入力!$B$11,A58&gt;1),IF(OR(A58=入力!$B$15+1,AND(入力!$B$13="有効",A58&gt;1,MOD(A58-1,60)=0)),"・","")&amp;"金利変更","")&amp;IF(AND(OR(AND(入力!$B$13="有効",A58&gt;1,MOD(A58-1,60)=0),AND(A58=入力!$B$11,A58&gt;1)),入力!$B$14="有効",IF(E58=0,ROUND(C58/MAX(1,S57-A58+1),0),ROUND(-PMT(E58/12,MAX(1,S57-A58+1),C58),0))&gt;ROUND(G57*1.25,0),NOT(A58=入力!$B$15+1)),"・上限適用",""))</f>
        <v/>
      </c>
      <c r="Q58" s="35" t="str">
        <f>IF(AND(T57="",A58&lt;=S57),入力!$B$13,"")</f>
        <v>有効</v>
      </c>
      <c r="R58" s="32" t="str">
        <f>IF(AND(AND(T57="",A58&lt;=S57),OR(AND(入力!$B$13="有効",A58&gt;1,MOD(A58-1,60)=0),AND(A58=入力!$B$11,A58&gt;1)),入力!$B$14="有効"),ROUND(G57*1.25,0),"")</f>
        <v/>
      </c>
      <c r="S58" s="36">
        <f t="shared" si="15"/>
        <v>420</v>
      </c>
      <c r="T58" s="35" t="str">
        <f t="shared" si="16"/>
        <v/>
      </c>
      <c r="U58" s="3">
        <f t="shared" si="0"/>
        <v>0</v>
      </c>
      <c r="V58" s="3">
        <f t="shared" si="1"/>
        <v>0</v>
      </c>
      <c r="W58" s="3">
        <f t="shared" si="2"/>
        <v>0</v>
      </c>
      <c r="X58" s="3">
        <f t="shared" si="3"/>
        <v>0</v>
      </c>
      <c r="Y58" s="3">
        <f>0</f>
        <v>0</v>
      </c>
      <c r="Z58" s="3">
        <f t="shared" si="4"/>
        <v>0</v>
      </c>
      <c r="AA58">
        <f>ROUND(IF(A58=入力!$B$15+1,IF(E58=0,ROUND(C58/MAX(1,S57-A58+1),0),ROUND(-PMT(E58/12,MAX(1,S57-A58+1)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,0)</f>
        <v>93982</v>
      </c>
    </row>
    <row r="59" spans="1:27">
      <c r="A59" s="30">
        <f>54</f>
        <v>54</v>
      </c>
      <c r="B59" s="31">
        <f>EDATE(入力!$B$6,A59-1)</f>
        <v>47849</v>
      </c>
      <c r="C59" s="32">
        <f t="shared" si="5"/>
        <v>31041315</v>
      </c>
      <c r="D59" s="32">
        <f t="shared" si="6"/>
        <v>0</v>
      </c>
      <c r="E59" s="33">
        <f>IF(AND(T58="",A59&lt;=S58),IF(A59&lt;入力!$B$11,入力!$B$10,入力!$B$12),0)</f>
        <v>7.0000000000000001E-3</v>
      </c>
      <c r="F59" s="32">
        <f t="shared" si="7"/>
        <v>18107</v>
      </c>
      <c r="G59" s="32">
        <f>ROUND(IF(NOT(AND(T58="",A59&lt;=S58)),0,IF(A59=入力!$B$15+1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),0)</f>
        <v>93982</v>
      </c>
      <c r="H59" s="32">
        <f t="shared" si="8"/>
        <v>93982</v>
      </c>
      <c r="I59" s="32">
        <f t="shared" si="9"/>
        <v>18107</v>
      </c>
      <c r="J59" s="32">
        <f t="shared" si="10"/>
        <v>0</v>
      </c>
      <c r="K59" s="32">
        <f t="shared" si="11"/>
        <v>0</v>
      </c>
      <c r="L59" s="32">
        <f t="shared" si="12"/>
        <v>75875</v>
      </c>
      <c r="M59" s="32">
        <f>IF(AND(AND(T58="",A59&lt;=S58),A59=入力!$B$15),ROUND(MIN(入力!$B$16,MAX(0,C59-L59)),0),0)</f>
        <v>0</v>
      </c>
      <c r="N59" s="32">
        <f t="shared" si="13"/>
        <v>30965440</v>
      </c>
      <c r="O59" s="32">
        <f t="shared" si="14"/>
        <v>1040468</v>
      </c>
      <c r="P59" s="34" t="str">
        <f>IF(NOT(AND(T58="",A59&lt;=S58)),"",IF(A59=入力!$B$15+1,"繰上返済後再計算","")&amp;IF(AND(入力!$B$13="有効",A59&gt;1,MOD(A59-1,60)=0),IF(A59=入力!$B$15+1,"・","")&amp;"5年見直し","")&amp;IF(AND(A59=入力!$B$11,A59&gt;1),IF(OR(A59=入力!$B$15+1,AND(入力!$B$13="有効",A59&gt;1,MOD(A59-1,60)=0)),"・","")&amp;"金利変更","")&amp;IF(AND(OR(AND(入力!$B$13="有効",A59&gt;1,MOD(A59-1,60)=0),AND(A59=入力!$B$11,A59&gt;1)),入力!$B$14="有効",IF(E59=0,ROUND(C59/MAX(1,S58-A59+1),0),ROUND(-PMT(E59/12,MAX(1,S58-A59+1),C59),0))&gt;ROUND(G58*1.25,0),NOT(A59=入力!$B$15+1)),"・上限適用",""))</f>
        <v/>
      </c>
      <c r="Q59" s="35" t="str">
        <f>IF(AND(T58="",A59&lt;=S58),入力!$B$13,"")</f>
        <v>有効</v>
      </c>
      <c r="R59" s="32" t="str">
        <f>IF(AND(AND(T58="",A59&lt;=S58),OR(AND(入力!$B$13="有効",A59&gt;1,MOD(A59-1,60)=0),AND(A59=入力!$B$11,A59&gt;1)),入力!$B$14="有効"),ROUND(G58*1.25,0),"")</f>
        <v/>
      </c>
      <c r="S59" s="36">
        <f t="shared" si="15"/>
        <v>420</v>
      </c>
      <c r="T59" s="35" t="str">
        <f t="shared" si="16"/>
        <v/>
      </c>
      <c r="U59" s="3">
        <f t="shared" si="0"/>
        <v>0</v>
      </c>
      <c r="V59" s="3">
        <f t="shared" si="1"/>
        <v>0</v>
      </c>
      <c r="W59" s="3">
        <f t="shared" si="2"/>
        <v>0</v>
      </c>
      <c r="X59" s="3">
        <f t="shared" si="3"/>
        <v>0</v>
      </c>
      <c r="Y59" s="3">
        <f>0</f>
        <v>0</v>
      </c>
      <c r="Z59" s="3">
        <f t="shared" si="4"/>
        <v>0</v>
      </c>
      <c r="AA59">
        <f>ROUND(IF(A59=入力!$B$15+1,IF(E59=0,ROUND(C59/MAX(1,S58-A59+1),0),ROUND(-PMT(E59/12,MAX(1,S58-A59+1)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,0)</f>
        <v>93982</v>
      </c>
    </row>
    <row r="60" spans="1:27">
      <c r="A60" s="30">
        <f>55</f>
        <v>55</v>
      </c>
      <c r="B60" s="31">
        <f>EDATE(入力!$B$6,A60-1)</f>
        <v>47880</v>
      </c>
      <c r="C60" s="32">
        <f t="shared" si="5"/>
        <v>30965440</v>
      </c>
      <c r="D60" s="32">
        <f t="shared" si="6"/>
        <v>0</v>
      </c>
      <c r="E60" s="33">
        <f>IF(AND(T59="",A60&lt;=S59),IF(A60&lt;入力!$B$11,入力!$B$10,入力!$B$12),0)</f>
        <v>7.0000000000000001E-3</v>
      </c>
      <c r="F60" s="32">
        <f t="shared" si="7"/>
        <v>18063</v>
      </c>
      <c r="G60" s="32">
        <f>ROUND(IF(NOT(AND(T59="",A60&lt;=S59)),0,IF(A60=入力!$B$15+1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),0)</f>
        <v>93982</v>
      </c>
      <c r="H60" s="32">
        <f t="shared" si="8"/>
        <v>93982</v>
      </c>
      <c r="I60" s="32">
        <f t="shared" si="9"/>
        <v>18063</v>
      </c>
      <c r="J60" s="32">
        <f t="shared" si="10"/>
        <v>0</v>
      </c>
      <c r="K60" s="32">
        <f t="shared" si="11"/>
        <v>0</v>
      </c>
      <c r="L60" s="32">
        <f t="shared" si="12"/>
        <v>75919</v>
      </c>
      <c r="M60" s="32">
        <f>IF(AND(AND(T59="",A60&lt;=S59),A60=入力!$B$15),ROUND(MIN(入力!$B$16,MAX(0,C60-L60)),0),0)</f>
        <v>0</v>
      </c>
      <c r="N60" s="32">
        <f t="shared" si="13"/>
        <v>30889521</v>
      </c>
      <c r="O60" s="32">
        <f t="shared" si="14"/>
        <v>1058531</v>
      </c>
      <c r="P60" s="34" t="str">
        <f>IF(NOT(AND(T59="",A60&lt;=S59)),"",IF(A60=入力!$B$15+1,"繰上返済後再計算","")&amp;IF(AND(入力!$B$13="有効",A60&gt;1,MOD(A60-1,60)=0),IF(A60=入力!$B$15+1,"・","")&amp;"5年見直し","")&amp;IF(AND(A60=入力!$B$11,A60&gt;1),IF(OR(A60=入力!$B$15+1,AND(入力!$B$13="有効",A60&gt;1,MOD(A60-1,60)=0)),"・","")&amp;"金利変更","")&amp;IF(AND(OR(AND(入力!$B$13="有効",A60&gt;1,MOD(A60-1,60)=0),AND(A60=入力!$B$11,A60&gt;1)),入力!$B$14="有効",IF(E60=0,ROUND(C60/MAX(1,S59-A60+1),0),ROUND(-PMT(E60/12,MAX(1,S59-A60+1),C60),0))&gt;ROUND(G59*1.25,0),NOT(A60=入力!$B$15+1)),"・上限適用",""))</f>
        <v/>
      </c>
      <c r="Q60" s="35" t="str">
        <f>IF(AND(T59="",A60&lt;=S59),入力!$B$13,"")</f>
        <v>有効</v>
      </c>
      <c r="R60" s="32" t="str">
        <f>IF(AND(AND(T59="",A60&lt;=S59),OR(AND(入力!$B$13="有効",A60&gt;1,MOD(A60-1,60)=0),AND(A60=入力!$B$11,A60&gt;1)),入力!$B$14="有効"),ROUND(G59*1.25,0),"")</f>
        <v/>
      </c>
      <c r="S60" s="36">
        <f t="shared" si="15"/>
        <v>420</v>
      </c>
      <c r="T60" s="35" t="str">
        <f t="shared" si="16"/>
        <v/>
      </c>
      <c r="U60" s="3">
        <f t="shared" si="0"/>
        <v>0</v>
      </c>
      <c r="V60" s="3">
        <f t="shared" si="1"/>
        <v>0</v>
      </c>
      <c r="W60" s="3">
        <f t="shared" si="2"/>
        <v>0</v>
      </c>
      <c r="X60" s="3">
        <f t="shared" si="3"/>
        <v>0</v>
      </c>
      <c r="Y60" s="3">
        <f>0</f>
        <v>0</v>
      </c>
      <c r="Z60" s="3">
        <f t="shared" si="4"/>
        <v>0</v>
      </c>
      <c r="AA60">
        <f>ROUND(IF(A60=入力!$B$15+1,IF(E60=0,ROUND(C60/MAX(1,S59-A60+1),0),ROUND(-PMT(E60/12,MAX(1,S59-A60+1)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,0)</f>
        <v>93982</v>
      </c>
    </row>
    <row r="61" spans="1:27">
      <c r="A61" s="30">
        <f>56</f>
        <v>56</v>
      </c>
      <c r="B61" s="31">
        <f>EDATE(入力!$B$6,A61-1)</f>
        <v>47908</v>
      </c>
      <c r="C61" s="32">
        <f t="shared" si="5"/>
        <v>30889521</v>
      </c>
      <c r="D61" s="32">
        <f t="shared" si="6"/>
        <v>0</v>
      </c>
      <c r="E61" s="33">
        <f>IF(AND(T60="",A61&lt;=S60),IF(A61&lt;入力!$B$11,入力!$B$10,入力!$B$12),0)</f>
        <v>7.0000000000000001E-3</v>
      </c>
      <c r="F61" s="32">
        <f t="shared" si="7"/>
        <v>18019</v>
      </c>
      <c r="G61" s="32">
        <f>ROUND(IF(NOT(AND(T60="",A61&lt;=S60)),0,IF(A61=入力!$B$15+1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),0)</f>
        <v>93982</v>
      </c>
      <c r="H61" s="32">
        <f t="shared" si="8"/>
        <v>93982</v>
      </c>
      <c r="I61" s="32">
        <f t="shared" si="9"/>
        <v>18019</v>
      </c>
      <c r="J61" s="32">
        <f t="shared" si="10"/>
        <v>0</v>
      </c>
      <c r="K61" s="32">
        <f t="shared" si="11"/>
        <v>0</v>
      </c>
      <c r="L61" s="32">
        <f t="shared" si="12"/>
        <v>75963</v>
      </c>
      <c r="M61" s="32">
        <f>IF(AND(AND(T60="",A61&lt;=S60),A61=入力!$B$15),ROUND(MIN(入力!$B$16,MAX(0,C61-L61)),0),0)</f>
        <v>0</v>
      </c>
      <c r="N61" s="32">
        <f t="shared" si="13"/>
        <v>30813558</v>
      </c>
      <c r="O61" s="32">
        <f t="shared" si="14"/>
        <v>1076550</v>
      </c>
      <c r="P61" s="34" t="str">
        <f>IF(NOT(AND(T60="",A61&lt;=S60)),"",IF(A61=入力!$B$15+1,"繰上返済後再計算","")&amp;IF(AND(入力!$B$13="有効",A61&gt;1,MOD(A61-1,60)=0),IF(A61=入力!$B$15+1,"・","")&amp;"5年見直し","")&amp;IF(AND(A61=入力!$B$11,A61&gt;1),IF(OR(A61=入力!$B$15+1,AND(入力!$B$13="有効",A61&gt;1,MOD(A61-1,60)=0)),"・","")&amp;"金利変更","")&amp;IF(AND(OR(AND(入力!$B$13="有効",A61&gt;1,MOD(A61-1,60)=0),AND(A61=入力!$B$11,A61&gt;1)),入力!$B$14="有効",IF(E61=0,ROUND(C61/MAX(1,S60-A61+1),0),ROUND(-PMT(E61/12,MAX(1,S60-A61+1),C61),0))&gt;ROUND(G60*1.25,0),NOT(A61=入力!$B$15+1)),"・上限適用",""))</f>
        <v/>
      </c>
      <c r="Q61" s="35" t="str">
        <f>IF(AND(T60="",A61&lt;=S60),入力!$B$13,"")</f>
        <v>有効</v>
      </c>
      <c r="R61" s="32" t="str">
        <f>IF(AND(AND(T60="",A61&lt;=S60),OR(AND(入力!$B$13="有効",A61&gt;1,MOD(A61-1,60)=0),AND(A61=入力!$B$11,A61&gt;1)),入力!$B$14="有効"),ROUND(G60*1.25,0),"")</f>
        <v/>
      </c>
      <c r="S61" s="36">
        <f t="shared" si="15"/>
        <v>420</v>
      </c>
      <c r="T61" s="35" t="str">
        <f t="shared" si="16"/>
        <v/>
      </c>
      <c r="U61" s="3">
        <f t="shared" si="0"/>
        <v>0</v>
      </c>
      <c r="V61" s="3">
        <f t="shared" si="1"/>
        <v>0</v>
      </c>
      <c r="W61" s="3">
        <f t="shared" si="2"/>
        <v>0</v>
      </c>
      <c r="X61" s="3">
        <f t="shared" si="3"/>
        <v>0</v>
      </c>
      <c r="Y61" s="3">
        <f>0</f>
        <v>0</v>
      </c>
      <c r="Z61" s="3">
        <f t="shared" si="4"/>
        <v>0</v>
      </c>
      <c r="AA61">
        <f>ROUND(IF(A61=入力!$B$15+1,IF(E61=0,ROUND(C61/MAX(1,S60-A61+1),0),ROUND(-PMT(E61/12,MAX(1,S60-A61+1)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,0)</f>
        <v>93982</v>
      </c>
    </row>
    <row r="62" spans="1:27">
      <c r="A62" s="30">
        <f>57</f>
        <v>57</v>
      </c>
      <c r="B62" s="31">
        <f>EDATE(入力!$B$6,A62-1)</f>
        <v>47939</v>
      </c>
      <c r="C62" s="32">
        <f t="shared" si="5"/>
        <v>30813558</v>
      </c>
      <c r="D62" s="32">
        <f t="shared" si="6"/>
        <v>0</v>
      </c>
      <c r="E62" s="33">
        <f>IF(AND(T61="",A62&lt;=S61),IF(A62&lt;入力!$B$11,入力!$B$10,入力!$B$12),0)</f>
        <v>7.0000000000000001E-3</v>
      </c>
      <c r="F62" s="32">
        <f t="shared" si="7"/>
        <v>17975</v>
      </c>
      <c r="G62" s="32">
        <f>ROUND(IF(NOT(AND(T61="",A62&lt;=S61)),0,IF(A62=入力!$B$15+1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),0)</f>
        <v>93982</v>
      </c>
      <c r="H62" s="32">
        <f t="shared" si="8"/>
        <v>93982</v>
      </c>
      <c r="I62" s="32">
        <f t="shared" si="9"/>
        <v>17975</v>
      </c>
      <c r="J62" s="32">
        <f t="shared" si="10"/>
        <v>0</v>
      </c>
      <c r="K62" s="32">
        <f t="shared" si="11"/>
        <v>0</v>
      </c>
      <c r="L62" s="32">
        <f t="shared" si="12"/>
        <v>76007</v>
      </c>
      <c r="M62" s="32">
        <f>IF(AND(AND(T61="",A62&lt;=S61),A62=入力!$B$15),ROUND(MIN(入力!$B$16,MAX(0,C62-L62)),0),0)</f>
        <v>0</v>
      </c>
      <c r="N62" s="32">
        <f t="shared" si="13"/>
        <v>30737551</v>
      </c>
      <c r="O62" s="32">
        <f t="shared" si="14"/>
        <v>1094525</v>
      </c>
      <c r="P62" s="34" t="str">
        <f>IF(NOT(AND(T61="",A62&lt;=S61)),"",IF(A62=入力!$B$15+1,"繰上返済後再計算","")&amp;IF(AND(入力!$B$13="有効",A62&gt;1,MOD(A62-1,60)=0),IF(A62=入力!$B$15+1,"・","")&amp;"5年見直し","")&amp;IF(AND(A62=入力!$B$11,A62&gt;1),IF(OR(A62=入力!$B$15+1,AND(入力!$B$13="有効",A62&gt;1,MOD(A62-1,60)=0)),"・","")&amp;"金利変更","")&amp;IF(AND(OR(AND(入力!$B$13="有効",A62&gt;1,MOD(A62-1,60)=0),AND(A62=入力!$B$11,A62&gt;1)),入力!$B$14="有効",IF(E62=0,ROUND(C62/MAX(1,S61-A62+1),0),ROUND(-PMT(E62/12,MAX(1,S61-A62+1),C62),0))&gt;ROUND(G61*1.25,0),NOT(A62=入力!$B$15+1)),"・上限適用",""))</f>
        <v/>
      </c>
      <c r="Q62" s="35" t="str">
        <f>IF(AND(T61="",A62&lt;=S61),入力!$B$13,"")</f>
        <v>有効</v>
      </c>
      <c r="R62" s="32" t="str">
        <f>IF(AND(AND(T61="",A62&lt;=S61),OR(AND(入力!$B$13="有効",A62&gt;1,MOD(A62-1,60)=0),AND(A62=入力!$B$11,A62&gt;1)),入力!$B$14="有効"),ROUND(G61*1.25,0),"")</f>
        <v/>
      </c>
      <c r="S62" s="36">
        <f t="shared" si="15"/>
        <v>420</v>
      </c>
      <c r="T62" s="35" t="str">
        <f t="shared" si="16"/>
        <v/>
      </c>
      <c r="U62" s="3">
        <f t="shared" si="0"/>
        <v>0</v>
      </c>
      <c r="V62" s="3">
        <f t="shared" si="1"/>
        <v>0</v>
      </c>
      <c r="W62" s="3">
        <f t="shared" si="2"/>
        <v>0</v>
      </c>
      <c r="X62" s="3">
        <f t="shared" si="3"/>
        <v>0</v>
      </c>
      <c r="Y62" s="3">
        <f>0</f>
        <v>0</v>
      </c>
      <c r="Z62" s="3">
        <f t="shared" si="4"/>
        <v>0</v>
      </c>
      <c r="AA62">
        <f>ROUND(IF(A62=入力!$B$15+1,IF(E62=0,ROUND(C62/MAX(1,S61-A62+1),0),ROUND(-PMT(E62/12,MAX(1,S61-A62+1)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,0)</f>
        <v>93982</v>
      </c>
    </row>
    <row r="63" spans="1:27">
      <c r="A63" s="30">
        <f>58</f>
        <v>58</v>
      </c>
      <c r="B63" s="31">
        <f>EDATE(入力!$B$6,A63-1)</f>
        <v>47969</v>
      </c>
      <c r="C63" s="32">
        <f t="shared" si="5"/>
        <v>30737551</v>
      </c>
      <c r="D63" s="32">
        <f t="shared" si="6"/>
        <v>0</v>
      </c>
      <c r="E63" s="33">
        <f>IF(AND(T62="",A63&lt;=S62),IF(A63&lt;入力!$B$11,入力!$B$10,入力!$B$12),0)</f>
        <v>7.0000000000000001E-3</v>
      </c>
      <c r="F63" s="32">
        <f t="shared" si="7"/>
        <v>17930</v>
      </c>
      <c r="G63" s="32">
        <f>ROUND(IF(NOT(AND(T62="",A63&lt;=S62)),0,IF(A63=入力!$B$15+1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),0)</f>
        <v>93982</v>
      </c>
      <c r="H63" s="32">
        <f t="shared" si="8"/>
        <v>93982</v>
      </c>
      <c r="I63" s="32">
        <f t="shared" si="9"/>
        <v>17930</v>
      </c>
      <c r="J63" s="32">
        <f t="shared" si="10"/>
        <v>0</v>
      </c>
      <c r="K63" s="32">
        <f t="shared" si="11"/>
        <v>0</v>
      </c>
      <c r="L63" s="32">
        <f t="shared" si="12"/>
        <v>76052</v>
      </c>
      <c r="M63" s="32">
        <f>IF(AND(AND(T62="",A63&lt;=S62),A63=入力!$B$15),ROUND(MIN(入力!$B$16,MAX(0,C63-L63)),0),0)</f>
        <v>0</v>
      </c>
      <c r="N63" s="32">
        <f t="shared" si="13"/>
        <v>30661499</v>
      </c>
      <c r="O63" s="32">
        <f t="shared" si="14"/>
        <v>1112455</v>
      </c>
      <c r="P63" s="34" t="str">
        <f>IF(NOT(AND(T62="",A63&lt;=S62)),"",IF(A63=入力!$B$15+1,"繰上返済後再計算","")&amp;IF(AND(入力!$B$13="有効",A63&gt;1,MOD(A63-1,60)=0),IF(A63=入力!$B$15+1,"・","")&amp;"5年見直し","")&amp;IF(AND(A63=入力!$B$11,A63&gt;1),IF(OR(A63=入力!$B$15+1,AND(入力!$B$13="有効",A63&gt;1,MOD(A63-1,60)=0)),"・","")&amp;"金利変更","")&amp;IF(AND(OR(AND(入力!$B$13="有効",A63&gt;1,MOD(A63-1,60)=0),AND(A63=入力!$B$11,A63&gt;1)),入力!$B$14="有効",IF(E63=0,ROUND(C63/MAX(1,S62-A63+1),0),ROUND(-PMT(E63/12,MAX(1,S62-A63+1),C63),0))&gt;ROUND(G62*1.25,0),NOT(A63=入力!$B$15+1)),"・上限適用",""))</f>
        <v/>
      </c>
      <c r="Q63" s="35" t="str">
        <f>IF(AND(T62="",A63&lt;=S62),入力!$B$13,"")</f>
        <v>有効</v>
      </c>
      <c r="R63" s="32" t="str">
        <f>IF(AND(AND(T62="",A63&lt;=S62),OR(AND(入力!$B$13="有効",A63&gt;1,MOD(A63-1,60)=0),AND(A63=入力!$B$11,A63&gt;1)),入力!$B$14="有効"),ROUND(G62*1.25,0),"")</f>
        <v/>
      </c>
      <c r="S63" s="36">
        <f t="shared" si="15"/>
        <v>420</v>
      </c>
      <c r="T63" s="35" t="str">
        <f t="shared" si="16"/>
        <v/>
      </c>
      <c r="U63" s="3">
        <f t="shared" si="0"/>
        <v>0</v>
      </c>
      <c r="V63" s="3">
        <f t="shared" si="1"/>
        <v>0</v>
      </c>
      <c r="W63" s="3">
        <f t="shared" si="2"/>
        <v>0</v>
      </c>
      <c r="X63" s="3">
        <f t="shared" si="3"/>
        <v>0</v>
      </c>
      <c r="Y63" s="3">
        <f>0</f>
        <v>0</v>
      </c>
      <c r="Z63" s="3">
        <f t="shared" si="4"/>
        <v>0</v>
      </c>
      <c r="AA63">
        <f>ROUND(IF(A63=入力!$B$15+1,IF(E63=0,ROUND(C63/MAX(1,S62-A63+1),0),ROUND(-PMT(E63/12,MAX(1,S62-A63+1)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,0)</f>
        <v>93982</v>
      </c>
    </row>
    <row r="64" spans="1:27">
      <c r="A64" s="30">
        <f>59</f>
        <v>59</v>
      </c>
      <c r="B64" s="31">
        <f>EDATE(入力!$B$6,A64-1)</f>
        <v>48000</v>
      </c>
      <c r="C64" s="32">
        <f t="shared" si="5"/>
        <v>30661499</v>
      </c>
      <c r="D64" s="32">
        <f t="shared" si="6"/>
        <v>0</v>
      </c>
      <c r="E64" s="33">
        <f>IF(AND(T63="",A64&lt;=S63),IF(A64&lt;入力!$B$11,入力!$B$10,入力!$B$12),0)</f>
        <v>7.0000000000000001E-3</v>
      </c>
      <c r="F64" s="32">
        <f t="shared" si="7"/>
        <v>17886</v>
      </c>
      <c r="G64" s="32">
        <f>ROUND(IF(NOT(AND(T63="",A64&lt;=S63)),0,IF(A64=入力!$B$15+1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),0)</f>
        <v>93982</v>
      </c>
      <c r="H64" s="32">
        <f t="shared" si="8"/>
        <v>93982</v>
      </c>
      <c r="I64" s="32">
        <f t="shared" si="9"/>
        <v>17886</v>
      </c>
      <c r="J64" s="32">
        <f t="shared" si="10"/>
        <v>0</v>
      </c>
      <c r="K64" s="32">
        <f t="shared" si="11"/>
        <v>0</v>
      </c>
      <c r="L64" s="32">
        <f t="shared" si="12"/>
        <v>76096</v>
      </c>
      <c r="M64" s="32">
        <f>IF(AND(AND(T63="",A64&lt;=S63),A64=入力!$B$15),ROUND(MIN(入力!$B$16,MAX(0,C64-L64)),0),0)</f>
        <v>0</v>
      </c>
      <c r="N64" s="32">
        <f t="shared" si="13"/>
        <v>30585403</v>
      </c>
      <c r="O64" s="32">
        <f t="shared" si="14"/>
        <v>1130341</v>
      </c>
      <c r="P64" s="34" t="str">
        <f>IF(NOT(AND(T63="",A64&lt;=S63)),"",IF(A64=入力!$B$15+1,"繰上返済後再計算","")&amp;IF(AND(入力!$B$13="有効",A64&gt;1,MOD(A64-1,60)=0),IF(A64=入力!$B$15+1,"・","")&amp;"5年見直し","")&amp;IF(AND(A64=入力!$B$11,A64&gt;1),IF(OR(A64=入力!$B$15+1,AND(入力!$B$13="有効",A64&gt;1,MOD(A64-1,60)=0)),"・","")&amp;"金利変更","")&amp;IF(AND(OR(AND(入力!$B$13="有効",A64&gt;1,MOD(A64-1,60)=0),AND(A64=入力!$B$11,A64&gt;1)),入力!$B$14="有効",IF(E64=0,ROUND(C64/MAX(1,S63-A64+1),0),ROUND(-PMT(E64/12,MAX(1,S63-A64+1),C64),0))&gt;ROUND(G63*1.25,0),NOT(A64=入力!$B$15+1)),"・上限適用",""))</f>
        <v/>
      </c>
      <c r="Q64" s="35" t="str">
        <f>IF(AND(T63="",A64&lt;=S63),入力!$B$13,"")</f>
        <v>有効</v>
      </c>
      <c r="R64" s="32" t="str">
        <f>IF(AND(AND(T63="",A64&lt;=S63),OR(AND(入力!$B$13="有効",A64&gt;1,MOD(A64-1,60)=0),AND(A64=入力!$B$11,A64&gt;1)),入力!$B$14="有効"),ROUND(G63*1.25,0),"")</f>
        <v/>
      </c>
      <c r="S64" s="36">
        <f t="shared" si="15"/>
        <v>420</v>
      </c>
      <c r="T64" s="35" t="str">
        <f t="shared" si="16"/>
        <v/>
      </c>
      <c r="U64" s="3">
        <f t="shared" si="0"/>
        <v>0</v>
      </c>
      <c r="V64" s="3">
        <f t="shared" si="1"/>
        <v>0</v>
      </c>
      <c r="W64" s="3">
        <f t="shared" si="2"/>
        <v>0</v>
      </c>
      <c r="X64" s="3">
        <f t="shared" si="3"/>
        <v>0</v>
      </c>
      <c r="Y64" s="3">
        <f>0</f>
        <v>0</v>
      </c>
      <c r="Z64" s="3">
        <f t="shared" si="4"/>
        <v>0</v>
      </c>
      <c r="AA64">
        <f>ROUND(IF(A64=入力!$B$15+1,IF(E64=0,ROUND(C64/MAX(1,S63-A64+1),0),ROUND(-PMT(E64/12,MAX(1,S63-A64+1)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,0)</f>
        <v>93982</v>
      </c>
    </row>
    <row r="65" spans="1:27">
      <c r="A65" s="30">
        <f>60</f>
        <v>60</v>
      </c>
      <c r="B65" s="31">
        <f>EDATE(入力!$B$6,A65-1)</f>
        <v>48030</v>
      </c>
      <c r="C65" s="32">
        <f t="shared" si="5"/>
        <v>30585403</v>
      </c>
      <c r="D65" s="32">
        <f t="shared" si="6"/>
        <v>0</v>
      </c>
      <c r="E65" s="33">
        <f>IF(AND(T64="",A65&lt;=S64),IF(A65&lt;入力!$B$11,入力!$B$10,入力!$B$12),0)</f>
        <v>7.0000000000000001E-3</v>
      </c>
      <c r="F65" s="32">
        <f t="shared" si="7"/>
        <v>17841</v>
      </c>
      <c r="G65" s="32">
        <f>ROUND(IF(NOT(AND(T64="",A65&lt;=S64)),0,IF(A65=入力!$B$15+1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),0)</f>
        <v>93982</v>
      </c>
      <c r="H65" s="32">
        <f t="shared" si="8"/>
        <v>93982</v>
      </c>
      <c r="I65" s="32">
        <f t="shared" si="9"/>
        <v>17841</v>
      </c>
      <c r="J65" s="32">
        <f t="shared" si="10"/>
        <v>0</v>
      </c>
      <c r="K65" s="32">
        <f t="shared" si="11"/>
        <v>0</v>
      </c>
      <c r="L65" s="32">
        <f t="shared" si="12"/>
        <v>76141</v>
      </c>
      <c r="M65" s="32">
        <f>IF(AND(AND(T64="",A65&lt;=S64),A65=入力!$B$15),ROUND(MIN(入力!$B$16,MAX(0,C65-L65)),0),0)</f>
        <v>0</v>
      </c>
      <c r="N65" s="32">
        <f t="shared" si="13"/>
        <v>30509262</v>
      </c>
      <c r="O65" s="32">
        <f t="shared" si="14"/>
        <v>1148182</v>
      </c>
      <c r="P65" s="34" t="str">
        <f>IF(NOT(AND(T64="",A65&lt;=S64)),"",IF(A65=入力!$B$15+1,"繰上返済後再計算","")&amp;IF(AND(入力!$B$13="有効",A65&gt;1,MOD(A65-1,60)=0),IF(A65=入力!$B$15+1,"・","")&amp;"5年見直し","")&amp;IF(AND(A65=入力!$B$11,A65&gt;1),IF(OR(A65=入力!$B$15+1,AND(入力!$B$13="有効",A65&gt;1,MOD(A65-1,60)=0)),"・","")&amp;"金利変更","")&amp;IF(AND(OR(AND(入力!$B$13="有効",A65&gt;1,MOD(A65-1,60)=0),AND(A65=入力!$B$11,A65&gt;1)),入力!$B$14="有効",IF(E65=0,ROUND(C65/MAX(1,S64-A65+1),0),ROUND(-PMT(E65/12,MAX(1,S64-A65+1),C65),0))&gt;ROUND(G64*1.25,0),NOT(A65=入力!$B$15+1)),"・上限適用",""))</f>
        <v/>
      </c>
      <c r="Q65" s="35" t="str">
        <f>IF(AND(T64="",A65&lt;=S64),入力!$B$13,"")</f>
        <v>有効</v>
      </c>
      <c r="R65" s="32" t="str">
        <f>IF(AND(AND(T64="",A65&lt;=S64),OR(AND(入力!$B$13="有効",A65&gt;1,MOD(A65-1,60)=0),AND(A65=入力!$B$11,A65&gt;1)),入力!$B$14="有効"),ROUND(G64*1.25,0),"")</f>
        <v/>
      </c>
      <c r="S65" s="36">
        <f t="shared" si="15"/>
        <v>420</v>
      </c>
      <c r="T65" s="35" t="str">
        <f t="shared" si="16"/>
        <v/>
      </c>
      <c r="U65" s="3">
        <f t="shared" si="0"/>
        <v>0</v>
      </c>
      <c r="V65" s="3">
        <f t="shared" si="1"/>
        <v>0</v>
      </c>
      <c r="W65" s="3">
        <f t="shared" si="2"/>
        <v>0</v>
      </c>
      <c r="X65" s="3">
        <f t="shared" si="3"/>
        <v>0</v>
      </c>
      <c r="Y65" s="3">
        <f>0</f>
        <v>0</v>
      </c>
      <c r="Z65" s="3">
        <f t="shared" si="4"/>
        <v>0</v>
      </c>
      <c r="AA65">
        <f>ROUND(IF(A65=入力!$B$15+1,IF(E65=0,ROUND(C65/MAX(1,S64-A65+1),0),ROUND(-PMT(E65/12,MAX(1,S64-A65+1)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,0)</f>
        <v>93982</v>
      </c>
    </row>
    <row r="66" spans="1:27">
      <c r="A66" s="30">
        <f>61</f>
        <v>61</v>
      </c>
      <c r="B66" s="31">
        <f>EDATE(入力!$B$6,A66-1)</f>
        <v>48061</v>
      </c>
      <c r="C66" s="32">
        <f t="shared" si="5"/>
        <v>30509262</v>
      </c>
      <c r="D66" s="32">
        <f t="shared" si="6"/>
        <v>0</v>
      </c>
      <c r="E66" s="33">
        <f>IF(AND(T65="",A66&lt;=S65),IF(A66&lt;入力!$B$11,入力!$B$10,入力!$B$12),0)</f>
        <v>2.5000000000000001E-2</v>
      </c>
      <c r="F66" s="32">
        <f t="shared" si="7"/>
        <v>63561</v>
      </c>
      <c r="G66" s="32">
        <f>ROUND(IF(NOT(AND(T65="",A66&lt;=S65)),0,IF(A66=入力!$B$15+1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),0)</f>
        <v>117478</v>
      </c>
      <c r="H66" s="32">
        <f t="shared" si="8"/>
        <v>117478</v>
      </c>
      <c r="I66" s="32">
        <f t="shared" si="9"/>
        <v>63561</v>
      </c>
      <c r="J66" s="32">
        <f t="shared" si="10"/>
        <v>0</v>
      </c>
      <c r="K66" s="32">
        <f t="shared" si="11"/>
        <v>0</v>
      </c>
      <c r="L66" s="32">
        <f t="shared" si="12"/>
        <v>53917</v>
      </c>
      <c r="M66" s="32">
        <f>IF(AND(AND(T65="",A66&lt;=S65),A66=入力!$B$15),ROUND(MIN(入力!$B$16,MAX(0,C66-L66)),0),0)</f>
        <v>0</v>
      </c>
      <c r="N66" s="32">
        <f t="shared" si="13"/>
        <v>30455345</v>
      </c>
      <c r="O66" s="32">
        <f t="shared" si="14"/>
        <v>1211743</v>
      </c>
      <c r="P66" s="34" t="str">
        <f>IF(NOT(AND(T65="",A66&lt;=S65)),"",IF(A66=入力!$B$15+1,"繰上返済後再計算","")&amp;IF(AND(入力!$B$13="有効",A66&gt;1,MOD(A66-1,60)=0),IF(A66=入力!$B$15+1,"・","")&amp;"5年見直し","")&amp;IF(AND(A66=入力!$B$11,A66&gt;1),IF(OR(A66=入力!$B$15+1,AND(入力!$B$13="有効",A66&gt;1,MOD(A66-1,60)=0)),"・","")&amp;"金利変更","")&amp;IF(AND(OR(AND(入力!$B$13="有効",A66&gt;1,MOD(A66-1,60)=0),AND(A66=入力!$B$11,A66&gt;1)),入力!$B$14="有効",IF(E66=0,ROUND(C66/MAX(1,S65-A66+1),0),ROUND(-PMT(E66/12,MAX(1,S65-A66+1),C66),0))&gt;ROUND(G65*1.25,0),NOT(A66=入力!$B$15+1)),"・上限適用",""))</f>
        <v>5年見直し・金利変更・上限適用</v>
      </c>
      <c r="Q66" s="35" t="str">
        <f>IF(AND(T65="",A66&lt;=S65),入力!$B$13,"")</f>
        <v>有効</v>
      </c>
      <c r="R66" s="32">
        <f>IF(AND(AND(T65="",A66&lt;=S65),OR(AND(入力!$B$13="有効",A66&gt;1,MOD(A66-1,60)=0),AND(A66=入力!$B$11,A66&gt;1)),入力!$B$14="有効"),ROUND(G65*1.25,0),"")</f>
        <v>117478</v>
      </c>
      <c r="S66" s="36">
        <f t="shared" si="15"/>
        <v>420</v>
      </c>
      <c r="T66" s="35" t="str">
        <f t="shared" si="16"/>
        <v/>
      </c>
      <c r="U66" s="3">
        <f t="shared" si="0"/>
        <v>0</v>
      </c>
      <c r="V66" s="3">
        <f t="shared" si="1"/>
        <v>0</v>
      </c>
      <c r="W66" s="3">
        <f t="shared" si="2"/>
        <v>0</v>
      </c>
      <c r="X66" s="3">
        <f t="shared" si="3"/>
        <v>0</v>
      </c>
      <c r="Y66" s="3">
        <f>0</f>
        <v>0</v>
      </c>
      <c r="Z66" s="3">
        <f t="shared" si="4"/>
        <v>0</v>
      </c>
      <c r="AA66">
        <f>ROUND(IF(A66=入力!$B$15+1,IF(E66=0,ROUND(C66/MAX(1,S65-A66+1),0),ROUND(-PMT(E66/12,MAX(1,S65-A66+1)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,0)</f>
        <v>117478</v>
      </c>
    </row>
    <row r="67" spans="1:27">
      <c r="A67" s="30">
        <f>62</f>
        <v>62</v>
      </c>
      <c r="B67" s="31">
        <f>EDATE(入力!$B$6,A67-1)</f>
        <v>48092</v>
      </c>
      <c r="C67" s="32">
        <f t="shared" si="5"/>
        <v>30455345</v>
      </c>
      <c r="D67" s="32">
        <f t="shared" si="6"/>
        <v>0</v>
      </c>
      <c r="E67" s="33">
        <f>IF(AND(T66="",A67&lt;=S66),IF(A67&lt;入力!$B$11,入力!$B$10,入力!$B$12),0)</f>
        <v>2.5000000000000001E-2</v>
      </c>
      <c r="F67" s="32">
        <f t="shared" si="7"/>
        <v>63449</v>
      </c>
      <c r="G67" s="32">
        <f>ROUND(IF(NOT(AND(T66="",A67&lt;=S66)),0,IF(A67=入力!$B$15+1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),0)</f>
        <v>117478</v>
      </c>
      <c r="H67" s="32">
        <f t="shared" si="8"/>
        <v>117478</v>
      </c>
      <c r="I67" s="32">
        <f t="shared" si="9"/>
        <v>63449</v>
      </c>
      <c r="J67" s="32">
        <f t="shared" si="10"/>
        <v>0</v>
      </c>
      <c r="K67" s="32">
        <f t="shared" si="11"/>
        <v>0</v>
      </c>
      <c r="L67" s="32">
        <f t="shared" si="12"/>
        <v>54029</v>
      </c>
      <c r="M67" s="32">
        <f>IF(AND(AND(T66="",A67&lt;=S66),A67=入力!$B$15),ROUND(MIN(入力!$B$16,MAX(0,C67-L67)),0),0)</f>
        <v>0</v>
      </c>
      <c r="N67" s="32">
        <f t="shared" si="13"/>
        <v>30401316</v>
      </c>
      <c r="O67" s="32">
        <f t="shared" si="14"/>
        <v>1275192</v>
      </c>
      <c r="P67" s="34" t="str">
        <f>IF(NOT(AND(T66="",A67&lt;=S66)),"",IF(A67=入力!$B$15+1,"繰上返済後再計算","")&amp;IF(AND(入力!$B$13="有効",A67&gt;1,MOD(A67-1,60)=0),IF(A67=入力!$B$15+1,"・","")&amp;"5年見直し","")&amp;IF(AND(A67=入力!$B$11,A67&gt;1),IF(OR(A67=入力!$B$15+1,AND(入力!$B$13="有効",A67&gt;1,MOD(A67-1,60)=0)),"・","")&amp;"金利変更","")&amp;IF(AND(OR(AND(入力!$B$13="有効",A67&gt;1,MOD(A67-1,60)=0),AND(A67=入力!$B$11,A67&gt;1)),入力!$B$14="有効",IF(E67=0,ROUND(C67/MAX(1,S66-A67+1),0),ROUND(-PMT(E67/12,MAX(1,S66-A67+1),C67),0))&gt;ROUND(G66*1.25,0),NOT(A67=入力!$B$15+1)),"・上限適用",""))</f>
        <v/>
      </c>
      <c r="Q67" s="35" t="str">
        <f>IF(AND(T66="",A67&lt;=S66),入力!$B$13,"")</f>
        <v>有効</v>
      </c>
      <c r="R67" s="32" t="str">
        <f>IF(AND(AND(T66="",A67&lt;=S66),OR(AND(入力!$B$13="有効",A67&gt;1,MOD(A67-1,60)=0),AND(A67=入力!$B$11,A67&gt;1)),入力!$B$14="有効"),ROUND(G66*1.25,0),"")</f>
        <v/>
      </c>
      <c r="S67" s="36">
        <f t="shared" si="15"/>
        <v>420</v>
      </c>
      <c r="T67" s="35" t="str">
        <f t="shared" si="16"/>
        <v/>
      </c>
      <c r="U67" s="3">
        <f t="shared" si="0"/>
        <v>0</v>
      </c>
      <c r="V67" s="3">
        <f t="shared" si="1"/>
        <v>0</v>
      </c>
      <c r="W67" s="3">
        <f t="shared" si="2"/>
        <v>0</v>
      </c>
      <c r="X67" s="3">
        <f t="shared" si="3"/>
        <v>0</v>
      </c>
      <c r="Y67" s="3">
        <f>0</f>
        <v>0</v>
      </c>
      <c r="Z67" s="3">
        <f t="shared" si="4"/>
        <v>0</v>
      </c>
      <c r="AA67">
        <f>ROUND(IF(A67=入力!$B$15+1,IF(E67=0,ROUND(C67/MAX(1,S66-A67+1),0),ROUND(-PMT(E67/12,MAX(1,S66-A67+1)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,0)</f>
        <v>117478</v>
      </c>
    </row>
    <row r="68" spans="1:27">
      <c r="A68" s="30">
        <f>63</f>
        <v>63</v>
      </c>
      <c r="B68" s="31">
        <f>EDATE(入力!$B$6,A68-1)</f>
        <v>48122</v>
      </c>
      <c r="C68" s="32">
        <f t="shared" si="5"/>
        <v>30401316</v>
      </c>
      <c r="D68" s="32">
        <f t="shared" si="6"/>
        <v>0</v>
      </c>
      <c r="E68" s="33">
        <f>IF(AND(T67="",A68&lt;=S67),IF(A68&lt;入力!$B$11,入力!$B$10,入力!$B$12),0)</f>
        <v>2.5000000000000001E-2</v>
      </c>
      <c r="F68" s="32">
        <f t="shared" si="7"/>
        <v>63336</v>
      </c>
      <c r="G68" s="32">
        <f>ROUND(IF(NOT(AND(T67="",A68&lt;=S67)),0,IF(A68=入力!$B$15+1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),0)</f>
        <v>117478</v>
      </c>
      <c r="H68" s="32">
        <f t="shared" si="8"/>
        <v>117478</v>
      </c>
      <c r="I68" s="32">
        <f t="shared" si="9"/>
        <v>63336</v>
      </c>
      <c r="J68" s="32">
        <f t="shared" si="10"/>
        <v>0</v>
      </c>
      <c r="K68" s="32">
        <f t="shared" si="11"/>
        <v>0</v>
      </c>
      <c r="L68" s="32">
        <f t="shared" si="12"/>
        <v>54142</v>
      </c>
      <c r="M68" s="32">
        <f>IF(AND(AND(T67="",A68&lt;=S67),A68=入力!$B$15),ROUND(MIN(入力!$B$16,MAX(0,C68-L68)),0),0)</f>
        <v>0</v>
      </c>
      <c r="N68" s="32">
        <f t="shared" si="13"/>
        <v>30347174</v>
      </c>
      <c r="O68" s="32">
        <f t="shared" si="14"/>
        <v>1338528</v>
      </c>
      <c r="P68" s="34" t="str">
        <f>IF(NOT(AND(T67="",A68&lt;=S67)),"",IF(A68=入力!$B$15+1,"繰上返済後再計算","")&amp;IF(AND(入力!$B$13="有効",A68&gt;1,MOD(A68-1,60)=0),IF(A68=入力!$B$15+1,"・","")&amp;"5年見直し","")&amp;IF(AND(A68=入力!$B$11,A68&gt;1),IF(OR(A68=入力!$B$15+1,AND(入力!$B$13="有効",A68&gt;1,MOD(A68-1,60)=0)),"・","")&amp;"金利変更","")&amp;IF(AND(OR(AND(入力!$B$13="有効",A68&gt;1,MOD(A68-1,60)=0),AND(A68=入力!$B$11,A68&gt;1)),入力!$B$14="有効",IF(E68=0,ROUND(C68/MAX(1,S67-A68+1),0),ROUND(-PMT(E68/12,MAX(1,S67-A68+1),C68),0))&gt;ROUND(G67*1.25,0),NOT(A68=入力!$B$15+1)),"・上限適用",""))</f>
        <v/>
      </c>
      <c r="Q68" s="35" t="str">
        <f>IF(AND(T67="",A68&lt;=S67),入力!$B$13,"")</f>
        <v>有効</v>
      </c>
      <c r="R68" s="32" t="str">
        <f>IF(AND(AND(T67="",A68&lt;=S67),OR(AND(入力!$B$13="有効",A68&gt;1,MOD(A68-1,60)=0),AND(A68=入力!$B$11,A68&gt;1)),入力!$B$14="有効"),ROUND(G67*1.25,0),"")</f>
        <v/>
      </c>
      <c r="S68" s="36">
        <f t="shared" si="15"/>
        <v>420</v>
      </c>
      <c r="T68" s="35" t="str">
        <f t="shared" si="16"/>
        <v/>
      </c>
      <c r="U68" s="3">
        <f t="shared" si="0"/>
        <v>0</v>
      </c>
      <c r="V68" s="3">
        <f t="shared" si="1"/>
        <v>0</v>
      </c>
      <c r="W68" s="3">
        <f t="shared" si="2"/>
        <v>0</v>
      </c>
      <c r="X68" s="3">
        <f t="shared" si="3"/>
        <v>0</v>
      </c>
      <c r="Y68" s="3">
        <f>0</f>
        <v>0</v>
      </c>
      <c r="Z68" s="3">
        <f t="shared" si="4"/>
        <v>0</v>
      </c>
      <c r="AA68">
        <f>ROUND(IF(A68=入力!$B$15+1,IF(E68=0,ROUND(C68/MAX(1,S67-A68+1),0),ROUND(-PMT(E68/12,MAX(1,S67-A68+1)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,0)</f>
        <v>117478</v>
      </c>
    </row>
    <row r="69" spans="1:27">
      <c r="A69" s="30">
        <f>64</f>
        <v>64</v>
      </c>
      <c r="B69" s="31">
        <f>EDATE(入力!$B$6,A69-1)</f>
        <v>48153</v>
      </c>
      <c r="C69" s="32">
        <f t="shared" si="5"/>
        <v>30347174</v>
      </c>
      <c r="D69" s="32">
        <f t="shared" si="6"/>
        <v>0</v>
      </c>
      <c r="E69" s="33">
        <f>IF(AND(T68="",A69&lt;=S68),IF(A69&lt;入力!$B$11,入力!$B$10,入力!$B$12),0)</f>
        <v>2.5000000000000001E-2</v>
      </c>
      <c r="F69" s="32">
        <f t="shared" si="7"/>
        <v>63223</v>
      </c>
      <c r="G69" s="32">
        <f>ROUND(IF(NOT(AND(T68="",A69&lt;=S68)),0,IF(A69=入力!$B$15+1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),0)</f>
        <v>117478</v>
      </c>
      <c r="H69" s="32">
        <f t="shared" si="8"/>
        <v>117478</v>
      </c>
      <c r="I69" s="32">
        <f t="shared" si="9"/>
        <v>63223</v>
      </c>
      <c r="J69" s="32">
        <f t="shared" si="10"/>
        <v>0</v>
      </c>
      <c r="K69" s="32">
        <f t="shared" si="11"/>
        <v>0</v>
      </c>
      <c r="L69" s="32">
        <f t="shared" si="12"/>
        <v>54255</v>
      </c>
      <c r="M69" s="32">
        <f>IF(AND(AND(T68="",A69&lt;=S68),A69=入力!$B$15),ROUND(MIN(入力!$B$16,MAX(0,C69-L69)),0),0)</f>
        <v>0</v>
      </c>
      <c r="N69" s="32">
        <f t="shared" si="13"/>
        <v>30292919</v>
      </c>
      <c r="O69" s="32">
        <f t="shared" si="14"/>
        <v>1401751</v>
      </c>
      <c r="P69" s="34" t="str">
        <f>IF(NOT(AND(T68="",A69&lt;=S68)),"",IF(A69=入力!$B$15+1,"繰上返済後再計算","")&amp;IF(AND(入力!$B$13="有効",A69&gt;1,MOD(A69-1,60)=0),IF(A69=入力!$B$15+1,"・","")&amp;"5年見直し","")&amp;IF(AND(A69=入力!$B$11,A69&gt;1),IF(OR(A69=入力!$B$15+1,AND(入力!$B$13="有効",A69&gt;1,MOD(A69-1,60)=0)),"・","")&amp;"金利変更","")&amp;IF(AND(OR(AND(入力!$B$13="有効",A69&gt;1,MOD(A69-1,60)=0),AND(A69=入力!$B$11,A69&gt;1)),入力!$B$14="有効",IF(E69=0,ROUND(C69/MAX(1,S68-A69+1),0),ROUND(-PMT(E69/12,MAX(1,S68-A69+1),C69),0))&gt;ROUND(G68*1.25,0),NOT(A69=入力!$B$15+1)),"・上限適用",""))</f>
        <v/>
      </c>
      <c r="Q69" s="35" t="str">
        <f>IF(AND(T68="",A69&lt;=S68),入力!$B$13,"")</f>
        <v>有効</v>
      </c>
      <c r="R69" s="32" t="str">
        <f>IF(AND(AND(T68="",A69&lt;=S68),OR(AND(入力!$B$13="有効",A69&gt;1,MOD(A69-1,60)=0),AND(A69=入力!$B$11,A69&gt;1)),入力!$B$14="有効"),ROUND(G68*1.25,0),"")</f>
        <v/>
      </c>
      <c r="S69" s="36">
        <f t="shared" si="15"/>
        <v>420</v>
      </c>
      <c r="T69" s="35" t="str">
        <f t="shared" si="16"/>
        <v/>
      </c>
      <c r="U69" s="3">
        <f t="shared" si="0"/>
        <v>0</v>
      </c>
      <c r="V69" s="3">
        <f t="shared" si="1"/>
        <v>0</v>
      </c>
      <c r="W69" s="3">
        <f t="shared" si="2"/>
        <v>0</v>
      </c>
      <c r="X69" s="3">
        <f t="shared" si="3"/>
        <v>0</v>
      </c>
      <c r="Y69" s="3">
        <f>0</f>
        <v>0</v>
      </c>
      <c r="Z69" s="3">
        <f t="shared" si="4"/>
        <v>0</v>
      </c>
      <c r="AA69">
        <f>ROUND(IF(A69=入力!$B$15+1,IF(E69=0,ROUND(C69/MAX(1,S68-A69+1),0),ROUND(-PMT(E69/12,MAX(1,S68-A69+1)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,0)</f>
        <v>117478</v>
      </c>
    </row>
    <row r="70" spans="1:27">
      <c r="A70" s="30">
        <f>65</f>
        <v>65</v>
      </c>
      <c r="B70" s="31">
        <f>EDATE(入力!$B$6,A70-1)</f>
        <v>48183</v>
      </c>
      <c r="C70" s="32">
        <f t="shared" si="5"/>
        <v>30292919</v>
      </c>
      <c r="D70" s="32">
        <f t="shared" si="6"/>
        <v>0</v>
      </c>
      <c r="E70" s="33">
        <f>IF(AND(T69="",A70&lt;=S69),IF(A70&lt;入力!$B$11,入力!$B$10,入力!$B$12),0)</f>
        <v>2.5000000000000001E-2</v>
      </c>
      <c r="F70" s="32">
        <f t="shared" si="7"/>
        <v>63110</v>
      </c>
      <c r="G70" s="32">
        <f>ROUND(IF(NOT(AND(T69="",A70&lt;=S69)),0,IF(A70=入力!$B$15+1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),0)</f>
        <v>117478</v>
      </c>
      <c r="H70" s="32">
        <f t="shared" si="8"/>
        <v>117478</v>
      </c>
      <c r="I70" s="32">
        <f t="shared" si="9"/>
        <v>63110</v>
      </c>
      <c r="J70" s="32">
        <f t="shared" si="10"/>
        <v>0</v>
      </c>
      <c r="K70" s="32">
        <f t="shared" si="11"/>
        <v>0</v>
      </c>
      <c r="L70" s="32">
        <f t="shared" si="12"/>
        <v>54368</v>
      </c>
      <c r="M70" s="32">
        <f>IF(AND(AND(T69="",A70&lt;=S69),A70=入力!$B$15),ROUND(MIN(入力!$B$16,MAX(0,C70-L70)),0),0)</f>
        <v>0</v>
      </c>
      <c r="N70" s="32">
        <f t="shared" si="13"/>
        <v>30238551</v>
      </c>
      <c r="O70" s="32">
        <f t="shared" si="14"/>
        <v>1464861</v>
      </c>
      <c r="P70" s="34" t="str">
        <f>IF(NOT(AND(T69="",A70&lt;=S69)),"",IF(A70=入力!$B$15+1,"繰上返済後再計算","")&amp;IF(AND(入力!$B$13="有効",A70&gt;1,MOD(A70-1,60)=0),IF(A70=入力!$B$15+1,"・","")&amp;"5年見直し","")&amp;IF(AND(A70=入力!$B$11,A70&gt;1),IF(OR(A70=入力!$B$15+1,AND(入力!$B$13="有効",A70&gt;1,MOD(A70-1,60)=0)),"・","")&amp;"金利変更","")&amp;IF(AND(OR(AND(入力!$B$13="有効",A70&gt;1,MOD(A70-1,60)=0),AND(A70=入力!$B$11,A70&gt;1)),入力!$B$14="有効",IF(E70=0,ROUND(C70/MAX(1,S69-A70+1),0),ROUND(-PMT(E70/12,MAX(1,S69-A70+1),C70),0))&gt;ROUND(G69*1.25,0),NOT(A70=入力!$B$15+1)),"・上限適用",""))</f>
        <v/>
      </c>
      <c r="Q70" s="35" t="str">
        <f>IF(AND(T69="",A70&lt;=S69),入力!$B$13,"")</f>
        <v>有効</v>
      </c>
      <c r="R70" s="32" t="str">
        <f>IF(AND(AND(T69="",A70&lt;=S69),OR(AND(入力!$B$13="有効",A70&gt;1,MOD(A70-1,60)=0),AND(A70=入力!$B$11,A70&gt;1)),入力!$B$14="有効"),ROUND(G69*1.25,0),"")</f>
        <v/>
      </c>
      <c r="S70" s="36">
        <f t="shared" si="15"/>
        <v>420</v>
      </c>
      <c r="T70" s="35" t="str">
        <f t="shared" si="16"/>
        <v/>
      </c>
      <c r="U70" s="3">
        <f t="shared" ref="U70:U133" si="17">ABS(I70-MIN(H70,D70+F70))</f>
        <v>0</v>
      </c>
      <c r="V70" s="3">
        <f t="shared" ref="V70:V133" si="18">ABS(L70-(H70-I70))</f>
        <v>0</v>
      </c>
      <c r="W70" s="3">
        <f t="shared" ref="W70:W133" si="19">ABS(K70-(D70+J70))</f>
        <v>0</v>
      </c>
      <c r="X70" s="3">
        <f t="shared" ref="X70:X133" si="20">ABS(F70-ROUND(F70,0))+ABS(G70-ROUND(G70,0))+ABS(H70-ROUND(H70,0))+ABS(I70-ROUND(I70,0))+ABS(J70-ROUND(J70,0))+ABS(K70-ROUND(K70,0))+ABS(L70-ROUND(L70,0))+ABS(M70-ROUND(M70,0))+ABS(N70-ROUND(N70,0))+ABS(O70-ROUND(O70,0))</f>
        <v>0</v>
      </c>
      <c r="Y70" s="3">
        <f>0</f>
        <v>0</v>
      </c>
      <c r="Z70" s="3">
        <f t="shared" ref="Z70:Z133" si="21">SUM(--ISERROR(A70),--ISERROR(B70),--ISERROR(C70),--ISERROR(D70),--ISERROR(E70),--ISERROR(F70),--ISERROR(G70),--ISERROR(H70),--ISERROR(I70),--ISERROR(J70),--ISERROR(K70),--ISERROR(L70),--ISERROR(M70),--ISERROR(N70),--ISERROR(O70),--ISERROR(P70),--ISERROR(Q70),--ISERROR(R70),--ISERROR(S70),--ISERROR(T70))</f>
        <v>0</v>
      </c>
      <c r="AA70">
        <f>ROUND(IF(A70=入力!$B$15+1,IF(E70=0,ROUND(C70/MAX(1,S69-A70+1),0),ROUND(-PMT(E70/12,MAX(1,S69-A70+1)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,0)</f>
        <v>117478</v>
      </c>
    </row>
    <row r="71" spans="1:27">
      <c r="A71" s="30">
        <f>66</f>
        <v>66</v>
      </c>
      <c r="B71" s="31">
        <f>EDATE(入力!$B$6,A71-1)</f>
        <v>48214</v>
      </c>
      <c r="C71" s="32">
        <f t="shared" ref="C71:C134" si="22">IF(AND(T70="",A71&lt;=S70),N70,0)</f>
        <v>30238551</v>
      </c>
      <c r="D71" s="32">
        <f t="shared" ref="D71:D134" si="23">IF(AND(T70="",A71&lt;=S70),K70,0)</f>
        <v>0</v>
      </c>
      <c r="E71" s="33">
        <f>IF(AND(T70="",A71&lt;=S70),IF(A71&lt;入力!$B$11,入力!$B$10,入力!$B$12),0)</f>
        <v>2.5000000000000001E-2</v>
      </c>
      <c r="F71" s="32">
        <f t="shared" ref="F71:F134" si="24">IF(AND(T70="",A71&lt;=S70),ROUND(C71*E71/12,0),0)</f>
        <v>62997</v>
      </c>
      <c r="G71" s="32">
        <f>ROUND(IF(NOT(AND(T70="",A71&lt;=S70)),0,IF(A71=入力!$B$15+1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),0)</f>
        <v>117478</v>
      </c>
      <c r="H71" s="32">
        <f t="shared" ref="H71:H134" si="25">IF(AND(T70="",A71&lt;=S70),ROUND(MIN(G71,C71+D71+F71),0),0)</f>
        <v>117478</v>
      </c>
      <c r="I71" s="32">
        <f t="shared" ref="I71:I134" si="26">IF(AND(T70="",A71&lt;=S70),ROUND(MIN(H71,D71+F71),0),0)</f>
        <v>62997</v>
      </c>
      <c r="J71" s="32">
        <f t="shared" ref="J71:J134" si="27">IF(AND(T70="",A71&lt;=S70),ROUND(F71-I71,0),0)</f>
        <v>0</v>
      </c>
      <c r="K71" s="32">
        <f t="shared" ref="K71:K134" si="28">IF(AND(T70="",A71&lt;=S70),ROUND(D71+J71,0),0)</f>
        <v>0</v>
      </c>
      <c r="L71" s="32">
        <f t="shared" ref="L71:L134" si="29">IF(AND(T70="",A71&lt;=S70),ROUND(H71-I71,0),0)</f>
        <v>54481</v>
      </c>
      <c r="M71" s="32">
        <f>IF(AND(AND(T70="",A71&lt;=S70),A71=入力!$B$15),ROUND(MIN(入力!$B$16,MAX(0,C71-L71)),0),0)</f>
        <v>0</v>
      </c>
      <c r="N71" s="32">
        <f t="shared" ref="N71:N134" si="30">IF(AND(T70="",A71&lt;=S70),ROUND(MAX(0,C71-L71-M71),0),0)</f>
        <v>30184070</v>
      </c>
      <c r="O71" s="32">
        <f t="shared" ref="O71:O134" si="31">IF(AND(T70="",A71&lt;=S70),ROUND(O70+F71,0),O70)</f>
        <v>1527858</v>
      </c>
      <c r="P71" s="34" t="str">
        <f>IF(NOT(AND(T70="",A71&lt;=S70)),"",IF(A71=入力!$B$15+1,"繰上返済後再計算","")&amp;IF(AND(入力!$B$13="有効",A71&gt;1,MOD(A71-1,60)=0),IF(A71=入力!$B$15+1,"・","")&amp;"5年見直し","")&amp;IF(AND(A71=入力!$B$11,A71&gt;1),IF(OR(A71=入力!$B$15+1,AND(入力!$B$13="有効",A71&gt;1,MOD(A71-1,60)=0)),"・","")&amp;"金利変更","")&amp;IF(AND(OR(AND(入力!$B$13="有効",A71&gt;1,MOD(A71-1,60)=0),AND(A71=入力!$B$11,A71&gt;1)),入力!$B$14="有効",IF(E71=0,ROUND(C71/MAX(1,S70-A71+1),0),ROUND(-PMT(E71/12,MAX(1,S70-A71+1),C71),0))&gt;ROUND(G70*1.25,0),NOT(A71=入力!$B$15+1)),"・上限適用",""))</f>
        <v/>
      </c>
      <c r="Q71" s="35" t="str">
        <f>IF(AND(T70="",A71&lt;=S70),入力!$B$13,"")</f>
        <v>有効</v>
      </c>
      <c r="R71" s="32" t="str">
        <f>IF(AND(AND(T70="",A71&lt;=S70),OR(AND(入力!$B$13="有効",A71&gt;1,MOD(A71-1,60)=0),AND(A71=入力!$B$11,A71&gt;1)),入力!$B$14="有効"),ROUND(G70*1.25,0),"")</f>
        <v/>
      </c>
      <c r="S71" s="36">
        <f t="shared" ref="S71:S134" si="32">S70</f>
        <v>420</v>
      </c>
      <c r="T71" s="35" t="str">
        <f t="shared" ref="T71:T134" si="33">IF(NOT(AND(T70="",A71&lt;=S70)),"",IF(AND(N71=0,K71=0),"完済",IF(A71=S71,"最終回清算","")))</f>
        <v/>
      </c>
      <c r="U71" s="3">
        <f t="shared" si="17"/>
        <v>0</v>
      </c>
      <c r="V71" s="3">
        <f t="shared" si="18"/>
        <v>0</v>
      </c>
      <c r="W71" s="3">
        <f t="shared" si="19"/>
        <v>0</v>
      </c>
      <c r="X71" s="3">
        <f t="shared" si="20"/>
        <v>0</v>
      </c>
      <c r="Y71" s="3">
        <f>0</f>
        <v>0</v>
      </c>
      <c r="Z71" s="3">
        <f t="shared" si="21"/>
        <v>0</v>
      </c>
      <c r="AA71">
        <f>ROUND(IF(A71=入力!$B$15+1,IF(E71=0,ROUND(C71/MAX(1,S70-A71+1),0),ROUND(-PMT(E71/12,MAX(1,S70-A71+1)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,0)</f>
        <v>117478</v>
      </c>
    </row>
    <row r="72" spans="1:27">
      <c r="A72" s="30">
        <f>67</f>
        <v>67</v>
      </c>
      <c r="B72" s="31">
        <f>EDATE(入力!$B$6,A72-1)</f>
        <v>48245</v>
      </c>
      <c r="C72" s="32">
        <f t="shared" si="22"/>
        <v>30184070</v>
      </c>
      <c r="D72" s="32">
        <f t="shared" si="23"/>
        <v>0</v>
      </c>
      <c r="E72" s="33">
        <f>IF(AND(T71="",A72&lt;=S71),IF(A72&lt;入力!$B$11,入力!$B$10,入力!$B$12),0)</f>
        <v>2.5000000000000001E-2</v>
      </c>
      <c r="F72" s="32">
        <f t="shared" si="24"/>
        <v>62883</v>
      </c>
      <c r="G72" s="32">
        <f>ROUND(IF(NOT(AND(T71="",A72&lt;=S71)),0,IF(A72=入力!$B$15+1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),0)</f>
        <v>117478</v>
      </c>
      <c r="H72" s="32">
        <f t="shared" si="25"/>
        <v>117478</v>
      </c>
      <c r="I72" s="32">
        <f t="shared" si="26"/>
        <v>62883</v>
      </c>
      <c r="J72" s="32">
        <f t="shared" si="27"/>
        <v>0</v>
      </c>
      <c r="K72" s="32">
        <f t="shared" si="28"/>
        <v>0</v>
      </c>
      <c r="L72" s="32">
        <f t="shared" si="29"/>
        <v>54595</v>
      </c>
      <c r="M72" s="32">
        <f>IF(AND(AND(T71="",A72&lt;=S71),A72=入力!$B$15),ROUND(MIN(入力!$B$16,MAX(0,C72-L72)),0),0)</f>
        <v>0</v>
      </c>
      <c r="N72" s="32">
        <f t="shared" si="30"/>
        <v>30129475</v>
      </c>
      <c r="O72" s="32">
        <f t="shared" si="31"/>
        <v>1590741</v>
      </c>
      <c r="P72" s="34" t="str">
        <f>IF(NOT(AND(T71="",A72&lt;=S71)),"",IF(A72=入力!$B$15+1,"繰上返済後再計算","")&amp;IF(AND(入力!$B$13="有効",A72&gt;1,MOD(A72-1,60)=0),IF(A72=入力!$B$15+1,"・","")&amp;"5年見直し","")&amp;IF(AND(A72=入力!$B$11,A72&gt;1),IF(OR(A72=入力!$B$15+1,AND(入力!$B$13="有効",A72&gt;1,MOD(A72-1,60)=0)),"・","")&amp;"金利変更","")&amp;IF(AND(OR(AND(入力!$B$13="有効",A72&gt;1,MOD(A72-1,60)=0),AND(A72=入力!$B$11,A72&gt;1)),入力!$B$14="有効",IF(E72=0,ROUND(C72/MAX(1,S71-A72+1),0),ROUND(-PMT(E72/12,MAX(1,S71-A72+1),C72),0))&gt;ROUND(G71*1.25,0),NOT(A72=入力!$B$15+1)),"・上限適用",""))</f>
        <v/>
      </c>
      <c r="Q72" s="35" t="str">
        <f>IF(AND(T71="",A72&lt;=S71),入力!$B$13,"")</f>
        <v>有効</v>
      </c>
      <c r="R72" s="32" t="str">
        <f>IF(AND(AND(T71="",A72&lt;=S71),OR(AND(入力!$B$13="有効",A72&gt;1,MOD(A72-1,60)=0),AND(A72=入力!$B$11,A72&gt;1)),入力!$B$14="有効"),ROUND(G71*1.25,0),"")</f>
        <v/>
      </c>
      <c r="S72" s="36">
        <f t="shared" si="32"/>
        <v>420</v>
      </c>
      <c r="T72" s="35" t="str">
        <f t="shared" si="33"/>
        <v/>
      </c>
      <c r="U72" s="3">
        <f t="shared" si="17"/>
        <v>0</v>
      </c>
      <c r="V72" s="3">
        <f t="shared" si="18"/>
        <v>0</v>
      </c>
      <c r="W72" s="3">
        <f t="shared" si="19"/>
        <v>0</v>
      </c>
      <c r="X72" s="3">
        <f t="shared" si="20"/>
        <v>0</v>
      </c>
      <c r="Y72" s="3">
        <f>0</f>
        <v>0</v>
      </c>
      <c r="Z72" s="3">
        <f t="shared" si="21"/>
        <v>0</v>
      </c>
      <c r="AA72">
        <f>ROUND(IF(A72=入力!$B$15+1,IF(E72=0,ROUND(C72/MAX(1,S71-A72+1),0),ROUND(-PMT(E72/12,MAX(1,S71-A72+1)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,0)</f>
        <v>117478</v>
      </c>
    </row>
    <row r="73" spans="1:27">
      <c r="A73" s="30">
        <f>68</f>
        <v>68</v>
      </c>
      <c r="B73" s="31">
        <f>EDATE(入力!$B$6,A73-1)</f>
        <v>48274</v>
      </c>
      <c r="C73" s="32">
        <f t="shared" si="22"/>
        <v>30129475</v>
      </c>
      <c r="D73" s="32">
        <f t="shared" si="23"/>
        <v>0</v>
      </c>
      <c r="E73" s="33">
        <f>IF(AND(T72="",A73&lt;=S72),IF(A73&lt;入力!$B$11,入力!$B$10,入力!$B$12),0)</f>
        <v>2.5000000000000001E-2</v>
      </c>
      <c r="F73" s="32">
        <f t="shared" si="24"/>
        <v>62770</v>
      </c>
      <c r="G73" s="32">
        <f>ROUND(IF(NOT(AND(T72="",A73&lt;=S72)),0,IF(A73=入力!$B$15+1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),0)</f>
        <v>117478</v>
      </c>
      <c r="H73" s="32">
        <f t="shared" si="25"/>
        <v>117478</v>
      </c>
      <c r="I73" s="32">
        <f t="shared" si="26"/>
        <v>62770</v>
      </c>
      <c r="J73" s="32">
        <f t="shared" si="27"/>
        <v>0</v>
      </c>
      <c r="K73" s="32">
        <f t="shared" si="28"/>
        <v>0</v>
      </c>
      <c r="L73" s="32">
        <f t="shared" si="29"/>
        <v>54708</v>
      </c>
      <c r="M73" s="32">
        <f>IF(AND(AND(T72="",A73&lt;=S72),A73=入力!$B$15),ROUND(MIN(入力!$B$16,MAX(0,C73-L73)),0),0)</f>
        <v>0</v>
      </c>
      <c r="N73" s="32">
        <f t="shared" si="30"/>
        <v>30074767</v>
      </c>
      <c r="O73" s="32">
        <f t="shared" si="31"/>
        <v>1653511</v>
      </c>
      <c r="P73" s="34" t="str">
        <f>IF(NOT(AND(T72="",A73&lt;=S72)),"",IF(A73=入力!$B$15+1,"繰上返済後再計算","")&amp;IF(AND(入力!$B$13="有効",A73&gt;1,MOD(A73-1,60)=0),IF(A73=入力!$B$15+1,"・","")&amp;"5年見直し","")&amp;IF(AND(A73=入力!$B$11,A73&gt;1),IF(OR(A73=入力!$B$15+1,AND(入力!$B$13="有効",A73&gt;1,MOD(A73-1,60)=0)),"・","")&amp;"金利変更","")&amp;IF(AND(OR(AND(入力!$B$13="有効",A73&gt;1,MOD(A73-1,60)=0),AND(A73=入力!$B$11,A73&gt;1)),入力!$B$14="有効",IF(E73=0,ROUND(C73/MAX(1,S72-A73+1),0),ROUND(-PMT(E73/12,MAX(1,S72-A73+1),C73),0))&gt;ROUND(G72*1.25,0),NOT(A73=入力!$B$15+1)),"・上限適用",""))</f>
        <v/>
      </c>
      <c r="Q73" s="35" t="str">
        <f>IF(AND(T72="",A73&lt;=S72),入力!$B$13,"")</f>
        <v>有効</v>
      </c>
      <c r="R73" s="32" t="str">
        <f>IF(AND(AND(T72="",A73&lt;=S72),OR(AND(入力!$B$13="有効",A73&gt;1,MOD(A73-1,60)=0),AND(A73=入力!$B$11,A73&gt;1)),入力!$B$14="有効"),ROUND(G72*1.25,0),"")</f>
        <v/>
      </c>
      <c r="S73" s="36">
        <f t="shared" si="32"/>
        <v>420</v>
      </c>
      <c r="T73" s="35" t="str">
        <f t="shared" si="33"/>
        <v/>
      </c>
      <c r="U73" s="3">
        <f t="shared" si="17"/>
        <v>0</v>
      </c>
      <c r="V73" s="3">
        <f t="shared" si="18"/>
        <v>0</v>
      </c>
      <c r="W73" s="3">
        <f t="shared" si="19"/>
        <v>0</v>
      </c>
      <c r="X73" s="3">
        <f t="shared" si="20"/>
        <v>0</v>
      </c>
      <c r="Y73" s="3">
        <f>0</f>
        <v>0</v>
      </c>
      <c r="Z73" s="3">
        <f t="shared" si="21"/>
        <v>0</v>
      </c>
      <c r="AA73">
        <f>ROUND(IF(A73=入力!$B$15+1,IF(E73=0,ROUND(C73/MAX(1,S72-A73+1),0),ROUND(-PMT(E73/12,MAX(1,S72-A73+1)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,0)</f>
        <v>117478</v>
      </c>
    </row>
    <row r="74" spans="1:27">
      <c r="A74" s="30">
        <f>69</f>
        <v>69</v>
      </c>
      <c r="B74" s="31">
        <f>EDATE(入力!$B$6,A74-1)</f>
        <v>48305</v>
      </c>
      <c r="C74" s="32">
        <f t="shared" si="22"/>
        <v>30074767</v>
      </c>
      <c r="D74" s="32">
        <f t="shared" si="23"/>
        <v>0</v>
      </c>
      <c r="E74" s="33">
        <f>IF(AND(T73="",A74&lt;=S73),IF(A74&lt;入力!$B$11,入力!$B$10,入力!$B$12),0)</f>
        <v>2.5000000000000001E-2</v>
      </c>
      <c r="F74" s="32">
        <f t="shared" si="24"/>
        <v>62656</v>
      </c>
      <c r="G74" s="32">
        <f>ROUND(IF(NOT(AND(T73="",A74&lt;=S73)),0,IF(A74=入力!$B$15+1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),0)</f>
        <v>117478</v>
      </c>
      <c r="H74" s="32">
        <f t="shared" si="25"/>
        <v>117478</v>
      </c>
      <c r="I74" s="32">
        <f t="shared" si="26"/>
        <v>62656</v>
      </c>
      <c r="J74" s="32">
        <f t="shared" si="27"/>
        <v>0</v>
      </c>
      <c r="K74" s="32">
        <f t="shared" si="28"/>
        <v>0</v>
      </c>
      <c r="L74" s="32">
        <f t="shared" si="29"/>
        <v>54822</v>
      </c>
      <c r="M74" s="32">
        <f>IF(AND(AND(T73="",A74&lt;=S73),A74=入力!$B$15),ROUND(MIN(入力!$B$16,MAX(0,C74-L74)),0),0)</f>
        <v>0</v>
      </c>
      <c r="N74" s="32">
        <f t="shared" si="30"/>
        <v>30019945</v>
      </c>
      <c r="O74" s="32">
        <f t="shared" si="31"/>
        <v>1716167</v>
      </c>
      <c r="P74" s="34" t="str">
        <f>IF(NOT(AND(T73="",A74&lt;=S73)),"",IF(A74=入力!$B$15+1,"繰上返済後再計算","")&amp;IF(AND(入力!$B$13="有効",A74&gt;1,MOD(A74-1,60)=0),IF(A74=入力!$B$15+1,"・","")&amp;"5年見直し","")&amp;IF(AND(A74=入力!$B$11,A74&gt;1),IF(OR(A74=入力!$B$15+1,AND(入力!$B$13="有効",A74&gt;1,MOD(A74-1,60)=0)),"・","")&amp;"金利変更","")&amp;IF(AND(OR(AND(入力!$B$13="有効",A74&gt;1,MOD(A74-1,60)=0),AND(A74=入力!$B$11,A74&gt;1)),入力!$B$14="有効",IF(E74=0,ROUND(C74/MAX(1,S73-A74+1),0),ROUND(-PMT(E74/12,MAX(1,S73-A74+1),C74),0))&gt;ROUND(G73*1.25,0),NOT(A74=入力!$B$15+1)),"・上限適用",""))</f>
        <v/>
      </c>
      <c r="Q74" s="35" t="str">
        <f>IF(AND(T73="",A74&lt;=S73),入力!$B$13,"")</f>
        <v>有効</v>
      </c>
      <c r="R74" s="32" t="str">
        <f>IF(AND(AND(T73="",A74&lt;=S73),OR(AND(入力!$B$13="有効",A74&gt;1,MOD(A74-1,60)=0),AND(A74=入力!$B$11,A74&gt;1)),入力!$B$14="有効"),ROUND(G73*1.25,0),"")</f>
        <v/>
      </c>
      <c r="S74" s="36">
        <f t="shared" si="32"/>
        <v>420</v>
      </c>
      <c r="T74" s="35" t="str">
        <f t="shared" si="33"/>
        <v/>
      </c>
      <c r="U74" s="3">
        <f t="shared" si="17"/>
        <v>0</v>
      </c>
      <c r="V74" s="3">
        <f t="shared" si="18"/>
        <v>0</v>
      </c>
      <c r="W74" s="3">
        <f t="shared" si="19"/>
        <v>0</v>
      </c>
      <c r="X74" s="3">
        <f t="shared" si="20"/>
        <v>0</v>
      </c>
      <c r="Y74" s="3">
        <f>0</f>
        <v>0</v>
      </c>
      <c r="Z74" s="3">
        <f t="shared" si="21"/>
        <v>0</v>
      </c>
      <c r="AA74">
        <f>ROUND(IF(A74=入力!$B$15+1,IF(E74=0,ROUND(C74/MAX(1,S73-A74+1),0),ROUND(-PMT(E74/12,MAX(1,S73-A74+1)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,0)</f>
        <v>117478</v>
      </c>
    </row>
    <row r="75" spans="1:27">
      <c r="A75" s="30">
        <f>70</f>
        <v>70</v>
      </c>
      <c r="B75" s="31">
        <f>EDATE(入力!$B$6,A75-1)</f>
        <v>48335</v>
      </c>
      <c r="C75" s="32">
        <f t="shared" si="22"/>
        <v>30019945</v>
      </c>
      <c r="D75" s="32">
        <f t="shared" si="23"/>
        <v>0</v>
      </c>
      <c r="E75" s="33">
        <f>IF(AND(T74="",A75&lt;=S74),IF(A75&lt;入力!$B$11,入力!$B$10,入力!$B$12),0)</f>
        <v>2.5000000000000001E-2</v>
      </c>
      <c r="F75" s="32">
        <f t="shared" si="24"/>
        <v>62542</v>
      </c>
      <c r="G75" s="32">
        <f>ROUND(IF(NOT(AND(T74="",A75&lt;=S74)),0,IF(A75=入力!$B$15+1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),0)</f>
        <v>117478</v>
      </c>
      <c r="H75" s="32">
        <f t="shared" si="25"/>
        <v>117478</v>
      </c>
      <c r="I75" s="32">
        <f t="shared" si="26"/>
        <v>62542</v>
      </c>
      <c r="J75" s="32">
        <f t="shared" si="27"/>
        <v>0</v>
      </c>
      <c r="K75" s="32">
        <f t="shared" si="28"/>
        <v>0</v>
      </c>
      <c r="L75" s="32">
        <f t="shared" si="29"/>
        <v>54936</v>
      </c>
      <c r="M75" s="32">
        <f>IF(AND(AND(T74="",A75&lt;=S74),A75=入力!$B$15),ROUND(MIN(入力!$B$16,MAX(0,C75-L75)),0),0)</f>
        <v>0</v>
      </c>
      <c r="N75" s="32">
        <f t="shared" si="30"/>
        <v>29965009</v>
      </c>
      <c r="O75" s="32">
        <f t="shared" si="31"/>
        <v>1778709</v>
      </c>
      <c r="P75" s="34" t="str">
        <f>IF(NOT(AND(T74="",A75&lt;=S74)),"",IF(A75=入力!$B$15+1,"繰上返済後再計算","")&amp;IF(AND(入力!$B$13="有効",A75&gt;1,MOD(A75-1,60)=0),IF(A75=入力!$B$15+1,"・","")&amp;"5年見直し","")&amp;IF(AND(A75=入力!$B$11,A75&gt;1),IF(OR(A75=入力!$B$15+1,AND(入力!$B$13="有効",A75&gt;1,MOD(A75-1,60)=0)),"・","")&amp;"金利変更","")&amp;IF(AND(OR(AND(入力!$B$13="有効",A75&gt;1,MOD(A75-1,60)=0),AND(A75=入力!$B$11,A75&gt;1)),入力!$B$14="有効",IF(E75=0,ROUND(C75/MAX(1,S74-A75+1),0),ROUND(-PMT(E75/12,MAX(1,S74-A75+1),C75),0))&gt;ROUND(G74*1.25,0),NOT(A75=入力!$B$15+1)),"・上限適用",""))</f>
        <v/>
      </c>
      <c r="Q75" s="35" t="str">
        <f>IF(AND(T74="",A75&lt;=S74),入力!$B$13,"")</f>
        <v>有効</v>
      </c>
      <c r="R75" s="32" t="str">
        <f>IF(AND(AND(T74="",A75&lt;=S74),OR(AND(入力!$B$13="有効",A75&gt;1,MOD(A75-1,60)=0),AND(A75=入力!$B$11,A75&gt;1)),入力!$B$14="有効"),ROUND(G74*1.25,0),"")</f>
        <v/>
      </c>
      <c r="S75" s="36">
        <f t="shared" si="32"/>
        <v>420</v>
      </c>
      <c r="T75" s="35" t="str">
        <f t="shared" si="33"/>
        <v/>
      </c>
      <c r="U75" s="3">
        <f t="shared" si="17"/>
        <v>0</v>
      </c>
      <c r="V75" s="3">
        <f t="shared" si="18"/>
        <v>0</v>
      </c>
      <c r="W75" s="3">
        <f t="shared" si="19"/>
        <v>0</v>
      </c>
      <c r="X75" s="3">
        <f t="shared" si="20"/>
        <v>0</v>
      </c>
      <c r="Y75" s="3">
        <f>0</f>
        <v>0</v>
      </c>
      <c r="Z75" s="3">
        <f t="shared" si="21"/>
        <v>0</v>
      </c>
      <c r="AA75">
        <f>ROUND(IF(A75=入力!$B$15+1,IF(E75=0,ROUND(C75/MAX(1,S74-A75+1),0),ROUND(-PMT(E75/12,MAX(1,S74-A75+1)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,0)</f>
        <v>117478</v>
      </c>
    </row>
    <row r="76" spans="1:27">
      <c r="A76" s="30">
        <f>71</f>
        <v>71</v>
      </c>
      <c r="B76" s="31">
        <f>EDATE(入力!$B$6,A76-1)</f>
        <v>48366</v>
      </c>
      <c r="C76" s="32">
        <f t="shared" si="22"/>
        <v>29965009</v>
      </c>
      <c r="D76" s="32">
        <f t="shared" si="23"/>
        <v>0</v>
      </c>
      <c r="E76" s="33">
        <f>IF(AND(T75="",A76&lt;=S75),IF(A76&lt;入力!$B$11,入力!$B$10,入力!$B$12),0)</f>
        <v>2.5000000000000001E-2</v>
      </c>
      <c r="F76" s="32">
        <f t="shared" si="24"/>
        <v>62427</v>
      </c>
      <c r="G76" s="32">
        <f>ROUND(IF(NOT(AND(T75="",A76&lt;=S75)),0,IF(A76=入力!$B$15+1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),0)</f>
        <v>117478</v>
      </c>
      <c r="H76" s="32">
        <f t="shared" si="25"/>
        <v>117478</v>
      </c>
      <c r="I76" s="32">
        <f t="shared" si="26"/>
        <v>62427</v>
      </c>
      <c r="J76" s="32">
        <f t="shared" si="27"/>
        <v>0</v>
      </c>
      <c r="K76" s="32">
        <f t="shared" si="28"/>
        <v>0</v>
      </c>
      <c r="L76" s="32">
        <f t="shared" si="29"/>
        <v>55051</v>
      </c>
      <c r="M76" s="32">
        <f>IF(AND(AND(T75="",A76&lt;=S75),A76=入力!$B$15),ROUND(MIN(入力!$B$16,MAX(0,C76-L76)),0),0)</f>
        <v>0</v>
      </c>
      <c r="N76" s="32">
        <f t="shared" si="30"/>
        <v>29909958</v>
      </c>
      <c r="O76" s="32">
        <f t="shared" si="31"/>
        <v>1841136</v>
      </c>
      <c r="P76" s="34" t="str">
        <f>IF(NOT(AND(T75="",A76&lt;=S75)),"",IF(A76=入力!$B$15+1,"繰上返済後再計算","")&amp;IF(AND(入力!$B$13="有効",A76&gt;1,MOD(A76-1,60)=0),IF(A76=入力!$B$15+1,"・","")&amp;"5年見直し","")&amp;IF(AND(A76=入力!$B$11,A76&gt;1),IF(OR(A76=入力!$B$15+1,AND(入力!$B$13="有効",A76&gt;1,MOD(A76-1,60)=0)),"・","")&amp;"金利変更","")&amp;IF(AND(OR(AND(入力!$B$13="有効",A76&gt;1,MOD(A76-1,60)=0),AND(A76=入力!$B$11,A76&gt;1)),入力!$B$14="有効",IF(E76=0,ROUND(C76/MAX(1,S75-A76+1),0),ROUND(-PMT(E76/12,MAX(1,S75-A76+1),C76),0))&gt;ROUND(G75*1.25,0),NOT(A76=入力!$B$15+1)),"・上限適用",""))</f>
        <v/>
      </c>
      <c r="Q76" s="35" t="str">
        <f>IF(AND(T75="",A76&lt;=S75),入力!$B$13,"")</f>
        <v>有効</v>
      </c>
      <c r="R76" s="32" t="str">
        <f>IF(AND(AND(T75="",A76&lt;=S75),OR(AND(入力!$B$13="有効",A76&gt;1,MOD(A76-1,60)=0),AND(A76=入力!$B$11,A76&gt;1)),入力!$B$14="有効"),ROUND(G75*1.25,0),"")</f>
        <v/>
      </c>
      <c r="S76" s="36">
        <f t="shared" si="32"/>
        <v>420</v>
      </c>
      <c r="T76" s="35" t="str">
        <f t="shared" si="33"/>
        <v/>
      </c>
      <c r="U76" s="3">
        <f t="shared" si="17"/>
        <v>0</v>
      </c>
      <c r="V76" s="3">
        <f t="shared" si="18"/>
        <v>0</v>
      </c>
      <c r="W76" s="3">
        <f t="shared" si="19"/>
        <v>0</v>
      </c>
      <c r="X76" s="3">
        <f t="shared" si="20"/>
        <v>0</v>
      </c>
      <c r="Y76" s="3">
        <f>0</f>
        <v>0</v>
      </c>
      <c r="Z76" s="3">
        <f t="shared" si="21"/>
        <v>0</v>
      </c>
      <c r="AA76">
        <f>ROUND(IF(A76=入力!$B$15+1,IF(E76=0,ROUND(C76/MAX(1,S75-A76+1),0),ROUND(-PMT(E76/12,MAX(1,S75-A76+1)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,0)</f>
        <v>117478</v>
      </c>
    </row>
    <row r="77" spans="1:27">
      <c r="A77" s="30">
        <f>72</f>
        <v>72</v>
      </c>
      <c r="B77" s="31">
        <f>EDATE(入力!$B$6,A77-1)</f>
        <v>48396</v>
      </c>
      <c r="C77" s="32">
        <f t="shared" si="22"/>
        <v>29909958</v>
      </c>
      <c r="D77" s="32">
        <f t="shared" si="23"/>
        <v>0</v>
      </c>
      <c r="E77" s="33">
        <f>IF(AND(T76="",A77&lt;=S76),IF(A77&lt;入力!$B$11,入力!$B$10,入力!$B$12),0)</f>
        <v>2.5000000000000001E-2</v>
      </c>
      <c r="F77" s="32">
        <f t="shared" si="24"/>
        <v>62312</v>
      </c>
      <c r="G77" s="32">
        <f>ROUND(IF(NOT(AND(T76="",A77&lt;=S76)),0,IF(A77=入力!$B$15+1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),0)</f>
        <v>117478</v>
      </c>
      <c r="H77" s="32">
        <f t="shared" si="25"/>
        <v>117478</v>
      </c>
      <c r="I77" s="32">
        <f t="shared" si="26"/>
        <v>62312</v>
      </c>
      <c r="J77" s="32">
        <f t="shared" si="27"/>
        <v>0</v>
      </c>
      <c r="K77" s="32">
        <f t="shared" si="28"/>
        <v>0</v>
      </c>
      <c r="L77" s="32">
        <f t="shared" si="29"/>
        <v>55166</v>
      </c>
      <c r="M77" s="32">
        <f>IF(AND(AND(T76="",A77&lt;=S76),A77=入力!$B$15),ROUND(MIN(入力!$B$16,MAX(0,C77-L77)),0),0)</f>
        <v>0</v>
      </c>
      <c r="N77" s="32">
        <f t="shared" si="30"/>
        <v>29854792</v>
      </c>
      <c r="O77" s="32">
        <f t="shared" si="31"/>
        <v>1903448</v>
      </c>
      <c r="P77" s="34" t="str">
        <f>IF(NOT(AND(T76="",A77&lt;=S76)),"",IF(A77=入力!$B$15+1,"繰上返済後再計算","")&amp;IF(AND(入力!$B$13="有効",A77&gt;1,MOD(A77-1,60)=0),IF(A77=入力!$B$15+1,"・","")&amp;"5年見直し","")&amp;IF(AND(A77=入力!$B$11,A77&gt;1),IF(OR(A77=入力!$B$15+1,AND(入力!$B$13="有効",A77&gt;1,MOD(A77-1,60)=0)),"・","")&amp;"金利変更","")&amp;IF(AND(OR(AND(入力!$B$13="有効",A77&gt;1,MOD(A77-1,60)=0),AND(A77=入力!$B$11,A77&gt;1)),入力!$B$14="有効",IF(E77=0,ROUND(C77/MAX(1,S76-A77+1),0),ROUND(-PMT(E77/12,MAX(1,S76-A77+1),C77),0))&gt;ROUND(G76*1.25,0),NOT(A77=入力!$B$15+1)),"・上限適用",""))</f>
        <v/>
      </c>
      <c r="Q77" s="35" t="str">
        <f>IF(AND(T76="",A77&lt;=S76),入力!$B$13,"")</f>
        <v>有効</v>
      </c>
      <c r="R77" s="32" t="str">
        <f>IF(AND(AND(T76="",A77&lt;=S76),OR(AND(入力!$B$13="有効",A77&gt;1,MOD(A77-1,60)=0),AND(A77=入力!$B$11,A77&gt;1)),入力!$B$14="有効"),ROUND(G76*1.25,0),"")</f>
        <v/>
      </c>
      <c r="S77" s="36">
        <f t="shared" si="32"/>
        <v>420</v>
      </c>
      <c r="T77" s="35" t="str">
        <f t="shared" si="33"/>
        <v/>
      </c>
      <c r="U77" s="3">
        <f t="shared" si="17"/>
        <v>0</v>
      </c>
      <c r="V77" s="3">
        <f t="shared" si="18"/>
        <v>0</v>
      </c>
      <c r="W77" s="3">
        <f t="shared" si="19"/>
        <v>0</v>
      </c>
      <c r="X77" s="3">
        <f t="shared" si="20"/>
        <v>0</v>
      </c>
      <c r="Y77" s="3">
        <f>0</f>
        <v>0</v>
      </c>
      <c r="Z77" s="3">
        <f t="shared" si="21"/>
        <v>0</v>
      </c>
      <c r="AA77">
        <f>ROUND(IF(A77=入力!$B$15+1,IF(E77=0,ROUND(C77/MAX(1,S76-A77+1),0),ROUND(-PMT(E77/12,MAX(1,S76-A77+1)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,0)</f>
        <v>117478</v>
      </c>
    </row>
    <row r="78" spans="1:27">
      <c r="A78" s="30">
        <f>73</f>
        <v>73</v>
      </c>
      <c r="B78" s="31">
        <f>EDATE(入力!$B$6,A78-1)</f>
        <v>48427</v>
      </c>
      <c r="C78" s="32">
        <f t="shared" si="22"/>
        <v>29854792</v>
      </c>
      <c r="D78" s="32">
        <f t="shared" si="23"/>
        <v>0</v>
      </c>
      <c r="E78" s="33">
        <f>IF(AND(T77="",A78&lt;=S77),IF(A78&lt;入力!$B$11,入力!$B$10,入力!$B$12),0)</f>
        <v>2.5000000000000001E-2</v>
      </c>
      <c r="F78" s="32">
        <f t="shared" si="24"/>
        <v>62197</v>
      </c>
      <c r="G78" s="32">
        <f>ROUND(IF(NOT(AND(T77="",A78&lt;=S77)),0,IF(A78=入力!$B$15+1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),0)</f>
        <v>117478</v>
      </c>
      <c r="H78" s="32">
        <f t="shared" si="25"/>
        <v>117478</v>
      </c>
      <c r="I78" s="32">
        <f t="shared" si="26"/>
        <v>62197</v>
      </c>
      <c r="J78" s="32">
        <f t="shared" si="27"/>
        <v>0</v>
      </c>
      <c r="K78" s="32">
        <f t="shared" si="28"/>
        <v>0</v>
      </c>
      <c r="L78" s="32">
        <f t="shared" si="29"/>
        <v>55281</v>
      </c>
      <c r="M78" s="32">
        <f>IF(AND(AND(T77="",A78&lt;=S77),A78=入力!$B$15),ROUND(MIN(入力!$B$16,MAX(0,C78-L78)),0),0)</f>
        <v>0</v>
      </c>
      <c r="N78" s="32">
        <f t="shared" si="30"/>
        <v>29799511</v>
      </c>
      <c r="O78" s="32">
        <f t="shared" si="31"/>
        <v>1965645</v>
      </c>
      <c r="P78" s="34" t="str">
        <f>IF(NOT(AND(T77="",A78&lt;=S77)),"",IF(A78=入力!$B$15+1,"繰上返済後再計算","")&amp;IF(AND(入力!$B$13="有効",A78&gt;1,MOD(A78-1,60)=0),IF(A78=入力!$B$15+1,"・","")&amp;"5年見直し","")&amp;IF(AND(A78=入力!$B$11,A78&gt;1),IF(OR(A78=入力!$B$15+1,AND(入力!$B$13="有効",A78&gt;1,MOD(A78-1,60)=0)),"・","")&amp;"金利変更","")&amp;IF(AND(OR(AND(入力!$B$13="有効",A78&gt;1,MOD(A78-1,60)=0),AND(A78=入力!$B$11,A78&gt;1)),入力!$B$14="有効",IF(E78=0,ROUND(C78/MAX(1,S77-A78+1),0),ROUND(-PMT(E78/12,MAX(1,S77-A78+1),C78),0))&gt;ROUND(G77*1.25,0),NOT(A78=入力!$B$15+1)),"・上限適用",""))</f>
        <v/>
      </c>
      <c r="Q78" s="35" t="str">
        <f>IF(AND(T77="",A78&lt;=S77),入力!$B$13,"")</f>
        <v>有効</v>
      </c>
      <c r="R78" s="32" t="str">
        <f>IF(AND(AND(T77="",A78&lt;=S77),OR(AND(入力!$B$13="有効",A78&gt;1,MOD(A78-1,60)=0),AND(A78=入力!$B$11,A78&gt;1)),入力!$B$14="有効"),ROUND(G77*1.25,0),"")</f>
        <v/>
      </c>
      <c r="S78" s="36">
        <f t="shared" si="32"/>
        <v>420</v>
      </c>
      <c r="T78" s="35" t="str">
        <f t="shared" si="33"/>
        <v/>
      </c>
      <c r="U78" s="3">
        <f t="shared" si="17"/>
        <v>0</v>
      </c>
      <c r="V78" s="3">
        <f t="shared" si="18"/>
        <v>0</v>
      </c>
      <c r="W78" s="3">
        <f t="shared" si="19"/>
        <v>0</v>
      </c>
      <c r="X78" s="3">
        <f t="shared" si="20"/>
        <v>0</v>
      </c>
      <c r="Y78" s="3">
        <f>0</f>
        <v>0</v>
      </c>
      <c r="Z78" s="3">
        <f t="shared" si="21"/>
        <v>0</v>
      </c>
      <c r="AA78">
        <f>ROUND(IF(A78=入力!$B$15+1,IF(E78=0,ROUND(C78/MAX(1,S77-A78+1),0),ROUND(-PMT(E78/12,MAX(1,S77-A78+1)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,0)</f>
        <v>117478</v>
      </c>
    </row>
    <row r="79" spans="1:27">
      <c r="A79" s="30">
        <f>74</f>
        <v>74</v>
      </c>
      <c r="B79" s="31">
        <f>EDATE(入力!$B$6,A79-1)</f>
        <v>48458</v>
      </c>
      <c r="C79" s="32">
        <f t="shared" si="22"/>
        <v>29799511</v>
      </c>
      <c r="D79" s="32">
        <f t="shared" si="23"/>
        <v>0</v>
      </c>
      <c r="E79" s="33">
        <f>IF(AND(T78="",A79&lt;=S78),IF(A79&lt;入力!$B$11,入力!$B$10,入力!$B$12),0)</f>
        <v>2.5000000000000001E-2</v>
      </c>
      <c r="F79" s="32">
        <f t="shared" si="24"/>
        <v>62082</v>
      </c>
      <c r="G79" s="32">
        <f>ROUND(IF(NOT(AND(T78="",A79&lt;=S78)),0,IF(A79=入力!$B$15+1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),0)</f>
        <v>117478</v>
      </c>
      <c r="H79" s="32">
        <f t="shared" si="25"/>
        <v>117478</v>
      </c>
      <c r="I79" s="32">
        <f t="shared" si="26"/>
        <v>62082</v>
      </c>
      <c r="J79" s="32">
        <f t="shared" si="27"/>
        <v>0</v>
      </c>
      <c r="K79" s="32">
        <f t="shared" si="28"/>
        <v>0</v>
      </c>
      <c r="L79" s="32">
        <f t="shared" si="29"/>
        <v>55396</v>
      </c>
      <c r="M79" s="32">
        <f>IF(AND(AND(T78="",A79&lt;=S78),A79=入力!$B$15),ROUND(MIN(入力!$B$16,MAX(0,C79-L79)),0),0)</f>
        <v>0</v>
      </c>
      <c r="N79" s="32">
        <f t="shared" si="30"/>
        <v>29744115</v>
      </c>
      <c r="O79" s="32">
        <f t="shared" si="31"/>
        <v>2027727</v>
      </c>
      <c r="P79" s="34" t="str">
        <f>IF(NOT(AND(T78="",A79&lt;=S78)),"",IF(A79=入力!$B$15+1,"繰上返済後再計算","")&amp;IF(AND(入力!$B$13="有効",A79&gt;1,MOD(A79-1,60)=0),IF(A79=入力!$B$15+1,"・","")&amp;"5年見直し","")&amp;IF(AND(A79=入力!$B$11,A79&gt;1),IF(OR(A79=入力!$B$15+1,AND(入力!$B$13="有効",A79&gt;1,MOD(A79-1,60)=0)),"・","")&amp;"金利変更","")&amp;IF(AND(OR(AND(入力!$B$13="有効",A79&gt;1,MOD(A79-1,60)=0),AND(A79=入力!$B$11,A79&gt;1)),入力!$B$14="有効",IF(E79=0,ROUND(C79/MAX(1,S78-A79+1),0),ROUND(-PMT(E79/12,MAX(1,S78-A79+1),C79),0))&gt;ROUND(G78*1.25,0),NOT(A79=入力!$B$15+1)),"・上限適用",""))</f>
        <v/>
      </c>
      <c r="Q79" s="35" t="str">
        <f>IF(AND(T78="",A79&lt;=S78),入力!$B$13,"")</f>
        <v>有効</v>
      </c>
      <c r="R79" s="32" t="str">
        <f>IF(AND(AND(T78="",A79&lt;=S78),OR(AND(入力!$B$13="有効",A79&gt;1,MOD(A79-1,60)=0),AND(A79=入力!$B$11,A79&gt;1)),入力!$B$14="有効"),ROUND(G78*1.25,0),"")</f>
        <v/>
      </c>
      <c r="S79" s="36">
        <f t="shared" si="32"/>
        <v>420</v>
      </c>
      <c r="T79" s="35" t="str">
        <f t="shared" si="33"/>
        <v/>
      </c>
      <c r="U79" s="3">
        <f t="shared" si="17"/>
        <v>0</v>
      </c>
      <c r="V79" s="3">
        <f t="shared" si="18"/>
        <v>0</v>
      </c>
      <c r="W79" s="3">
        <f t="shared" si="19"/>
        <v>0</v>
      </c>
      <c r="X79" s="3">
        <f t="shared" si="20"/>
        <v>0</v>
      </c>
      <c r="Y79" s="3">
        <f>0</f>
        <v>0</v>
      </c>
      <c r="Z79" s="3">
        <f t="shared" si="21"/>
        <v>0</v>
      </c>
      <c r="AA79">
        <f>ROUND(IF(A79=入力!$B$15+1,IF(E79=0,ROUND(C79/MAX(1,S78-A79+1),0),ROUND(-PMT(E79/12,MAX(1,S78-A79+1)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,0)</f>
        <v>117478</v>
      </c>
    </row>
    <row r="80" spans="1:27">
      <c r="A80" s="30">
        <f>75</f>
        <v>75</v>
      </c>
      <c r="B80" s="31">
        <f>EDATE(入力!$B$6,A80-1)</f>
        <v>48488</v>
      </c>
      <c r="C80" s="32">
        <f t="shared" si="22"/>
        <v>29744115</v>
      </c>
      <c r="D80" s="32">
        <f t="shared" si="23"/>
        <v>0</v>
      </c>
      <c r="E80" s="33">
        <f>IF(AND(T79="",A80&lt;=S79),IF(A80&lt;入力!$B$11,入力!$B$10,入力!$B$12),0)</f>
        <v>2.5000000000000001E-2</v>
      </c>
      <c r="F80" s="32">
        <f t="shared" si="24"/>
        <v>61967</v>
      </c>
      <c r="G80" s="32">
        <f>ROUND(IF(NOT(AND(T79="",A80&lt;=S79)),0,IF(A80=入力!$B$15+1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),0)</f>
        <v>117478</v>
      </c>
      <c r="H80" s="32">
        <f t="shared" si="25"/>
        <v>117478</v>
      </c>
      <c r="I80" s="32">
        <f t="shared" si="26"/>
        <v>61967</v>
      </c>
      <c r="J80" s="32">
        <f t="shared" si="27"/>
        <v>0</v>
      </c>
      <c r="K80" s="32">
        <f t="shared" si="28"/>
        <v>0</v>
      </c>
      <c r="L80" s="32">
        <f t="shared" si="29"/>
        <v>55511</v>
      </c>
      <c r="M80" s="32">
        <f>IF(AND(AND(T79="",A80&lt;=S79),A80=入力!$B$15),ROUND(MIN(入力!$B$16,MAX(0,C80-L80)),0),0)</f>
        <v>0</v>
      </c>
      <c r="N80" s="32">
        <f t="shared" si="30"/>
        <v>29688604</v>
      </c>
      <c r="O80" s="32">
        <f t="shared" si="31"/>
        <v>2089694</v>
      </c>
      <c r="P80" s="34" t="str">
        <f>IF(NOT(AND(T79="",A80&lt;=S79)),"",IF(A80=入力!$B$15+1,"繰上返済後再計算","")&amp;IF(AND(入力!$B$13="有効",A80&gt;1,MOD(A80-1,60)=0),IF(A80=入力!$B$15+1,"・","")&amp;"5年見直し","")&amp;IF(AND(A80=入力!$B$11,A80&gt;1),IF(OR(A80=入力!$B$15+1,AND(入力!$B$13="有効",A80&gt;1,MOD(A80-1,60)=0)),"・","")&amp;"金利変更","")&amp;IF(AND(OR(AND(入力!$B$13="有効",A80&gt;1,MOD(A80-1,60)=0),AND(A80=入力!$B$11,A80&gt;1)),入力!$B$14="有効",IF(E80=0,ROUND(C80/MAX(1,S79-A80+1),0),ROUND(-PMT(E80/12,MAX(1,S79-A80+1),C80),0))&gt;ROUND(G79*1.25,0),NOT(A80=入力!$B$15+1)),"・上限適用",""))</f>
        <v/>
      </c>
      <c r="Q80" s="35" t="str">
        <f>IF(AND(T79="",A80&lt;=S79),入力!$B$13,"")</f>
        <v>有効</v>
      </c>
      <c r="R80" s="32" t="str">
        <f>IF(AND(AND(T79="",A80&lt;=S79),OR(AND(入力!$B$13="有効",A80&gt;1,MOD(A80-1,60)=0),AND(A80=入力!$B$11,A80&gt;1)),入力!$B$14="有効"),ROUND(G79*1.25,0),"")</f>
        <v/>
      </c>
      <c r="S80" s="36">
        <f t="shared" si="32"/>
        <v>420</v>
      </c>
      <c r="T80" s="35" t="str">
        <f t="shared" si="33"/>
        <v/>
      </c>
      <c r="U80" s="3">
        <f t="shared" si="17"/>
        <v>0</v>
      </c>
      <c r="V80" s="3">
        <f t="shared" si="18"/>
        <v>0</v>
      </c>
      <c r="W80" s="3">
        <f t="shared" si="19"/>
        <v>0</v>
      </c>
      <c r="X80" s="3">
        <f t="shared" si="20"/>
        <v>0</v>
      </c>
      <c r="Y80" s="3">
        <f>0</f>
        <v>0</v>
      </c>
      <c r="Z80" s="3">
        <f t="shared" si="21"/>
        <v>0</v>
      </c>
      <c r="AA80">
        <f>ROUND(IF(A80=入力!$B$15+1,IF(E80=0,ROUND(C80/MAX(1,S79-A80+1),0),ROUND(-PMT(E80/12,MAX(1,S79-A80+1)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,0)</f>
        <v>117478</v>
      </c>
    </row>
    <row r="81" spans="1:27">
      <c r="A81" s="30">
        <f>76</f>
        <v>76</v>
      </c>
      <c r="B81" s="31">
        <f>EDATE(入力!$B$6,A81-1)</f>
        <v>48519</v>
      </c>
      <c r="C81" s="32">
        <f t="shared" si="22"/>
        <v>29688604</v>
      </c>
      <c r="D81" s="32">
        <f t="shared" si="23"/>
        <v>0</v>
      </c>
      <c r="E81" s="33">
        <f>IF(AND(T80="",A81&lt;=S80),IF(A81&lt;入力!$B$11,入力!$B$10,入力!$B$12),0)</f>
        <v>2.5000000000000001E-2</v>
      </c>
      <c r="F81" s="32">
        <f t="shared" si="24"/>
        <v>61851</v>
      </c>
      <c r="G81" s="32">
        <f>ROUND(IF(NOT(AND(T80="",A81&lt;=S80)),0,IF(A81=入力!$B$15+1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),0)</f>
        <v>117478</v>
      </c>
      <c r="H81" s="32">
        <f t="shared" si="25"/>
        <v>117478</v>
      </c>
      <c r="I81" s="32">
        <f t="shared" si="26"/>
        <v>61851</v>
      </c>
      <c r="J81" s="32">
        <f t="shared" si="27"/>
        <v>0</v>
      </c>
      <c r="K81" s="32">
        <f t="shared" si="28"/>
        <v>0</v>
      </c>
      <c r="L81" s="32">
        <f t="shared" si="29"/>
        <v>55627</v>
      </c>
      <c r="M81" s="32">
        <f>IF(AND(AND(T80="",A81&lt;=S80),A81=入力!$B$15),ROUND(MIN(入力!$B$16,MAX(0,C81-L81)),0),0)</f>
        <v>0</v>
      </c>
      <c r="N81" s="32">
        <f t="shared" si="30"/>
        <v>29632977</v>
      </c>
      <c r="O81" s="32">
        <f t="shared" si="31"/>
        <v>2151545</v>
      </c>
      <c r="P81" s="34" t="str">
        <f>IF(NOT(AND(T80="",A81&lt;=S80)),"",IF(A81=入力!$B$15+1,"繰上返済後再計算","")&amp;IF(AND(入力!$B$13="有効",A81&gt;1,MOD(A81-1,60)=0),IF(A81=入力!$B$15+1,"・","")&amp;"5年見直し","")&amp;IF(AND(A81=入力!$B$11,A81&gt;1),IF(OR(A81=入力!$B$15+1,AND(入力!$B$13="有効",A81&gt;1,MOD(A81-1,60)=0)),"・","")&amp;"金利変更","")&amp;IF(AND(OR(AND(入力!$B$13="有効",A81&gt;1,MOD(A81-1,60)=0),AND(A81=入力!$B$11,A81&gt;1)),入力!$B$14="有効",IF(E81=0,ROUND(C81/MAX(1,S80-A81+1),0),ROUND(-PMT(E81/12,MAX(1,S80-A81+1),C81),0))&gt;ROUND(G80*1.25,0),NOT(A81=入力!$B$15+1)),"・上限適用",""))</f>
        <v/>
      </c>
      <c r="Q81" s="35" t="str">
        <f>IF(AND(T80="",A81&lt;=S80),入力!$B$13,"")</f>
        <v>有効</v>
      </c>
      <c r="R81" s="32" t="str">
        <f>IF(AND(AND(T80="",A81&lt;=S80),OR(AND(入力!$B$13="有効",A81&gt;1,MOD(A81-1,60)=0),AND(A81=入力!$B$11,A81&gt;1)),入力!$B$14="有効"),ROUND(G80*1.25,0),"")</f>
        <v/>
      </c>
      <c r="S81" s="36">
        <f t="shared" si="32"/>
        <v>420</v>
      </c>
      <c r="T81" s="35" t="str">
        <f t="shared" si="33"/>
        <v/>
      </c>
      <c r="U81" s="3">
        <f t="shared" si="17"/>
        <v>0</v>
      </c>
      <c r="V81" s="3">
        <f t="shared" si="18"/>
        <v>0</v>
      </c>
      <c r="W81" s="3">
        <f t="shared" si="19"/>
        <v>0</v>
      </c>
      <c r="X81" s="3">
        <f t="shared" si="20"/>
        <v>0</v>
      </c>
      <c r="Y81" s="3">
        <f>0</f>
        <v>0</v>
      </c>
      <c r="Z81" s="3">
        <f t="shared" si="21"/>
        <v>0</v>
      </c>
      <c r="AA81">
        <f>ROUND(IF(A81=入力!$B$15+1,IF(E81=0,ROUND(C81/MAX(1,S80-A81+1),0),ROUND(-PMT(E81/12,MAX(1,S80-A81+1)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,0)</f>
        <v>117478</v>
      </c>
    </row>
    <row r="82" spans="1:27">
      <c r="A82" s="30">
        <f>77</f>
        <v>77</v>
      </c>
      <c r="B82" s="31">
        <f>EDATE(入力!$B$6,A82-1)</f>
        <v>48549</v>
      </c>
      <c r="C82" s="32">
        <f t="shared" si="22"/>
        <v>29632977</v>
      </c>
      <c r="D82" s="32">
        <f t="shared" si="23"/>
        <v>0</v>
      </c>
      <c r="E82" s="33">
        <f>IF(AND(T81="",A82&lt;=S81),IF(A82&lt;入力!$B$11,入力!$B$10,入力!$B$12),0)</f>
        <v>2.5000000000000001E-2</v>
      </c>
      <c r="F82" s="32">
        <f t="shared" si="24"/>
        <v>61735</v>
      </c>
      <c r="G82" s="32">
        <f>ROUND(IF(NOT(AND(T81="",A82&lt;=S81)),0,IF(A82=入力!$B$15+1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),0)</f>
        <v>117478</v>
      </c>
      <c r="H82" s="32">
        <f t="shared" si="25"/>
        <v>117478</v>
      </c>
      <c r="I82" s="32">
        <f t="shared" si="26"/>
        <v>61735</v>
      </c>
      <c r="J82" s="32">
        <f t="shared" si="27"/>
        <v>0</v>
      </c>
      <c r="K82" s="32">
        <f t="shared" si="28"/>
        <v>0</v>
      </c>
      <c r="L82" s="32">
        <f t="shared" si="29"/>
        <v>55743</v>
      </c>
      <c r="M82" s="32">
        <f>IF(AND(AND(T81="",A82&lt;=S81),A82=入力!$B$15),ROUND(MIN(入力!$B$16,MAX(0,C82-L82)),0),0)</f>
        <v>0</v>
      </c>
      <c r="N82" s="32">
        <f t="shared" si="30"/>
        <v>29577234</v>
      </c>
      <c r="O82" s="32">
        <f t="shared" si="31"/>
        <v>2213280</v>
      </c>
      <c r="P82" s="34" t="str">
        <f>IF(NOT(AND(T81="",A82&lt;=S81)),"",IF(A82=入力!$B$15+1,"繰上返済後再計算","")&amp;IF(AND(入力!$B$13="有効",A82&gt;1,MOD(A82-1,60)=0),IF(A82=入力!$B$15+1,"・","")&amp;"5年見直し","")&amp;IF(AND(A82=入力!$B$11,A82&gt;1),IF(OR(A82=入力!$B$15+1,AND(入力!$B$13="有効",A82&gt;1,MOD(A82-1,60)=0)),"・","")&amp;"金利変更","")&amp;IF(AND(OR(AND(入力!$B$13="有効",A82&gt;1,MOD(A82-1,60)=0),AND(A82=入力!$B$11,A82&gt;1)),入力!$B$14="有効",IF(E82=0,ROUND(C82/MAX(1,S81-A82+1),0),ROUND(-PMT(E82/12,MAX(1,S81-A82+1),C82),0))&gt;ROUND(G81*1.25,0),NOT(A82=入力!$B$15+1)),"・上限適用",""))</f>
        <v/>
      </c>
      <c r="Q82" s="35" t="str">
        <f>IF(AND(T81="",A82&lt;=S81),入力!$B$13,"")</f>
        <v>有効</v>
      </c>
      <c r="R82" s="32" t="str">
        <f>IF(AND(AND(T81="",A82&lt;=S81),OR(AND(入力!$B$13="有効",A82&gt;1,MOD(A82-1,60)=0),AND(A82=入力!$B$11,A82&gt;1)),入力!$B$14="有効"),ROUND(G81*1.25,0),"")</f>
        <v/>
      </c>
      <c r="S82" s="36">
        <f t="shared" si="32"/>
        <v>420</v>
      </c>
      <c r="T82" s="35" t="str">
        <f t="shared" si="33"/>
        <v/>
      </c>
      <c r="U82" s="3">
        <f t="shared" si="17"/>
        <v>0</v>
      </c>
      <c r="V82" s="3">
        <f t="shared" si="18"/>
        <v>0</v>
      </c>
      <c r="W82" s="3">
        <f t="shared" si="19"/>
        <v>0</v>
      </c>
      <c r="X82" s="3">
        <f t="shared" si="20"/>
        <v>0</v>
      </c>
      <c r="Y82" s="3">
        <f>0</f>
        <v>0</v>
      </c>
      <c r="Z82" s="3">
        <f t="shared" si="21"/>
        <v>0</v>
      </c>
      <c r="AA82">
        <f>ROUND(IF(A82=入力!$B$15+1,IF(E82=0,ROUND(C82/MAX(1,S81-A82+1),0),ROUND(-PMT(E82/12,MAX(1,S81-A82+1)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,0)</f>
        <v>117478</v>
      </c>
    </row>
    <row r="83" spans="1:27">
      <c r="A83" s="30">
        <f>78</f>
        <v>78</v>
      </c>
      <c r="B83" s="31">
        <f>EDATE(入力!$B$6,A83-1)</f>
        <v>48580</v>
      </c>
      <c r="C83" s="32">
        <f t="shared" si="22"/>
        <v>29577234</v>
      </c>
      <c r="D83" s="32">
        <f t="shared" si="23"/>
        <v>0</v>
      </c>
      <c r="E83" s="33">
        <f>IF(AND(T82="",A83&lt;=S82),IF(A83&lt;入力!$B$11,入力!$B$10,入力!$B$12),0)</f>
        <v>2.5000000000000001E-2</v>
      </c>
      <c r="F83" s="32">
        <f t="shared" si="24"/>
        <v>61619</v>
      </c>
      <c r="G83" s="32">
        <f>ROUND(IF(NOT(AND(T82="",A83&lt;=S82)),0,IF(A83=入力!$B$15+1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),0)</f>
        <v>117478</v>
      </c>
      <c r="H83" s="32">
        <f t="shared" si="25"/>
        <v>117478</v>
      </c>
      <c r="I83" s="32">
        <f t="shared" si="26"/>
        <v>61619</v>
      </c>
      <c r="J83" s="32">
        <f t="shared" si="27"/>
        <v>0</v>
      </c>
      <c r="K83" s="32">
        <f t="shared" si="28"/>
        <v>0</v>
      </c>
      <c r="L83" s="32">
        <f t="shared" si="29"/>
        <v>55859</v>
      </c>
      <c r="M83" s="32">
        <f>IF(AND(AND(T82="",A83&lt;=S82),A83=入力!$B$15),ROUND(MIN(入力!$B$16,MAX(0,C83-L83)),0),0)</f>
        <v>0</v>
      </c>
      <c r="N83" s="32">
        <f t="shared" si="30"/>
        <v>29521375</v>
      </c>
      <c r="O83" s="32">
        <f t="shared" si="31"/>
        <v>2274899</v>
      </c>
      <c r="P83" s="34" t="str">
        <f>IF(NOT(AND(T82="",A83&lt;=S82)),"",IF(A83=入力!$B$15+1,"繰上返済後再計算","")&amp;IF(AND(入力!$B$13="有効",A83&gt;1,MOD(A83-1,60)=0),IF(A83=入力!$B$15+1,"・","")&amp;"5年見直し","")&amp;IF(AND(A83=入力!$B$11,A83&gt;1),IF(OR(A83=入力!$B$15+1,AND(入力!$B$13="有効",A83&gt;1,MOD(A83-1,60)=0)),"・","")&amp;"金利変更","")&amp;IF(AND(OR(AND(入力!$B$13="有効",A83&gt;1,MOD(A83-1,60)=0),AND(A83=入力!$B$11,A83&gt;1)),入力!$B$14="有効",IF(E83=0,ROUND(C83/MAX(1,S82-A83+1),0),ROUND(-PMT(E83/12,MAX(1,S82-A83+1),C83),0))&gt;ROUND(G82*1.25,0),NOT(A83=入力!$B$15+1)),"・上限適用",""))</f>
        <v/>
      </c>
      <c r="Q83" s="35" t="str">
        <f>IF(AND(T82="",A83&lt;=S82),入力!$B$13,"")</f>
        <v>有効</v>
      </c>
      <c r="R83" s="32" t="str">
        <f>IF(AND(AND(T82="",A83&lt;=S82),OR(AND(入力!$B$13="有効",A83&gt;1,MOD(A83-1,60)=0),AND(A83=入力!$B$11,A83&gt;1)),入力!$B$14="有効"),ROUND(G82*1.25,0),"")</f>
        <v/>
      </c>
      <c r="S83" s="36">
        <f t="shared" si="32"/>
        <v>420</v>
      </c>
      <c r="T83" s="35" t="str">
        <f t="shared" si="33"/>
        <v/>
      </c>
      <c r="U83" s="3">
        <f t="shared" si="17"/>
        <v>0</v>
      </c>
      <c r="V83" s="3">
        <f t="shared" si="18"/>
        <v>0</v>
      </c>
      <c r="W83" s="3">
        <f t="shared" si="19"/>
        <v>0</v>
      </c>
      <c r="X83" s="3">
        <f t="shared" si="20"/>
        <v>0</v>
      </c>
      <c r="Y83" s="3">
        <f>0</f>
        <v>0</v>
      </c>
      <c r="Z83" s="3">
        <f t="shared" si="21"/>
        <v>0</v>
      </c>
      <c r="AA83">
        <f>ROUND(IF(A83=入力!$B$15+1,IF(E83=0,ROUND(C83/MAX(1,S82-A83+1),0),ROUND(-PMT(E83/12,MAX(1,S82-A83+1)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,0)</f>
        <v>117478</v>
      </c>
    </row>
    <row r="84" spans="1:27">
      <c r="A84" s="30">
        <f>79</f>
        <v>79</v>
      </c>
      <c r="B84" s="31">
        <f>EDATE(入力!$B$6,A84-1)</f>
        <v>48611</v>
      </c>
      <c r="C84" s="32">
        <f t="shared" si="22"/>
        <v>29521375</v>
      </c>
      <c r="D84" s="32">
        <f t="shared" si="23"/>
        <v>0</v>
      </c>
      <c r="E84" s="33">
        <f>IF(AND(T83="",A84&lt;=S83),IF(A84&lt;入力!$B$11,入力!$B$10,入力!$B$12),0)</f>
        <v>2.5000000000000001E-2</v>
      </c>
      <c r="F84" s="32">
        <f t="shared" si="24"/>
        <v>61503</v>
      </c>
      <c r="G84" s="32">
        <f>ROUND(IF(NOT(AND(T83="",A84&lt;=S83)),0,IF(A84=入力!$B$15+1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),0)</f>
        <v>117478</v>
      </c>
      <c r="H84" s="32">
        <f t="shared" si="25"/>
        <v>117478</v>
      </c>
      <c r="I84" s="32">
        <f t="shared" si="26"/>
        <v>61503</v>
      </c>
      <c r="J84" s="32">
        <f t="shared" si="27"/>
        <v>0</v>
      </c>
      <c r="K84" s="32">
        <f t="shared" si="28"/>
        <v>0</v>
      </c>
      <c r="L84" s="32">
        <f t="shared" si="29"/>
        <v>55975</v>
      </c>
      <c r="M84" s="32">
        <f>IF(AND(AND(T83="",A84&lt;=S83),A84=入力!$B$15),ROUND(MIN(入力!$B$16,MAX(0,C84-L84)),0),0)</f>
        <v>0</v>
      </c>
      <c r="N84" s="32">
        <f t="shared" si="30"/>
        <v>29465400</v>
      </c>
      <c r="O84" s="32">
        <f t="shared" si="31"/>
        <v>2336402</v>
      </c>
      <c r="P84" s="34" t="str">
        <f>IF(NOT(AND(T83="",A84&lt;=S83)),"",IF(A84=入力!$B$15+1,"繰上返済後再計算","")&amp;IF(AND(入力!$B$13="有効",A84&gt;1,MOD(A84-1,60)=0),IF(A84=入力!$B$15+1,"・","")&amp;"5年見直し","")&amp;IF(AND(A84=入力!$B$11,A84&gt;1),IF(OR(A84=入力!$B$15+1,AND(入力!$B$13="有効",A84&gt;1,MOD(A84-1,60)=0)),"・","")&amp;"金利変更","")&amp;IF(AND(OR(AND(入力!$B$13="有効",A84&gt;1,MOD(A84-1,60)=0),AND(A84=入力!$B$11,A84&gt;1)),入力!$B$14="有効",IF(E84=0,ROUND(C84/MAX(1,S83-A84+1),0),ROUND(-PMT(E84/12,MAX(1,S83-A84+1),C84),0))&gt;ROUND(G83*1.25,0),NOT(A84=入力!$B$15+1)),"・上限適用",""))</f>
        <v/>
      </c>
      <c r="Q84" s="35" t="str">
        <f>IF(AND(T83="",A84&lt;=S83),入力!$B$13,"")</f>
        <v>有効</v>
      </c>
      <c r="R84" s="32" t="str">
        <f>IF(AND(AND(T83="",A84&lt;=S83),OR(AND(入力!$B$13="有効",A84&gt;1,MOD(A84-1,60)=0),AND(A84=入力!$B$11,A84&gt;1)),入力!$B$14="有効"),ROUND(G83*1.25,0),"")</f>
        <v/>
      </c>
      <c r="S84" s="36">
        <f t="shared" si="32"/>
        <v>420</v>
      </c>
      <c r="T84" s="35" t="str">
        <f t="shared" si="33"/>
        <v/>
      </c>
      <c r="U84" s="3">
        <f t="shared" si="17"/>
        <v>0</v>
      </c>
      <c r="V84" s="3">
        <f t="shared" si="18"/>
        <v>0</v>
      </c>
      <c r="W84" s="3">
        <f t="shared" si="19"/>
        <v>0</v>
      </c>
      <c r="X84" s="3">
        <f t="shared" si="20"/>
        <v>0</v>
      </c>
      <c r="Y84" s="3">
        <f>0</f>
        <v>0</v>
      </c>
      <c r="Z84" s="3">
        <f t="shared" si="21"/>
        <v>0</v>
      </c>
      <c r="AA84">
        <f>ROUND(IF(A84=入力!$B$15+1,IF(E84=0,ROUND(C84/MAX(1,S83-A84+1),0),ROUND(-PMT(E84/12,MAX(1,S83-A84+1)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,0)</f>
        <v>117478</v>
      </c>
    </row>
    <row r="85" spans="1:27">
      <c r="A85" s="30">
        <f>80</f>
        <v>80</v>
      </c>
      <c r="B85" s="31">
        <f>EDATE(入力!$B$6,A85-1)</f>
        <v>48639</v>
      </c>
      <c r="C85" s="32">
        <f t="shared" si="22"/>
        <v>29465400</v>
      </c>
      <c r="D85" s="32">
        <f t="shared" si="23"/>
        <v>0</v>
      </c>
      <c r="E85" s="33">
        <f>IF(AND(T84="",A85&lt;=S84),IF(A85&lt;入力!$B$11,入力!$B$10,入力!$B$12),0)</f>
        <v>2.5000000000000001E-2</v>
      </c>
      <c r="F85" s="32">
        <f t="shared" si="24"/>
        <v>61386</v>
      </c>
      <c r="G85" s="32">
        <f>ROUND(IF(NOT(AND(T84="",A85&lt;=S84)),0,IF(A85=入力!$B$15+1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),0)</f>
        <v>117478</v>
      </c>
      <c r="H85" s="32">
        <f t="shared" si="25"/>
        <v>117478</v>
      </c>
      <c r="I85" s="32">
        <f t="shared" si="26"/>
        <v>61386</v>
      </c>
      <c r="J85" s="32">
        <f t="shared" si="27"/>
        <v>0</v>
      </c>
      <c r="K85" s="32">
        <f t="shared" si="28"/>
        <v>0</v>
      </c>
      <c r="L85" s="32">
        <f t="shared" si="29"/>
        <v>56092</v>
      </c>
      <c r="M85" s="32">
        <f>IF(AND(AND(T84="",A85&lt;=S84),A85=入力!$B$15),ROUND(MIN(入力!$B$16,MAX(0,C85-L85)),0),0)</f>
        <v>0</v>
      </c>
      <c r="N85" s="32">
        <f t="shared" si="30"/>
        <v>29409308</v>
      </c>
      <c r="O85" s="32">
        <f t="shared" si="31"/>
        <v>2397788</v>
      </c>
      <c r="P85" s="34" t="str">
        <f>IF(NOT(AND(T84="",A85&lt;=S84)),"",IF(A85=入力!$B$15+1,"繰上返済後再計算","")&amp;IF(AND(入力!$B$13="有効",A85&gt;1,MOD(A85-1,60)=0),IF(A85=入力!$B$15+1,"・","")&amp;"5年見直し","")&amp;IF(AND(A85=入力!$B$11,A85&gt;1),IF(OR(A85=入力!$B$15+1,AND(入力!$B$13="有効",A85&gt;1,MOD(A85-1,60)=0)),"・","")&amp;"金利変更","")&amp;IF(AND(OR(AND(入力!$B$13="有効",A85&gt;1,MOD(A85-1,60)=0),AND(A85=入力!$B$11,A85&gt;1)),入力!$B$14="有効",IF(E85=0,ROUND(C85/MAX(1,S84-A85+1),0),ROUND(-PMT(E85/12,MAX(1,S84-A85+1),C85),0))&gt;ROUND(G84*1.25,0),NOT(A85=入力!$B$15+1)),"・上限適用",""))</f>
        <v/>
      </c>
      <c r="Q85" s="35" t="str">
        <f>IF(AND(T84="",A85&lt;=S84),入力!$B$13,"")</f>
        <v>有効</v>
      </c>
      <c r="R85" s="32" t="str">
        <f>IF(AND(AND(T84="",A85&lt;=S84),OR(AND(入力!$B$13="有効",A85&gt;1,MOD(A85-1,60)=0),AND(A85=入力!$B$11,A85&gt;1)),入力!$B$14="有効"),ROUND(G84*1.25,0),"")</f>
        <v/>
      </c>
      <c r="S85" s="36">
        <f t="shared" si="32"/>
        <v>420</v>
      </c>
      <c r="T85" s="35" t="str">
        <f t="shared" si="33"/>
        <v/>
      </c>
      <c r="U85" s="3">
        <f t="shared" si="17"/>
        <v>0</v>
      </c>
      <c r="V85" s="3">
        <f t="shared" si="18"/>
        <v>0</v>
      </c>
      <c r="W85" s="3">
        <f t="shared" si="19"/>
        <v>0</v>
      </c>
      <c r="X85" s="3">
        <f t="shared" si="20"/>
        <v>0</v>
      </c>
      <c r="Y85" s="3">
        <f>0</f>
        <v>0</v>
      </c>
      <c r="Z85" s="3">
        <f t="shared" si="21"/>
        <v>0</v>
      </c>
      <c r="AA85">
        <f>ROUND(IF(A85=入力!$B$15+1,IF(E85=0,ROUND(C85/MAX(1,S84-A85+1),0),ROUND(-PMT(E85/12,MAX(1,S84-A85+1)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,0)</f>
        <v>117478</v>
      </c>
    </row>
    <row r="86" spans="1:27">
      <c r="A86" s="30">
        <f>81</f>
        <v>81</v>
      </c>
      <c r="B86" s="31">
        <f>EDATE(入力!$B$6,A86-1)</f>
        <v>48670</v>
      </c>
      <c r="C86" s="32">
        <f t="shared" si="22"/>
        <v>29409308</v>
      </c>
      <c r="D86" s="32">
        <f t="shared" si="23"/>
        <v>0</v>
      </c>
      <c r="E86" s="33">
        <f>IF(AND(T85="",A86&lt;=S85),IF(A86&lt;入力!$B$11,入力!$B$10,入力!$B$12),0)</f>
        <v>2.5000000000000001E-2</v>
      </c>
      <c r="F86" s="32">
        <f t="shared" si="24"/>
        <v>61269</v>
      </c>
      <c r="G86" s="32">
        <f>ROUND(IF(NOT(AND(T85="",A86&lt;=S85)),0,IF(A86=入力!$B$15+1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),0)</f>
        <v>117478</v>
      </c>
      <c r="H86" s="32">
        <f t="shared" si="25"/>
        <v>117478</v>
      </c>
      <c r="I86" s="32">
        <f t="shared" si="26"/>
        <v>61269</v>
      </c>
      <c r="J86" s="32">
        <f t="shared" si="27"/>
        <v>0</v>
      </c>
      <c r="K86" s="32">
        <f t="shared" si="28"/>
        <v>0</v>
      </c>
      <c r="L86" s="32">
        <f t="shared" si="29"/>
        <v>56209</v>
      </c>
      <c r="M86" s="32">
        <f>IF(AND(AND(T85="",A86&lt;=S85),A86=入力!$B$15),ROUND(MIN(入力!$B$16,MAX(0,C86-L86)),0),0)</f>
        <v>0</v>
      </c>
      <c r="N86" s="32">
        <f t="shared" si="30"/>
        <v>29353099</v>
      </c>
      <c r="O86" s="32">
        <f t="shared" si="31"/>
        <v>2459057</v>
      </c>
      <c r="P86" s="34" t="str">
        <f>IF(NOT(AND(T85="",A86&lt;=S85)),"",IF(A86=入力!$B$15+1,"繰上返済後再計算","")&amp;IF(AND(入力!$B$13="有効",A86&gt;1,MOD(A86-1,60)=0),IF(A86=入力!$B$15+1,"・","")&amp;"5年見直し","")&amp;IF(AND(A86=入力!$B$11,A86&gt;1),IF(OR(A86=入力!$B$15+1,AND(入力!$B$13="有効",A86&gt;1,MOD(A86-1,60)=0)),"・","")&amp;"金利変更","")&amp;IF(AND(OR(AND(入力!$B$13="有効",A86&gt;1,MOD(A86-1,60)=0),AND(A86=入力!$B$11,A86&gt;1)),入力!$B$14="有効",IF(E86=0,ROUND(C86/MAX(1,S85-A86+1),0),ROUND(-PMT(E86/12,MAX(1,S85-A86+1),C86),0))&gt;ROUND(G85*1.25,0),NOT(A86=入力!$B$15+1)),"・上限適用",""))</f>
        <v/>
      </c>
      <c r="Q86" s="35" t="str">
        <f>IF(AND(T85="",A86&lt;=S85),入力!$B$13,"")</f>
        <v>有効</v>
      </c>
      <c r="R86" s="32" t="str">
        <f>IF(AND(AND(T85="",A86&lt;=S85),OR(AND(入力!$B$13="有効",A86&gt;1,MOD(A86-1,60)=0),AND(A86=入力!$B$11,A86&gt;1)),入力!$B$14="有効"),ROUND(G85*1.25,0),"")</f>
        <v/>
      </c>
      <c r="S86" s="36">
        <f t="shared" si="32"/>
        <v>420</v>
      </c>
      <c r="T86" s="35" t="str">
        <f t="shared" si="33"/>
        <v/>
      </c>
      <c r="U86" s="3">
        <f t="shared" si="17"/>
        <v>0</v>
      </c>
      <c r="V86" s="3">
        <f t="shared" si="18"/>
        <v>0</v>
      </c>
      <c r="W86" s="3">
        <f t="shared" si="19"/>
        <v>0</v>
      </c>
      <c r="X86" s="3">
        <f t="shared" si="20"/>
        <v>0</v>
      </c>
      <c r="Y86" s="3">
        <f>0</f>
        <v>0</v>
      </c>
      <c r="Z86" s="3">
        <f t="shared" si="21"/>
        <v>0</v>
      </c>
      <c r="AA86">
        <f>ROUND(IF(A86=入力!$B$15+1,IF(E86=0,ROUND(C86/MAX(1,S85-A86+1),0),ROUND(-PMT(E86/12,MAX(1,S85-A86+1)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,0)</f>
        <v>117478</v>
      </c>
    </row>
    <row r="87" spans="1:27">
      <c r="A87" s="30">
        <f>82</f>
        <v>82</v>
      </c>
      <c r="B87" s="31">
        <f>EDATE(入力!$B$6,A87-1)</f>
        <v>48700</v>
      </c>
      <c r="C87" s="32">
        <f t="shared" si="22"/>
        <v>29353099</v>
      </c>
      <c r="D87" s="32">
        <f t="shared" si="23"/>
        <v>0</v>
      </c>
      <c r="E87" s="33">
        <f>IF(AND(T86="",A87&lt;=S86),IF(A87&lt;入力!$B$11,入力!$B$10,入力!$B$12),0)</f>
        <v>2.5000000000000001E-2</v>
      </c>
      <c r="F87" s="32">
        <f t="shared" si="24"/>
        <v>61152</v>
      </c>
      <c r="G87" s="32">
        <f>ROUND(IF(NOT(AND(T86="",A87&lt;=S86)),0,IF(A87=入力!$B$15+1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),0)</f>
        <v>117478</v>
      </c>
      <c r="H87" s="32">
        <f t="shared" si="25"/>
        <v>117478</v>
      </c>
      <c r="I87" s="32">
        <f t="shared" si="26"/>
        <v>61152</v>
      </c>
      <c r="J87" s="32">
        <f t="shared" si="27"/>
        <v>0</v>
      </c>
      <c r="K87" s="32">
        <f t="shared" si="28"/>
        <v>0</v>
      </c>
      <c r="L87" s="32">
        <f t="shared" si="29"/>
        <v>56326</v>
      </c>
      <c r="M87" s="32">
        <f>IF(AND(AND(T86="",A87&lt;=S86),A87=入力!$B$15),ROUND(MIN(入力!$B$16,MAX(0,C87-L87)),0),0)</f>
        <v>0</v>
      </c>
      <c r="N87" s="32">
        <f t="shared" si="30"/>
        <v>29296773</v>
      </c>
      <c r="O87" s="32">
        <f t="shared" si="31"/>
        <v>2520209</v>
      </c>
      <c r="P87" s="34" t="str">
        <f>IF(NOT(AND(T86="",A87&lt;=S86)),"",IF(A87=入力!$B$15+1,"繰上返済後再計算","")&amp;IF(AND(入力!$B$13="有効",A87&gt;1,MOD(A87-1,60)=0),IF(A87=入力!$B$15+1,"・","")&amp;"5年見直し","")&amp;IF(AND(A87=入力!$B$11,A87&gt;1),IF(OR(A87=入力!$B$15+1,AND(入力!$B$13="有効",A87&gt;1,MOD(A87-1,60)=0)),"・","")&amp;"金利変更","")&amp;IF(AND(OR(AND(入力!$B$13="有効",A87&gt;1,MOD(A87-1,60)=0),AND(A87=入力!$B$11,A87&gt;1)),入力!$B$14="有効",IF(E87=0,ROUND(C87/MAX(1,S86-A87+1),0),ROUND(-PMT(E87/12,MAX(1,S86-A87+1),C87),0))&gt;ROUND(G86*1.25,0),NOT(A87=入力!$B$15+1)),"・上限適用",""))</f>
        <v/>
      </c>
      <c r="Q87" s="35" t="str">
        <f>IF(AND(T86="",A87&lt;=S86),入力!$B$13,"")</f>
        <v>有効</v>
      </c>
      <c r="R87" s="32" t="str">
        <f>IF(AND(AND(T86="",A87&lt;=S86),OR(AND(入力!$B$13="有効",A87&gt;1,MOD(A87-1,60)=0),AND(A87=入力!$B$11,A87&gt;1)),入力!$B$14="有効"),ROUND(G86*1.25,0),"")</f>
        <v/>
      </c>
      <c r="S87" s="36">
        <f t="shared" si="32"/>
        <v>420</v>
      </c>
      <c r="T87" s="35" t="str">
        <f t="shared" si="33"/>
        <v/>
      </c>
      <c r="U87" s="3">
        <f t="shared" si="17"/>
        <v>0</v>
      </c>
      <c r="V87" s="3">
        <f t="shared" si="18"/>
        <v>0</v>
      </c>
      <c r="W87" s="3">
        <f t="shared" si="19"/>
        <v>0</v>
      </c>
      <c r="X87" s="3">
        <f t="shared" si="20"/>
        <v>0</v>
      </c>
      <c r="Y87" s="3">
        <f>0</f>
        <v>0</v>
      </c>
      <c r="Z87" s="3">
        <f t="shared" si="21"/>
        <v>0</v>
      </c>
      <c r="AA87">
        <f>ROUND(IF(A87=入力!$B$15+1,IF(E87=0,ROUND(C87/MAX(1,S86-A87+1),0),ROUND(-PMT(E87/12,MAX(1,S86-A87+1)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,0)</f>
        <v>117478</v>
      </c>
    </row>
    <row r="88" spans="1:27">
      <c r="A88" s="30">
        <f>83</f>
        <v>83</v>
      </c>
      <c r="B88" s="31">
        <f>EDATE(入力!$B$6,A88-1)</f>
        <v>48731</v>
      </c>
      <c r="C88" s="32">
        <f t="shared" si="22"/>
        <v>29296773</v>
      </c>
      <c r="D88" s="32">
        <f t="shared" si="23"/>
        <v>0</v>
      </c>
      <c r="E88" s="33">
        <f>IF(AND(T87="",A88&lt;=S87),IF(A88&lt;入力!$B$11,入力!$B$10,入力!$B$12),0)</f>
        <v>2.5000000000000001E-2</v>
      </c>
      <c r="F88" s="32">
        <f t="shared" si="24"/>
        <v>61035</v>
      </c>
      <c r="G88" s="32">
        <f>ROUND(IF(NOT(AND(T87="",A88&lt;=S87)),0,IF(A88=入力!$B$15+1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),0)</f>
        <v>117478</v>
      </c>
      <c r="H88" s="32">
        <f t="shared" si="25"/>
        <v>117478</v>
      </c>
      <c r="I88" s="32">
        <f t="shared" si="26"/>
        <v>61035</v>
      </c>
      <c r="J88" s="32">
        <f t="shared" si="27"/>
        <v>0</v>
      </c>
      <c r="K88" s="32">
        <f t="shared" si="28"/>
        <v>0</v>
      </c>
      <c r="L88" s="32">
        <f t="shared" si="29"/>
        <v>56443</v>
      </c>
      <c r="M88" s="32">
        <f>IF(AND(AND(T87="",A88&lt;=S87),A88=入力!$B$15),ROUND(MIN(入力!$B$16,MAX(0,C88-L88)),0),0)</f>
        <v>0</v>
      </c>
      <c r="N88" s="32">
        <f t="shared" si="30"/>
        <v>29240330</v>
      </c>
      <c r="O88" s="32">
        <f t="shared" si="31"/>
        <v>2581244</v>
      </c>
      <c r="P88" s="34" t="str">
        <f>IF(NOT(AND(T87="",A88&lt;=S87)),"",IF(A88=入力!$B$15+1,"繰上返済後再計算","")&amp;IF(AND(入力!$B$13="有効",A88&gt;1,MOD(A88-1,60)=0),IF(A88=入力!$B$15+1,"・","")&amp;"5年見直し","")&amp;IF(AND(A88=入力!$B$11,A88&gt;1),IF(OR(A88=入力!$B$15+1,AND(入力!$B$13="有効",A88&gt;1,MOD(A88-1,60)=0)),"・","")&amp;"金利変更","")&amp;IF(AND(OR(AND(入力!$B$13="有効",A88&gt;1,MOD(A88-1,60)=0),AND(A88=入力!$B$11,A88&gt;1)),入力!$B$14="有効",IF(E88=0,ROUND(C88/MAX(1,S87-A88+1),0),ROUND(-PMT(E88/12,MAX(1,S87-A88+1),C88),0))&gt;ROUND(G87*1.25,0),NOT(A88=入力!$B$15+1)),"・上限適用",""))</f>
        <v/>
      </c>
      <c r="Q88" s="35" t="str">
        <f>IF(AND(T87="",A88&lt;=S87),入力!$B$13,"")</f>
        <v>有効</v>
      </c>
      <c r="R88" s="32" t="str">
        <f>IF(AND(AND(T87="",A88&lt;=S87),OR(AND(入力!$B$13="有効",A88&gt;1,MOD(A88-1,60)=0),AND(A88=入力!$B$11,A88&gt;1)),入力!$B$14="有効"),ROUND(G87*1.25,0),"")</f>
        <v/>
      </c>
      <c r="S88" s="36">
        <f t="shared" si="32"/>
        <v>420</v>
      </c>
      <c r="T88" s="35" t="str">
        <f t="shared" si="33"/>
        <v/>
      </c>
      <c r="U88" s="3">
        <f t="shared" si="17"/>
        <v>0</v>
      </c>
      <c r="V88" s="3">
        <f t="shared" si="18"/>
        <v>0</v>
      </c>
      <c r="W88" s="3">
        <f t="shared" si="19"/>
        <v>0</v>
      </c>
      <c r="X88" s="3">
        <f t="shared" si="20"/>
        <v>0</v>
      </c>
      <c r="Y88" s="3">
        <f>0</f>
        <v>0</v>
      </c>
      <c r="Z88" s="3">
        <f t="shared" si="21"/>
        <v>0</v>
      </c>
      <c r="AA88">
        <f>ROUND(IF(A88=入力!$B$15+1,IF(E88=0,ROUND(C88/MAX(1,S87-A88+1),0),ROUND(-PMT(E88/12,MAX(1,S87-A88+1)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,0)</f>
        <v>117478</v>
      </c>
    </row>
    <row r="89" spans="1:27">
      <c r="A89" s="30">
        <f>84</f>
        <v>84</v>
      </c>
      <c r="B89" s="31">
        <f>EDATE(入力!$B$6,A89-1)</f>
        <v>48761</v>
      </c>
      <c r="C89" s="32">
        <f t="shared" si="22"/>
        <v>29240330</v>
      </c>
      <c r="D89" s="32">
        <f t="shared" si="23"/>
        <v>0</v>
      </c>
      <c r="E89" s="33">
        <f>IF(AND(T88="",A89&lt;=S88),IF(A89&lt;入力!$B$11,入力!$B$10,入力!$B$12),0)</f>
        <v>2.5000000000000001E-2</v>
      </c>
      <c r="F89" s="32">
        <f t="shared" si="24"/>
        <v>60917</v>
      </c>
      <c r="G89" s="32">
        <f>ROUND(IF(NOT(AND(T88="",A89&lt;=S88)),0,IF(A89=入力!$B$15+1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),0)</f>
        <v>117478</v>
      </c>
      <c r="H89" s="32">
        <f t="shared" si="25"/>
        <v>117478</v>
      </c>
      <c r="I89" s="32">
        <f t="shared" si="26"/>
        <v>60917</v>
      </c>
      <c r="J89" s="32">
        <f t="shared" si="27"/>
        <v>0</v>
      </c>
      <c r="K89" s="32">
        <f t="shared" si="28"/>
        <v>0</v>
      </c>
      <c r="L89" s="32">
        <f t="shared" si="29"/>
        <v>56561</v>
      </c>
      <c r="M89" s="32">
        <f>IF(AND(AND(T88="",A89&lt;=S88),A89=入力!$B$15),ROUND(MIN(入力!$B$16,MAX(0,C89-L89)),0),0)</f>
        <v>0</v>
      </c>
      <c r="N89" s="32">
        <f t="shared" si="30"/>
        <v>29183769</v>
      </c>
      <c r="O89" s="32">
        <f t="shared" si="31"/>
        <v>2642161</v>
      </c>
      <c r="P89" s="34" t="str">
        <f>IF(NOT(AND(T88="",A89&lt;=S88)),"",IF(A89=入力!$B$15+1,"繰上返済後再計算","")&amp;IF(AND(入力!$B$13="有効",A89&gt;1,MOD(A89-1,60)=0),IF(A89=入力!$B$15+1,"・","")&amp;"5年見直し","")&amp;IF(AND(A89=入力!$B$11,A89&gt;1),IF(OR(A89=入力!$B$15+1,AND(入力!$B$13="有効",A89&gt;1,MOD(A89-1,60)=0)),"・","")&amp;"金利変更","")&amp;IF(AND(OR(AND(入力!$B$13="有効",A89&gt;1,MOD(A89-1,60)=0),AND(A89=入力!$B$11,A89&gt;1)),入力!$B$14="有効",IF(E89=0,ROUND(C89/MAX(1,S88-A89+1),0),ROUND(-PMT(E89/12,MAX(1,S88-A89+1),C89),0))&gt;ROUND(G88*1.25,0),NOT(A89=入力!$B$15+1)),"・上限適用",""))</f>
        <v/>
      </c>
      <c r="Q89" s="35" t="str">
        <f>IF(AND(T88="",A89&lt;=S88),入力!$B$13,"")</f>
        <v>有効</v>
      </c>
      <c r="R89" s="32" t="str">
        <f>IF(AND(AND(T88="",A89&lt;=S88),OR(AND(入力!$B$13="有効",A89&gt;1,MOD(A89-1,60)=0),AND(A89=入力!$B$11,A89&gt;1)),入力!$B$14="有効"),ROUND(G88*1.25,0),"")</f>
        <v/>
      </c>
      <c r="S89" s="36">
        <f t="shared" si="32"/>
        <v>420</v>
      </c>
      <c r="T89" s="35" t="str">
        <f t="shared" si="33"/>
        <v/>
      </c>
      <c r="U89" s="3">
        <f t="shared" si="17"/>
        <v>0</v>
      </c>
      <c r="V89" s="3">
        <f t="shared" si="18"/>
        <v>0</v>
      </c>
      <c r="W89" s="3">
        <f t="shared" si="19"/>
        <v>0</v>
      </c>
      <c r="X89" s="3">
        <f t="shared" si="20"/>
        <v>0</v>
      </c>
      <c r="Y89" s="3">
        <f>0</f>
        <v>0</v>
      </c>
      <c r="Z89" s="3">
        <f t="shared" si="21"/>
        <v>0</v>
      </c>
      <c r="AA89">
        <f>ROUND(IF(A89=入力!$B$15+1,IF(E89=0,ROUND(C89/MAX(1,S88-A89+1),0),ROUND(-PMT(E89/12,MAX(1,S88-A89+1)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,0)</f>
        <v>117478</v>
      </c>
    </row>
    <row r="90" spans="1:27">
      <c r="A90" s="30">
        <f>85</f>
        <v>85</v>
      </c>
      <c r="B90" s="31">
        <f>EDATE(入力!$B$6,A90-1)</f>
        <v>48792</v>
      </c>
      <c r="C90" s="32">
        <f t="shared" si="22"/>
        <v>29183769</v>
      </c>
      <c r="D90" s="32">
        <f t="shared" si="23"/>
        <v>0</v>
      </c>
      <c r="E90" s="33">
        <f>IF(AND(T89="",A90&lt;=S89),IF(A90&lt;入力!$B$11,入力!$B$10,入力!$B$12),0)</f>
        <v>2.5000000000000001E-2</v>
      </c>
      <c r="F90" s="32">
        <f t="shared" si="24"/>
        <v>60800</v>
      </c>
      <c r="G90" s="32">
        <f>ROUND(IF(NOT(AND(T89="",A90&lt;=S89)),0,IF(A90=入力!$B$15+1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),0)</f>
        <v>117478</v>
      </c>
      <c r="H90" s="32">
        <f t="shared" si="25"/>
        <v>117478</v>
      </c>
      <c r="I90" s="32">
        <f t="shared" si="26"/>
        <v>60800</v>
      </c>
      <c r="J90" s="32">
        <f t="shared" si="27"/>
        <v>0</v>
      </c>
      <c r="K90" s="32">
        <f t="shared" si="28"/>
        <v>0</v>
      </c>
      <c r="L90" s="32">
        <f t="shared" si="29"/>
        <v>56678</v>
      </c>
      <c r="M90" s="32">
        <f>IF(AND(AND(T89="",A90&lt;=S89),A90=入力!$B$15),ROUND(MIN(入力!$B$16,MAX(0,C90-L90)),0),0)</f>
        <v>0</v>
      </c>
      <c r="N90" s="32">
        <f t="shared" si="30"/>
        <v>29127091</v>
      </c>
      <c r="O90" s="32">
        <f t="shared" si="31"/>
        <v>2702961</v>
      </c>
      <c r="P90" s="34" t="str">
        <f>IF(NOT(AND(T89="",A90&lt;=S89)),"",IF(A90=入力!$B$15+1,"繰上返済後再計算","")&amp;IF(AND(入力!$B$13="有効",A90&gt;1,MOD(A90-1,60)=0),IF(A90=入力!$B$15+1,"・","")&amp;"5年見直し","")&amp;IF(AND(A90=入力!$B$11,A90&gt;1),IF(OR(A90=入力!$B$15+1,AND(入力!$B$13="有効",A90&gt;1,MOD(A90-1,60)=0)),"・","")&amp;"金利変更","")&amp;IF(AND(OR(AND(入力!$B$13="有効",A90&gt;1,MOD(A90-1,60)=0),AND(A90=入力!$B$11,A90&gt;1)),入力!$B$14="有効",IF(E90=0,ROUND(C90/MAX(1,S89-A90+1),0),ROUND(-PMT(E90/12,MAX(1,S89-A90+1),C90),0))&gt;ROUND(G89*1.25,0),NOT(A90=入力!$B$15+1)),"・上限適用",""))</f>
        <v/>
      </c>
      <c r="Q90" s="35" t="str">
        <f>IF(AND(T89="",A90&lt;=S89),入力!$B$13,"")</f>
        <v>有効</v>
      </c>
      <c r="R90" s="32" t="str">
        <f>IF(AND(AND(T89="",A90&lt;=S89),OR(AND(入力!$B$13="有効",A90&gt;1,MOD(A90-1,60)=0),AND(A90=入力!$B$11,A90&gt;1)),入力!$B$14="有効"),ROUND(G89*1.25,0),"")</f>
        <v/>
      </c>
      <c r="S90" s="36">
        <f t="shared" si="32"/>
        <v>420</v>
      </c>
      <c r="T90" s="35" t="str">
        <f t="shared" si="33"/>
        <v/>
      </c>
      <c r="U90" s="3">
        <f t="shared" si="17"/>
        <v>0</v>
      </c>
      <c r="V90" s="3">
        <f t="shared" si="18"/>
        <v>0</v>
      </c>
      <c r="W90" s="3">
        <f t="shared" si="19"/>
        <v>0</v>
      </c>
      <c r="X90" s="3">
        <f t="shared" si="20"/>
        <v>0</v>
      </c>
      <c r="Y90" s="3">
        <f>0</f>
        <v>0</v>
      </c>
      <c r="Z90" s="3">
        <f t="shared" si="21"/>
        <v>0</v>
      </c>
      <c r="AA90">
        <f>ROUND(IF(A90=入力!$B$15+1,IF(E90=0,ROUND(C90/MAX(1,S89-A90+1),0),ROUND(-PMT(E90/12,MAX(1,S89-A90+1)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,0)</f>
        <v>117478</v>
      </c>
    </row>
    <row r="91" spans="1:27">
      <c r="A91" s="30">
        <f>86</f>
        <v>86</v>
      </c>
      <c r="B91" s="31">
        <f>EDATE(入力!$B$6,A91-1)</f>
        <v>48823</v>
      </c>
      <c r="C91" s="32">
        <f t="shared" si="22"/>
        <v>29127091</v>
      </c>
      <c r="D91" s="32">
        <f t="shared" si="23"/>
        <v>0</v>
      </c>
      <c r="E91" s="33">
        <f>IF(AND(T90="",A91&lt;=S90),IF(A91&lt;入力!$B$11,入力!$B$10,入力!$B$12),0)</f>
        <v>2.5000000000000001E-2</v>
      </c>
      <c r="F91" s="32">
        <f t="shared" si="24"/>
        <v>60681</v>
      </c>
      <c r="G91" s="32">
        <f>ROUND(IF(NOT(AND(T90="",A91&lt;=S90)),0,IF(A91=入力!$B$15+1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),0)</f>
        <v>117478</v>
      </c>
      <c r="H91" s="32">
        <f t="shared" si="25"/>
        <v>117478</v>
      </c>
      <c r="I91" s="32">
        <f t="shared" si="26"/>
        <v>60681</v>
      </c>
      <c r="J91" s="32">
        <f t="shared" si="27"/>
        <v>0</v>
      </c>
      <c r="K91" s="32">
        <f t="shared" si="28"/>
        <v>0</v>
      </c>
      <c r="L91" s="32">
        <f t="shared" si="29"/>
        <v>56797</v>
      </c>
      <c r="M91" s="32">
        <f>IF(AND(AND(T90="",A91&lt;=S90),A91=入力!$B$15),ROUND(MIN(入力!$B$16,MAX(0,C91-L91)),0),0)</f>
        <v>0</v>
      </c>
      <c r="N91" s="32">
        <f t="shared" si="30"/>
        <v>29070294</v>
      </c>
      <c r="O91" s="32">
        <f t="shared" si="31"/>
        <v>2763642</v>
      </c>
      <c r="P91" s="34" t="str">
        <f>IF(NOT(AND(T90="",A91&lt;=S90)),"",IF(A91=入力!$B$15+1,"繰上返済後再計算","")&amp;IF(AND(入力!$B$13="有効",A91&gt;1,MOD(A91-1,60)=0),IF(A91=入力!$B$15+1,"・","")&amp;"5年見直し","")&amp;IF(AND(A91=入力!$B$11,A91&gt;1),IF(OR(A91=入力!$B$15+1,AND(入力!$B$13="有効",A91&gt;1,MOD(A91-1,60)=0)),"・","")&amp;"金利変更","")&amp;IF(AND(OR(AND(入力!$B$13="有効",A91&gt;1,MOD(A91-1,60)=0),AND(A91=入力!$B$11,A91&gt;1)),入力!$B$14="有効",IF(E91=0,ROUND(C91/MAX(1,S90-A91+1),0),ROUND(-PMT(E91/12,MAX(1,S90-A91+1),C91),0))&gt;ROUND(G90*1.25,0),NOT(A91=入力!$B$15+1)),"・上限適用",""))</f>
        <v/>
      </c>
      <c r="Q91" s="35" t="str">
        <f>IF(AND(T90="",A91&lt;=S90),入力!$B$13,"")</f>
        <v>有効</v>
      </c>
      <c r="R91" s="32" t="str">
        <f>IF(AND(AND(T90="",A91&lt;=S90),OR(AND(入力!$B$13="有効",A91&gt;1,MOD(A91-1,60)=0),AND(A91=入力!$B$11,A91&gt;1)),入力!$B$14="有効"),ROUND(G90*1.25,0),"")</f>
        <v/>
      </c>
      <c r="S91" s="36">
        <f t="shared" si="32"/>
        <v>420</v>
      </c>
      <c r="T91" s="35" t="str">
        <f t="shared" si="33"/>
        <v/>
      </c>
      <c r="U91" s="3">
        <f t="shared" si="17"/>
        <v>0</v>
      </c>
      <c r="V91" s="3">
        <f t="shared" si="18"/>
        <v>0</v>
      </c>
      <c r="W91" s="3">
        <f t="shared" si="19"/>
        <v>0</v>
      </c>
      <c r="X91" s="3">
        <f t="shared" si="20"/>
        <v>0</v>
      </c>
      <c r="Y91" s="3">
        <f>0</f>
        <v>0</v>
      </c>
      <c r="Z91" s="3">
        <f t="shared" si="21"/>
        <v>0</v>
      </c>
      <c r="AA91">
        <f>ROUND(IF(A91=入力!$B$15+1,IF(E91=0,ROUND(C91/MAX(1,S90-A91+1),0),ROUND(-PMT(E91/12,MAX(1,S90-A91+1)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,0)</f>
        <v>117478</v>
      </c>
    </row>
    <row r="92" spans="1:27">
      <c r="A92" s="30">
        <f>87</f>
        <v>87</v>
      </c>
      <c r="B92" s="31">
        <f>EDATE(入力!$B$6,A92-1)</f>
        <v>48853</v>
      </c>
      <c r="C92" s="32">
        <f t="shared" si="22"/>
        <v>29070294</v>
      </c>
      <c r="D92" s="32">
        <f t="shared" si="23"/>
        <v>0</v>
      </c>
      <c r="E92" s="33">
        <f>IF(AND(T91="",A92&lt;=S91),IF(A92&lt;入力!$B$11,入力!$B$10,入力!$B$12),0)</f>
        <v>2.5000000000000001E-2</v>
      </c>
      <c r="F92" s="32">
        <f t="shared" si="24"/>
        <v>60563</v>
      </c>
      <c r="G92" s="32">
        <f>ROUND(IF(NOT(AND(T91="",A92&lt;=S91)),0,IF(A92=入力!$B$15+1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),0)</f>
        <v>117478</v>
      </c>
      <c r="H92" s="32">
        <f t="shared" si="25"/>
        <v>117478</v>
      </c>
      <c r="I92" s="32">
        <f t="shared" si="26"/>
        <v>60563</v>
      </c>
      <c r="J92" s="32">
        <f t="shared" si="27"/>
        <v>0</v>
      </c>
      <c r="K92" s="32">
        <f t="shared" si="28"/>
        <v>0</v>
      </c>
      <c r="L92" s="32">
        <f t="shared" si="29"/>
        <v>56915</v>
      </c>
      <c r="M92" s="32">
        <f>IF(AND(AND(T91="",A92&lt;=S91),A92=入力!$B$15),ROUND(MIN(入力!$B$16,MAX(0,C92-L92)),0),0)</f>
        <v>0</v>
      </c>
      <c r="N92" s="32">
        <f t="shared" si="30"/>
        <v>29013379</v>
      </c>
      <c r="O92" s="32">
        <f t="shared" si="31"/>
        <v>2824205</v>
      </c>
      <c r="P92" s="34" t="str">
        <f>IF(NOT(AND(T91="",A92&lt;=S91)),"",IF(A92=入力!$B$15+1,"繰上返済後再計算","")&amp;IF(AND(入力!$B$13="有効",A92&gt;1,MOD(A92-1,60)=0),IF(A92=入力!$B$15+1,"・","")&amp;"5年見直し","")&amp;IF(AND(A92=入力!$B$11,A92&gt;1),IF(OR(A92=入力!$B$15+1,AND(入力!$B$13="有効",A92&gt;1,MOD(A92-1,60)=0)),"・","")&amp;"金利変更","")&amp;IF(AND(OR(AND(入力!$B$13="有効",A92&gt;1,MOD(A92-1,60)=0),AND(A92=入力!$B$11,A92&gt;1)),入力!$B$14="有効",IF(E92=0,ROUND(C92/MAX(1,S91-A92+1),0),ROUND(-PMT(E92/12,MAX(1,S91-A92+1),C92),0))&gt;ROUND(G91*1.25,0),NOT(A92=入力!$B$15+1)),"・上限適用",""))</f>
        <v/>
      </c>
      <c r="Q92" s="35" t="str">
        <f>IF(AND(T91="",A92&lt;=S91),入力!$B$13,"")</f>
        <v>有効</v>
      </c>
      <c r="R92" s="32" t="str">
        <f>IF(AND(AND(T91="",A92&lt;=S91),OR(AND(入力!$B$13="有効",A92&gt;1,MOD(A92-1,60)=0),AND(A92=入力!$B$11,A92&gt;1)),入力!$B$14="有効"),ROUND(G91*1.25,0),"")</f>
        <v/>
      </c>
      <c r="S92" s="36">
        <f t="shared" si="32"/>
        <v>420</v>
      </c>
      <c r="T92" s="35" t="str">
        <f t="shared" si="33"/>
        <v/>
      </c>
      <c r="U92" s="3">
        <f t="shared" si="17"/>
        <v>0</v>
      </c>
      <c r="V92" s="3">
        <f t="shared" si="18"/>
        <v>0</v>
      </c>
      <c r="W92" s="3">
        <f t="shared" si="19"/>
        <v>0</v>
      </c>
      <c r="X92" s="3">
        <f t="shared" si="20"/>
        <v>0</v>
      </c>
      <c r="Y92" s="3">
        <f>0</f>
        <v>0</v>
      </c>
      <c r="Z92" s="3">
        <f t="shared" si="21"/>
        <v>0</v>
      </c>
      <c r="AA92">
        <f>ROUND(IF(A92=入力!$B$15+1,IF(E92=0,ROUND(C92/MAX(1,S91-A92+1),0),ROUND(-PMT(E92/12,MAX(1,S91-A92+1)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,0)</f>
        <v>117478</v>
      </c>
    </row>
    <row r="93" spans="1:27">
      <c r="A93" s="30">
        <f>88</f>
        <v>88</v>
      </c>
      <c r="B93" s="31">
        <f>EDATE(入力!$B$6,A93-1)</f>
        <v>48884</v>
      </c>
      <c r="C93" s="32">
        <f t="shared" si="22"/>
        <v>29013379</v>
      </c>
      <c r="D93" s="32">
        <f t="shared" si="23"/>
        <v>0</v>
      </c>
      <c r="E93" s="33">
        <f>IF(AND(T92="",A93&lt;=S92),IF(A93&lt;入力!$B$11,入力!$B$10,入力!$B$12),0)</f>
        <v>2.5000000000000001E-2</v>
      </c>
      <c r="F93" s="32">
        <f t="shared" si="24"/>
        <v>60445</v>
      </c>
      <c r="G93" s="32">
        <f>ROUND(IF(NOT(AND(T92="",A93&lt;=S92)),0,IF(A93=入力!$B$15+1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),0)</f>
        <v>117478</v>
      </c>
      <c r="H93" s="32">
        <f t="shared" si="25"/>
        <v>117478</v>
      </c>
      <c r="I93" s="32">
        <f t="shared" si="26"/>
        <v>60445</v>
      </c>
      <c r="J93" s="32">
        <f t="shared" si="27"/>
        <v>0</v>
      </c>
      <c r="K93" s="32">
        <f t="shared" si="28"/>
        <v>0</v>
      </c>
      <c r="L93" s="32">
        <f t="shared" si="29"/>
        <v>57033</v>
      </c>
      <c r="M93" s="32">
        <f>IF(AND(AND(T92="",A93&lt;=S92),A93=入力!$B$15),ROUND(MIN(入力!$B$16,MAX(0,C93-L93)),0),0)</f>
        <v>0</v>
      </c>
      <c r="N93" s="32">
        <f t="shared" si="30"/>
        <v>28956346</v>
      </c>
      <c r="O93" s="32">
        <f t="shared" si="31"/>
        <v>2884650</v>
      </c>
      <c r="P93" s="34" t="str">
        <f>IF(NOT(AND(T92="",A93&lt;=S92)),"",IF(A93=入力!$B$15+1,"繰上返済後再計算","")&amp;IF(AND(入力!$B$13="有効",A93&gt;1,MOD(A93-1,60)=0),IF(A93=入力!$B$15+1,"・","")&amp;"5年見直し","")&amp;IF(AND(A93=入力!$B$11,A93&gt;1),IF(OR(A93=入力!$B$15+1,AND(入力!$B$13="有効",A93&gt;1,MOD(A93-1,60)=0)),"・","")&amp;"金利変更","")&amp;IF(AND(OR(AND(入力!$B$13="有効",A93&gt;1,MOD(A93-1,60)=0),AND(A93=入力!$B$11,A93&gt;1)),入力!$B$14="有効",IF(E93=0,ROUND(C93/MAX(1,S92-A93+1),0),ROUND(-PMT(E93/12,MAX(1,S92-A93+1),C93),0))&gt;ROUND(G92*1.25,0),NOT(A93=入力!$B$15+1)),"・上限適用",""))</f>
        <v/>
      </c>
      <c r="Q93" s="35" t="str">
        <f>IF(AND(T92="",A93&lt;=S92),入力!$B$13,"")</f>
        <v>有効</v>
      </c>
      <c r="R93" s="32" t="str">
        <f>IF(AND(AND(T92="",A93&lt;=S92),OR(AND(入力!$B$13="有効",A93&gt;1,MOD(A93-1,60)=0),AND(A93=入力!$B$11,A93&gt;1)),入力!$B$14="有効"),ROUND(G92*1.25,0),"")</f>
        <v/>
      </c>
      <c r="S93" s="36">
        <f t="shared" si="32"/>
        <v>420</v>
      </c>
      <c r="T93" s="35" t="str">
        <f t="shared" si="33"/>
        <v/>
      </c>
      <c r="U93" s="3">
        <f t="shared" si="17"/>
        <v>0</v>
      </c>
      <c r="V93" s="3">
        <f t="shared" si="18"/>
        <v>0</v>
      </c>
      <c r="W93" s="3">
        <f t="shared" si="19"/>
        <v>0</v>
      </c>
      <c r="X93" s="3">
        <f t="shared" si="20"/>
        <v>0</v>
      </c>
      <c r="Y93" s="3">
        <f>0</f>
        <v>0</v>
      </c>
      <c r="Z93" s="3">
        <f t="shared" si="21"/>
        <v>0</v>
      </c>
      <c r="AA93">
        <f>ROUND(IF(A93=入力!$B$15+1,IF(E93=0,ROUND(C93/MAX(1,S92-A93+1),0),ROUND(-PMT(E93/12,MAX(1,S92-A93+1)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,0)</f>
        <v>117478</v>
      </c>
    </row>
    <row r="94" spans="1:27">
      <c r="A94" s="30">
        <f>89</f>
        <v>89</v>
      </c>
      <c r="B94" s="31">
        <f>EDATE(入力!$B$6,A94-1)</f>
        <v>48914</v>
      </c>
      <c r="C94" s="32">
        <f t="shared" si="22"/>
        <v>28956346</v>
      </c>
      <c r="D94" s="32">
        <f t="shared" si="23"/>
        <v>0</v>
      </c>
      <c r="E94" s="33">
        <f>IF(AND(T93="",A94&lt;=S93),IF(A94&lt;入力!$B$11,入力!$B$10,入力!$B$12),0)</f>
        <v>2.5000000000000001E-2</v>
      </c>
      <c r="F94" s="32">
        <f t="shared" si="24"/>
        <v>60326</v>
      </c>
      <c r="G94" s="32">
        <f>ROUND(IF(NOT(AND(T93="",A94&lt;=S93)),0,IF(A94=入力!$B$15+1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),0)</f>
        <v>117478</v>
      </c>
      <c r="H94" s="32">
        <f t="shared" si="25"/>
        <v>117478</v>
      </c>
      <c r="I94" s="32">
        <f t="shared" si="26"/>
        <v>60326</v>
      </c>
      <c r="J94" s="32">
        <f t="shared" si="27"/>
        <v>0</v>
      </c>
      <c r="K94" s="32">
        <f t="shared" si="28"/>
        <v>0</v>
      </c>
      <c r="L94" s="32">
        <f t="shared" si="29"/>
        <v>57152</v>
      </c>
      <c r="M94" s="32">
        <f>IF(AND(AND(T93="",A94&lt;=S93),A94=入力!$B$15),ROUND(MIN(入力!$B$16,MAX(0,C94-L94)),0),0)</f>
        <v>0</v>
      </c>
      <c r="N94" s="32">
        <f t="shared" si="30"/>
        <v>28899194</v>
      </c>
      <c r="O94" s="32">
        <f t="shared" si="31"/>
        <v>2944976</v>
      </c>
      <c r="P94" s="34" t="str">
        <f>IF(NOT(AND(T93="",A94&lt;=S93)),"",IF(A94=入力!$B$15+1,"繰上返済後再計算","")&amp;IF(AND(入力!$B$13="有効",A94&gt;1,MOD(A94-1,60)=0),IF(A94=入力!$B$15+1,"・","")&amp;"5年見直し","")&amp;IF(AND(A94=入力!$B$11,A94&gt;1),IF(OR(A94=入力!$B$15+1,AND(入力!$B$13="有効",A94&gt;1,MOD(A94-1,60)=0)),"・","")&amp;"金利変更","")&amp;IF(AND(OR(AND(入力!$B$13="有効",A94&gt;1,MOD(A94-1,60)=0),AND(A94=入力!$B$11,A94&gt;1)),入力!$B$14="有効",IF(E94=0,ROUND(C94/MAX(1,S93-A94+1),0),ROUND(-PMT(E94/12,MAX(1,S93-A94+1),C94),0))&gt;ROUND(G93*1.25,0),NOT(A94=入力!$B$15+1)),"・上限適用",""))</f>
        <v/>
      </c>
      <c r="Q94" s="35" t="str">
        <f>IF(AND(T93="",A94&lt;=S93),入力!$B$13,"")</f>
        <v>有効</v>
      </c>
      <c r="R94" s="32" t="str">
        <f>IF(AND(AND(T93="",A94&lt;=S93),OR(AND(入力!$B$13="有効",A94&gt;1,MOD(A94-1,60)=0),AND(A94=入力!$B$11,A94&gt;1)),入力!$B$14="有効"),ROUND(G93*1.25,0),"")</f>
        <v/>
      </c>
      <c r="S94" s="36">
        <f t="shared" si="32"/>
        <v>420</v>
      </c>
      <c r="T94" s="35" t="str">
        <f t="shared" si="33"/>
        <v/>
      </c>
      <c r="U94" s="3">
        <f t="shared" si="17"/>
        <v>0</v>
      </c>
      <c r="V94" s="3">
        <f t="shared" si="18"/>
        <v>0</v>
      </c>
      <c r="W94" s="3">
        <f t="shared" si="19"/>
        <v>0</v>
      </c>
      <c r="X94" s="3">
        <f t="shared" si="20"/>
        <v>0</v>
      </c>
      <c r="Y94" s="3">
        <f>0</f>
        <v>0</v>
      </c>
      <c r="Z94" s="3">
        <f t="shared" si="21"/>
        <v>0</v>
      </c>
      <c r="AA94">
        <f>ROUND(IF(A94=入力!$B$15+1,IF(E94=0,ROUND(C94/MAX(1,S93-A94+1),0),ROUND(-PMT(E94/12,MAX(1,S93-A94+1)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,0)</f>
        <v>117478</v>
      </c>
    </row>
    <row r="95" spans="1:27">
      <c r="A95" s="30">
        <f>90</f>
        <v>90</v>
      </c>
      <c r="B95" s="31">
        <f>EDATE(入力!$B$6,A95-1)</f>
        <v>48945</v>
      </c>
      <c r="C95" s="32">
        <f t="shared" si="22"/>
        <v>28899194</v>
      </c>
      <c r="D95" s="32">
        <f t="shared" si="23"/>
        <v>0</v>
      </c>
      <c r="E95" s="33">
        <f>IF(AND(T94="",A95&lt;=S94),IF(A95&lt;入力!$B$11,入力!$B$10,入力!$B$12),0)</f>
        <v>2.5000000000000001E-2</v>
      </c>
      <c r="F95" s="32">
        <f t="shared" si="24"/>
        <v>60207</v>
      </c>
      <c r="G95" s="32">
        <f>ROUND(IF(NOT(AND(T94="",A95&lt;=S94)),0,IF(A95=入力!$B$15+1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),0)</f>
        <v>117478</v>
      </c>
      <c r="H95" s="32">
        <f t="shared" si="25"/>
        <v>117478</v>
      </c>
      <c r="I95" s="32">
        <f t="shared" si="26"/>
        <v>60207</v>
      </c>
      <c r="J95" s="32">
        <f t="shared" si="27"/>
        <v>0</v>
      </c>
      <c r="K95" s="32">
        <f t="shared" si="28"/>
        <v>0</v>
      </c>
      <c r="L95" s="32">
        <f t="shared" si="29"/>
        <v>57271</v>
      </c>
      <c r="M95" s="32">
        <f>IF(AND(AND(T94="",A95&lt;=S94),A95=入力!$B$15),ROUND(MIN(入力!$B$16,MAX(0,C95-L95)),0),0)</f>
        <v>0</v>
      </c>
      <c r="N95" s="32">
        <f t="shared" si="30"/>
        <v>28841923</v>
      </c>
      <c r="O95" s="32">
        <f t="shared" si="31"/>
        <v>3005183</v>
      </c>
      <c r="P95" s="34" t="str">
        <f>IF(NOT(AND(T94="",A95&lt;=S94)),"",IF(A95=入力!$B$15+1,"繰上返済後再計算","")&amp;IF(AND(入力!$B$13="有効",A95&gt;1,MOD(A95-1,60)=0),IF(A95=入力!$B$15+1,"・","")&amp;"5年見直し","")&amp;IF(AND(A95=入力!$B$11,A95&gt;1),IF(OR(A95=入力!$B$15+1,AND(入力!$B$13="有効",A95&gt;1,MOD(A95-1,60)=0)),"・","")&amp;"金利変更","")&amp;IF(AND(OR(AND(入力!$B$13="有効",A95&gt;1,MOD(A95-1,60)=0),AND(A95=入力!$B$11,A95&gt;1)),入力!$B$14="有効",IF(E95=0,ROUND(C95/MAX(1,S94-A95+1),0),ROUND(-PMT(E95/12,MAX(1,S94-A95+1),C95),0))&gt;ROUND(G94*1.25,0),NOT(A95=入力!$B$15+1)),"・上限適用",""))</f>
        <v/>
      </c>
      <c r="Q95" s="35" t="str">
        <f>IF(AND(T94="",A95&lt;=S94),入力!$B$13,"")</f>
        <v>有効</v>
      </c>
      <c r="R95" s="32" t="str">
        <f>IF(AND(AND(T94="",A95&lt;=S94),OR(AND(入力!$B$13="有効",A95&gt;1,MOD(A95-1,60)=0),AND(A95=入力!$B$11,A95&gt;1)),入力!$B$14="有効"),ROUND(G94*1.25,0),"")</f>
        <v/>
      </c>
      <c r="S95" s="36">
        <f t="shared" si="32"/>
        <v>420</v>
      </c>
      <c r="T95" s="35" t="str">
        <f t="shared" si="33"/>
        <v/>
      </c>
      <c r="U95" s="3">
        <f t="shared" si="17"/>
        <v>0</v>
      </c>
      <c r="V95" s="3">
        <f t="shared" si="18"/>
        <v>0</v>
      </c>
      <c r="W95" s="3">
        <f t="shared" si="19"/>
        <v>0</v>
      </c>
      <c r="X95" s="3">
        <f t="shared" si="20"/>
        <v>0</v>
      </c>
      <c r="Y95" s="3">
        <f>0</f>
        <v>0</v>
      </c>
      <c r="Z95" s="3">
        <f t="shared" si="21"/>
        <v>0</v>
      </c>
      <c r="AA95">
        <f>ROUND(IF(A95=入力!$B$15+1,IF(E95=0,ROUND(C95/MAX(1,S94-A95+1),0),ROUND(-PMT(E95/12,MAX(1,S94-A95+1)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,0)</f>
        <v>117478</v>
      </c>
    </row>
    <row r="96" spans="1:27">
      <c r="A96" s="30">
        <f>91</f>
        <v>91</v>
      </c>
      <c r="B96" s="31">
        <f>EDATE(入力!$B$6,A96-1)</f>
        <v>48976</v>
      </c>
      <c r="C96" s="32">
        <f t="shared" si="22"/>
        <v>28841923</v>
      </c>
      <c r="D96" s="32">
        <f t="shared" si="23"/>
        <v>0</v>
      </c>
      <c r="E96" s="33">
        <f>IF(AND(T95="",A96&lt;=S95),IF(A96&lt;入力!$B$11,入力!$B$10,入力!$B$12),0)</f>
        <v>2.5000000000000001E-2</v>
      </c>
      <c r="F96" s="32">
        <f t="shared" si="24"/>
        <v>60087</v>
      </c>
      <c r="G96" s="32">
        <f>ROUND(IF(NOT(AND(T95="",A96&lt;=S95)),0,IF(A96=入力!$B$15+1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),0)</f>
        <v>117478</v>
      </c>
      <c r="H96" s="32">
        <f t="shared" si="25"/>
        <v>117478</v>
      </c>
      <c r="I96" s="32">
        <f t="shared" si="26"/>
        <v>60087</v>
      </c>
      <c r="J96" s="32">
        <f t="shared" si="27"/>
        <v>0</v>
      </c>
      <c r="K96" s="32">
        <f t="shared" si="28"/>
        <v>0</v>
      </c>
      <c r="L96" s="32">
        <f t="shared" si="29"/>
        <v>57391</v>
      </c>
      <c r="M96" s="32">
        <f>IF(AND(AND(T95="",A96&lt;=S95),A96=入力!$B$15),ROUND(MIN(入力!$B$16,MAX(0,C96-L96)),0),0)</f>
        <v>0</v>
      </c>
      <c r="N96" s="32">
        <f t="shared" si="30"/>
        <v>28784532</v>
      </c>
      <c r="O96" s="32">
        <f t="shared" si="31"/>
        <v>3065270</v>
      </c>
      <c r="P96" s="34" t="str">
        <f>IF(NOT(AND(T95="",A96&lt;=S95)),"",IF(A96=入力!$B$15+1,"繰上返済後再計算","")&amp;IF(AND(入力!$B$13="有効",A96&gt;1,MOD(A96-1,60)=0),IF(A96=入力!$B$15+1,"・","")&amp;"5年見直し","")&amp;IF(AND(A96=入力!$B$11,A96&gt;1),IF(OR(A96=入力!$B$15+1,AND(入力!$B$13="有効",A96&gt;1,MOD(A96-1,60)=0)),"・","")&amp;"金利変更","")&amp;IF(AND(OR(AND(入力!$B$13="有効",A96&gt;1,MOD(A96-1,60)=0),AND(A96=入力!$B$11,A96&gt;1)),入力!$B$14="有効",IF(E96=0,ROUND(C96/MAX(1,S95-A96+1),0),ROUND(-PMT(E96/12,MAX(1,S95-A96+1),C96),0))&gt;ROUND(G95*1.25,0),NOT(A96=入力!$B$15+1)),"・上限適用",""))</f>
        <v/>
      </c>
      <c r="Q96" s="35" t="str">
        <f>IF(AND(T95="",A96&lt;=S95),入力!$B$13,"")</f>
        <v>有効</v>
      </c>
      <c r="R96" s="32" t="str">
        <f>IF(AND(AND(T95="",A96&lt;=S95),OR(AND(入力!$B$13="有効",A96&gt;1,MOD(A96-1,60)=0),AND(A96=入力!$B$11,A96&gt;1)),入力!$B$14="有効"),ROUND(G95*1.25,0),"")</f>
        <v/>
      </c>
      <c r="S96" s="36">
        <f t="shared" si="32"/>
        <v>420</v>
      </c>
      <c r="T96" s="35" t="str">
        <f t="shared" si="33"/>
        <v/>
      </c>
      <c r="U96" s="3">
        <f t="shared" si="17"/>
        <v>0</v>
      </c>
      <c r="V96" s="3">
        <f t="shared" si="18"/>
        <v>0</v>
      </c>
      <c r="W96" s="3">
        <f t="shared" si="19"/>
        <v>0</v>
      </c>
      <c r="X96" s="3">
        <f t="shared" si="20"/>
        <v>0</v>
      </c>
      <c r="Y96" s="3">
        <f>0</f>
        <v>0</v>
      </c>
      <c r="Z96" s="3">
        <f t="shared" si="21"/>
        <v>0</v>
      </c>
      <c r="AA96">
        <f>ROUND(IF(A96=入力!$B$15+1,IF(E96=0,ROUND(C96/MAX(1,S95-A96+1),0),ROUND(-PMT(E96/12,MAX(1,S95-A96+1)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,0)</f>
        <v>117478</v>
      </c>
    </row>
    <row r="97" spans="1:27">
      <c r="A97" s="30">
        <f>92</f>
        <v>92</v>
      </c>
      <c r="B97" s="31">
        <f>EDATE(入力!$B$6,A97-1)</f>
        <v>49004</v>
      </c>
      <c r="C97" s="32">
        <f t="shared" si="22"/>
        <v>28784532</v>
      </c>
      <c r="D97" s="32">
        <f t="shared" si="23"/>
        <v>0</v>
      </c>
      <c r="E97" s="33">
        <f>IF(AND(T96="",A97&lt;=S96),IF(A97&lt;入力!$B$11,入力!$B$10,入力!$B$12),0)</f>
        <v>2.5000000000000001E-2</v>
      </c>
      <c r="F97" s="32">
        <f t="shared" si="24"/>
        <v>59968</v>
      </c>
      <c r="G97" s="32">
        <f>ROUND(IF(NOT(AND(T96="",A97&lt;=S96)),0,IF(A97=入力!$B$15+1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),0)</f>
        <v>117478</v>
      </c>
      <c r="H97" s="32">
        <f t="shared" si="25"/>
        <v>117478</v>
      </c>
      <c r="I97" s="32">
        <f t="shared" si="26"/>
        <v>59968</v>
      </c>
      <c r="J97" s="32">
        <f t="shared" si="27"/>
        <v>0</v>
      </c>
      <c r="K97" s="32">
        <f t="shared" si="28"/>
        <v>0</v>
      </c>
      <c r="L97" s="32">
        <f t="shared" si="29"/>
        <v>57510</v>
      </c>
      <c r="M97" s="32">
        <f>IF(AND(AND(T96="",A97&lt;=S96),A97=入力!$B$15),ROUND(MIN(入力!$B$16,MAX(0,C97-L97)),0),0)</f>
        <v>0</v>
      </c>
      <c r="N97" s="32">
        <f t="shared" si="30"/>
        <v>28727022</v>
      </c>
      <c r="O97" s="32">
        <f t="shared" si="31"/>
        <v>3125238</v>
      </c>
      <c r="P97" s="34" t="str">
        <f>IF(NOT(AND(T96="",A97&lt;=S96)),"",IF(A97=入力!$B$15+1,"繰上返済後再計算","")&amp;IF(AND(入力!$B$13="有効",A97&gt;1,MOD(A97-1,60)=0),IF(A97=入力!$B$15+1,"・","")&amp;"5年見直し","")&amp;IF(AND(A97=入力!$B$11,A97&gt;1),IF(OR(A97=入力!$B$15+1,AND(入力!$B$13="有効",A97&gt;1,MOD(A97-1,60)=0)),"・","")&amp;"金利変更","")&amp;IF(AND(OR(AND(入力!$B$13="有効",A97&gt;1,MOD(A97-1,60)=0),AND(A97=入力!$B$11,A97&gt;1)),入力!$B$14="有効",IF(E97=0,ROUND(C97/MAX(1,S96-A97+1),0),ROUND(-PMT(E97/12,MAX(1,S96-A97+1),C97),0))&gt;ROUND(G96*1.25,0),NOT(A97=入力!$B$15+1)),"・上限適用",""))</f>
        <v/>
      </c>
      <c r="Q97" s="35" t="str">
        <f>IF(AND(T96="",A97&lt;=S96),入力!$B$13,"")</f>
        <v>有効</v>
      </c>
      <c r="R97" s="32" t="str">
        <f>IF(AND(AND(T96="",A97&lt;=S96),OR(AND(入力!$B$13="有効",A97&gt;1,MOD(A97-1,60)=0),AND(A97=入力!$B$11,A97&gt;1)),入力!$B$14="有効"),ROUND(G96*1.25,0),"")</f>
        <v/>
      </c>
      <c r="S97" s="36">
        <f t="shared" si="32"/>
        <v>420</v>
      </c>
      <c r="T97" s="35" t="str">
        <f t="shared" si="33"/>
        <v/>
      </c>
      <c r="U97" s="3">
        <f t="shared" si="17"/>
        <v>0</v>
      </c>
      <c r="V97" s="3">
        <f t="shared" si="18"/>
        <v>0</v>
      </c>
      <c r="W97" s="3">
        <f t="shared" si="19"/>
        <v>0</v>
      </c>
      <c r="X97" s="3">
        <f t="shared" si="20"/>
        <v>0</v>
      </c>
      <c r="Y97" s="3">
        <f>0</f>
        <v>0</v>
      </c>
      <c r="Z97" s="3">
        <f t="shared" si="21"/>
        <v>0</v>
      </c>
      <c r="AA97">
        <f>ROUND(IF(A97=入力!$B$15+1,IF(E97=0,ROUND(C97/MAX(1,S96-A97+1),0),ROUND(-PMT(E97/12,MAX(1,S96-A97+1)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,0)</f>
        <v>117478</v>
      </c>
    </row>
    <row r="98" spans="1:27">
      <c r="A98" s="30">
        <f>93</f>
        <v>93</v>
      </c>
      <c r="B98" s="31">
        <f>EDATE(入力!$B$6,A98-1)</f>
        <v>49035</v>
      </c>
      <c r="C98" s="32">
        <f t="shared" si="22"/>
        <v>28727022</v>
      </c>
      <c r="D98" s="32">
        <f t="shared" si="23"/>
        <v>0</v>
      </c>
      <c r="E98" s="33">
        <f>IF(AND(T97="",A98&lt;=S97),IF(A98&lt;入力!$B$11,入力!$B$10,入力!$B$12),0)</f>
        <v>2.5000000000000001E-2</v>
      </c>
      <c r="F98" s="32">
        <f t="shared" si="24"/>
        <v>59848</v>
      </c>
      <c r="G98" s="32">
        <f>ROUND(IF(NOT(AND(T97="",A98&lt;=S97)),0,IF(A98=入力!$B$15+1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),0)</f>
        <v>117478</v>
      </c>
      <c r="H98" s="32">
        <f t="shared" si="25"/>
        <v>117478</v>
      </c>
      <c r="I98" s="32">
        <f t="shared" si="26"/>
        <v>59848</v>
      </c>
      <c r="J98" s="32">
        <f t="shared" si="27"/>
        <v>0</v>
      </c>
      <c r="K98" s="32">
        <f t="shared" si="28"/>
        <v>0</v>
      </c>
      <c r="L98" s="32">
        <f t="shared" si="29"/>
        <v>57630</v>
      </c>
      <c r="M98" s="32">
        <f>IF(AND(AND(T97="",A98&lt;=S97),A98=入力!$B$15),ROUND(MIN(入力!$B$16,MAX(0,C98-L98)),0),0)</f>
        <v>0</v>
      </c>
      <c r="N98" s="32">
        <f t="shared" si="30"/>
        <v>28669392</v>
      </c>
      <c r="O98" s="32">
        <f t="shared" si="31"/>
        <v>3185086</v>
      </c>
      <c r="P98" s="34" t="str">
        <f>IF(NOT(AND(T97="",A98&lt;=S97)),"",IF(A98=入力!$B$15+1,"繰上返済後再計算","")&amp;IF(AND(入力!$B$13="有効",A98&gt;1,MOD(A98-1,60)=0),IF(A98=入力!$B$15+1,"・","")&amp;"5年見直し","")&amp;IF(AND(A98=入力!$B$11,A98&gt;1),IF(OR(A98=入力!$B$15+1,AND(入力!$B$13="有効",A98&gt;1,MOD(A98-1,60)=0)),"・","")&amp;"金利変更","")&amp;IF(AND(OR(AND(入力!$B$13="有効",A98&gt;1,MOD(A98-1,60)=0),AND(A98=入力!$B$11,A98&gt;1)),入力!$B$14="有効",IF(E98=0,ROUND(C98/MAX(1,S97-A98+1),0),ROUND(-PMT(E98/12,MAX(1,S97-A98+1),C98),0))&gt;ROUND(G97*1.25,0),NOT(A98=入力!$B$15+1)),"・上限適用",""))</f>
        <v/>
      </c>
      <c r="Q98" s="35" t="str">
        <f>IF(AND(T97="",A98&lt;=S97),入力!$B$13,"")</f>
        <v>有効</v>
      </c>
      <c r="R98" s="32" t="str">
        <f>IF(AND(AND(T97="",A98&lt;=S97),OR(AND(入力!$B$13="有効",A98&gt;1,MOD(A98-1,60)=0),AND(A98=入力!$B$11,A98&gt;1)),入力!$B$14="有効"),ROUND(G97*1.25,0),"")</f>
        <v/>
      </c>
      <c r="S98" s="36">
        <f t="shared" si="32"/>
        <v>420</v>
      </c>
      <c r="T98" s="35" t="str">
        <f t="shared" si="33"/>
        <v/>
      </c>
      <c r="U98" s="3">
        <f t="shared" si="17"/>
        <v>0</v>
      </c>
      <c r="V98" s="3">
        <f t="shared" si="18"/>
        <v>0</v>
      </c>
      <c r="W98" s="3">
        <f t="shared" si="19"/>
        <v>0</v>
      </c>
      <c r="X98" s="3">
        <f t="shared" si="20"/>
        <v>0</v>
      </c>
      <c r="Y98" s="3">
        <f>0</f>
        <v>0</v>
      </c>
      <c r="Z98" s="3">
        <f t="shared" si="21"/>
        <v>0</v>
      </c>
      <c r="AA98">
        <f>ROUND(IF(A98=入力!$B$15+1,IF(E98=0,ROUND(C98/MAX(1,S97-A98+1),0),ROUND(-PMT(E98/12,MAX(1,S97-A98+1)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,0)</f>
        <v>117478</v>
      </c>
    </row>
    <row r="99" spans="1:27">
      <c r="A99" s="30">
        <f>94</f>
        <v>94</v>
      </c>
      <c r="B99" s="31">
        <f>EDATE(入力!$B$6,A99-1)</f>
        <v>49065</v>
      </c>
      <c r="C99" s="32">
        <f t="shared" si="22"/>
        <v>28669392</v>
      </c>
      <c r="D99" s="32">
        <f t="shared" si="23"/>
        <v>0</v>
      </c>
      <c r="E99" s="33">
        <f>IF(AND(T98="",A99&lt;=S98),IF(A99&lt;入力!$B$11,入力!$B$10,入力!$B$12),0)</f>
        <v>2.5000000000000001E-2</v>
      </c>
      <c r="F99" s="32">
        <f t="shared" si="24"/>
        <v>59728</v>
      </c>
      <c r="G99" s="32">
        <f>ROUND(IF(NOT(AND(T98="",A99&lt;=S98)),0,IF(A99=入力!$B$15+1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),0)</f>
        <v>117478</v>
      </c>
      <c r="H99" s="32">
        <f t="shared" si="25"/>
        <v>117478</v>
      </c>
      <c r="I99" s="32">
        <f t="shared" si="26"/>
        <v>59728</v>
      </c>
      <c r="J99" s="32">
        <f t="shared" si="27"/>
        <v>0</v>
      </c>
      <c r="K99" s="32">
        <f t="shared" si="28"/>
        <v>0</v>
      </c>
      <c r="L99" s="32">
        <f t="shared" si="29"/>
        <v>57750</v>
      </c>
      <c r="M99" s="32">
        <f>IF(AND(AND(T98="",A99&lt;=S98),A99=入力!$B$15),ROUND(MIN(入力!$B$16,MAX(0,C99-L99)),0),0)</f>
        <v>0</v>
      </c>
      <c r="N99" s="32">
        <f t="shared" si="30"/>
        <v>28611642</v>
      </c>
      <c r="O99" s="32">
        <f t="shared" si="31"/>
        <v>3244814</v>
      </c>
      <c r="P99" s="34" t="str">
        <f>IF(NOT(AND(T98="",A99&lt;=S98)),"",IF(A99=入力!$B$15+1,"繰上返済後再計算","")&amp;IF(AND(入力!$B$13="有効",A99&gt;1,MOD(A99-1,60)=0),IF(A99=入力!$B$15+1,"・","")&amp;"5年見直し","")&amp;IF(AND(A99=入力!$B$11,A99&gt;1),IF(OR(A99=入力!$B$15+1,AND(入力!$B$13="有効",A99&gt;1,MOD(A99-1,60)=0)),"・","")&amp;"金利変更","")&amp;IF(AND(OR(AND(入力!$B$13="有効",A99&gt;1,MOD(A99-1,60)=0),AND(A99=入力!$B$11,A99&gt;1)),入力!$B$14="有効",IF(E99=0,ROUND(C99/MAX(1,S98-A99+1),0),ROUND(-PMT(E99/12,MAX(1,S98-A99+1),C99),0))&gt;ROUND(G98*1.25,0),NOT(A99=入力!$B$15+1)),"・上限適用",""))</f>
        <v/>
      </c>
      <c r="Q99" s="35" t="str">
        <f>IF(AND(T98="",A99&lt;=S98),入力!$B$13,"")</f>
        <v>有効</v>
      </c>
      <c r="R99" s="32" t="str">
        <f>IF(AND(AND(T98="",A99&lt;=S98),OR(AND(入力!$B$13="有効",A99&gt;1,MOD(A99-1,60)=0),AND(A99=入力!$B$11,A99&gt;1)),入力!$B$14="有効"),ROUND(G98*1.25,0),"")</f>
        <v/>
      </c>
      <c r="S99" s="36">
        <f t="shared" si="32"/>
        <v>420</v>
      </c>
      <c r="T99" s="35" t="str">
        <f t="shared" si="33"/>
        <v/>
      </c>
      <c r="U99" s="3">
        <f t="shared" si="17"/>
        <v>0</v>
      </c>
      <c r="V99" s="3">
        <f t="shared" si="18"/>
        <v>0</v>
      </c>
      <c r="W99" s="3">
        <f t="shared" si="19"/>
        <v>0</v>
      </c>
      <c r="X99" s="3">
        <f t="shared" si="20"/>
        <v>0</v>
      </c>
      <c r="Y99" s="3">
        <f>0</f>
        <v>0</v>
      </c>
      <c r="Z99" s="3">
        <f t="shared" si="21"/>
        <v>0</v>
      </c>
      <c r="AA99">
        <f>ROUND(IF(A99=入力!$B$15+1,IF(E99=0,ROUND(C99/MAX(1,S98-A99+1),0),ROUND(-PMT(E99/12,MAX(1,S98-A99+1)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,0)</f>
        <v>117478</v>
      </c>
    </row>
    <row r="100" spans="1:27">
      <c r="A100" s="30">
        <f>95</f>
        <v>95</v>
      </c>
      <c r="B100" s="31">
        <f>EDATE(入力!$B$6,A100-1)</f>
        <v>49096</v>
      </c>
      <c r="C100" s="32">
        <f t="shared" si="22"/>
        <v>28611642</v>
      </c>
      <c r="D100" s="32">
        <f t="shared" si="23"/>
        <v>0</v>
      </c>
      <c r="E100" s="33">
        <f>IF(AND(T99="",A100&lt;=S99),IF(A100&lt;入力!$B$11,入力!$B$10,入力!$B$12),0)</f>
        <v>2.5000000000000001E-2</v>
      </c>
      <c r="F100" s="32">
        <f t="shared" si="24"/>
        <v>59608</v>
      </c>
      <c r="G100" s="32">
        <f>ROUND(IF(NOT(AND(T99="",A100&lt;=S99)),0,IF(A100=入力!$B$15+1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),0)</f>
        <v>117478</v>
      </c>
      <c r="H100" s="32">
        <f t="shared" si="25"/>
        <v>117478</v>
      </c>
      <c r="I100" s="32">
        <f t="shared" si="26"/>
        <v>59608</v>
      </c>
      <c r="J100" s="32">
        <f t="shared" si="27"/>
        <v>0</v>
      </c>
      <c r="K100" s="32">
        <f t="shared" si="28"/>
        <v>0</v>
      </c>
      <c r="L100" s="32">
        <f t="shared" si="29"/>
        <v>57870</v>
      </c>
      <c r="M100" s="32">
        <f>IF(AND(AND(T99="",A100&lt;=S99),A100=入力!$B$15),ROUND(MIN(入力!$B$16,MAX(0,C100-L100)),0),0)</f>
        <v>0</v>
      </c>
      <c r="N100" s="32">
        <f t="shared" si="30"/>
        <v>28553772</v>
      </c>
      <c r="O100" s="32">
        <f t="shared" si="31"/>
        <v>3304422</v>
      </c>
      <c r="P100" s="34" t="str">
        <f>IF(NOT(AND(T99="",A100&lt;=S99)),"",IF(A100=入力!$B$15+1,"繰上返済後再計算","")&amp;IF(AND(入力!$B$13="有効",A100&gt;1,MOD(A100-1,60)=0),IF(A100=入力!$B$15+1,"・","")&amp;"5年見直し","")&amp;IF(AND(A100=入力!$B$11,A100&gt;1),IF(OR(A100=入力!$B$15+1,AND(入力!$B$13="有効",A100&gt;1,MOD(A100-1,60)=0)),"・","")&amp;"金利変更","")&amp;IF(AND(OR(AND(入力!$B$13="有効",A100&gt;1,MOD(A100-1,60)=0),AND(A100=入力!$B$11,A100&gt;1)),入力!$B$14="有効",IF(E100=0,ROUND(C100/MAX(1,S99-A100+1),0),ROUND(-PMT(E100/12,MAX(1,S99-A100+1),C100),0))&gt;ROUND(G99*1.25,0),NOT(A100=入力!$B$15+1)),"・上限適用",""))</f>
        <v/>
      </c>
      <c r="Q100" s="35" t="str">
        <f>IF(AND(T99="",A100&lt;=S99),入力!$B$13,"")</f>
        <v>有効</v>
      </c>
      <c r="R100" s="32" t="str">
        <f>IF(AND(AND(T99="",A100&lt;=S99),OR(AND(入力!$B$13="有効",A100&gt;1,MOD(A100-1,60)=0),AND(A100=入力!$B$11,A100&gt;1)),入力!$B$14="有効"),ROUND(G99*1.25,0),"")</f>
        <v/>
      </c>
      <c r="S100" s="36">
        <f t="shared" si="32"/>
        <v>420</v>
      </c>
      <c r="T100" s="35" t="str">
        <f t="shared" si="33"/>
        <v/>
      </c>
      <c r="U100" s="3">
        <f t="shared" si="17"/>
        <v>0</v>
      </c>
      <c r="V100" s="3">
        <f t="shared" si="18"/>
        <v>0</v>
      </c>
      <c r="W100" s="3">
        <f t="shared" si="19"/>
        <v>0</v>
      </c>
      <c r="X100" s="3">
        <f t="shared" si="20"/>
        <v>0</v>
      </c>
      <c r="Y100" s="3">
        <f>0</f>
        <v>0</v>
      </c>
      <c r="Z100" s="3">
        <f t="shared" si="21"/>
        <v>0</v>
      </c>
      <c r="AA100">
        <f>ROUND(IF(A100=入力!$B$15+1,IF(E100=0,ROUND(C100/MAX(1,S99-A100+1),0),ROUND(-PMT(E100/12,MAX(1,S99-A100+1)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,0)</f>
        <v>117478</v>
      </c>
    </row>
    <row r="101" spans="1:27">
      <c r="A101" s="30">
        <f>96</f>
        <v>96</v>
      </c>
      <c r="B101" s="31">
        <f>EDATE(入力!$B$6,A101-1)</f>
        <v>49126</v>
      </c>
      <c r="C101" s="32">
        <f t="shared" si="22"/>
        <v>28553772</v>
      </c>
      <c r="D101" s="32">
        <f t="shared" si="23"/>
        <v>0</v>
      </c>
      <c r="E101" s="33">
        <f>IF(AND(T100="",A101&lt;=S100),IF(A101&lt;入力!$B$11,入力!$B$10,入力!$B$12),0)</f>
        <v>2.5000000000000001E-2</v>
      </c>
      <c r="F101" s="32">
        <f t="shared" si="24"/>
        <v>59487</v>
      </c>
      <c r="G101" s="32">
        <f>ROUND(IF(NOT(AND(T100="",A101&lt;=S100)),0,IF(A101=入力!$B$15+1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),0)</f>
        <v>117478</v>
      </c>
      <c r="H101" s="32">
        <f t="shared" si="25"/>
        <v>117478</v>
      </c>
      <c r="I101" s="32">
        <f t="shared" si="26"/>
        <v>59487</v>
      </c>
      <c r="J101" s="32">
        <f t="shared" si="27"/>
        <v>0</v>
      </c>
      <c r="K101" s="32">
        <f t="shared" si="28"/>
        <v>0</v>
      </c>
      <c r="L101" s="32">
        <f t="shared" si="29"/>
        <v>57991</v>
      </c>
      <c r="M101" s="32">
        <f>IF(AND(AND(T100="",A101&lt;=S100),A101=入力!$B$15),ROUND(MIN(入力!$B$16,MAX(0,C101-L101)),0),0)</f>
        <v>0</v>
      </c>
      <c r="N101" s="32">
        <f t="shared" si="30"/>
        <v>28495781</v>
      </c>
      <c r="O101" s="32">
        <f t="shared" si="31"/>
        <v>3363909</v>
      </c>
      <c r="P101" s="34" t="str">
        <f>IF(NOT(AND(T100="",A101&lt;=S100)),"",IF(A101=入力!$B$15+1,"繰上返済後再計算","")&amp;IF(AND(入力!$B$13="有効",A101&gt;1,MOD(A101-1,60)=0),IF(A101=入力!$B$15+1,"・","")&amp;"5年見直し","")&amp;IF(AND(A101=入力!$B$11,A101&gt;1),IF(OR(A101=入力!$B$15+1,AND(入力!$B$13="有効",A101&gt;1,MOD(A101-1,60)=0)),"・","")&amp;"金利変更","")&amp;IF(AND(OR(AND(入力!$B$13="有効",A101&gt;1,MOD(A101-1,60)=0),AND(A101=入力!$B$11,A101&gt;1)),入力!$B$14="有効",IF(E101=0,ROUND(C101/MAX(1,S100-A101+1),0),ROUND(-PMT(E101/12,MAX(1,S100-A101+1),C101),0))&gt;ROUND(G100*1.25,0),NOT(A101=入力!$B$15+1)),"・上限適用",""))</f>
        <v/>
      </c>
      <c r="Q101" s="35" t="str">
        <f>IF(AND(T100="",A101&lt;=S100),入力!$B$13,"")</f>
        <v>有効</v>
      </c>
      <c r="R101" s="32" t="str">
        <f>IF(AND(AND(T100="",A101&lt;=S100),OR(AND(入力!$B$13="有効",A101&gt;1,MOD(A101-1,60)=0),AND(A101=入力!$B$11,A101&gt;1)),入力!$B$14="有効"),ROUND(G100*1.25,0),"")</f>
        <v/>
      </c>
      <c r="S101" s="36">
        <f t="shared" si="32"/>
        <v>420</v>
      </c>
      <c r="T101" s="35" t="str">
        <f t="shared" si="33"/>
        <v/>
      </c>
      <c r="U101" s="3">
        <f t="shared" si="17"/>
        <v>0</v>
      </c>
      <c r="V101" s="3">
        <f t="shared" si="18"/>
        <v>0</v>
      </c>
      <c r="W101" s="3">
        <f t="shared" si="19"/>
        <v>0</v>
      </c>
      <c r="X101" s="3">
        <f t="shared" si="20"/>
        <v>0</v>
      </c>
      <c r="Y101" s="3">
        <f>0</f>
        <v>0</v>
      </c>
      <c r="Z101" s="3">
        <f t="shared" si="21"/>
        <v>0</v>
      </c>
      <c r="AA101">
        <f>ROUND(IF(A101=入力!$B$15+1,IF(E101=0,ROUND(C101/MAX(1,S100-A101+1),0),ROUND(-PMT(E101/12,MAX(1,S100-A101+1)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,0)</f>
        <v>117478</v>
      </c>
    </row>
    <row r="102" spans="1:27">
      <c r="A102" s="30">
        <f>97</f>
        <v>97</v>
      </c>
      <c r="B102" s="31">
        <f>EDATE(入力!$B$6,A102-1)</f>
        <v>49157</v>
      </c>
      <c r="C102" s="32">
        <f t="shared" si="22"/>
        <v>28495781</v>
      </c>
      <c r="D102" s="32">
        <f t="shared" si="23"/>
        <v>0</v>
      </c>
      <c r="E102" s="33">
        <f>IF(AND(T101="",A102&lt;=S101),IF(A102&lt;入力!$B$11,入力!$B$10,入力!$B$12),0)</f>
        <v>2.5000000000000001E-2</v>
      </c>
      <c r="F102" s="32">
        <f t="shared" si="24"/>
        <v>59366</v>
      </c>
      <c r="G102" s="32">
        <f>ROUND(IF(NOT(AND(T101="",A102&lt;=S101)),0,IF(A102=入力!$B$15+1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),0)</f>
        <v>117478</v>
      </c>
      <c r="H102" s="32">
        <f t="shared" si="25"/>
        <v>117478</v>
      </c>
      <c r="I102" s="32">
        <f t="shared" si="26"/>
        <v>59366</v>
      </c>
      <c r="J102" s="32">
        <f t="shared" si="27"/>
        <v>0</v>
      </c>
      <c r="K102" s="32">
        <f t="shared" si="28"/>
        <v>0</v>
      </c>
      <c r="L102" s="32">
        <f t="shared" si="29"/>
        <v>58112</v>
      </c>
      <c r="M102" s="32">
        <f>IF(AND(AND(T101="",A102&lt;=S101),A102=入力!$B$15),ROUND(MIN(入力!$B$16,MAX(0,C102-L102)),0),0)</f>
        <v>0</v>
      </c>
      <c r="N102" s="32">
        <f t="shared" si="30"/>
        <v>28437669</v>
      </c>
      <c r="O102" s="32">
        <f t="shared" si="31"/>
        <v>3423275</v>
      </c>
      <c r="P102" s="34" t="str">
        <f>IF(NOT(AND(T101="",A102&lt;=S101)),"",IF(A102=入力!$B$15+1,"繰上返済後再計算","")&amp;IF(AND(入力!$B$13="有効",A102&gt;1,MOD(A102-1,60)=0),IF(A102=入力!$B$15+1,"・","")&amp;"5年見直し","")&amp;IF(AND(A102=入力!$B$11,A102&gt;1),IF(OR(A102=入力!$B$15+1,AND(入力!$B$13="有効",A102&gt;1,MOD(A102-1,60)=0)),"・","")&amp;"金利変更","")&amp;IF(AND(OR(AND(入力!$B$13="有効",A102&gt;1,MOD(A102-1,60)=0),AND(A102=入力!$B$11,A102&gt;1)),入力!$B$14="有効",IF(E102=0,ROUND(C102/MAX(1,S101-A102+1),0),ROUND(-PMT(E102/12,MAX(1,S101-A102+1),C102),0))&gt;ROUND(G101*1.25,0),NOT(A102=入力!$B$15+1)),"・上限適用",""))</f>
        <v/>
      </c>
      <c r="Q102" s="35" t="str">
        <f>IF(AND(T101="",A102&lt;=S101),入力!$B$13,"")</f>
        <v>有効</v>
      </c>
      <c r="R102" s="32" t="str">
        <f>IF(AND(AND(T101="",A102&lt;=S101),OR(AND(入力!$B$13="有効",A102&gt;1,MOD(A102-1,60)=0),AND(A102=入力!$B$11,A102&gt;1)),入力!$B$14="有効"),ROUND(G101*1.25,0),"")</f>
        <v/>
      </c>
      <c r="S102" s="36">
        <f t="shared" si="32"/>
        <v>420</v>
      </c>
      <c r="T102" s="35" t="str">
        <f t="shared" si="33"/>
        <v/>
      </c>
      <c r="U102" s="3">
        <f t="shared" si="17"/>
        <v>0</v>
      </c>
      <c r="V102" s="3">
        <f t="shared" si="18"/>
        <v>0</v>
      </c>
      <c r="W102" s="3">
        <f t="shared" si="19"/>
        <v>0</v>
      </c>
      <c r="X102" s="3">
        <f t="shared" si="20"/>
        <v>0</v>
      </c>
      <c r="Y102" s="3">
        <f>0</f>
        <v>0</v>
      </c>
      <c r="Z102" s="3">
        <f t="shared" si="21"/>
        <v>0</v>
      </c>
      <c r="AA102">
        <f>ROUND(IF(A102=入力!$B$15+1,IF(E102=0,ROUND(C102/MAX(1,S101-A102+1),0),ROUND(-PMT(E102/12,MAX(1,S101-A102+1)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,0)</f>
        <v>117478</v>
      </c>
    </row>
    <row r="103" spans="1:27">
      <c r="A103" s="30">
        <f>98</f>
        <v>98</v>
      </c>
      <c r="B103" s="31">
        <f>EDATE(入力!$B$6,A103-1)</f>
        <v>49188</v>
      </c>
      <c r="C103" s="32">
        <f t="shared" si="22"/>
        <v>28437669</v>
      </c>
      <c r="D103" s="32">
        <f t="shared" si="23"/>
        <v>0</v>
      </c>
      <c r="E103" s="33">
        <f>IF(AND(T102="",A103&lt;=S102),IF(A103&lt;入力!$B$11,入力!$B$10,入力!$B$12),0)</f>
        <v>2.5000000000000001E-2</v>
      </c>
      <c r="F103" s="32">
        <f t="shared" si="24"/>
        <v>59245</v>
      </c>
      <c r="G103" s="32">
        <f>ROUND(IF(NOT(AND(T102="",A103&lt;=S102)),0,IF(A103=入力!$B$15+1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),0)</f>
        <v>117478</v>
      </c>
      <c r="H103" s="32">
        <f t="shared" si="25"/>
        <v>117478</v>
      </c>
      <c r="I103" s="32">
        <f t="shared" si="26"/>
        <v>59245</v>
      </c>
      <c r="J103" s="32">
        <f t="shared" si="27"/>
        <v>0</v>
      </c>
      <c r="K103" s="32">
        <f t="shared" si="28"/>
        <v>0</v>
      </c>
      <c r="L103" s="32">
        <f t="shared" si="29"/>
        <v>58233</v>
      </c>
      <c r="M103" s="32">
        <f>IF(AND(AND(T102="",A103&lt;=S102),A103=入力!$B$15),ROUND(MIN(入力!$B$16,MAX(0,C103-L103)),0),0)</f>
        <v>0</v>
      </c>
      <c r="N103" s="32">
        <f t="shared" si="30"/>
        <v>28379436</v>
      </c>
      <c r="O103" s="32">
        <f t="shared" si="31"/>
        <v>3482520</v>
      </c>
      <c r="P103" s="34" t="str">
        <f>IF(NOT(AND(T102="",A103&lt;=S102)),"",IF(A103=入力!$B$15+1,"繰上返済後再計算","")&amp;IF(AND(入力!$B$13="有効",A103&gt;1,MOD(A103-1,60)=0),IF(A103=入力!$B$15+1,"・","")&amp;"5年見直し","")&amp;IF(AND(A103=入力!$B$11,A103&gt;1),IF(OR(A103=入力!$B$15+1,AND(入力!$B$13="有効",A103&gt;1,MOD(A103-1,60)=0)),"・","")&amp;"金利変更","")&amp;IF(AND(OR(AND(入力!$B$13="有効",A103&gt;1,MOD(A103-1,60)=0),AND(A103=入力!$B$11,A103&gt;1)),入力!$B$14="有効",IF(E103=0,ROUND(C103/MAX(1,S102-A103+1),0),ROUND(-PMT(E103/12,MAX(1,S102-A103+1),C103),0))&gt;ROUND(G102*1.25,0),NOT(A103=入力!$B$15+1)),"・上限適用",""))</f>
        <v/>
      </c>
      <c r="Q103" s="35" t="str">
        <f>IF(AND(T102="",A103&lt;=S102),入力!$B$13,"")</f>
        <v>有効</v>
      </c>
      <c r="R103" s="32" t="str">
        <f>IF(AND(AND(T102="",A103&lt;=S102),OR(AND(入力!$B$13="有効",A103&gt;1,MOD(A103-1,60)=0),AND(A103=入力!$B$11,A103&gt;1)),入力!$B$14="有効"),ROUND(G102*1.25,0),"")</f>
        <v/>
      </c>
      <c r="S103" s="36">
        <f t="shared" si="32"/>
        <v>420</v>
      </c>
      <c r="T103" s="35" t="str">
        <f t="shared" si="33"/>
        <v/>
      </c>
      <c r="U103" s="3">
        <f t="shared" si="17"/>
        <v>0</v>
      </c>
      <c r="V103" s="3">
        <f t="shared" si="18"/>
        <v>0</v>
      </c>
      <c r="W103" s="3">
        <f t="shared" si="19"/>
        <v>0</v>
      </c>
      <c r="X103" s="3">
        <f t="shared" si="20"/>
        <v>0</v>
      </c>
      <c r="Y103" s="3">
        <f>0</f>
        <v>0</v>
      </c>
      <c r="Z103" s="3">
        <f t="shared" si="21"/>
        <v>0</v>
      </c>
      <c r="AA103">
        <f>ROUND(IF(A103=入力!$B$15+1,IF(E103=0,ROUND(C103/MAX(1,S102-A103+1),0),ROUND(-PMT(E103/12,MAX(1,S102-A103+1)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,0)</f>
        <v>117478</v>
      </c>
    </row>
    <row r="104" spans="1:27">
      <c r="A104" s="30">
        <f>99</f>
        <v>99</v>
      </c>
      <c r="B104" s="31">
        <f>EDATE(入力!$B$6,A104-1)</f>
        <v>49218</v>
      </c>
      <c r="C104" s="32">
        <f t="shared" si="22"/>
        <v>28379436</v>
      </c>
      <c r="D104" s="32">
        <f t="shared" si="23"/>
        <v>0</v>
      </c>
      <c r="E104" s="33">
        <f>IF(AND(T103="",A104&lt;=S103),IF(A104&lt;入力!$B$11,入力!$B$10,入力!$B$12),0)</f>
        <v>2.5000000000000001E-2</v>
      </c>
      <c r="F104" s="32">
        <f t="shared" si="24"/>
        <v>59124</v>
      </c>
      <c r="G104" s="32">
        <f>ROUND(IF(NOT(AND(T103="",A104&lt;=S103)),0,IF(A104=入力!$B$15+1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),0)</f>
        <v>117478</v>
      </c>
      <c r="H104" s="32">
        <f t="shared" si="25"/>
        <v>117478</v>
      </c>
      <c r="I104" s="32">
        <f t="shared" si="26"/>
        <v>59124</v>
      </c>
      <c r="J104" s="32">
        <f t="shared" si="27"/>
        <v>0</v>
      </c>
      <c r="K104" s="32">
        <f t="shared" si="28"/>
        <v>0</v>
      </c>
      <c r="L104" s="32">
        <f t="shared" si="29"/>
        <v>58354</v>
      </c>
      <c r="M104" s="32">
        <f>IF(AND(AND(T103="",A104&lt;=S103),A104=入力!$B$15),ROUND(MIN(入力!$B$16,MAX(0,C104-L104)),0),0)</f>
        <v>0</v>
      </c>
      <c r="N104" s="32">
        <f t="shared" si="30"/>
        <v>28321082</v>
      </c>
      <c r="O104" s="32">
        <f t="shared" si="31"/>
        <v>3541644</v>
      </c>
      <c r="P104" s="34" t="str">
        <f>IF(NOT(AND(T103="",A104&lt;=S103)),"",IF(A104=入力!$B$15+1,"繰上返済後再計算","")&amp;IF(AND(入力!$B$13="有効",A104&gt;1,MOD(A104-1,60)=0),IF(A104=入力!$B$15+1,"・","")&amp;"5年見直し","")&amp;IF(AND(A104=入力!$B$11,A104&gt;1),IF(OR(A104=入力!$B$15+1,AND(入力!$B$13="有効",A104&gt;1,MOD(A104-1,60)=0)),"・","")&amp;"金利変更","")&amp;IF(AND(OR(AND(入力!$B$13="有効",A104&gt;1,MOD(A104-1,60)=0),AND(A104=入力!$B$11,A104&gt;1)),入力!$B$14="有効",IF(E104=0,ROUND(C104/MAX(1,S103-A104+1),0),ROUND(-PMT(E104/12,MAX(1,S103-A104+1),C104),0))&gt;ROUND(G103*1.25,0),NOT(A104=入力!$B$15+1)),"・上限適用",""))</f>
        <v/>
      </c>
      <c r="Q104" s="35" t="str">
        <f>IF(AND(T103="",A104&lt;=S103),入力!$B$13,"")</f>
        <v>有効</v>
      </c>
      <c r="R104" s="32" t="str">
        <f>IF(AND(AND(T103="",A104&lt;=S103),OR(AND(入力!$B$13="有効",A104&gt;1,MOD(A104-1,60)=0),AND(A104=入力!$B$11,A104&gt;1)),入力!$B$14="有効"),ROUND(G103*1.25,0),"")</f>
        <v/>
      </c>
      <c r="S104" s="36">
        <f t="shared" si="32"/>
        <v>420</v>
      </c>
      <c r="T104" s="35" t="str">
        <f t="shared" si="33"/>
        <v/>
      </c>
      <c r="U104" s="3">
        <f t="shared" si="17"/>
        <v>0</v>
      </c>
      <c r="V104" s="3">
        <f t="shared" si="18"/>
        <v>0</v>
      </c>
      <c r="W104" s="3">
        <f t="shared" si="19"/>
        <v>0</v>
      </c>
      <c r="X104" s="3">
        <f t="shared" si="20"/>
        <v>0</v>
      </c>
      <c r="Y104" s="3">
        <f>0</f>
        <v>0</v>
      </c>
      <c r="Z104" s="3">
        <f t="shared" si="21"/>
        <v>0</v>
      </c>
      <c r="AA104">
        <f>ROUND(IF(A104=入力!$B$15+1,IF(E104=0,ROUND(C104/MAX(1,S103-A104+1),0),ROUND(-PMT(E104/12,MAX(1,S103-A104+1)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,0)</f>
        <v>117478</v>
      </c>
    </row>
    <row r="105" spans="1:27">
      <c r="A105" s="30">
        <f>100</f>
        <v>100</v>
      </c>
      <c r="B105" s="31">
        <f>EDATE(入力!$B$6,A105-1)</f>
        <v>49249</v>
      </c>
      <c r="C105" s="32">
        <f t="shared" si="22"/>
        <v>28321082</v>
      </c>
      <c r="D105" s="32">
        <f t="shared" si="23"/>
        <v>0</v>
      </c>
      <c r="E105" s="33">
        <f>IF(AND(T104="",A105&lt;=S104),IF(A105&lt;入力!$B$11,入力!$B$10,入力!$B$12),0)</f>
        <v>2.5000000000000001E-2</v>
      </c>
      <c r="F105" s="32">
        <f t="shared" si="24"/>
        <v>59002</v>
      </c>
      <c r="G105" s="32">
        <f>ROUND(IF(NOT(AND(T104="",A105&lt;=S104)),0,IF(A105=入力!$B$15+1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),0)</f>
        <v>117478</v>
      </c>
      <c r="H105" s="32">
        <f t="shared" si="25"/>
        <v>117478</v>
      </c>
      <c r="I105" s="32">
        <f t="shared" si="26"/>
        <v>59002</v>
      </c>
      <c r="J105" s="32">
        <f t="shared" si="27"/>
        <v>0</v>
      </c>
      <c r="K105" s="32">
        <f t="shared" si="28"/>
        <v>0</v>
      </c>
      <c r="L105" s="32">
        <f t="shared" si="29"/>
        <v>58476</v>
      </c>
      <c r="M105" s="32">
        <f>IF(AND(AND(T104="",A105&lt;=S104),A105=入力!$B$15),ROUND(MIN(入力!$B$16,MAX(0,C105-L105)),0),0)</f>
        <v>0</v>
      </c>
      <c r="N105" s="32">
        <f t="shared" si="30"/>
        <v>28262606</v>
      </c>
      <c r="O105" s="32">
        <f t="shared" si="31"/>
        <v>3600646</v>
      </c>
      <c r="P105" s="34" t="str">
        <f>IF(NOT(AND(T104="",A105&lt;=S104)),"",IF(A105=入力!$B$15+1,"繰上返済後再計算","")&amp;IF(AND(入力!$B$13="有効",A105&gt;1,MOD(A105-1,60)=0),IF(A105=入力!$B$15+1,"・","")&amp;"5年見直し","")&amp;IF(AND(A105=入力!$B$11,A105&gt;1),IF(OR(A105=入力!$B$15+1,AND(入力!$B$13="有効",A105&gt;1,MOD(A105-1,60)=0)),"・","")&amp;"金利変更","")&amp;IF(AND(OR(AND(入力!$B$13="有効",A105&gt;1,MOD(A105-1,60)=0),AND(A105=入力!$B$11,A105&gt;1)),入力!$B$14="有効",IF(E105=0,ROUND(C105/MAX(1,S104-A105+1),0),ROUND(-PMT(E105/12,MAX(1,S104-A105+1),C105),0))&gt;ROUND(G104*1.25,0),NOT(A105=入力!$B$15+1)),"・上限適用",""))</f>
        <v/>
      </c>
      <c r="Q105" s="35" t="str">
        <f>IF(AND(T104="",A105&lt;=S104),入力!$B$13,"")</f>
        <v>有効</v>
      </c>
      <c r="R105" s="32" t="str">
        <f>IF(AND(AND(T104="",A105&lt;=S104),OR(AND(入力!$B$13="有効",A105&gt;1,MOD(A105-1,60)=0),AND(A105=入力!$B$11,A105&gt;1)),入力!$B$14="有効"),ROUND(G104*1.25,0),"")</f>
        <v/>
      </c>
      <c r="S105" s="36">
        <f t="shared" si="32"/>
        <v>420</v>
      </c>
      <c r="T105" s="35" t="str">
        <f t="shared" si="33"/>
        <v/>
      </c>
      <c r="U105" s="3">
        <f t="shared" si="17"/>
        <v>0</v>
      </c>
      <c r="V105" s="3">
        <f t="shared" si="18"/>
        <v>0</v>
      </c>
      <c r="W105" s="3">
        <f t="shared" si="19"/>
        <v>0</v>
      </c>
      <c r="X105" s="3">
        <f t="shared" si="20"/>
        <v>0</v>
      </c>
      <c r="Y105" s="3">
        <f>0</f>
        <v>0</v>
      </c>
      <c r="Z105" s="3">
        <f t="shared" si="21"/>
        <v>0</v>
      </c>
      <c r="AA105">
        <f>ROUND(IF(A105=入力!$B$15+1,IF(E105=0,ROUND(C105/MAX(1,S104-A105+1),0),ROUND(-PMT(E105/12,MAX(1,S104-A105+1)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,0)</f>
        <v>117478</v>
      </c>
    </row>
    <row r="106" spans="1:27">
      <c r="A106" s="30">
        <f>101</f>
        <v>101</v>
      </c>
      <c r="B106" s="31">
        <f>EDATE(入力!$B$6,A106-1)</f>
        <v>49279</v>
      </c>
      <c r="C106" s="32">
        <f t="shared" si="22"/>
        <v>28262606</v>
      </c>
      <c r="D106" s="32">
        <f t="shared" si="23"/>
        <v>0</v>
      </c>
      <c r="E106" s="33">
        <f>IF(AND(T105="",A106&lt;=S105),IF(A106&lt;入力!$B$11,入力!$B$10,入力!$B$12),0)</f>
        <v>2.5000000000000001E-2</v>
      </c>
      <c r="F106" s="32">
        <f t="shared" si="24"/>
        <v>58880</v>
      </c>
      <c r="G106" s="32">
        <f>ROUND(IF(NOT(AND(T105="",A106&lt;=S105)),0,IF(A106=入力!$B$15+1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),0)</f>
        <v>117478</v>
      </c>
      <c r="H106" s="32">
        <f t="shared" si="25"/>
        <v>117478</v>
      </c>
      <c r="I106" s="32">
        <f t="shared" si="26"/>
        <v>58880</v>
      </c>
      <c r="J106" s="32">
        <f t="shared" si="27"/>
        <v>0</v>
      </c>
      <c r="K106" s="32">
        <f t="shared" si="28"/>
        <v>0</v>
      </c>
      <c r="L106" s="32">
        <f t="shared" si="29"/>
        <v>58598</v>
      </c>
      <c r="M106" s="32">
        <f>IF(AND(AND(T105="",A106&lt;=S105),A106=入力!$B$15),ROUND(MIN(入力!$B$16,MAX(0,C106-L106)),0),0)</f>
        <v>0</v>
      </c>
      <c r="N106" s="32">
        <f t="shared" si="30"/>
        <v>28204008</v>
      </c>
      <c r="O106" s="32">
        <f t="shared" si="31"/>
        <v>3659526</v>
      </c>
      <c r="P106" s="34" t="str">
        <f>IF(NOT(AND(T105="",A106&lt;=S105)),"",IF(A106=入力!$B$15+1,"繰上返済後再計算","")&amp;IF(AND(入力!$B$13="有効",A106&gt;1,MOD(A106-1,60)=0),IF(A106=入力!$B$15+1,"・","")&amp;"5年見直し","")&amp;IF(AND(A106=入力!$B$11,A106&gt;1),IF(OR(A106=入力!$B$15+1,AND(入力!$B$13="有効",A106&gt;1,MOD(A106-1,60)=0)),"・","")&amp;"金利変更","")&amp;IF(AND(OR(AND(入力!$B$13="有効",A106&gt;1,MOD(A106-1,60)=0),AND(A106=入力!$B$11,A106&gt;1)),入力!$B$14="有効",IF(E106=0,ROUND(C106/MAX(1,S105-A106+1),0),ROUND(-PMT(E106/12,MAX(1,S105-A106+1),C106),0))&gt;ROUND(G105*1.25,0),NOT(A106=入力!$B$15+1)),"・上限適用",""))</f>
        <v/>
      </c>
      <c r="Q106" s="35" t="str">
        <f>IF(AND(T105="",A106&lt;=S105),入力!$B$13,"")</f>
        <v>有効</v>
      </c>
      <c r="R106" s="32" t="str">
        <f>IF(AND(AND(T105="",A106&lt;=S105),OR(AND(入力!$B$13="有効",A106&gt;1,MOD(A106-1,60)=0),AND(A106=入力!$B$11,A106&gt;1)),入力!$B$14="有効"),ROUND(G105*1.25,0),"")</f>
        <v/>
      </c>
      <c r="S106" s="36">
        <f t="shared" si="32"/>
        <v>420</v>
      </c>
      <c r="T106" s="35" t="str">
        <f t="shared" si="33"/>
        <v/>
      </c>
      <c r="U106" s="3">
        <f t="shared" si="17"/>
        <v>0</v>
      </c>
      <c r="V106" s="3">
        <f t="shared" si="18"/>
        <v>0</v>
      </c>
      <c r="W106" s="3">
        <f t="shared" si="19"/>
        <v>0</v>
      </c>
      <c r="X106" s="3">
        <f t="shared" si="20"/>
        <v>0</v>
      </c>
      <c r="Y106" s="3">
        <f>0</f>
        <v>0</v>
      </c>
      <c r="Z106" s="3">
        <f t="shared" si="21"/>
        <v>0</v>
      </c>
      <c r="AA106">
        <f>ROUND(IF(A106=入力!$B$15+1,IF(E106=0,ROUND(C106/MAX(1,S105-A106+1),0),ROUND(-PMT(E106/12,MAX(1,S105-A106+1)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,0)</f>
        <v>117478</v>
      </c>
    </row>
    <row r="107" spans="1:27">
      <c r="A107" s="30">
        <f>102</f>
        <v>102</v>
      </c>
      <c r="B107" s="31">
        <f>EDATE(入力!$B$6,A107-1)</f>
        <v>49310</v>
      </c>
      <c r="C107" s="32">
        <f t="shared" si="22"/>
        <v>28204008</v>
      </c>
      <c r="D107" s="32">
        <f t="shared" si="23"/>
        <v>0</v>
      </c>
      <c r="E107" s="33">
        <f>IF(AND(T106="",A107&lt;=S106),IF(A107&lt;入力!$B$11,入力!$B$10,入力!$B$12),0)</f>
        <v>2.5000000000000001E-2</v>
      </c>
      <c r="F107" s="32">
        <f t="shared" si="24"/>
        <v>58758</v>
      </c>
      <c r="G107" s="32">
        <f>ROUND(IF(NOT(AND(T106="",A107&lt;=S106)),0,IF(A107=入力!$B$15+1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),0)</f>
        <v>117478</v>
      </c>
      <c r="H107" s="32">
        <f t="shared" si="25"/>
        <v>117478</v>
      </c>
      <c r="I107" s="32">
        <f t="shared" si="26"/>
        <v>58758</v>
      </c>
      <c r="J107" s="32">
        <f t="shared" si="27"/>
        <v>0</v>
      </c>
      <c r="K107" s="32">
        <f t="shared" si="28"/>
        <v>0</v>
      </c>
      <c r="L107" s="32">
        <f t="shared" si="29"/>
        <v>58720</v>
      </c>
      <c r="M107" s="32">
        <f>IF(AND(AND(T106="",A107&lt;=S106),A107=入力!$B$15),ROUND(MIN(入力!$B$16,MAX(0,C107-L107)),0),0)</f>
        <v>0</v>
      </c>
      <c r="N107" s="32">
        <f t="shared" si="30"/>
        <v>28145288</v>
      </c>
      <c r="O107" s="32">
        <f t="shared" si="31"/>
        <v>3718284</v>
      </c>
      <c r="P107" s="34" t="str">
        <f>IF(NOT(AND(T106="",A107&lt;=S106)),"",IF(A107=入力!$B$15+1,"繰上返済後再計算","")&amp;IF(AND(入力!$B$13="有効",A107&gt;1,MOD(A107-1,60)=0),IF(A107=入力!$B$15+1,"・","")&amp;"5年見直し","")&amp;IF(AND(A107=入力!$B$11,A107&gt;1),IF(OR(A107=入力!$B$15+1,AND(入力!$B$13="有効",A107&gt;1,MOD(A107-1,60)=0)),"・","")&amp;"金利変更","")&amp;IF(AND(OR(AND(入力!$B$13="有効",A107&gt;1,MOD(A107-1,60)=0),AND(A107=入力!$B$11,A107&gt;1)),入力!$B$14="有効",IF(E107=0,ROUND(C107/MAX(1,S106-A107+1),0),ROUND(-PMT(E107/12,MAX(1,S106-A107+1),C107),0))&gt;ROUND(G106*1.25,0),NOT(A107=入力!$B$15+1)),"・上限適用",""))</f>
        <v/>
      </c>
      <c r="Q107" s="35" t="str">
        <f>IF(AND(T106="",A107&lt;=S106),入力!$B$13,"")</f>
        <v>有効</v>
      </c>
      <c r="R107" s="32" t="str">
        <f>IF(AND(AND(T106="",A107&lt;=S106),OR(AND(入力!$B$13="有効",A107&gt;1,MOD(A107-1,60)=0),AND(A107=入力!$B$11,A107&gt;1)),入力!$B$14="有効"),ROUND(G106*1.25,0),"")</f>
        <v/>
      </c>
      <c r="S107" s="36">
        <f t="shared" si="32"/>
        <v>420</v>
      </c>
      <c r="T107" s="35" t="str">
        <f t="shared" si="33"/>
        <v/>
      </c>
      <c r="U107" s="3">
        <f t="shared" si="17"/>
        <v>0</v>
      </c>
      <c r="V107" s="3">
        <f t="shared" si="18"/>
        <v>0</v>
      </c>
      <c r="W107" s="3">
        <f t="shared" si="19"/>
        <v>0</v>
      </c>
      <c r="X107" s="3">
        <f t="shared" si="20"/>
        <v>0</v>
      </c>
      <c r="Y107" s="3">
        <f>0</f>
        <v>0</v>
      </c>
      <c r="Z107" s="3">
        <f t="shared" si="21"/>
        <v>0</v>
      </c>
      <c r="AA107">
        <f>ROUND(IF(A107=入力!$B$15+1,IF(E107=0,ROUND(C107/MAX(1,S106-A107+1),0),ROUND(-PMT(E107/12,MAX(1,S106-A107+1)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,0)</f>
        <v>117478</v>
      </c>
    </row>
    <row r="108" spans="1:27">
      <c r="A108" s="30">
        <f>103</f>
        <v>103</v>
      </c>
      <c r="B108" s="31">
        <f>EDATE(入力!$B$6,A108-1)</f>
        <v>49341</v>
      </c>
      <c r="C108" s="32">
        <f t="shared" si="22"/>
        <v>28145288</v>
      </c>
      <c r="D108" s="32">
        <f t="shared" si="23"/>
        <v>0</v>
      </c>
      <c r="E108" s="33">
        <f>IF(AND(T107="",A108&lt;=S107),IF(A108&lt;入力!$B$11,入力!$B$10,入力!$B$12),0)</f>
        <v>2.5000000000000001E-2</v>
      </c>
      <c r="F108" s="32">
        <f t="shared" si="24"/>
        <v>58636</v>
      </c>
      <c r="G108" s="32">
        <f>ROUND(IF(NOT(AND(T107="",A108&lt;=S107)),0,IF(A108=入力!$B$15+1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),0)</f>
        <v>117478</v>
      </c>
      <c r="H108" s="32">
        <f t="shared" si="25"/>
        <v>117478</v>
      </c>
      <c r="I108" s="32">
        <f t="shared" si="26"/>
        <v>58636</v>
      </c>
      <c r="J108" s="32">
        <f t="shared" si="27"/>
        <v>0</v>
      </c>
      <c r="K108" s="32">
        <f t="shared" si="28"/>
        <v>0</v>
      </c>
      <c r="L108" s="32">
        <f t="shared" si="29"/>
        <v>58842</v>
      </c>
      <c r="M108" s="32">
        <f>IF(AND(AND(T107="",A108&lt;=S107),A108=入力!$B$15),ROUND(MIN(入力!$B$16,MAX(0,C108-L108)),0),0)</f>
        <v>0</v>
      </c>
      <c r="N108" s="32">
        <f t="shared" si="30"/>
        <v>28086446</v>
      </c>
      <c r="O108" s="32">
        <f t="shared" si="31"/>
        <v>3776920</v>
      </c>
      <c r="P108" s="34" t="str">
        <f>IF(NOT(AND(T107="",A108&lt;=S107)),"",IF(A108=入力!$B$15+1,"繰上返済後再計算","")&amp;IF(AND(入力!$B$13="有効",A108&gt;1,MOD(A108-1,60)=0),IF(A108=入力!$B$15+1,"・","")&amp;"5年見直し","")&amp;IF(AND(A108=入力!$B$11,A108&gt;1),IF(OR(A108=入力!$B$15+1,AND(入力!$B$13="有効",A108&gt;1,MOD(A108-1,60)=0)),"・","")&amp;"金利変更","")&amp;IF(AND(OR(AND(入力!$B$13="有効",A108&gt;1,MOD(A108-1,60)=0),AND(A108=入力!$B$11,A108&gt;1)),入力!$B$14="有効",IF(E108=0,ROUND(C108/MAX(1,S107-A108+1),0),ROUND(-PMT(E108/12,MAX(1,S107-A108+1),C108),0))&gt;ROUND(G107*1.25,0),NOT(A108=入力!$B$15+1)),"・上限適用",""))</f>
        <v/>
      </c>
      <c r="Q108" s="35" t="str">
        <f>IF(AND(T107="",A108&lt;=S107),入力!$B$13,"")</f>
        <v>有効</v>
      </c>
      <c r="R108" s="32" t="str">
        <f>IF(AND(AND(T107="",A108&lt;=S107),OR(AND(入力!$B$13="有効",A108&gt;1,MOD(A108-1,60)=0),AND(A108=入力!$B$11,A108&gt;1)),入力!$B$14="有効"),ROUND(G107*1.25,0),"")</f>
        <v/>
      </c>
      <c r="S108" s="36">
        <f t="shared" si="32"/>
        <v>420</v>
      </c>
      <c r="T108" s="35" t="str">
        <f t="shared" si="33"/>
        <v/>
      </c>
      <c r="U108" s="3">
        <f t="shared" si="17"/>
        <v>0</v>
      </c>
      <c r="V108" s="3">
        <f t="shared" si="18"/>
        <v>0</v>
      </c>
      <c r="W108" s="3">
        <f t="shared" si="19"/>
        <v>0</v>
      </c>
      <c r="X108" s="3">
        <f t="shared" si="20"/>
        <v>0</v>
      </c>
      <c r="Y108" s="3">
        <f>0</f>
        <v>0</v>
      </c>
      <c r="Z108" s="3">
        <f t="shared" si="21"/>
        <v>0</v>
      </c>
      <c r="AA108">
        <f>ROUND(IF(A108=入力!$B$15+1,IF(E108=0,ROUND(C108/MAX(1,S107-A108+1),0),ROUND(-PMT(E108/12,MAX(1,S107-A108+1)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,0)</f>
        <v>117478</v>
      </c>
    </row>
    <row r="109" spans="1:27">
      <c r="A109" s="30">
        <f>104</f>
        <v>104</v>
      </c>
      <c r="B109" s="31">
        <f>EDATE(入力!$B$6,A109-1)</f>
        <v>49369</v>
      </c>
      <c r="C109" s="32">
        <f t="shared" si="22"/>
        <v>28086446</v>
      </c>
      <c r="D109" s="32">
        <f t="shared" si="23"/>
        <v>0</v>
      </c>
      <c r="E109" s="33">
        <f>IF(AND(T108="",A109&lt;=S108),IF(A109&lt;入力!$B$11,入力!$B$10,入力!$B$12),0)</f>
        <v>2.5000000000000001E-2</v>
      </c>
      <c r="F109" s="32">
        <f t="shared" si="24"/>
        <v>58513</v>
      </c>
      <c r="G109" s="32">
        <f>ROUND(IF(NOT(AND(T108="",A109&lt;=S108)),0,IF(A109=入力!$B$15+1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),0)</f>
        <v>117478</v>
      </c>
      <c r="H109" s="32">
        <f t="shared" si="25"/>
        <v>117478</v>
      </c>
      <c r="I109" s="32">
        <f t="shared" si="26"/>
        <v>58513</v>
      </c>
      <c r="J109" s="32">
        <f t="shared" si="27"/>
        <v>0</v>
      </c>
      <c r="K109" s="32">
        <f t="shared" si="28"/>
        <v>0</v>
      </c>
      <c r="L109" s="32">
        <f t="shared" si="29"/>
        <v>58965</v>
      </c>
      <c r="M109" s="32">
        <f>IF(AND(AND(T108="",A109&lt;=S108),A109=入力!$B$15),ROUND(MIN(入力!$B$16,MAX(0,C109-L109)),0),0)</f>
        <v>0</v>
      </c>
      <c r="N109" s="32">
        <f t="shared" si="30"/>
        <v>28027481</v>
      </c>
      <c r="O109" s="32">
        <f t="shared" si="31"/>
        <v>3835433</v>
      </c>
      <c r="P109" s="34" t="str">
        <f>IF(NOT(AND(T108="",A109&lt;=S108)),"",IF(A109=入力!$B$15+1,"繰上返済後再計算","")&amp;IF(AND(入力!$B$13="有効",A109&gt;1,MOD(A109-1,60)=0),IF(A109=入力!$B$15+1,"・","")&amp;"5年見直し","")&amp;IF(AND(A109=入力!$B$11,A109&gt;1),IF(OR(A109=入力!$B$15+1,AND(入力!$B$13="有効",A109&gt;1,MOD(A109-1,60)=0)),"・","")&amp;"金利変更","")&amp;IF(AND(OR(AND(入力!$B$13="有効",A109&gt;1,MOD(A109-1,60)=0),AND(A109=入力!$B$11,A109&gt;1)),入力!$B$14="有効",IF(E109=0,ROUND(C109/MAX(1,S108-A109+1),0),ROUND(-PMT(E109/12,MAX(1,S108-A109+1),C109),0))&gt;ROUND(G108*1.25,0),NOT(A109=入力!$B$15+1)),"・上限適用",""))</f>
        <v/>
      </c>
      <c r="Q109" s="35" t="str">
        <f>IF(AND(T108="",A109&lt;=S108),入力!$B$13,"")</f>
        <v>有効</v>
      </c>
      <c r="R109" s="32" t="str">
        <f>IF(AND(AND(T108="",A109&lt;=S108),OR(AND(入力!$B$13="有効",A109&gt;1,MOD(A109-1,60)=0),AND(A109=入力!$B$11,A109&gt;1)),入力!$B$14="有効"),ROUND(G108*1.25,0),"")</f>
        <v/>
      </c>
      <c r="S109" s="36">
        <f t="shared" si="32"/>
        <v>420</v>
      </c>
      <c r="T109" s="35" t="str">
        <f t="shared" si="33"/>
        <v/>
      </c>
      <c r="U109" s="3">
        <f t="shared" si="17"/>
        <v>0</v>
      </c>
      <c r="V109" s="3">
        <f t="shared" si="18"/>
        <v>0</v>
      </c>
      <c r="W109" s="3">
        <f t="shared" si="19"/>
        <v>0</v>
      </c>
      <c r="X109" s="3">
        <f t="shared" si="20"/>
        <v>0</v>
      </c>
      <c r="Y109" s="3">
        <f>0</f>
        <v>0</v>
      </c>
      <c r="Z109" s="3">
        <f t="shared" si="21"/>
        <v>0</v>
      </c>
      <c r="AA109">
        <f>ROUND(IF(A109=入力!$B$15+1,IF(E109=0,ROUND(C109/MAX(1,S108-A109+1),0),ROUND(-PMT(E109/12,MAX(1,S108-A109+1)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,0)</f>
        <v>117478</v>
      </c>
    </row>
    <row r="110" spans="1:27">
      <c r="A110" s="30">
        <f>105</f>
        <v>105</v>
      </c>
      <c r="B110" s="31">
        <f>EDATE(入力!$B$6,A110-1)</f>
        <v>49400</v>
      </c>
      <c r="C110" s="32">
        <f t="shared" si="22"/>
        <v>28027481</v>
      </c>
      <c r="D110" s="32">
        <f t="shared" si="23"/>
        <v>0</v>
      </c>
      <c r="E110" s="33">
        <f>IF(AND(T109="",A110&lt;=S109),IF(A110&lt;入力!$B$11,入力!$B$10,入力!$B$12),0)</f>
        <v>2.5000000000000001E-2</v>
      </c>
      <c r="F110" s="32">
        <f t="shared" si="24"/>
        <v>58391</v>
      </c>
      <c r="G110" s="32">
        <f>ROUND(IF(NOT(AND(T109="",A110&lt;=S109)),0,IF(A110=入力!$B$15+1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),0)</f>
        <v>117478</v>
      </c>
      <c r="H110" s="32">
        <f t="shared" si="25"/>
        <v>117478</v>
      </c>
      <c r="I110" s="32">
        <f t="shared" si="26"/>
        <v>58391</v>
      </c>
      <c r="J110" s="32">
        <f t="shared" si="27"/>
        <v>0</v>
      </c>
      <c r="K110" s="32">
        <f t="shared" si="28"/>
        <v>0</v>
      </c>
      <c r="L110" s="32">
        <f t="shared" si="29"/>
        <v>59087</v>
      </c>
      <c r="M110" s="32">
        <f>IF(AND(AND(T109="",A110&lt;=S109),A110=入力!$B$15),ROUND(MIN(入力!$B$16,MAX(0,C110-L110)),0),0)</f>
        <v>0</v>
      </c>
      <c r="N110" s="32">
        <f t="shared" si="30"/>
        <v>27968394</v>
      </c>
      <c r="O110" s="32">
        <f t="shared" si="31"/>
        <v>3893824</v>
      </c>
      <c r="P110" s="34" t="str">
        <f>IF(NOT(AND(T109="",A110&lt;=S109)),"",IF(A110=入力!$B$15+1,"繰上返済後再計算","")&amp;IF(AND(入力!$B$13="有効",A110&gt;1,MOD(A110-1,60)=0),IF(A110=入力!$B$15+1,"・","")&amp;"5年見直し","")&amp;IF(AND(A110=入力!$B$11,A110&gt;1),IF(OR(A110=入力!$B$15+1,AND(入力!$B$13="有効",A110&gt;1,MOD(A110-1,60)=0)),"・","")&amp;"金利変更","")&amp;IF(AND(OR(AND(入力!$B$13="有効",A110&gt;1,MOD(A110-1,60)=0),AND(A110=入力!$B$11,A110&gt;1)),入力!$B$14="有効",IF(E110=0,ROUND(C110/MAX(1,S109-A110+1),0),ROUND(-PMT(E110/12,MAX(1,S109-A110+1),C110),0))&gt;ROUND(G109*1.25,0),NOT(A110=入力!$B$15+1)),"・上限適用",""))</f>
        <v/>
      </c>
      <c r="Q110" s="35" t="str">
        <f>IF(AND(T109="",A110&lt;=S109),入力!$B$13,"")</f>
        <v>有効</v>
      </c>
      <c r="R110" s="32" t="str">
        <f>IF(AND(AND(T109="",A110&lt;=S109),OR(AND(入力!$B$13="有効",A110&gt;1,MOD(A110-1,60)=0),AND(A110=入力!$B$11,A110&gt;1)),入力!$B$14="有効"),ROUND(G109*1.25,0),"")</f>
        <v/>
      </c>
      <c r="S110" s="36">
        <f t="shared" si="32"/>
        <v>420</v>
      </c>
      <c r="T110" s="35" t="str">
        <f t="shared" si="33"/>
        <v/>
      </c>
      <c r="U110" s="3">
        <f t="shared" si="17"/>
        <v>0</v>
      </c>
      <c r="V110" s="3">
        <f t="shared" si="18"/>
        <v>0</v>
      </c>
      <c r="W110" s="3">
        <f t="shared" si="19"/>
        <v>0</v>
      </c>
      <c r="X110" s="3">
        <f t="shared" si="20"/>
        <v>0</v>
      </c>
      <c r="Y110" s="3">
        <f>0</f>
        <v>0</v>
      </c>
      <c r="Z110" s="3">
        <f t="shared" si="21"/>
        <v>0</v>
      </c>
      <c r="AA110">
        <f>ROUND(IF(A110=入力!$B$15+1,IF(E110=0,ROUND(C110/MAX(1,S109-A110+1),0),ROUND(-PMT(E110/12,MAX(1,S109-A110+1)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,0)</f>
        <v>117478</v>
      </c>
    </row>
    <row r="111" spans="1:27">
      <c r="A111" s="30">
        <f>106</f>
        <v>106</v>
      </c>
      <c r="B111" s="31">
        <f>EDATE(入力!$B$6,A111-1)</f>
        <v>49430</v>
      </c>
      <c r="C111" s="32">
        <f t="shared" si="22"/>
        <v>27968394</v>
      </c>
      <c r="D111" s="32">
        <f t="shared" si="23"/>
        <v>0</v>
      </c>
      <c r="E111" s="33">
        <f>IF(AND(T110="",A111&lt;=S110),IF(A111&lt;入力!$B$11,入力!$B$10,入力!$B$12),0)</f>
        <v>2.5000000000000001E-2</v>
      </c>
      <c r="F111" s="32">
        <f t="shared" si="24"/>
        <v>58267</v>
      </c>
      <c r="G111" s="32">
        <f>ROUND(IF(NOT(AND(T110="",A111&lt;=S110)),0,IF(A111=入力!$B$15+1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),0)</f>
        <v>117478</v>
      </c>
      <c r="H111" s="32">
        <f t="shared" si="25"/>
        <v>117478</v>
      </c>
      <c r="I111" s="32">
        <f t="shared" si="26"/>
        <v>58267</v>
      </c>
      <c r="J111" s="32">
        <f t="shared" si="27"/>
        <v>0</v>
      </c>
      <c r="K111" s="32">
        <f t="shared" si="28"/>
        <v>0</v>
      </c>
      <c r="L111" s="32">
        <f t="shared" si="29"/>
        <v>59211</v>
      </c>
      <c r="M111" s="32">
        <f>IF(AND(AND(T110="",A111&lt;=S110),A111=入力!$B$15),ROUND(MIN(入力!$B$16,MAX(0,C111-L111)),0),0)</f>
        <v>0</v>
      </c>
      <c r="N111" s="32">
        <f t="shared" si="30"/>
        <v>27909183</v>
      </c>
      <c r="O111" s="32">
        <f t="shared" si="31"/>
        <v>3952091</v>
      </c>
      <c r="P111" s="34" t="str">
        <f>IF(NOT(AND(T110="",A111&lt;=S110)),"",IF(A111=入力!$B$15+1,"繰上返済後再計算","")&amp;IF(AND(入力!$B$13="有効",A111&gt;1,MOD(A111-1,60)=0),IF(A111=入力!$B$15+1,"・","")&amp;"5年見直し","")&amp;IF(AND(A111=入力!$B$11,A111&gt;1),IF(OR(A111=入力!$B$15+1,AND(入力!$B$13="有効",A111&gt;1,MOD(A111-1,60)=0)),"・","")&amp;"金利変更","")&amp;IF(AND(OR(AND(入力!$B$13="有効",A111&gt;1,MOD(A111-1,60)=0),AND(A111=入力!$B$11,A111&gt;1)),入力!$B$14="有効",IF(E111=0,ROUND(C111/MAX(1,S110-A111+1),0),ROUND(-PMT(E111/12,MAX(1,S110-A111+1),C111),0))&gt;ROUND(G110*1.25,0),NOT(A111=入力!$B$15+1)),"・上限適用",""))</f>
        <v/>
      </c>
      <c r="Q111" s="35" t="str">
        <f>IF(AND(T110="",A111&lt;=S110),入力!$B$13,"")</f>
        <v>有効</v>
      </c>
      <c r="R111" s="32" t="str">
        <f>IF(AND(AND(T110="",A111&lt;=S110),OR(AND(入力!$B$13="有効",A111&gt;1,MOD(A111-1,60)=0),AND(A111=入力!$B$11,A111&gt;1)),入力!$B$14="有効"),ROUND(G110*1.25,0),"")</f>
        <v/>
      </c>
      <c r="S111" s="36">
        <f t="shared" si="32"/>
        <v>420</v>
      </c>
      <c r="T111" s="35" t="str">
        <f t="shared" si="33"/>
        <v/>
      </c>
      <c r="U111" s="3">
        <f t="shared" si="17"/>
        <v>0</v>
      </c>
      <c r="V111" s="3">
        <f t="shared" si="18"/>
        <v>0</v>
      </c>
      <c r="W111" s="3">
        <f t="shared" si="19"/>
        <v>0</v>
      </c>
      <c r="X111" s="3">
        <f t="shared" si="20"/>
        <v>0</v>
      </c>
      <c r="Y111" s="3">
        <f>0</f>
        <v>0</v>
      </c>
      <c r="Z111" s="3">
        <f t="shared" si="21"/>
        <v>0</v>
      </c>
      <c r="AA111">
        <f>ROUND(IF(A111=入力!$B$15+1,IF(E111=0,ROUND(C111/MAX(1,S110-A111+1),0),ROUND(-PMT(E111/12,MAX(1,S110-A111+1)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,0)</f>
        <v>117478</v>
      </c>
    </row>
    <row r="112" spans="1:27">
      <c r="A112" s="30">
        <f>107</f>
        <v>107</v>
      </c>
      <c r="B112" s="31">
        <f>EDATE(入力!$B$6,A112-1)</f>
        <v>49461</v>
      </c>
      <c r="C112" s="32">
        <f t="shared" si="22"/>
        <v>27909183</v>
      </c>
      <c r="D112" s="32">
        <f t="shared" si="23"/>
        <v>0</v>
      </c>
      <c r="E112" s="33">
        <f>IF(AND(T111="",A112&lt;=S111),IF(A112&lt;入力!$B$11,入力!$B$10,入力!$B$12),0)</f>
        <v>2.5000000000000001E-2</v>
      </c>
      <c r="F112" s="32">
        <f t="shared" si="24"/>
        <v>58144</v>
      </c>
      <c r="G112" s="32">
        <f>ROUND(IF(NOT(AND(T111="",A112&lt;=S111)),0,IF(A112=入力!$B$15+1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),0)</f>
        <v>117478</v>
      </c>
      <c r="H112" s="32">
        <f t="shared" si="25"/>
        <v>117478</v>
      </c>
      <c r="I112" s="32">
        <f t="shared" si="26"/>
        <v>58144</v>
      </c>
      <c r="J112" s="32">
        <f t="shared" si="27"/>
        <v>0</v>
      </c>
      <c r="K112" s="32">
        <f t="shared" si="28"/>
        <v>0</v>
      </c>
      <c r="L112" s="32">
        <f t="shared" si="29"/>
        <v>59334</v>
      </c>
      <c r="M112" s="32">
        <f>IF(AND(AND(T111="",A112&lt;=S111),A112=入力!$B$15),ROUND(MIN(入力!$B$16,MAX(0,C112-L112)),0),0)</f>
        <v>0</v>
      </c>
      <c r="N112" s="32">
        <f t="shared" si="30"/>
        <v>27849849</v>
      </c>
      <c r="O112" s="32">
        <f t="shared" si="31"/>
        <v>4010235</v>
      </c>
      <c r="P112" s="34" t="str">
        <f>IF(NOT(AND(T111="",A112&lt;=S111)),"",IF(A112=入力!$B$15+1,"繰上返済後再計算","")&amp;IF(AND(入力!$B$13="有効",A112&gt;1,MOD(A112-1,60)=0),IF(A112=入力!$B$15+1,"・","")&amp;"5年見直し","")&amp;IF(AND(A112=入力!$B$11,A112&gt;1),IF(OR(A112=入力!$B$15+1,AND(入力!$B$13="有効",A112&gt;1,MOD(A112-1,60)=0)),"・","")&amp;"金利変更","")&amp;IF(AND(OR(AND(入力!$B$13="有効",A112&gt;1,MOD(A112-1,60)=0),AND(A112=入力!$B$11,A112&gt;1)),入力!$B$14="有効",IF(E112=0,ROUND(C112/MAX(1,S111-A112+1),0),ROUND(-PMT(E112/12,MAX(1,S111-A112+1),C112),0))&gt;ROUND(G111*1.25,0),NOT(A112=入力!$B$15+1)),"・上限適用",""))</f>
        <v/>
      </c>
      <c r="Q112" s="35" t="str">
        <f>IF(AND(T111="",A112&lt;=S111),入力!$B$13,"")</f>
        <v>有効</v>
      </c>
      <c r="R112" s="32" t="str">
        <f>IF(AND(AND(T111="",A112&lt;=S111),OR(AND(入力!$B$13="有効",A112&gt;1,MOD(A112-1,60)=0),AND(A112=入力!$B$11,A112&gt;1)),入力!$B$14="有効"),ROUND(G111*1.25,0),"")</f>
        <v/>
      </c>
      <c r="S112" s="36">
        <f t="shared" si="32"/>
        <v>420</v>
      </c>
      <c r="T112" s="35" t="str">
        <f t="shared" si="33"/>
        <v/>
      </c>
      <c r="U112" s="3">
        <f t="shared" si="17"/>
        <v>0</v>
      </c>
      <c r="V112" s="3">
        <f t="shared" si="18"/>
        <v>0</v>
      </c>
      <c r="W112" s="3">
        <f t="shared" si="19"/>
        <v>0</v>
      </c>
      <c r="X112" s="3">
        <f t="shared" si="20"/>
        <v>0</v>
      </c>
      <c r="Y112" s="3">
        <f>0</f>
        <v>0</v>
      </c>
      <c r="Z112" s="3">
        <f t="shared" si="21"/>
        <v>0</v>
      </c>
      <c r="AA112">
        <f>ROUND(IF(A112=入力!$B$15+1,IF(E112=0,ROUND(C112/MAX(1,S111-A112+1),0),ROUND(-PMT(E112/12,MAX(1,S111-A112+1)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,0)</f>
        <v>117478</v>
      </c>
    </row>
    <row r="113" spans="1:27">
      <c r="A113" s="30">
        <f>108</f>
        <v>108</v>
      </c>
      <c r="B113" s="31">
        <f>EDATE(入力!$B$6,A113-1)</f>
        <v>49491</v>
      </c>
      <c r="C113" s="32">
        <f t="shared" si="22"/>
        <v>27849849</v>
      </c>
      <c r="D113" s="32">
        <f t="shared" si="23"/>
        <v>0</v>
      </c>
      <c r="E113" s="33">
        <f>IF(AND(T112="",A113&lt;=S112),IF(A113&lt;入力!$B$11,入力!$B$10,入力!$B$12),0)</f>
        <v>2.5000000000000001E-2</v>
      </c>
      <c r="F113" s="32">
        <f t="shared" si="24"/>
        <v>58021</v>
      </c>
      <c r="G113" s="32">
        <f>ROUND(IF(NOT(AND(T112="",A113&lt;=S112)),0,IF(A113=入力!$B$15+1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),0)</f>
        <v>117478</v>
      </c>
      <c r="H113" s="32">
        <f t="shared" si="25"/>
        <v>117478</v>
      </c>
      <c r="I113" s="32">
        <f t="shared" si="26"/>
        <v>58021</v>
      </c>
      <c r="J113" s="32">
        <f t="shared" si="27"/>
        <v>0</v>
      </c>
      <c r="K113" s="32">
        <f t="shared" si="28"/>
        <v>0</v>
      </c>
      <c r="L113" s="32">
        <f t="shared" si="29"/>
        <v>59457</v>
      </c>
      <c r="M113" s="32">
        <f>IF(AND(AND(T112="",A113&lt;=S112),A113=入力!$B$15),ROUND(MIN(入力!$B$16,MAX(0,C113-L113)),0),0)</f>
        <v>0</v>
      </c>
      <c r="N113" s="32">
        <f t="shared" si="30"/>
        <v>27790392</v>
      </c>
      <c r="O113" s="32">
        <f t="shared" si="31"/>
        <v>4068256</v>
      </c>
      <c r="P113" s="34" t="str">
        <f>IF(NOT(AND(T112="",A113&lt;=S112)),"",IF(A113=入力!$B$15+1,"繰上返済後再計算","")&amp;IF(AND(入力!$B$13="有効",A113&gt;1,MOD(A113-1,60)=0),IF(A113=入力!$B$15+1,"・","")&amp;"5年見直し","")&amp;IF(AND(A113=入力!$B$11,A113&gt;1),IF(OR(A113=入力!$B$15+1,AND(入力!$B$13="有効",A113&gt;1,MOD(A113-1,60)=0)),"・","")&amp;"金利変更","")&amp;IF(AND(OR(AND(入力!$B$13="有効",A113&gt;1,MOD(A113-1,60)=0),AND(A113=入力!$B$11,A113&gt;1)),入力!$B$14="有効",IF(E113=0,ROUND(C113/MAX(1,S112-A113+1),0),ROUND(-PMT(E113/12,MAX(1,S112-A113+1),C113),0))&gt;ROUND(G112*1.25,0),NOT(A113=入力!$B$15+1)),"・上限適用",""))</f>
        <v/>
      </c>
      <c r="Q113" s="35" t="str">
        <f>IF(AND(T112="",A113&lt;=S112),入力!$B$13,"")</f>
        <v>有効</v>
      </c>
      <c r="R113" s="32" t="str">
        <f>IF(AND(AND(T112="",A113&lt;=S112),OR(AND(入力!$B$13="有効",A113&gt;1,MOD(A113-1,60)=0),AND(A113=入力!$B$11,A113&gt;1)),入力!$B$14="有効"),ROUND(G112*1.25,0),"")</f>
        <v/>
      </c>
      <c r="S113" s="36">
        <f t="shared" si="32"/>
        <v>420</v>
      </c>
      <c r="T113" s="35" t="str">
        <f t="shared" si="33"/>
        <v/>
      </c>
      <c r="U113" s="3">
        <f t="shared" si="17"/>
        <v>0</v>
      </c>
      <c r="V113" s="3">
        <f t="shared" si="18"/>
        <v>0</v>
      </c>
      <c r="W113" s="3">
        <f t="shared" si="19"/>
        <v>0</v>
      </c>
      <c r="X113" s="3">
        <f t="shared" si="20"/>
        <v>0</v>
      </c>
      <c r="Y113" s="3">
        <f>0</f>
        <v>0</v>
      </c>
      <c r="Z113" s="3">
        <f t="shared" si="21"/>
        <v>0</v>
      </c>
      <c r="AA113">
        <f>ROUND(IF(A113=入力!$B$15+1,IF(E113=0,ROUND(C113/MAX(1,S112-A113+1),0),ROUND(-PMT(E113/12,MAX(1,S112-A113+1)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,0)</f>
        <v>117478</v>
      </c>
    </row>
    <row r="114" spans="1:27">
      <c r="A114" s="30">
        <f>109</f>
        <v>109</v>
      </c>
      <c r="B114" s="31">
        <f>EDATE(入力!$B$6,A114-1)</f>
        <v>49522</v>
      </c>
      <c r="C114" s="32">
        <f t="shared" si="22"/>
        <v>27790392</v>
      </c>
      <c r="D114" s="32">
        <f t="shared" si="23"/>
        <v>0</v>
      </c>
      <c r="E114" s="33">
        <f>IF(AND(T113="",A114&lt;=S113),IF(A114&lt;入力!$B$11,入力!$B$10,入力!$B$12),0)</f>
        <v>2.5000000000000001E-2</v>
      </c>
      <c r="F114" s="32">
        <f t="shared" si="24"/>
        <v>57897</v>
      </c>
      <c r="G114" s="32">
        <f>ROUND(IF(NOT(AND(T113="",A114&lt;=S113)),0,IF(A114=入力!$B$15+1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),0)</f>
        <v>117478</v>
      </c>
      <c r="H114" s="32">
        <f t="shared" si="25"/>
        <v>117478</v>
      </c>
      <c r="I114" s="32">
        <f t="shared" si="26"/>
        <v>57897</v>
      </c>
      <c r="J114" s="32">
        <f t="shared" si="27"/>
        <v>0</v>
      </c>
      <c r="K114" s="32">
        <f t="shared" si="28"/>
        <v>0</v>
      </c>
      <c r="L114" s="32">
        <f t="shared" si="29"/>
        <v>59581</v>
      </c>
      <c r="M114" s="32">
        <f>IF(AND(AND(T113="",A114&lt;=S113),A114=入力!$B$15),ROUND(MIN(入力!$B$16,MAX(0,C114-L114)),0),0)</f>
        <v>0</v>
      </c>
      <c r="N114" s="32">
        <f t="shared" si="30"/>
        <v>27730811</v>
      </c>
      <c r="O114" s="32">
        <f t="shared" si="31"/>
        <v>4126153</v>
      </c>
      <c r="P114" s="34" t="str">
        <f>IF(NOT(AND(T113="",A114&lt;=S113)),"",IF(A114=入力!$B$15+1,"繰上返済後再計算","")&amp;IF(AND(入力!$B$13="有効",A114&gt;1,MOD(A114-1,60)=0),IF(A114=入力!$B$15+1,"・","")&amp;"5年見直し","")&amp;IF(AND(A114=入力!$B$11,A114&gt;1),IF(OR(A114=入力!$B$15+1,AND(入力!$B$13="有効",A114&gt;1,MOD(A114-1,60)=0)),"・","")&amp;"金利変更","")&amp;IF(AND(OR(AND(入力!$B$13="有効",A114&gt;1,MOD(A114-1,60)=0),AND(A114=入力!$B$11,A114&gt;1)),入力!$B$14="有効",IF(E114=0,ROUND(C114/MAX(1,S113-A114+1),0),ROUND(-PMT(E114/12,MAX(1,S113-A114+1),C114),0))&gt;ROUND(G113*1.25,0),NOT(A114=入力!$B$15+1)),"・上限適用",""))</f>
        <v/>
      </c>
      <c r="Q114" s="35" t="str">
        <f>IF(AND(T113="",A114&lt;=S113),入力!$B$13,"")</f>
        <v>有効</v>
      </c>
      <c r="R114" s="32" t="str">
        <f>IF(AND(AND(T113="",A114&lt;=S113),OR(AND(入力!$B$13="有効",A114&gt;1,MOD(A114-1,60)=0),AND(A114=入力!$B$11,A114&gt;1)),入力!$B$14="有効"),ROUND(G113*1.25,0),"")</f>
        <v/>
      </c>
      <c r="S114" s="36">
        <f t="shared" si="32"/>
        <v>420</v>
      </c>
      <c r="T114" s="35" t="str">
        <f t="shared" si="33"/>
        <v/>
      </c>
      <c r="U114" s="3">
        <f t="shared" si="17"/>
        <v>0</v>
      </c>
      <c r="V114" s="3">
        <f t="shared" si="18"/>
        <v>0</v>
      </c>
      <c r="W114" s="3">
        <f t="shared" si="19"/>
        <v>0</v>
      </c>
      <c r="X114" s="3">
        <f t="shared" si="20"/>
        <v>0</v>
      </c>
      <c r="Y114" s="3">
        <f>0</f>
        <v>0</v>
      </c>
      <c r="Z114" s="3">
        <f t="shared" si="21"/>
        <v>0</v>
      </c>
      <c r="AA114">
        <f>ROUND(IF(A114=入力!$B$15+1,IF(E114=0,ROUND(C114/MAX(1,S113-A114+1),0),ROUND(-PMT(E114/12,MAX(1,S113-A114+1)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,0)</f>
        <v>117478</v>
      </c>
    </row>
    <row r="115" spans="1:27">
      <c r="A115" s="30">
        <f>110</f>
        <v>110</v>
      </c>
      <c r="B115" s="31">
        <f>EDATE(入力!$B$6,A115-1)</f>
        <v>49553</v>
      </c>
      <c r="C115" s="32">
        <f t="shared" si="22"/>
        <v>27730811</v>
      </c>
      <c r="D115" s="32">
        <f t="shared" si="23"/>
        <v>0</v>
      </c>
      <c r="E115" s="33">
        <f>IF(AND(T114="",A115&lt;=S114),IF(A115&lt;入力!$B$11,入力!$B$10,入力!$B$12),0)</f>
        <v>2.5000000000000001E-2</v>
      </c>
      <c r="F115" s="32">
        <f t="shared" si="24"/>
        <v>57773</v>
      </c>
      <c r="G115" s="32">
        <f>ROUND(IF(NOT(AND(T114="",A115&lt;=S114)),0,IF(A115=入力!$B$15+1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),0)</f>
        <v>117478</v>
      </c>
      <c r="H115" s="32">
        <f t="shared" si="25"/>
        <v>117478</v>
      </c>
      <c r="I115" s="32">
        <f t="shared" si="26"/>
        <v>57773</v>
      </c>
      <c r="J115" s="32">
        <f t="shared" si="27"/>
        <v>0</v>
      </c>
      <c r="K115" s="32">
        <f t="shared" si="28"/>
        <v>0</v>
      </c>
      <c r="L115" s="32">
        <f t="shared" si="29"/>
        <v>59705</v>
      </c>
      <c r="M115" s="32">
        <f>IF(AND(AND(T114="",A115&lt;=S114),A115=入力!$B$15),ROUND(MIN(入力!$B$16,MAX(0,C115-L115)),0),0)</f>
        <v>0</v>
      </c>
      <c r="N115" s="32">
        <f t="shared" si="30"/>
        <v>27671106</v>
      </c>
      <c r="O115" s="32">
        <f t="shared" si="31"/>
        <v>4183926</v>
      </c>
      <c r="P115" s="34" t="str">
        <f>IF(NOT(AND(T114="",A115&lt;=S114)),"",IF(A115=入力!$B$15+1,"繰上返済後再計算","")&amp;IF(AND(入力!$B$13="有効",A115&gt;1,MOD(A115-1,60)=0),IF(A115=入力!$B$15+1,"・","")&amp;"5年見直し","")&amp;IF(AND(A115=入力!$B$11,A115&gt;1),IF(OR(A115=入力!$B$15+1,AND(入力!$B$13="有効",A115&gt;1,MOD(A115-1,60)=0)),"・","")&amp;"金利変更","")&amp;IF(AND(OR(AND(入力!$B$13="有効",A115&gt;1,MOD(A115-1,60)=0),AND(A115=入力!$B$11,A115&gt;1)),入力!$B$14="有効",IF(E115=0,ROUND(C115/MAX(1,S114-A115+1),0),ROUND(-PMT(E115/12,MAX(1,S114-A115+1),C115),0))&gt;ROUND(G114*1.25,0),NOT(A115=入力!$B$15+1)),"・上限適用",""))</f>
        <v/>
      </c>
      <c r="Q115" s="35" t="str">
        <f>IF(AND(T114="",A115&lt;=S114),入力!$B$13,"")</f>
        <v>有効</v>
      </c>
      <c r="R115" s="32" t="str">
        <f>IF(AND(AND(T114="",A115&lt;=S114),OR(AND(入力!$B$13="有効",A115&gt;1,MOD(A115-1,60)=0),AND(A115=入力!$B$11,A115&gt;1)),入力!$B$14="有効"),ROUND(G114*1.25,0),"")</f>
        <v/>
      </c>
      <c r="S115" s="36">
        <f t="shared" si="32"/>
        <v>420</v>
      </c>
      <c r="T115" s="35" t="str">
        <f t="shared" si="33"/>
        <v/>
      </c>
      <c r="U115" s="3">
        <f t="shared" si="17"/>
        <v>0</v>
      </c>
      <c r="V115" s="3">
        <f t="shared" si="18"/>
        <v>0</v>
      </c>
      <c r="W115" s="3">
        <f t="shared" si="19"/>
        <v>0</v>
      </c>
      <c r="X115" s="3">
        <f t="shared" si="20"/>
        <v>0</v>
      </c>
      <c r="Y115" s="3">
        <f>0</f>
        <v>0</v>
      </c>
      <c r="Z115" s="3">
        <f t="shared" si="21"/>
        <v>0</v>
      </c>
      <c r="AA115">
        <f>ROUND(IF(A115=入力!$B$15+1,IF(E115=0,ROUND(C115/MAX(1,S114-A115+1),0),ROUND(-PMT(E115/12,MAX(1,S114-A115+1)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,0)</f>
        <v>117478</v>
      </c>
    </row>
    <row r="116" spans="1:27">
      <c r="A116" s="30">
        <f>111</f>
        <v>111</v>
      </c>
      <c r="B116" s="31">
        <f>EDATE(入力!$B$6,A116-1)</f>
        <v>49583</v>
      </c>
      <c r="C116" s="32">
        <f t="shared" si="22"/>
        <v>27671106</v>
      </c>
      <c r="D116" s="32">
        <f t="shared" si="23"/>
        <v>0</v>
      </c>
      <c r="E116" s="33">
        <f>IF(AND(T115="",A116&lt;=S115),IF(A116&lt;入力!$B$11,入力!$B$10,入力!$B$12),0)</f>
        <v>2.5000000000000001E-2</v>
      </c>
      <c r="F116" s="32">
        <f t="shared" si="24"/>
        <v>57648</v>
      </c>
      <c r="G116" s="32">
        <f>ROUND(IF(NOT(AND(T115="",A116&lt;=S115)),0,IF(A116=入力!$B$15+1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),0)</f>
        <v>117478</v>
      </c>
      <c r="H116" s="32">
        <f t="shared" si="25"/>
        <v>117478</v>
      </c>
      <c r="I116" s="32">
        <f t="shared" si="26"/>
        <v>57648</v>
      </c>
      <c r="J116" s="32">
        <f t="shared" si="27"/>
        <v>0</v>
      </c>
      <c r="K116" s="32">
        <f t="shared" si="28"/>
        <v>0</v>
      </c>
      <c r="L116" s="32">
        <f t="shared" si="29"/>
        <v>59830</v>
      </c>
      <c r="M116" s="32">
        <f>IF(AND(AND(T115="",A116&lt;=S115),A116=入力!$B$15),ROUND(MIN(入力!$B$16,MAX(0,C116-L116)),0),0)</f>
        <v>0</v>
      </c>
      <c r="N116" s="32">
        <f t="shared" si="30"/>
        <v>27611276</v>
      </c>
      <c r="O116" s="32">
        <f t="shared" si="31"/>
        <v>4241574</v>
      </c>
      <c r="P116" s="34" t="str">
        <f>IF(NOT(AND(T115="",A116&lt;=S115)),"",IF(A116=入力!$B$15+1,"繰上返済後再計算","")&amp;IF(AND(入力!$B$13="有効",A116&gt;1,MOD(A116-1,60)=0),IF(A116=入力!$B$15+1,"・","")&amp;"5年見直し","")&amp;IF(AND(A116=入力!$B$11,A116&gt;1),IF(OR(A116=入力!$B$15+1,AND(入力!$B$13="有効",A116&gt;1,MOD(A116-1,60)=0)),"・","")&amp;"金利変更","")&amp;IF(AND(OR(AND(入力!$B$13="有効",A116&gt;1,MOD(A116-1,60)=0),AND(A116=入力!$B$11,A116&gt;1)),入力!$B$14="有効",IF(E116=0,ROUND(C116/MAX(1,S115-A116+1),0),ROUND(-PMT(E116/12,MAX(1,S115-A116+1),C116),0))&gt;ROUND(G115*1.25,0),NOT(A116=入力!$B$15+1)),"・上限適用",""))</f>
        <v/>
      </c>
      <c r="Q116" s="35" t="str">
        <f>IF(AND(T115="",A116&lt;=S115),入力!$B$13,"")</f>
        <v>有効</v>
      </c>
      <c r="R116" s="32" t="str">
        <f>IF(AND(AND(T115="",A116&lt;=S115),OR(AND(入力!$B$13="有効",A116&gt;1,MOD(A116-1,60)=0),AND(A116=入力!$B$11,A116&gt;1)),入力!$B$14="有効"),ROUND(G115*1.25,0),"")</f>
        <v/>
      </c>
      <c r="S116" s="36">
        <f t="shared" si="32"/>
        <v>420</v>
      </c>
      <c r="T116" s="35" t="str">
        <f t="shared" si="33"/>
        <v/>
      </c>
      <c r="U116" s="3">
        <f t="shared" si="17"/>
        <v>0</v>
      </c>
      <c r="V116" s="3">
        <f t="shared" si="18"/>
        <v>0</v>
      </c>
      <c r="W116" s="3">
        <f t="shared" si="19"/>
        <v>0</v>
      </c>
      <c r="X116" s="3">
        <f t="shared" si="20"/>
        <v>0</v>
      </c>
      <c r="Y116" s="3">
        <f>0</f>
        <v>0</v>
      </c>
      <c r="Z116" s="3">
        <f t="shared" si="21"/>
        <v>0</v>
      </c>
      <c r="AA116">
        <f>ROUND(IF(A116=入力!$B$15+1,IF(E116=0,ROUND(C116/MAX(1,S115-A116+1),0),ROUND(-PMT(E116/12,MAX(1,S115-A116+1)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,0)</f>
        <v>117478</v>
      </c>
    </row>
    <row r="117" spans="1:27">
      <c r="A117" s="30">
        <f>112</f>
        <v>112</v>
      </c>
      <c r="B117" s="31">
        <f>EDATE(入力!$B$6,A117-1)</f>
        <v>49614</v>
      </c>
      <c r="C117" s="32">
        <f t="shared" si="22"/>
        <v>27611276</v>
      </c>
      <c r="D117" s="32">
        <f t="shared" si="23"/>
        <v>0</v>
      </c>
      <c r="E117" s="33">
        <f>IF(AND(T116="",A117&lt;=S116),IF(A117&lt;入力!$B$11,入力!$B$10,入力!$B$12),0)</f>
        <v>2.5000000000000001E-2</v>
      </c>
      <c r="F117" s="32">
        <f t="shared" si="24"/>
        <v>57523</v>
      </c>
      <c r="G117" s="32">
        <f>ROUND(IF(NOT(AND(T116="",A117&lt;=S116)),0,IF(A117=入力!$B$15+1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),0)</f>
        <v>117478</v>
      </c>
      <c r="H117" s="32">
        <f t="shared" si="25"/>
        <v>117478</v>
      </c>
      <c r="I117" s="32">
        <f t="shared" si="26"/>
        <v>57523</v>
      </c>
      <c r="J117" s="32">
        <f t="shared" si="27"/>
        <v>0</v>
      </c>
      <c r="K117" s="32">
        <f t="shared" si="28"/>
        <v>0</v>
      </c>
      <c r="L117" s="32">
        <f t="shared" si="29"/>
        <v>59955</v>
      </c>
      <c r="M117" s="32">
        <f>IF(AND(AND(T116="",A117&lt;=S116),A117=入力!$B$15),ROUND(MIN(入力!$B$16,MAX(0,C117-L117)),0),0)</f>
        <v>0</v>
      </c>
      <c r="N117" s="32">
        <f t="shared" si="30"/>
        <v>27551321</v>
      </c>
      <c r="O117" s="32">
        <f t="shared" si="31"/>
        <v>4299097</v>
      </c>
      <c r="P117" s="34" t="str">
        <f>IF(NOT(AND(T116="",A117&lt;=S116)),"",IF(A117=入力!$B$15+1,"繰上返済後再計算","")&amp;IF(AND(入力!$B$13="有効",A117&gt;1,MOD(A117-1,60)=0),IF(A117=入力!$B$15+1,"・","")&amp;"5年見直し","")&amp;IF(AND(A117=入力!$B$11,A117&gt;1),IF(OR(A117=入力!$B$15+1,AND(入力!$B$13="有効",A117&gt;1,MOD(A117-1,60)=0)),"・","")&amp;"金利変更","")&amp;IF(AND(OR(AND(入力!$B$13="有効",A117&gt;1,MOD(A117-1,60)=0),AND(A117=入力!$B$11,A117&gt;1)),入力!$B$14="有効",IF(E117=0,ROUND(C117/MAX(1,S116-A117+1),0),ROUND(-PMT(E117/12,MAX(1,S116-A117+1),C117),0))&gt;ROUND(G116*1.25,0),NOT(A117=入力!$B$15+1)),"・上限適用",""))</f>
        <v/>
      </c>
      <c r="Q117" s="35" t="str">
        <f>IF(AND(T116="",A117&lt;=S116),入力!$B$13,"")</f>
        <v>有効</v>
      </c>
      <c r="R117" s="32" t="str">
        <f>IF(AND(AND(T116="",A117&lt;=S116),OR(AND(入力!$B$13="有効",A117&gt;1,MOD(A117-1,60)=0),AND(A117=入力!$B$11,A117&gt;1)),入力!$B$14="有効"),ROUND(G116*1.25,0),"")</f>
        <v/>
      </c>
      <c r="S117" s="36">
        <f t="shared" si="32"/>
        <v>420</v>
      </c>
      <c r="T117" s="35" t="str">
        <f t="shared" si="33"/>
        <v/>
      </c>
      <c r="U117" s="3">
        <f t="shared" si="17"/>
        <v>0</v>
      </c>
      <c r="V117" s="3">
        <f t="shared" si="18"/>
        <v>0</v>
      </c>
      <c r="W117" s="3">
        <f t="shared" si="19"/>
        <v>0</v>
      </c>
      <c r="X117" s="3">
        <f t="shared" si="20"/>
        <v>0</v>
      </c>
      <c r="Y117" s="3">
        <f>0</f>
        <v>0</v>
      </c>
      <c r="Z117" s="3">
        <f t="shared" si="21"/>
        <v>0</v>
      </c>
      <c r="AA117">
        <f>ROUND(IF(A117=入力!$B$15+1,IF(E117=0,ROUND(C117/MAX(1,S116-A117+1),0),ROUND(-PMT(E117/12,MAX(1,S116-A117+1)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,0)</f>
        <v>117478</v>
      </c>
    </row>
    <row r="118" spans="1:27">
      <c r="A118" s="30">
        <f>113</f>
        <v>113</v>
      </c>
      <c r="B118" s="31">
        <f>EDATE(入力!$B$6,A118-1)</f>
        <v>49644</v>
      </c>
      <c r="C118" s="32">
        <f t="shared" si="22"/>
        <v>27551321</v>
      </c>
      <c r="D118" s="32">
        <f t="shared" si="23"/>
        <v>0</v>
      </c>
      <c r="E118" s="33">
        <f>IF(AND(T117="",A118&lt;=S117),IF(A118&lt;入力!$B$11,入力!$B$10,入力!$B$12),0)</f>
        <v>2.5000000000000001E-2</v>
      </c>
      <c r="F118" s="32">
        <f t="shared" si="24"/>
        <v>57399</v>
      </c>
      <c r="G118" s="32">
        <f>ROUND(IF(NOT(AND(T117="",A118&lt;=S117)),0,IF(A118=入力!$B$15+1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),0)</f>
        <v>117478</v>
      </c>
      <c r="H118" s="32">
        <f t="shared" si="25"/>
        <v>117478</v>
      </c>
      <c r="I118" s="32">
        <f t="shared" si="26"/>
        <v>57399</v>
      </c>
      <c r="J118" s="32">
        <f t="shared" si="27"/>
        <v>0</v>
      </c>
      <c r="K118" s="32">
        <f t="shared" si="28"/>
        <v>0</v>
      </c>
      <c r="L118" s="32">
        <f t="shared" si="29"/>
        <v>60079</v>
      </c>
      <c r="M118" s="32">
        <f>IF(AND(AND(T117="",A118&lt;=S117),A118=入力!$B$15),ROUND(MIN(入力!$B$16,MAX(0,C118-L118)),0),0)</f>
        <v>0</v>
      </c>
      <c r="N118" s="32">
        <f t="shared" si="30"/>
        <v>27491242</v>
      </c>
      <c r="O118" s="32">
        <f t="shared" si="31"/>
        <v>4356496</v>
      </c>
      <c r="P118" s="34" t="str">
        <f>IF(NOT(AND(T117="",A118&lt;=S117)),"",IF(A118=入力!$B$15+1,"繰上返済後再計算","")&amp;IF(AND(入力!$B$13="有効",A118&gt;1,MOD(A118-1,60)=0),IF(A118=入力!$B$15+1,"・","")&amp;"5年見直し","")&amp;IF(AND(A118=入力!$B$11,A118&gt;1),IF(OR(A118=入力!$B$15+1,AND(入力!$B$13="有効",A118&gt;1,MOD(A118-1,60)=0)),"・","")&amp;"金利変更","")&amp;IF(AND(OR(AND(入力!$B$13="有効",A118&gt;1,MOD(A118-1,60)=0),AND(A118=入力!$B$11,A118&gt;1)),入力!$B$14="有効",IF(E118=0,ROUND(C118/MAX(1,S117-A118+1),0),ROUND(-PMT(E118/12,MAX(1,S117-A118+1),C118),0))&gt;ROUND(G117*1.25,0),NOT(A118=入力!$B$15+1)),"・上限適用",""))</f>
        <v/>
      </c>
      <c r="Q118" s="35" t="str">
        <f>IF(AND(T117="",A118&lt;=S117),入力!$B$13,"")</f>
        <v>有効</v>
      </c>
      <c r="R118" s="32" t="str">
        <f>IF(AND(AND(T117="",A118&lt;=S117),OR(AND(入力!$B$13="有効",A118&gt;1,MOD(A118-1,60)=0),AND(A118=入力!$B$11,A118&gt;1)),入力!$B$14="有効"),ROUND(G117*1.25,0),"")</f>
        <v/>
      </c>
      <c r="S118" s="36">
        <f t="shared" si="32"/>
        <v>420</v>
      </c>
      <c r="T118" s="35" t="str">
        <f t="shared" si="33"/>
        <v/>
      </c>
      <c r="U118" s="3">
        <f t="shared" si="17"/>
        <v>0</v>
      </c>
      <c r="V118" s="3">
        <f t="shared" si="18"/>
        <v>0</v>
      </c>
      <c r="W118" s="3">
        <f t="shared" si="19"/>
        <v>0</v>
      </c>
      <c r="X118" s="3">
        <f t="shared" si="20"/>
        <v>0</v>
      </c>
      <c r="Y118" s="3">
        <f>0</f>
        <v>0</v>
      </c>
      <c r="Z118" s="3">
        <f t="shared" si="21"/>
        <v>0</v>
      </c>
      <c r="AA118">
        <f>ROUND(IF(A118=入力!$B$15+1,IF(E118=0,ROUND(C118/MAX(1,S117-A118+1),0),ROUND(-PMT(E118/12,MAX(1,S117-A118+1)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,0)</f>
        <v>117478</v>
      </c>
    </row>
    <row r="119" spans="1:27">
      <c r="A119" s="30">
        <f>114</f>
        <v>114</v>
      </c>
      <c r="B119" s="31">
        <f>EDATE(入力!$B$6,A119-1)</f>
        <v>49675</v>
      </c>
      <c r="C119" s="32">
        <f t="shared" si="22"/>
        <v>27491242</v>
      </c>
      <c r="D119" s="32">
        <f t="shared" si="23"/>
        <v>0</v>
      </c>
      <c r="E119" s="33">
        <f>IF(AND(T118="",A119&lt;=S118),IF(A119&lt;入力!$B$11,入力!$B$10,入力!$B$12),0)</f>
        <v>2.5000000000000001E-2</v>
      </c>
      <c r="F119" s="32">
        <f t="shared" si="24"/>
        <v>57273</v>
      </c>
      <c r="G119" s="32">
        <f>ROUND(IF(NOT(AND(T118="",A119&lt;=S118)),0,IF(A119=入力!$B$15+1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),0)</f>
        <v>117478</v>
      </c>
      <c r="H119" s="32">
        <f t="shared" si="25"/>
        <v>117478</v>
      </c>
      <c r="I119" s="32">
        <f t="shared" si="26"/>
        <v>57273</v>
      </c>
      <c r="J119" s="32">
        <f t="shared" si="27"/>
        <v>0</v>
      </c>
      <c r="K119" s="32">
        <f t="shared" si="28"/>
        <v>0</v>
      </c>
      <c r="L119" s="32">
        <f t="shared" si="29"/>
        <v>60205</v>
      </c>
      <c r="M119" s="32">
        <f>IF(AND(AND(T118="",A119&lt;=S118),A119=入力!$B$15),ROUND(MIN(入力!$B$16,MAX(0,C119-L119)),0),0)</f>
        <v>0</v>
      </c>
      <c r="N119" s="32">
        <f t="shared" si="30"/>
        <v>27431037</v>
      </c>
      <c r="O119" s="32">
        <f t="shared" si="31"/>
        <v>4413769</v>
      </c>
      <c r="P119" s="34" t="str">
        <f>IF(NOT(AND(T118="",A119&lt;=S118)),"",IF(A119=入力!$B$15+1,"繰上返済後再計算","")&amp;IF(AND(入力!$B$13="有効",A119&gt;1,MOD(A119-1,60)=0),IF(A119=入力!$B$15+1,"・","")&amp;"5年見直し","")&amp;IF(AND(A119=入力!$B$11,A119&gt;1),IF(OR(A119=入力!$B$15+1,AND(入力!$B$13="有効",A119&gt;1,MOD(A119-1,60)=0)),"・","")&amp;"金利変更","")&amp;IF(AND(OR(AND(入力!$B$13="有効",A119&gt;1,MOD(A119-1,60)=0),AND(A119=入力!$B$11,A119&gt;1)),入力!$B$14="有効",IF(E119=0,ROUND(C119/MAX(1,S118-A119+1),0),ROUND(-PMT(E119/12,MAX(1,S118-A119+1),C119),0))&gt;ROUND(G118*1.25,0),NOT(A119=入力!$B$15+1)),"・上限適用",""))</f>
        <v/>
      </c>
      <c r="Q119" s="35" t="str">
        <f>IF(AND(T118="",A119&lt;=S118),入力!$B$13,"")</f>
        <v>有効</v>
      </c>
      <c r="R119" s="32" t="str">
        <f>IF(AND(AND(T118="",A119&lt;=S118),OR(AND(入力!$B$13="有効",A119&gt;1,MOD(A119-1,60)=0),AND(A119=入力!$B$11,A119&gt;1)),入力!$B$14="有効"),ROUND(G118*1.25,0),"")</f>
        <v/>
      </c>
      <c r="S119" s="36">
        <f t="shared" si="32"/>
        <v>420</v>
      </c>
      <c r="T119" s="35" t="str">
        <f t="shared" si="33"/>
        <v/>
      </c>
      <c r="U119" s="3">
        <f t="shared" si="17"/>
        <v>0</v>
      </c>
      <c r="V119" s="3">
        <f t="shared" si="18"/>
        <v>0</v>
      </c>
      <c r="W119" s="3">
        <f t="shared" si="19"/>
        <v>0</v>
      </c>
      <c r="X119" s="3">
        <f t="shared" si="20"/>
        <v>0</v>
      </c>
      <c r="Y119" s="3">
        <f>0</f>
        <v>0</v>
      </c>
      <c r="Z119" s="3">
        <f t="shared" si="21"/>
        <v>0</v>
      </c>
      <c r="AA119">
        <f>ROUND(IF(A119=入力!$B$15+1,IF(E119=0,ROUND(C119/MAX(1,S118-A119+1),0),ROUND(-PMT(E119/12,MAX(1,S118-A119+1)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,0)</f>
        <v>117478</v>
      </c>
    </row>
    <row r="120" spans="1:27">
      <c r="A120" s="30">
        <f>115</f>
        <v>115</v>
      </c>
      <c r="B120" s="31">
        <f>EDATE(入力!$B$6,A120-1)</f>
        <v>49706</v>
      </c>
      <c r="C120" s="32">
        <f t="shared" si="22"/>
        <v>27431037</v>
      </c>
      <c r="D120" s="32">
        <f t="shared" si="23"/>
        <v>0</v>
      </c>
      <c r="E120" s="33">
        <f>IF(AND(T119="",A120&lt;=S119),IF(A120&lt;入力!$B$11,入力!$B$10,入力!$B$12),0)</f>
        <v>2.5000000000000001E-2</v>
      </c>
      <c r="F120" s="32">
        <f t="shared" si="24"/>
        <v>57148</v>
      </c>
      <c r="G120" s="32">
        <f>ROUND(IF(NOT(AND(T119="",A120&lt;=S119)),0,IF(A120=入力!$B$15+1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),0)</f>
        <v>117478</v>
      </c>
      <c r="H120" s="32">
        <f t="shared" si="25"/>
        <v>117478</v>
      </c>
      <c r="I120" s="32">
        <f t="shared" si="26"/>
        <v>57148</v>
      </c>
      <c r="J120" s="32">
        <f t="shared" si="27"/>
        <v>0</v>
      </c>
      <c r="K120" s="32">
        <f t="shared" si="28"/>
        <v>0</v>
      </c>
      <c r="L120" s="32">
        <f t="shared" si="29"/>
        <v>60330</v>
      </c>
      <c r="M120" s="32">
        <f>IF(AND(AND(T119="",A120&lt;=S119),A120=入力!$B$15),ROUND(MIN(入力!$B$16,MAX(0,C120-L120)),0),0)</f>
        <v>0</v>
      </c>
      <c r="N120" s="32">
        <f t="shared" si="30"/>
        <v>27370707</v>
      </c>
      <c r="O120" s="32">
        <f t="shared" si="31"/>
        <v>4470917</v>
      </c>
      <c r="P120" s="34" t="str">
        <f>IF(NOT(AND(T119="",A120&lt;=S119)),"",IF(A120=入力!$B$15+1,"繰上返済後再計算","")&amp;IF(AND(入力!$B$13="有効",A120&gt;1,MOD(A120-1,60)=0),IF(A120=入力!$B$15+1,"・","")&amp;"5年見直し","")&amp;IF(AND(A120=入力!$B$11,A120&gt;1),IF(OR(A120=入力!$B$15+1,AND(入力!$B$13="有効",A120&gt;1,MOD(A120-1,60)=0)),"・","")&amp;"金利変更","")&amp;IF(AND(OR(AND(入力!$B$13="有効",A120&gt;1,MOD(A120-1,60)=0),AND(A120=入力!$B$11,A120&gt;1)),入力!$B$14="有効",IF(E120=0,ROUND(C120/MAX(1,S119-A120+1),0),ROUND(-PMT(E120/12,MAX(1,S119-A120+1),C120),0))&gt;ROUND(G119*1.25,0),NOT(A120=入力!$B$15+1)),"・上限適用",""))</f>
        <v/>
      </c>
      <c r="Q120" s="35" t="str">
        <f>IF(AND(T119="",A120&lt;=S119),入力!$B$13,"")</f>
        <v>有効</v>
      </c>
      <c r="R120" s="32" t="str">
        <f>IF(AND(AND(T119="",A120&lt;=S119),OR(AND(入力!$B$13="有効",A120&gt;1,MOD(A120-1,60)=0),AND(A120=入力!$B$11,A120&gt;1)),入力!$B$14="有効"),ROUND(G119*1.25,0),"")</f>
        <v/>
      </c>
      <c r="S120" s="36">
        <f t="shared" si="32"/>
        <v>420</v>
      </c>
      <c r="T120" s="35" t="str">
        <f t="shared" si="33"/>
        <v/>
      </c>
      <c r="U120" s="3">
        <f t="shared" si="17"/>
        <v>0</v>
      </c>
      <c r="V120" s="3">
        <f t="shared" si="18"/>
        <v>0</v>
      </c>
      <c r="W120" s="3">
        <f t="shared" si="19"/>
        <v>0</v>
      </c>
      <c r="X120" s="3">
        <f t="shared" si="20"/>
        <v>0</v>
      </c>
      <c r="Y120" s="3">
        <f>0</f>
        <v>0</v>
      </c>
      <c r="Z120" s="3">
        <f t="shared" si="21"/>
        <v>0</v>
      </c>
      <c r="AA120">
        <f>ROUND(IF(A120=入力!$B$15+1,IF(E120=0,ROUND(C120/MAX(1,S119-A120+1),0),ROUND(-PMT(E120/12,MAX(1,S119-A120+1)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,0)</f>
        <v>117478</v>
      </c>
    </row>
    <row r="121" spans="1:27">
      <c r="A121" s="30">
        <f>116</f>
        <v>116</v>
      </c>
      <c r="B121" s="31">
        <f>EDATE(入力!$B$6,A121-1)</f>
        <v>49735</v>
      </c>
      <c r="C121" s="32">
        <f t="shared" si="22"/>
        <v>27370707</v>
      </c>
      <c r="D121" s="32">
        <f t="shared" si="23"/>
        <v>0</v>
      </c>
      <c r="E121" s="33">
        <f>IF(AND(T120="",A121&lt;=S120),IF(A121&lt;入力!$B$11,入力!$B$10,入力!$B$12),0)</f>
        <v>2.5000000000000001E-2</v>
      </c>
      <c r="F121" s="32">
        <f t="shared" si="24"/>
        <v>57022</v>
      </c>
      <c r="G121" s="32">
        <f>ROUND(IF(NOT(AND(T120="",A121&lt;=S120)),0,IF(A121=入力!$B$15+1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),0)</f>
        <v>117478</v>
      </c>
      <c r="H121" s="32">
        <f t="shared" si="25"/>
        <v>117478</v>
      </c>
      <c r="I121" s="32">
        <f t="shared" si="26"/>
        <v>57022</v>
      </c>
      <c r="J121" s="32">
        <f t="shared" si="27"/>
        <v>0</v>
      </c>
      <c r="K121" s="32">
        <f t="shared" si="28"/>
        <v>0</v>
      </c>
      <c r="L121" s="32">
        <f t="shared" si="29"/>
        <v>60456</v>
      </c>
      <c r="M121" s="32">
        <f>IF(AND(AND(T120="",A121&lt;=S120),A121=入力!$B$15),ROUND(MIN(入力!$B$16,MAX(0,C121-L121)),0),0)</f>
        <v>0</v>
      </c>
      <c r="N121" s="32">
        <f t="shared" si="30"/>
        <v>27310251</v>
      </c>
      <c r="O121" s="32">
        <f t="shared" si="31"/>
        <v>4527939</v>
      </c>
      <c r="P121" s="34" t="str">
        <f>IF(NOT(AND(T120="",A121&lt;=S120)),"",IF(A121=入力!$B$15+1,"繰上返済後再計算","")&amp;IF(AND(入力!$B$13="有効",A121&gt;1,MOD(A121-1,60)=0),IF(A121=入力!$B$15+1,"・","")&amp;"5年見直し","")&amp;IF(AND(A121=入力!$B$11,A121&gt;1),IF(OR(A121=入力!$B$15+1,AND(入力!$B$13="有効",A121&gt;1,MOD(A121-1,60)=0)),"・","")&amp;"金利変更","")&amp;IF(AND(OR(AND(入力!$B$13="有効",A121&gt;1,MOD(A121-1,60)=0),AND(A121=入力!$B$11,A121&gt;1)),入力!$B$14="有効",IF(E121=0,ROUND(C121/MAX(1,S120-A121+1),0),ROUND(-PMT(E121/12,MAX(1,S120-A121+1),C121),0))&gt;ROUND(G120*1.25,0),NOT(A121=入力!$B$15+1)),"・上限適用",""))</f>
        <v/>
      </c>
      <c r="Q121" s="35" t="str">
        <f>IF(AND(T120="",A121&lt;=S120),入力!$B$13,"")</f>
        <v>有効</v>
      </c>
      <c r="R121" s="32" t="str">
        <f>IF(AND(AND(T120="",A121&lt;=S120),OR(AND(入力!$B$13="有効",A121&gt;1,MOD(A121-1,60)=0),AND(A121=入力!$B$11,A121&gt;1)),入力!$B$14="有効"),ROUND(G120*1.25,0),"")</f>
        <v/>
      </c>
      <c r="S121" s="36">
        <f t="shared" si="32"/>
        <v>420</v>
      </c>
      <c r="T121" s="35" t="str">
        <f t="shared" si="33"/>
        <v/>
      </c>
      <c r="U121" s="3">
        <f t="shared" si="17"/>
        <v>0</v>
      </c>
      <c r="V121" s="3">
        <f t="shared" si="18"/>
        <v>0</v>
      </c>
      <c r="W121" s="3">
        <f t="shared" si="19"/>
        <v>0</v>
      </c>
      <c r="X121" s="3">
        <f t="shared" si="20"/>
        <v>0</v>
      </c>
      <c r="Y121" s="3">
        <f>0</f>
        <v>0</v>
      </c>
      <c r="Z121" s="3">
        <f t="shared" si="21"/>
        <v>0</v>
      </c>
      <c r="AA121">
        <f>ROUND(IF(A121=入力!$B$15+1,IF(E121=0,ROUND(C121/MAX(1,S120-A121+1),0),ROUND(-PMT(E121/12,MAX(1,S120-A121+1)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,0)</f>
        <v>117478</v>
      </c>
    </row>
    <row r="122" spans="1:27">
      <c r="A122" s="30">
        <f>117</f>
        <v>117</v>
      </c>
      <c r="B122" s="31">
        <f>EDATE(入力!$B$6,A122-1)</f>
        <v>49766</v>
      </c>
      <c r="C122" s="32">
        <f t="shared" si="22"/>
        <v>27310251</v>
      </c>
      <c r="D122" s="32">
        <f t="shared" si="23"/>
        <v>0</v>
      </c>
      <c r="E122" s="33">
        <f>IF(AND(T121="",A122&lt;=S121),IF(A122&lt;入力!$B$11,入力!$B$10,入力!$B$12),0)</f>
        <v>2.5000000000000001E-2</v>
      </c>
      <c r="F122" s="32">
        <f t="shared" si="24"/>
        <v>56896</v>
      </c>
      <c r="G122" s="32">
        <f>ROUND(IF(NOT(AND(T121="",A122&lt;=S121)),0,IF(A122=入力!$B$15+1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),0)</f>
        <v>117478</v>
      </c>
      <c r="H122" s="32">
        <f t="shared" si="25"/>
        <v>117478</v>
      </c>
      <c r="I122" s="32">
        <f t="shared" si="26"/>
        <v>56896</v>
      </c>
      <c r="J122" s="32">
        <f t="shared" si="27"/>
        <v>0</v>
      </c>
      <c r="K122" s="32">
        <f t="shared" si="28"/>
        <v>0</v>
      </c>
      <c r="L122" s="32">
        <f t="shared" si="29"/>
        <v>60582</v>
      </c>
      <c r="M122" s="32">
        <f>IF(AND(AND(T121="",A122&lt;=S121),A122=入力!$B$15),ROUND(MIN(入力!$B$16,MAX(0,C122-L122)),0),0)</f>
        <v>0</v>
      </c>
      <c r="N122" s="32">
        <f t="shared" si="30"/>
        <v>27249669</v>
      </c>
      <c r="O122" s="32">
        <f t="shared" si="31"/>
        <v>4584835</v>
      </c>
      <c r="P122" s="34" t="str">
        <f>IF(NOT(AND(T121="",A122&lt;=S121)),"",IF(A122=入力!$B$15+1,"繰上返済後再計算","")&amp;IF(AND(入力!$B$13="有効",A122&gt;1,MOD(A122-1,60)=0),IF(A122=入力!$B$15+1,"・","")&amp;"5年見直し","")&amp;IF(AND(A122=入力!$B$11,A122&gt;1),IF(OR(A122=入力!$B$15+1,AND(入力!$B$13="有効",A122&gt;1,MOD(A122-1,60)=0)),"・","")&amp;"金利変更","")&amp;IF(AND(OR(AND(入力!$B$13="有効",A122&gt;1,MOD(A122-1,60)=0),AND(A122=入力!$B$11,A122&gt;1)),入力!$B$14="有効",IF(E122=0,ROUND(C122/MAX(1,S121-A122+1),0),ROUND(-PMT(E122/12,MAX(1,S121-A122+1),C122),0))&gt;ROUND(G121*1.25,0),NOT(A122=入力!$B$15+1)),"・上限適用",""))</f>
        <v/>
      </c>
      <c r="Q122" s="35" t="str">
        <f>IF(AND(T121="",A122&lt;=S121),入力!$B$13,"")</f>
        <v>有効</v>
      </c>
      <c r="R122" s="32" t="str">
        <f>IF(AND(AND(T121="",A122&lt;=S121),OR(AND(入力!$B$13="有効",A122&gt;1,MOD(A122-1,60)=0),AND(A122=入力!$B$11,A122&gt;1)),入力!$B$14="有効"),ROUND(G121*1.25,0),"")</f>
        <v/>
      </c>
      <c r="S122" s="36">
        <f t="shared" si="32"/>
        <v>420</v>
      </c>
      <c r="T122" s="35" t="str">
        <f t="shared" si="33"/>
        <v/>
      </c>
      <c r="U122" s="3">
        <f t="shared" si="17"/>
        <v>0</v>
      </c>
      <c r="V122" s="3">
        <f t="shared" si="18"/>
        <v>0</v>
      </c>
      <c r="W122" s="3">
        <f t="shared" si="19"/>
        <v>0</v>
      </c>
      <c r="X122" s="3">
        <f t="shared" si="20"/>
        <v>0</v>
      </c>
      <c r="Y122" s="3">
        <f>0</f>
        <v>0</v>
      </c>
      <c r="Z122" s="3">
        <f t="shared" si="21"/>
        <v>0</v>
      </c>
      <c r="AA122">
        <f>ROUND(IF(A122=入力!$B$15+1,IF(E122=0,ROUND(C122/MAX(1,S121-A122+1),0),ROUND(-PMT(E122/12,MAX(1,S121-A122+1)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,0)</f>
        <v>117478</v>
      </c>
    </row>
    <row r="123" spans="1:27">
      <c r="A123" s="30">
        <f>118</f>
        <v>118</v>
      </c>
      <c r="B123" s="31">
        <f>EDATE(入力!$B$6,A123-1)</f>
        <v>49796</v>
      </c>
      <c r="C123" s="32">
        <f t="shared" si="22"/>
        <v>27249669</v>
      </c>
      <c r="D123" s="32">
        <f t="shared" si="23"/>
        <v>0</v>
      </c>
      <c r="E123" s="33">
        <f>IF(AND(T122="",A123&lt;=S122),IF(A123&lt;入力!$B$11,入力!$B$10,入力!$B$12),0)</f>
        <v>2.5000000000000001E-2</v>
      </c>
      <c r="F123" s="32">
        <f t="shared" si="24"/>
        <v>56770</v>
      </c>
      <c r="G123" s="32">
        <f>ROUND(IF(NOT(AND(T122="",A123&lt;=S122)),0,IF(A123=入力!$B$15+1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),0)</f>
        <v>117478</v>
      </c>
      <c r="H123" s="32">
        <f t="shared" si="25"/>
        <v>117478</v>
      </c>
      <c r="I123" s="32">
        <f t="shared" si="26"/>
        <v>56770</v>
      </c>
      <c r="J123" s="32">
        <f t="shared" si="27"/>
        <v>0</v>
      </c>
      <c r="K123" s="32">
        <f t="shared" si="28"/>
        <v>0</v>
      </c>
      <c r="L123" s="32">
        <f t="shared" si="29"/>
        <v>60708</v>
      </c>
      <c r="M123" s="32">
        <f>IF(AND(AND(T122="",A123&lt;=S122),A123=入力!$B$15),ROUND(MIN(入力!$B$16,MAX(0,C123-L123)),0),0)</f>
        <v>0</v>
      </c>
      <c r="N123" s="32">
        <f t="shared" si="30"/>
        <v>27188961</v>
      </c>
      <c r="O123" s="32">
        <f t="shared" si="31"/>
        <v>4641605</v>
      </c>
      <c r="P123" s="34" t="str">
        <f>IF(NOT(AND(T122="",A123&lt;=S122)),"",IF(A123=入力!$B$15+1,"繰上返済後再計算","")&amp;IF(AND(入力!$B$13="有効",A123&gt;1,MOD(A123-1,60)=0),IF(A123=入力!$B$15+1,"・","")&amp;"5年見直し","")&amp;IF(AND(A123=入力!$B$11,A123&gt;1),IF(OR(A123=入力!$B$15+1,AND(入力!$B$13="有効",A123&gt;1,MOD(A123-1,60)=0)),"・","")&amp;"金利変更","")&amp;IF(AND(OR(AND(入力!$B$13="有効",A123&gt;1,MOD(A123-1,60)=0),AND(A123=入力!$B$11,A123&gt;1)),入力!$B$14="有効",IF(E123=0,ROUND(C123/MAX(1,S122-A123+1),0),ROUND(-PMT(E123/12,MAX(1,S122-A123+1),C123),0))&gt;ROUND(G122*1.25,0),NOT(A123=入力!$B$15+1)),"・上限適用",""))</f>
        <v/>
      </c>
      <c r="Q123" s="35" t="str">
        <f>IF(AND(T122="",A123&lt;=S122),入力!$B$13,"")</f>
        <v>有効</v>
      </c>
      <c r="R123" s="32" t="str">
        <f>IF(AND(AND(T122="",A123&lt;=S122),OR(AND(入力!$B$13="有効",A123&gt;1,MOD(A123-1,60)=0),AND(A123=入力!$B$11,A123&gt;1)),入力!$B$14="有効"),ROUND(G122*1.25,0),"")</f>
        <v/>
      </c>
      <c r="S123" s="36">
        <f t="shared" si="32"/>
        <v>420</v>
      </c>
      <c r="T123" s="35" t="str">
        <f t="shared" si="33"/>
        <v/>
      </c>
      <c r="U123" s="3">
        <f t="shared" si="17"/>
        <v>0</v>
      </c>
      <c r="V123" s="3">
        <f t="shared" si="18"/>
        <v>0</v>
      </c>
      <c r="W123" s="3">
        <f t="shared" si="19"/>
        <v>0</v>
      </c>
      <c r="X123" s="3">
        <f t="shared" si="20"/>
        <v>0</v>
      </c>
      <c r="Y123" s="3">
        <f>0</f>
        <v>0</v>
      </c>
      <c r="Z123" s="3">
        <f t="shared" si="21"/>
        <v>0</v>
      </c>
      <c r="AA123">
        <f>ROUND(IF(A123=入力!$B$15+1,IF(E123=0,ROUND(C123/MAX(1,S122-A123+1),0),ROUND(-PMT(E123/12,MAX(1,S122-A123+1)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,0)</f>
        <v>117478</v>
      </c>
    </row>
    <row r="124" spans="1:27">
      <c r="A124" s="30">
        <f>119</f>
        <v>119</v>
      </c>
      <c r="B124" s="31">
        <f>EDATE(入力!$B$6,A124-1)</f>
        <v>49827</v>
      </c>
      <c r="C124" s="32">
        <f t="shared" si="22"/>
        <v>27188961</v>
      </c>
      <c r="D124" s="32">
        <f t="shared" si="23"/>
        <v>0</v>
      </c>
      <c r="E124" s="33">
        <f>IF(AND(T123="",A124&lt;=S123),IF(A124&lt;入力!$B$11,入力!$B$10,入力!$B$12),0)</f>
        <v>2.5000000000000001E-2</v>
      </c>
      <c r="F124" s="32">
        <f t="shared" si="24"/>
        <v>56644</v>
      </c>
      <c r="G124" s="32">
        <f>ROUND(IF(NOT(AND(T123="",A124&lt;=S123)),0,IF(A124=入力!$B$15+1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),0)</f>
        <v>117478</v>
      </c>
      <c r="H124" s="32">
        <f t="shared" si="25"/>
        <v>117478</v>
      </c>
      <c r="I124" s="32">
        <f t="shared" si="26"/>
        <v>56644</v>
      </c>
      <c r="J124" s="32">
        <f t="shared" si="27"/>
        <v>0</v>
      </c>
      <c r="K124" s="32">
        <f t="shared" si="28"/>
        <v>0</v>
      </c>
      <c r="L124" s="32">
        <f t="shared" si="29"/>
        <v>60834</v>
      </c>
      <c r="M124" s="32">
        <f>IF(AND(AND(T123="",A124&lt;=S123),A124=入力!$B$15),ROUND(MIN(入力!$B$16,MAX(0,C124-L124)),0),0)</f>
        <v>0</v>
      </c>
      <c r="N124" s="32">
        <f t="shared" si="30"/>
        <v>27128127</v>
      </c>
      <c r="O124" s="32">
        <f t="shared" si="31"/>
        <v>4698249</v>
      </c>
      <c r="P124" s="34" t="str">
        <f>IF(NOT(AND(T123="",A124&lt;=S123)),"",IF(A124=入力!$B$15+1,"繰上返済後再計算","")&amp;IF(AND(入力!$B$13="有効",A124&gt;1,MOD(A124-1,60)=0),IF(A124=入力!$B$15+1,"・","")&amp;"5年見直し","")&amp;IF(AND(A124=入力!$B$11,A124&gt;1),IF(OR(A124=入力!$B$15+1,AND(入力!$B$13="有効",A124&gt;1,MOD(A124-1,60)=0)),"・","")&amp;"金利変更","")&amp;IF(AND(OR(AND(入力!$B$13="有効",A124&gt;1,MOD(A124-1,60)=0),AND(A124=入力!$B$11,A124&gt;1)),入力!$B$14="有効",IF(E124=0,ROUND(C124/MAX(1,S123-A124+1),0),ROUND(-PMT(E124/12,MAX(1,S123-A124+1),C124),0))&gt;ROUND(G123*1.25,0),NOT(A124=入力!$B$15+1)),"・上限適用",""))</f>
        <v/>
      </c>
      <c r="Q124" s="35" t="str">
        <f>IF(AND(T123="",A124&lt;=S123),入力!$B$13,"")</f>
        <v>有効</v>
      </c>
      <c r="R124" s="32" t="str">
        <f>IF(AND(AND(T123="",A124&lt;=S123),OR(AND(入力!$B$13="有効",A124&gt;1,MOD(A124-1,60)=0),AND(A124=入力!$B$11,A124&gt;1)),入力!$B$14="有効"),ROUND(G123*1.25,0),"")</f>
        <v/>
      </c>
      <c r="S124" s="36">
        <f t="shared" si="32"/>
        <v>420</v>
      </c>
      <c r="T124" s="35" t="str">
        <f t="shared" si="33"/>
        <v/>
      </c>
      <c r="U124" s="3">
        <f t="shared" si="17"/>
        <v>0</v>
      </c>
      <c r="V124" s="3">
        <f t="shared" si="18"/>
        <v>0</v>
      </c>
      <c r="W124" s="3">
        <f t="shared" si="19"/>
        <v>0</v>
      </c>
      <c r="X124" s="3">
        <f t="shared" si="20"/>
        <v>0</v>
      </c>
      <c r="Y124" s="3">
        <f>0</f>
        <v>0</v>
      </c>
      <c r="Z124" s="3">
        <f t="shared" si="21"/>
        <v>0</v>
      </c>
      <c r="AA124">
        <f>ROUND(IF(A124=入力!$B$15+1,IF(E124=0,ROUND(C124/MAX(1,S123-A124+1),0),ROUND(-PMT(E124/12,MAX(1,S123-A124+1)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,0)</f>
        <v>117478</v>
      </c>
    </row>
    <row r="125" spans="1:27">
      <c r="A125" s="30">
        <f>120</f>
        <v>120</v>
      </c>
      <c r="B125" s="31">
        <f>EDATE(入力!$B$6,A125-1)</f>
        <v>49857</v>
      </c>
      <c r="C125" s="32">
        <f t="shared" si="22"/>
        <v>27128127</v>
      </c>
      <c r="D125" s="32">
        <f t="shared" si="23"/>
        <v>0</v>
      </c>
      <c r="E125" s="33">
        <f>IF(AND(T124="",A125&lt;=S124),IF(A125&lt;入力!$B$11,入力!$B$10,入力!$B$12),0)</f>
        <v>2.5000000000000001E-2</v>
      </c>
      <c r="F125" s="32">
        <f t="shared" si="24"/>
        <v>56517</v>
      </c>
      <c r="G125" s="32">
        <f>ROUND(IF(NOT(AND(T124="",A125&lt;=S124)),0,IF(A125=入力!$B$15+1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),0)</f>
        <v>117478</v>
      </c>
      <c r="H125" s="32">
        <f t="shared" si="25"/>
        <v>117478</v>
      </c>
      <c r="I125" s="32">
        <f t="shared" si="26"/>
        <v>56517</v>
      </c>
      <c r="J125" s="32">
        <f t="shared" si="27"/>
        <v>0</v>
      </c>
      <c r="K125" s="32">
        <f t="shared" si="28"/>
        <v>0</v>
      </c>
      <c r="L125" s="32">
        <f t="shared" si="29"/>
        <v>60961</v>
      </c>
      <c r="M125" s="32">
        <f>IF(AND(AND(T124="",A125&lt;=S124),A125=入力!$B$15),ROUND(MIN(入力!$B$16,MAX(0,C125-L125)),0),0)</f>
        <v>5000000</v>
      </c>
      <c r="N125" s="32">
        <f t="shared" si="30"/>
        <v>22067166</v>
      </c>
      <c r="O125" s="32">
        <f t="shared" si="31"/>
        <v>4754766</v>
      </c>
      <c r="P125" s="34" t="str">
        <f>IF(NOT(AND(T124="",A125&lt;=S124)),"",IF(A125=入力!$B$15+1,"繰上返済後再計算","")&amp;IF(AND(入力!$B$13="有効",A125&gt;1,MOD(A125-1,60)=0),IF(A125=入力!$B$15+1,"・","")&amp;"5年見直し","")&amp;IF(AND(A125=入力!$B$11,A125&gt;1),IF(OR(A125=入力!$B$15+1,AND(入力!$B$13="有効",A125&gt;1,MOD(A125-1,60)=0)),"・","")&amp;"金利変更","")&amp;IF(AND(OR(AND(入力!$B$13="有効",A125&gt;1,MOD(A125-1,60)=0),AND(A125=入力!$B$11,A125&gt;1)),入力!$B$14="有効",IF(E125=0,ROUND(C125/MAX(1,S124-A125+1),0),ROUND(-PMT(E125/12,MAX(1,S124-A125+1),C125),0))&gt;ROUND(G124*1.25,0),NOT(A125=入力!$B$15+1)),"・上限適用",""))</f>
        <v/>
      </c>
      <c r="Q125" s="35" t="str">
        <f>IF(AND(T124="",A125&lt;=S124),入力!$B$13,"")</f>
        <v>有効</v>
      </c>
      <c r="R125" s="32" t="str">
        <f>IF(AND(AND(T124="",A125&lt;=S124),OR(AND(入力!$B$13="有効",A125&gt;1,MOD(A125-1,60)=0),AND(A125=入力!$B$11,A125&gt;1)),入力!$B$14="有効"),ROUND(G124*1.25,0),"")</f>
        <v/>
      </c>
      <c r="S125" s="36">
        <f t="shared" si="32"/>
        <v>420</v>
      </c>
      <c r="T125" s="35" t="str">
        <f t="shared" si="33"/>
        <v/>
      </c>
      <c r="U125" s="3">
        <f t="shared" si="17"/>
        <v>0</v>
      </c>
      <c r="V125" s="3">
        <f t="shared" si="18"/>
        <v>0</v>
      </c>
      <c r="W125" s="3">
        <f t="shared" si="19"/>
        <v>0</v>
      </c>
      <c r="X125" s="3">
        <f t="shared" si="20"/>
        <v>0</v>
      </c>
      <c r="Y125" s="3">
        <f>0</f>
        <v>0</v>
      </c>
      <c r="Z125" s="3">
        <f t="shared" si="21"/>
        <v>0</v>
      </c>
      <c r="AA125">
        <f>ROUND(IF(A125=入力!$B$15+1,IF(E125=0,ROUND(C125/MAX(1,S124-A125+1),0),ROUND(-PMT(E125/12,MAX(1,S124-A125+1)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,0)</f>
        <v>117478</v>
      </c>
    </row>
    <row r="126" spans="1:27">
      <c r="A126" s="30">
        <f>121</f>
        <v>121</v>
      </c>
      <c r="B126" s="31">
        <f>EDATE(入力!$B$6,A126-1)</f>
        <v>49888</v>
      </c>
      <c r="C126" s="32">
        <f t="shared" si="22"/>
        <v>22067166</v>
      </c>
      <c r="D126" s="32">
        <f t="shared" si="23"/>
        <v>0</v>
      </c>
      <c r="E126" s="33">
        <f>IF(AND(T125="",A126&lt;=S125),IF(A126&lt;入力!$B$11,入力!$B$10,入力!$B$12),0)</f>
        <v>2.5000000000000001E-2</v>
      </c>
      <c r="F126" s="32">
        <f t="shared" si="24"/>
        <v>45973</v>
      </c>
      <c r="G126" s="32">
        <f>ROUND(IF(NOT(AND(T125="",A126&lt;=S125)),0,IF(A126=入力!$B$15+1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),0)</f>
        <v>98997</v>
      </c>
      <c r="H126" s="32">
        <f t="shared" si="25"/>
        <v>98997</v>
      </c>
      <c r="I126" s="32">
        <f t="shared" si="26"/>
        <v>45973</v>
      </c>
      <c r="J126" s="32">
        <f t="shared" si="27"/>
        <v>0</v>
      </c>
      <c r="K126" s="32">
        <f t="shared" si="28"/>
        <v>0</v>
      </c>
      <c r="L126" s="32">
        <f t="shared" si="29"/>
        <v>53024</v>
      </c>
      <c r="M126" s="32">
        <f>IF(AND(AND(T125="",A126&lt;=S125),A126=入力!$B$15),ROUND(MIN(入力!$B$16,MAX(0,C126-L126)),0),0)</f>
        <v>0</v>
      </c>
      <c r="N126" s="32">
        <f t="shared" si="30"/>
        <v>22014142</v>
      </c>
      <c r="O126" s="32">
        <f t="shared" si="31"/>
        <v>4800739</v>
      </c>
      <c r="P126" s="34" t="str">
        <f>IF(NOT(AND(T125="",A126&lt;=S125)),"",IF(A126=入力!$B$15+1,"繰上返済後再計算","")&amp;IF(AND(入力!$B$13="有効",A126&gt;1,MOD(A126-1,60)=0),IF(A126=入力!$B$15+1,"・","")&amp;"5年見直し","")&amp;IF(AND(A126=入力!$B$11,A126&gt;1),IF(OR(A126=入力!$B$15+1,AND(入力!$B$13="有効",A126&gt;1,MOD(A126-1,60)=0)),"・","")&amp;"金利変更","")&amp;IF(AND(OR(AND(入力!$B$13="有効",A126&gt;1,MOD(A126-1,60)=0),AND(A126=入力!$B$11,A126&gt;1)),入力!$B$14="有効",IF(E126=0,ROUND(C126/MAX(1,S125-A126+1),0),ROUND(-PMT(E126/12,MAX(1,S125-A126+1),C126),0))&gt;ROUND(G125*1.25,0),NOT(A126=入力!$B$15+1)),"・上限適用",""))</f>
        <v>繰上返済後再計算・5年見直し</v>
      </c>
      <c r="Q126" s="35" t="str">
        <f>IF(AND(T125="",A126&lt;=S125),入力!$B$13,"")</f>
        <v>有効</v>
      </c>
      <c r="R126" s="32">
        <f>IF(AND(AND(T125="",A126&lt;=S125),OR(AND(入力!$B$13="有効",A126&gt;1,MOD(A126-1,60)=0),AND(A126=入力!$B$11,A126&gt;1)),入力!$B$14="有効"),ROUND(G125*1.25,0),"")</f>
        <v>146848</v>
      </c>
      <c r="S126" s="36">
        <f t="shared" si="32"/>
        <v>420</v>
      </c>
      <c r="T126" s="35" t="str">
        <f t="shared" si="33"/>
        <v/>
      </c>
      <c r="U126" s="3">
        <f t="shared" si="17"/>
        <v>0</v>
      </c>
      <c r="V126" s="3">
        <f t="shared" si="18"/>
        <v>0</v>
      </c>
      <c r="W126" s="3">
        <f t="shared" si="19"/>
        <v>0</v>
      </c>
      <c r="X126" s="3">
        <f t="shared" si="20"/>
        <v>0</v>
      </c>
      <c r="Y126" s="3">
        <f>0</f>
        <v>0</v>
      </c>
      <c r="Z126" s="3">
        <f t="shared" si="21"/>
        <v>0</v>
      </c>
      <c r="AA126">
        <f>ROUND(IF(A126=入力!$B$15+1,IF(E126=0,ROUND(C126/MAX(1,S125-A126+1),0),ROUND(-PMT(E126/12,MAX(1,S125-A126+1)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,0)</f>
        <v>98997</v>
      </c>
    </row>
    <row r="127" spans="1:27">
      <c r="A127" s="30">
        <f>122</f>
        <v>122</v>
      </c>
      <c r="B127" s="31">
        <f>EDATE(入力!$B$6,A127-1)</f>
        <v>49919</v>
      </c>
      <c r="C127" s="32">
        <f t="shared" si="22"/>
        <v>22014142</v>
      </c>
      <c r="D127" s="32">
        <f t="shared" si="23"/>
        <v>0</v>
      </c>
      <c r="E127" s="33">
        <f>IF(AND(T126="",A127&lt;=S126),IF(A127&lt;入力!$B$11,入力!$B$10,入力!$B$12),0)</f>
        <v>2.5000000000000001E-2</v>
      </c>
      <c r="F127" s="32">
        <f t="shared" si="24"/>
        <v>45863</v>
      </c>
      <c r="G127" s="32">
        <f>ROUND(IF(NOT(AND(T126="",A127&lt;=S126)),0,IF(A127=入力!$B$15+1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),0)</f>
        <v>98997</v>
      </c>
      <c r="H127" s="32">
        <f t="shared" si="25"/>
        <v>98997</v>
      </c>
      <c r="I127" s="32">
        <f t="shared" si="26"/>
        <v>45863</v>
      </c>
      <c r="J127" s="32">
        <f t="shared" si="27"/>
        <v>0</v>
      </c>
      <c r="K127" s="32">
        <f t="shared" si="28"/>
        <v>0</v>
      </c>
      <c r="L127" s="32">
        <f t="shared" si="29"/>
        <v>53134</v>
      </c>
      <c r="M127" s="32">
        <f>IF(AND(AND(T126="",A127&lt;=S126),A127=入力!$B$15),ROUND(MIN(入力!$B$16,MAX(0,C127-L127)),0),0)</f>
        <v>0</v>
      </c>
      <c r="N127" s="32">
        <f t="shared" si="30"/>
        <v>21961008</v>
      </c>
      <c r="O127" s="32">
        <f t="shared" si="31"/>
        <v>4846602</v>
      </c>
      <c r="P127" s="34" t="str">
        <f>IF(NOT(AND(T126="",A127&lt;=S126)),"",IF(A127=入力!$B$15+1,"繰上返済後再計算","")&amp;IF(AND(入力!$B$13="有効",A127&gt;1,MOD(A127-1,60)=0),IF(A127=入力!$B$15+1,"・","")&amp;"5年見直し","")&amp;IF(AND(A127=入力!$B$11,A127&gt;1),IF(OR(A127=入力!$B$15+1,AND(入力!$B$13="有効",A127&gt;1,MOD(A127-1,60)=0)),"・","")&amp;"金利変更","")&amp;IF(AND(OR(AND(入力!$B$13="有効",A127&gt;1,MOD(A127-1,60)=0),AND(A127=入力!$B$11,A127&gt;1)),入力!$B$14="有効",IF(E127=0,ROUND(C127/MAX(1,S126-A127+1),0),ROUND(-PMT(E127/12,MAX(1,S126-A127+1),C127),0))&gt;ROUND(G126*1.25,0),NOT(A127=入力!$B$15+1)),"・上限適用",""))</f>
        <v/>
      </c>
      <c r="Q127" s="35" t="str">
        <f>IF(AND(T126="",A127&lt;=S126),入力!$B$13,"")</f>
        <v>有効</v>
      </c>
      <c r="R127" s="32" t="str">
        <f>IF(AND(AND(T126="",A127&lt;=S126),OR(AND(入力!$B$13="有効",A127&gt;1,MOD(A127-1,60)=0),AND(A127=入力!$B$11,A127&gt;1)),入力!$B$14="有効"),ROUND(G126*1.25,0),"")</f>
        <v/>
      </c>
      <c r="S127" s="36">
        <f t="shared" si="32"/>
        <v>420</v>
      </c>
      <c r="T127" s="35" t="str">
        <f t="shared" si="33"/>
        <v/>
      </c>
      <c r="U127" s="3">
        <f t="shared" si="17"/>
        <v>0</v>
      </c>
      <c r="V127" s="3">
        <f t="shared" si="18"/>
        <v>0</v>
      </c>
      <c r="W127" s="3">
        <f t="shared" si="19"/>
        <v>0</v>
      </c>
      <c r="X127" s="3">
        <f t="shared" si="20"/>
        <v>0</v>
      </c>
      <c r="Y127" s="3">
        <f>0</f>
        <v>0</v>
      </c>
      <c r="Z127" s="3">
        <f t="shared" si="21"/>
        <v>0</v>
      </c>
      <c r="AA127">
        <f>ROUND(IF(A127=入力!$B$15+1,IF(E127=0,ROUND(C127/MAX(1,S126-A127+1),0),ROUND(-PMT(E127/12,MAX(1,S126-A127+1)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,0)</f>
        <v>98997</v>
      </c>
    </row>
    <row r="128" spans="1:27">
      <c r="A128" s="30">
        <f>123</f>
        <v>123</v>
      </c>
      <c r="B128" s="31">
        <f>EDATE(入力!$B$6,A128-1)</f>
        <v>49949</v>
      </c>
      <c r="C128" s="32">
        <f t="shared" si="22"/>
        <v>21961008</v>
      </c>
      <c r="D128" s="32">
        <f t="shared" si="23"/>
        <v>0</v>
      </c>
      <c r="E128" s="33">
        <f>IF(AND(T127="",A128&lt;=S127),IF(A128&lt;入力!$B$11,入力!$B$10,入力!$B$12),0)</f>
        <v>2.5000000000000001E-2</v>
      </c>
      <c r="F128" s="32">
        <f t="shared" si="24"/>
        <v>45752</v>
      </c>
      <c r="G128" s="32">
        <f>ROUND(IF(NOT(AND(T127="",A128&lt;=S127)),0,IF(A128=入力!$B$15+1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),0)</f>
        <v>98997</v>
      </c>
      <c r="H128" s="32">
        <f t="shared" si="25"/>
        <v>98997</v>
      </c>
      <c r="I128" s="32">
        <f t="shared" si="26"/>
        <v>45752</v>
      </c>
      <c r="J128" s="32">
        <f t="shared" si="27"/>
        <v>0</v>
      </c>
      <c r="K128" s="32">
        <f t="shared" si="28"/>
        <v>0</v>
      </c>
      <c r="L128" s="32">
        <f t="shared" si="29"/>
        <v>53245</v>
      </c>
      <c r="M128" s="32">
        <f>IF(AND(AND(T127="",A128&lt;=S127),A128=入力!$B$15),ROUND(MIN(入力!$B$16,MAX(0,C128-L128)),0),0)</f>
        <v>0</v>
      </c>
      <c r="N128" s="32">
        <f t="shared" si="30"/>
        <v>21907763</v>
      </c>
      <c r="O128" s="32">
        <f t="shared" si="31"/>
        <v>4892354</v>
      </c>
      <c r="P128" s="34" t="str">
        <f>IF(NOT(AND(T127="",A128&lt;=S127)),"",IF(A128=入力!$B$15+1,"繰上返済後再計算","")&amp;IF(AND(入力!$B$13="有効",A128&gt;1,MOD(A128-1,60)=0),IF(A128=入力!$B$15+1,"・","")&amp;"5年見直し","")&amp;IF(AND(A128=入力!$B$11,A128&gt;1),IF(OR(A128=入力!$B$15+1,AND(入力!$B$13="有効",A128&gt;1,MOD(A128-1,60)=0)),"・","")&amp;"金利変更","")&amp;IF(AND(OR(AND(入力!$B$13="有効",A128&gt;1,MOD(A128-1,60)=0),AND(A128=入力!$B$11,A128&gt;1)),入力!$B$14="有効",IF(E128=0,ROUND(C128/MAX(1,S127-A128+1),0),ROUND(-PMT(E128/12,MAX(1,S127-A128+1),C128),0))&gt;ROUND(G127*1.25,0),NOT(A128=入力!$B$15+1)),"・上限適用",""))</f>
        <v/>
      </c>
      <c r="Q128" s="35" t="str">
        <f>IF(AND(T127="",A128&lt;=S127),入力!$B$13,"")</f>
        <v>有効</v>
      </c>
      <c r="R128" s="32" t="str">
        <f>IF(AND(AND(T127="",A128&lt;=S127),OR(AND(入力!$B$13="有効",A128&gt;1,MOD(A128-1,60)=0),AND(A128=入力!$B$11,A128&gt;1)),入力!$B$14="有効"),ROUND(G127*1.25,0),"")</f>
        <v/>
      </c>
      <c r="S128" s="36">
        <f t="shared" si="32"/>
        <v>420</v>
      </c>
      <c r="T128" s="35" t="str">
        <f t="shared" si="33"/>
        <v/>
      </c>
      <c r="U128" s="3">
        <f t="shared" si="17"/>
        <v>0</v>
      </c>
      <c r="V128" s="3">
        <f t="shared" si="18"/>
        <v>0</v>
      </c>
      <c r="W128" s="3">
        <f t="shared" si="19"/>
        <v>0</v>
      </c>
      <c r="X128" s="3">
        <f t="shared" si="20"/>
        <v>0</v>
      </c>
      <c r="Y128" s="3">
        <f>0</f>
        <v>0</v>
      </c>
      <c r="Z128" s="3">
        <f t="shared" si="21"/>
        <v>0</v>
      </c>
      <c r="AA128">
        <f>ROUND(IF(A128=入力!$B$15+1,IF(E128=0,ROUND(C128/MAX(1,S127-A128+1),0),ROUND(-PMT(E128/12,MAX(1,S127-A128+1)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,0)</f>
        <v>98997</v>
      </c>
    </row>
    <row r="129" spans="1:27">
      <c r="A129" s="30">
        <f>124</f>
        <v>124</v>
      </c>
      <c r="B129" s="31">
        <f>EDATE(入力!$B$6,A129-1)</f>
        <v>49980</v>
      </c>
      <c r="C129" s="32">
        <f t="shared" si="22"/>
        <v>21907763</v>
      </c>
      <c r="D129" s="32">
        <f t="shared" si="23"/>
        <v>0</v>
      </c>
      <c r="E129" s="33">
        <f>IF(AND(T128="",A129&lt;=S128),IF(A129&lt;入力!$B$11,入力!$B$10,入力!$B$12),0)</f>
        <v>2.5000000000000001E-2</v>
      </c>
      <c r="F129" s="32">
        <f t="shared" si="24"/>
        <v>45641</v>
      </c>
      <c r="G129" s="32">
        <f>ROUND(IF(NOT(AND(T128="",A129&lt;=S128)),0,IF(A129=入力!$B$15+1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),0)</f>
        <v>98997</v>
      </c>
      <c r="H129" s="32">
        <f t="shared" si="25"/>
        <v>98997</v>
      </c>
      <c r="I129" s="32">
        <f t="shared" si="26"/>
        <v>45641</v>
      </c>
      <c r="J129" s="32">
        <f t="shared" si="27"/>
        <v>0</v>
      </c>
      <c r="K129" s="32">
        <f t="shared" si="28"/>
        <v>0</v>
      </c>
      <c r="L129" s="32">
        <f t="shared" si="29"/>
        <v>53356</v>
      </c>
      <c r="M129" s="32">
        <f>IF(AND(AND(T128="",A129&lt;=S128),A129=入力!$B$15),ROUND(MIN(入力!$B$16,MAX(0,C129-L129)),0),0)</f>
        <v>0</v>
      </c>
      <c r="N129" s="32">
        <f t="shared" si="30"/>
        <v>21854407</v>
      </c>
      <c r="O129" s="32">
        <f t="shared" si="31"/>
        <v>4937995</v>
      </c>
      <c r="P129" s="34" t="str">
        <f>IF(NOT(AND(T128="",A129&lt;=S128)),"",IF(A129=入力!$B$15+1,"繰上返済後再計算","")&amp;IF(AND(入力!$B$13="有効",A129&gt;1,MOD(A129-1,60)=0),IF(A129=入力!$B$15+1,"・","")&amp;"5年見直し","")&amp;IF(AND(A129=入力!$B$11,A129&gt;1),IF(OR(A129=入力!$B$15+1,AND(入力!$B$13="有効",A129&gt;1,MOD(A129-1,60)=0)),"・","")&amp;"金利変更","")&amp;IF(AND(OR(AND(入力!$B$13="有効",A129&gt;1,MOD(A129-1,60)=0),AND(A129=入力!$B$11,A129&gt;1)),入力!$B$14="有効",IF(E129=0,ROUND(C129/MAX(1,S128-A129+1),0),ROUND(-PMT(E129/12,MAX(1,S128-A129+1),C129),0))&gt;ROUND(G128*1.25,0),NOT(A129=入力!$B$15+1)),"・上限適用",""))</f>
        <v/>
      </c>
      <c r="Q129" s="35" t="str">
        <f>IF(AND(T128="",A129&lt;=S128),入力!$B$13,"")</f>
        <v>有効</v>
      </c>
      <c r="R129" s="32" t="str">
        <f>IF(AND(AND(T128="",A129&lt;=S128),OR(AND(入力!$B$13="有効",A129&gt;1,MOD(A129-1,60)=0),AND(A129=入力!$B$11,A129&gt;1)),入力!$B$14="有効"),ROUND(G128*1.25,0),"")</f>
        <v/>
      </c>
      <c r="S129" s="36">
        <f t="shared" si="32"/>
        <v>420</v>
      </c>
      <c r="T129" s="35" t="str">
        <f t="shared" si="33"/>
        <v/>
      </c>
      <c r="U129" s="3">
        <f t="shared" si="17"/>
        <v>0</v>
      </c>
      <c r="V129" s="3">
        <f t="shared" si="18"/>
        <v>0</v>
      </c>
      <c r="W129" s="3">
        <f t="shared" si="19"/>
        <v>0</v>
      </c>
      <c r="X129" s="3">
        <f t="shared" si="20"/>
        <v>0</v>
      </c>
      <c r="Y129" s="3">
        <f>0</f>
        <v>0</v>
      </c>
      <c r="Z129" s="3">
        <f t="shared" si="21"/>
        <v>0</v>
      </c>
      <c r="AA129">
        <f>ROUND(IF(A129=入力!$B$15+1,IF(E129=0,ROUND(C129/MAX(1,S128-A129+1),0),ROUND(-PMT(E129/12,MAX(1,S128-A129+1)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,0)</f>
        <v>98997</v>
      </c>
    </row>
    <row r="130" spans="1:27">
      <c r="A130" s="30">
        <f>125</f>
        <v>125</v>
      </c>
      <c r="B130" s="31">
        <f>EDATE(入力!$B$6,A130-1)</f>
        <v>50010</v>
      </c>
      <c r="C130" s="32">
        <f t="shared" si="22"/>
        <v>21854407</v>
      </c>
      <c r="D130" s="32">
        <f t="shared" si="23"/>
        <v>0</v>
      </c>
      <c r="E130" s="33">
        <f>IF(AND(T129="",A130&lt;=S129),IF(A130&lt;入力!$B$11,入力!$B$10,入力!$B$12),0)</f>
        <v>2.5000000000000001E-2</v>
      </c>
      <c r="F130" s="32">
        <f t="shared" si="24"/>
        <v>45530</v>
      </c>
      <c r="G130" s="32">
        <f>ROUND(IF(NOT(AND(T129="",A130&lt;=S129)),0,IF(A130=入力!$B$15+1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),0)</f>
        <v>98997</v>
      </c>
      <c r="H130" s="32">
        <f t="shared" si="25"/>
        <v>98997</v>
      </c>
      <c r="I130" s="32">
        <f t="shared" si="26"/>
        <v>45530</v>
      </c>
      <c r="J130" s="32">
        <f t="shared" si="27"/>
        <v>0</v>
      </c>
      <c r="K130" s="32">
        <f t="shared" si="28"/>
        <v>0</v>
      </c>
      <c r="L130" s="32">
        <f t="shared" si="29"/>
        <v>53467</v>
      </c>
      <c r="M130" s="32">
        <f>IF(AND(AND(T129="",A130&lt;=S129),A130=入力!$B$15),ROUND(MIN(入力!$B$16,MAX(0,C130-L130)),0),0)</f>
        <v>0</v>
      </c>
      <c r="N130" s="32">
        <f t="shared" si="30"/>
        <v>21800940</v>
      </c>
      <c r="O130" s="32">
        <f t="shared" si="31"/>
        <v>4983525</v>
      </c>
      <c r="P130" s="34" t="str">
        <f>IF(NOT(AND(T129="",A130&lt;=S129)),"",IF(A130=入力!$B$15+1,"繰上返済後再計算","")&amp;IF(AND(入力!$B$13="有効",A130&gt;1,MOD(A130-1,60)=0),IF(A130=入力!$B$15+1,"・","")&amp;"5年見直し","")&amp;IF(AND(A130=入力!$B$11,A130&gt;1),IF(OR(A130=入力!$B$15+1,AND(入力!$B$13="有効",A130&gt;1,MOD(A130-1,60)=0)),"・","")&amp;"金利変更","")&amp;IF(AND(OR(AND(入力!$B$13="有効",A130&gt;1,MOD(A130-1,60)=0),AND(A130=入力!$B$11,A130&gt;1)),入力!$B$14="有効",IF(E130=0,ROUND(C130/MAX(1,S129-A130+1),0),ROUND(-PMT(E130/12,MAX(1,S129-A130+1),C130),0))&gt;ROUND(G129*1.25,0),NOT(A130=入力!$B$15+1)),"・上限適用",""))</f>
        <v/>
      </c>
      <c r="Q130" s="35" t="str">
        <f>IF(AND(T129="",A130&lt;=S129),入力!$B$13,"")</f>
        <v>有効</v>
      </c>
      <c r="R130" s="32" t="str">
        <f>IF(AND(AND(T129="",A130&lt;=S129),OR(AND(入力!$B$13="有効",A130&gt;1,MOD(A130-1,60)=0),AND(A130=入力!$B$11,A130&gt;1)),入力!$B$14="有効"),ROUND(G129*1.25,0),"")</f>
        <v/>
      </c>
      <c r="S130" s="36">
        <f t="shared" si="32"/>
        <v>420</v>
      </c>
      <c r="T130" s="35" t="str">
        <f t="shared" si="33"/>
        <v/>
      </c>
      <c r="U130" s="3">
        <f t="shared" si="17"/>
        <v>0</v>
      </c>
      <c r="V130" s="3">
        <f t="shared" si="18"/>
        <v>0</v>
      </c>
      <c r="W130" s="3">
        <f t="shared" si="19"/>
        <v>0</v>
      </c>
      <c r="X130" s="3">
        <f t="shared" si="20"/>
        <v>0</v>
      </c>
      <c r="Y130" s="3">
        <f>0</f>
        <v>0</v>
      </c>
      <c r="Z130" s="3">
        <f t="shared" si="21"/>
        <v>0</v>
      </c>
      <c r="AA130">
        <f>ROUND(IF(A130=入力!$B$15+1,IF(E130=0,ROUND(C130/MAX(1,S129-A130+1),0),ROUND(-PMT(E130/12,MAX(1,S129-A130+1)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,0)</f>
        <v>98997</v>
      </c>
    </row>
    <row r="131" spans="1:27">
      <c r="A131" s="30">
        <f>126</f>
        <v>126</v>
      </c>
      <c r="B131" s="31">
        <f>EDATE(入力!$B$6,A131-1)</f>
        <v>50041</v>
      </c>
      <c r="C131" s="32">
        <f t="shared" si="22"/>
        <v>21800940</v>
      </c>
      <c r="D131" s="32">
        <f t="shared" si="23"/>
        <v>0</v>
      </c>
      <c r="E131" s="33">
        <f>IF(AND(T130="",A131&lt;=S130),IF(A131&lt;入力!$B$11,入力!$B$10,入力!$B$12),0)</f>
        <v>2.5000000000000001E-2</v>
      </c>
      <c r="F131" s="32">
        <f t="shared" si="24"/>
        <v>45419</v>
      </c>
      <c r="G131" s="32">
        <f>ROUND(IF(NOT(AND(T130="",A131&lt;=S130)),0,IF(A131=入力!$B$15+1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),0)</f>
        <v>98997</v>
      </c>
      <c r="H131" s="32">
        <f t="shared" si="25"/>
        <v>98997</v>
      </c>
      <c r="I131" s="32">
        <f t="shared" si="26"/>
        <v>45419</v>
      </c>
      <c r="J131" s="32">
        <f t="shared" si="27"/>
        <v>0</v>
      </c>
      <c r="K131" s="32">
        <f t="shared" si="28"/>
        <v>0</v>
      </c>
      <c r="L131" s="32">
        <f t="shared" si="29"/>
        <v>53578</v>
      </c>
      <c r="M131" s="32">
        <f>IF(AND(AND(T130="",A131&lt;=S130),A131=入力!$B$15),ROUND(MIN(入力!$B$16,MAX(0,C131-L131)),0),0)</f>
        <v>0</v>
      </c>
      <c r="N131" s="32">
        <f t="shared" si="30"/>
        <v>21747362</v>
      </c>
      <c r="O131" s="32">
        <f t="shared" si="31"/>
        <v>5028944</v>
      </c>
      <c r="P131" s="34" t="str">
        <f>IF(NOT(AND(T130="",A131&lt;=S130)),"",IF(A131=入力!$B$15+1,"繰上返済後再計算","")&amp;IF(AND(入力!$B$13="有効",A131&gt;1,MOD(A131-1,60)=0),IF(A131=入力!$B$15+1,"・","")&amp;"5年見直し","")&amp;IF(AND(A131=入力!$B$11,A131&gt;1),IF(OR(A131=入力!$B$15+1,AND(入力!$B$13="有効",A131&gt;1,MOD(A131-1,60)=0)),"・","")&amp;"金利変更","")&amp;IF(AND(OR(AND(入力!$B$13="有効",A131&gt;1,MOD(A131-1,60)=0),AND(A131=入力!$B$11,A131&gt;1)),入力!$B$14="有効",IF(E131=0,ROUND(C131/MAX(1,S130-A131+1),0),ROUND(-PMT(E131/12,MAX(1,S130-A131+1),C131),0))&gt;ROUND(G130*1.25,0),NOT(A131=入力!$B$15+1)),"・上限適用",""))</f>
        <v/>
      </c>
      <c r="Q131" s="35" t="str">
        <f>IF(AND(T130="",A131&lt;=S130),入力!$B$13,"")</f>
        <v>有効</v>
      </c>
      <c r="R131" s="32" t="str">
        <f>IF(AND(AND(T130="",A131&lt;=S130),OR(AND(入力!$B$13="有効",A131&gt;1,MOD(A131-1,60)=0),AND(A131=入力!$B$11,A131&gt;1)),入力!$B$14="有効"),ROUND(G130*1.25,0),"")</f>
        <v/>
      </c>
      <c r="S131" s="36">
        <f t="shared" si="32"/>
        <v>420</v>
      </c>
      <c r="T131" s="35" t="str">
        <f t="shared" si="33"/>
        <v/>
      </c>
      <c r="U131" s="3">
        <f t="shared" si="17"/>
        <v>0</v>
      </c>
      <c r="V131" s="3">
        <f t="shared" si="18"/>
        <v>0</v>
      </c>
      <c r="W131" s="3">
        <f t="shared" si="19"/>
        <v>0</v>
      </c>
      <c r="X131" s="3">
        <f t="shared" si="20"/>
        <v>0</v>
      </c>
      <c r="Y131" s="3">
        <f>0</f>
        <v>0</v>
      </c>
      <c r="Z131" s="3">
        <f t="shared" si="21"/>
        <v>0</v>
      </c>
      <c r="AA131">
        <f>ROUND(IF(A131=入力!$B$15+1,IF(E131=0,ROUND(C131/MAX(1,S130-A131+1),0),ROUND(-PMT(E131/12,MAX(1,S130-A131+1)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,0)</f>
        <v>98997</v>
      </c>
    </row>
    <row r="132" spans="1:27">
      <c r="A132" s="30">
        <f>127</f>
        <v>127</v>
      </c>
      <c r="B132" s="31">
        <f>EDATE(入力!$B$6,A132-1)</f>
        <v>50072</v>
      </c>
      <c r="C132" s="32">
        <f t="shared" si="22"/>
        <v>21747362</v>
      </c>
      <c r="D132" s="32">
        <f t="shared" si="23"/>
        <v>0</v>
      </c>
      <c r="E132" s="33">
        <f>IF(AND(T131="",A132&lt;=S131),IF(A132&lt;入力!$B$11,入力!$B$10,入力!$B$12),0)</f>
        <v>2.5000000000000001E-2</v>
      </c>
      <c r="F132" s="32">
        <f t="shared" si="24"/>
        <v>45307</v>
      </c>
      <c r="G132" s="32">
        <f>ROUND(IF(NOT(AND(T131="",A132&lt;=S131)),0,IF(A132=入力!$B$15+1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),0)</f>
        <v>98997</v>
      </c>
      <c r="H132" s="32">
        <f t="shared" si="25"/>
        <v>98997</v>
      </c>
      <c r="I132" s="32">
        <f t="shared" si="26"/>
        <v>45307</v>
      </c>
      <c r="J132" s="32">
        <f t="shared" si="27"/>
        <v>0</v>
      </c>
      <c r="K132" s="32">
        <f t="shared" si="28"/>
        <v>0</v>
      </c>
      <c r="L132" s="32">
        <f t="shared" si="29"/>
        <v>53690</v>
      </c>
      <c r="M132" s="32">
        <f>IF(AND(AND(T131="",A132&lt;=S131),A132=入力!$B$15),ROUND(MIN(入力!$B$16,MAX(0,C132-L132)),0),0)</f>
        <v>0</v>
      </c>
      <c r="N132" s="32">
        <f t="shared" si="30"/>
        <v>21693672</v>
      </c>
      <c r="O132" s="32">
        <f t="shared" si="31"/>
        <v>5074251</v>
      </c>
      <c r="P132" s="34" t="str">
        <f>IF(NOT(AND(T131="",A132&lt;=S131)),"",IF(A132=入力!$B$15+1,"繰上返済後再計算","")&amp;IF(AND(入力!$B$13="有効",A132&gt;1,MOD(A132-1,60)=0),IF(A132=入力!$B$15+1,"・","")&amp;"5年見直し","")&amp;IF(AND(A132=入力!$B$11,A132&gt;1),IF(OR(A132=入力!$B$15+1,AND(入力!$B$13="有効",A132&gt;1,MOD(A132-1,60)=0)),"・","")&amp;"金利変更","")&amp;IF(AND(OR(AND(入力!$B$13="有効",A132&gt;1,MOD(A132-1,60)=0),AND(A132=入力!$B$11,A132&gt;1)),入力!$B$14="有効",IF(E132=0,ROUND(C132/MAX(1,S131-A132+1),0),ROUND(-PMT(E132/12,MAX(1,S131-A132+1),C132),0))&gt;ROUND(G131*1.25,0),NOT(A132=入力!$B$15+1)),"・上限適用",""))</f>
        <v/>
      </c>
      <c r="Q132" s="35" t="str">
        <f>IF(AND(T131="",A132&lt;=S131),入力!$B$13,"")</f>
        <v>有効</v>
      </c>
      <c r="R132" s="32" t="str">
        <f>IF(AND(AND(T131="",A132&lt;=S131),OR(AND(入力!$B$13="有効",A132&gt;1,MOD(A132-1,60)=0),AND(A132=入力!$B$11,A132&gt;1)),入力!$B$14="有効"),ROUND(G131*1.25,0),"")</f>
        <v/>
      </c>
      <c r="S132" s="36">
        <f t="shared" si="32"/>
        <v>420</v>
      </c>
      <c r="T132" s="35" t="str">
        <f t="shared" si="33"/>
        <v/>
      </c>
      <c r="U132" s="3">
        <f t="shared" si="17"/>
        <v>0</v>
      </c>
      <c r="V132" s="3">
        <f t="shared" si="18"/>
        <v>0</v>
      </c>
      <c r="W132" s="3">
        <f t="shared" si="19"/>
        <v>0</v>
      </c>
      <c r="X132" s="3">
        <f t="shared" si="20"/>
        <v>0</v>
      </c>
      <c r="Y132" s="3">
        <f>0</f>
        <v>0</v>
      </c>
      <c r="Z132" s="3">
        <f t="shared" si="21"/>
        <v>0</v>
      </c>
      <c r="AA132">
        <f>ROUND(IF(A132=入力!$B$15+1,IF(E132=0,ROUND(C132/MAX(1,S131-A132+1),0),ROUND(-PMT(E132/12,MAX(1,S131-A132+1)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,0)</f>
        <v>98997</v>
      </c>
    </row>
    <row r="133" spans="1:27">
      <c r="A133" s="30">
        <f>128</f>
        <v>128</v>
      </c>
      <c r="B133" s="31">
        <f>EDATE(入力!$B$6,A133-1)</f>
        <v>50100</v>
      </c>
      <c r="C133" s="32">
        <f t="shared" si="22"/>
        <v>21693672</v>
      </c>
      <c r="D133" s="32">
        <f t="shared" si="23"/>
        <v>0</v>
      </c>
      <c r="E133" s="33">
        <f>IF(AND(T132="",A133&lt;=S132),IF(A133&lt;入力!$B$11,入力!$B$10,入力!$B$12),0)</f>
        <v>2.5000000000000001E-2</v>
      </c>
      <c r="F133" s="32">
        <f t="shared" si="24"/>
        <v>45195</v>
      </c>
      <c r="G133" s="32">
        <f>ROUND(IF(NOT(AND(T132="",A133&lt;=S132)),0,IF(A133=入力!$B$15+1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),0)</f>
        <v>98997</v>
      </c>
      <c r="H133" s="32">
        <f t="shared" si="25"/>
        <v>98997</v>
      </c>
      <c r="I133" s="32">
        <f t="shared" si="26"/>
        <v>45195</v>
      </c>
      <c r="J133" s="32">
        <f t="shared" si="27"/>
        <v>0</v>
      </c>
      <c r="K133" s="32">
        <f t="shared" si="28"/>
        <v>0</v>
      </c>
      <c r="L133" s="32">
        <f t="shared" si="29"/>
        <v>53802</v>
      </c>
      <c r="M133" s="32">
        <f>IF(AND(AND(T132="",A133&lt;=S132),A133=入力!$B$15),ROUND(MIN(入力!$B$16,MAX(0,C133-L133)),0),0)</f>
        <v>0</v>
      </c>
      <c r="N133" s="32">
        <f t="shared" si="30"/>
        <v>21639870</v>
      </c>
      <c r="O133" s="32">
        <f t="shared" si="31"/>
        <v>5119446</v>
      </c>
      <c r="P133" s="34" t="str">
        <f>IF(NOT(AND(T132="",A133&lt;=S132)),"",IF(A133=入力!$B$15+1,"繰上返済後再計算","")&amp;IF(AND(入力!$B$13="有効",A133&gt;1,MOD(A133-1,60)=0),IF(A133=入力!$B$15+1,"・","")&amp;"5年見直し","")&amp;IF(AND(A133=入力!$B$11,A133&gt;1),IF(OR(A133=入力!$B$15+1,AND(入力!$B$13="有効",A133&gt;1,MOD(A133-1,60)=0)),"・","")&amp;"金利変更","")&amp;IF(AND(OR(AND(入力!$B$13="有効",A133&gt;1,MOD(A133-1,60)=0),AND(A133=入力!$B$11,A133&gt;1)),入力!$B$14="有効",IF(E133=0,ROUND(C133/MAX(1,S132-A133+1),0),ROUND(-PMT(E133/12,MAX(1,S132-A133+1),C133),0))&gt;ROUND(G132*1.25,0),NOT(A133=入力!$B$15+1)),"・上限適用",""))</f>
        <v/>
      </c>
      <c r="Q133" s="35" t="str">
        <f>IF(AND(T132="",A133&lt;=S132),入力!$B$13,"")</f>
        <v>有効</v>
      </c>
      <c r="R133" s="32" t="str">
        <f>IF(AND(AND(T132="",A133&lt;=S132),OR(AND(入力!$B$13="有効",A133&gt;1,MOD(A133-1,60)=0),AND(A133=入力!$B$11,A133&gt;1)),入力!$B$14="有効"),ROUND(G132*1.25,0),"")</f>
        <v/>
      </c>
      <c r="S133" s="36">
        <f t="shared" si="32"/>
        <v>420</v>
      </c>
      <c r="T133" s="35" t="str">
        <f t="shared" si="33"/>
        <v/>
      </c>
      <c r="U133" s="3">
        <f t="shared" si="17"/>
        <v>0</v>
      </c>
      <c r="V133" s="3">
        <f t="shared" si="18"/>
        <v>0</v>
      </c>
      <c r="W133" s="3">
        <f t="shared" si="19"/>
        <v>0</v>
      </c>
      <c r="X133" s="3">
        <f t="shared" si="20"/>
        <v>0</v>
      </c>
      <c r="Y133" s="3">
        <f>0</f>
        <v>0</v>
      </c>
      <c r="Z133" s="3">
        <f t="shared" si="21"/>
        <v>0</v>
      </c>
      <c r="AA133">
        <f>ROUND(IF(A133=入力!$B$15+1,IF(E133=0,ROUND(C133/MAX(1,S132-A133+1),0),ROUND(-PMT(E133/12,MAX(1,S132-A133+1)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,0)</f>
        <v>98997</v>
      </c>
    </row>
    <row r="134" spans="1:27">
      <c r="A134" s="30">
        <f>129</f>
        <v>129</v>
      </c>
      <c r="B134" s="31">
        <f>EDATE(入力!$B$6,A134-1)</f>
        <v>50131</v>
      </c>
      <c r="C134" s="32">
        <f t="shared" si="22"/>
        <v>21639870</v>
      </c>
      <c r="D134" s="32">
        <f t="shared" si="23"/>
        <v>0</v>
      </c>
      <c r="E134" s="33">
        <f>IF(AND(T133="",A134&lt;=S133),IF(A134&lt;入力!$B$11,入力!$B$10,入力!$B$12),0)</f>
        <v>2.5000000000000001E-2</v>
      </c>
      <c r="F134" s="32">
        <f t="shared" si="24"/>
        <v>45083</v>
      </c>
      <c r="G134" s="32">
        <f>ROUND(IF(NOT(AND(T133="",A134&lt;=S133)),0,IF(A134=入力!$B$15+1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),0)</f>
        <v>98997</v>
      </c>
      <c r="H134" s="32">
        <f t="shared" si="25"/>
        <v>98997</v>
      </c>
      <c r="I134" s="32">
        <f t="shared" si="26"/>
        <v>45083</v>
      </c>
      <c r="J134" s="32">
        <f t="shared" si="27"/>
        <v>0</v>
      </c>
      <c r="K134" s="32">
        <f t="shared" si="28"/>
        <v>0</v>
      </c>
      <c r="L134" s="32">
        <f t="shared" si="29"/>
        <v>53914</v>
      </c>
      <c r="M134" s="32">
        <f>IF(AND(AND(T133="",A134&lt;=S133),A134=入力!$B$15),ROUND(MIN(入力!$B$16,MAX(0,C134-L134)),0),0)</f>
        <v>0</v>
      </c>
      <c r="N134" s="32">
        <f t="shared" si="30"/>
        <v>21585956</v>
      </c>
      <c r="O134" s="32">
        <f t="shared" si="31"/>
        <v>5164529</v>
      </c>
      <c r="P134" s="34" t="str">
        <f>IF(NOT(AND(T133="",A134&lt;=S133)),"",IF(A134=入力!$B$15+1,"繰上返済後再計算","")&amp;IF(AND(入力!$B$13="有効",A134&gt;1,MOD(A134-1,60)=0),IF(A134=入力!$B$15+1,"・","")&amp;"5年見直し","")&amp;IF(AND(A134=入力!$B$11,A134&gt;1),IF(OR(A134=入力!$B$15+1,AND(入力!$B$13="有効",A134&gt;1,MOD(A134-1,60)=0)),"・","")&amp;"金利変更","")&amp;IF(AND(OR(AND(入力!$B$13="有効",A134&gt;1,MOD(A134-1,60)=0),AND(A134=入力!$B$11,A134&gt;1)),入力!$B$14="有効",IF(E134=0,ROUND(C134/MAX(1,S133-A134+1),0),ROUND(-PMT(E134/12,MAX(1,S133-A134+1),C134),0))&gt;ROUND(G133*1.25,0),NOT(A134=入力!$B$15+1)),"・上限適用",""))</f>
        <v/>
      </c>
      <c r="Q134" s="35" t="str">
        <f>IF(AND(T133="",A134&lt;=S133),入力!$B$13,"")</f>
        <v>有効</v>
      </c>
      <c r="R134" s="32" t="str">
        <f>IF(AND(AND(T133="",A134&lt;=S133),OR(AND(入力!$B$13="有効",A134&gt;1,MOD(A134-1,60)=0),AND(A134=入力!$B$11,A134&gt;1)),入力!$B$14="有効"),ROUND(G133*1.25,0),"")</f>
        <v/>
      </c>
      <c r="S134" s="36">
        <f t="shared" si="32"/>
        <v>420</v>
      </c>
      <c r="T134" s="35" t="str">
        <f t="shared" si="33"/>
        <v/>
      </c>
      <c r="U134" s="3">
        <f t="shared" ref="U134:U197" si="34">ABS(I134-MIN(H134,D134+F134))</f>
        <v>0</v>
      </c>
      <c r="V134" s="3">
        <f t="shared" ref="V134:V197" si="35">ABS(L134-(H134-I134))</f>
        <v>0</v>
      </c>
      <c r="W134" s="3">
        <f t="shared" ref="W134:W197" si="36">ABS(K134-(D134+J134))</f>
        <v>0</v>
      </c>
      <c r="X134" s="3">
        <f t="shared" ref="X134:X197" si="37">ABS(F134-ROUND(F134,0))+ABS(G134-ROUND(G134,0))+ABS(H134-ROUND(H134,0))+ABS(I134-ROUND(I134,0))+ABS(J134-ROUND(J134,0))+ABS(K134-ROUND(K134,0))+ABS(L134-ROUND(L134,0))+ABS(M134-ROUND(M134,0))+ABS(N134-ROUND(N134,0))+ABS(O134-ROUND(O134,0))</f>
        <v>0</v>
      </c>
      <c r="Y134" s="3">
        <f>0</f>
        <v>0</v>
      </c>
      <c r="Z134" s="3">
        <f t="shared" ref="Z134:Z197" si="38">SUM(--ISERROR(A134),--ISERROR(B134),--ISERROR(C134),--ISERROR(D134),--ISERROR(E134),--ISERROR(F134),--ISERROR(G134),--ISERROR(H134),--ISERROR(I134),--ISERROR(J134),--ISERROR(K134),--ISERROR(L134),--ISERROR(M134),--ISERROR(N134),--ISERROR(O134),--ISERROR(P134),--ISERROR(Q134),--ISERROR(R134),--ISERROR(S134),--ISERROR(T134))</f>
        <v>0</v>
      </c>
      <c r="AA134">
        <f>ROUND(IF(A134=入力!$B$15+1,IF(E134=0,ROUND(C134/MAX(1,S133-A134+1),0),ROUND(-PMT(E134/12,MAX(1,S133-A134+1)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,0)</f>
        <v>98997</v>
      </c>
    </row>
    <row r="135" spans="1:27">
      <c r="A135" s="30">
        <f>130</f>
        <v>130</v>
      </c>
      <c r="B135" s="31">
        <f>EDATE(入力!$B$6,A135-1)</f>
        <v>50161</v>
      </c>
      <c r="C135" s="32">
        <f t="shared" ref="C135:C198" si="39">IF(AND(T134="",A135&lt;=S134),N134,0)</f>
        <v>21585956</v>
      </c>
      <c r="D135" s="32">
        <f t="shared" ref="D135:D198" si="40">IF(AND(T134="",A135&lt;=S134),K134,0)</f>
        <v>0</v>
      </c>
      <c r="E135" s="33">
        <f>IF(AND(T134="",A135&lt;=S134),IF(A135&lt;入力!$B$11,入力!$B$10,入力!$B$12),0)</f>
        <v>2.5000000000000001E-2</v>
      </c>
      <c r="F135" s="32">
        <f t="shared" ref="F135:F198" si="41">IF(AND(T134="",A135&lt;=S134),ROUND(C135*E135/12,0),0)</f>
        <v>44971</v>
      </c>
      <c r="G135" s="32">
        <f>ROUND(IF(NOT(AND(T134="",A135&lt;=S134)),0,IF(A135=入力!$B$15+1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),0)</f>
        <v>98997</v>
      </c>
      <c r="H135" s="32">
        <f t="shared" ref="H135:H198" si="42">IF(AND(T134="",A135&lt;=S134),ROUND(MIN(G135,C135+D135+F135),0),0)</f>
        <v>98997</v>
      </c>
      <c r="I135" s="32">
        <f t="shared" ref="I135:I198" si="43">IF(AND(T134="",A135&lt;=S134),ROUND(MIN(H135,D135+F135),0),0)</f>
        <v>44971</v>
      </c>
      <c r="J135" s="32">
        <f t="shared" ref="J135:J198" si="44">IF(AND(T134="",A135&lt;=S134),ROUND(F135-I135,0),0)</f>
        <v>0</v>
      </c>
      <c r="K135" s="32">
        <f t="shared" ref="K135:K198" si="45">IF(AND(T134="",A135&lt;=S134),ROUND(D135+J135,0),0)</f>
        <v>0</v>
      </c>
      <c r="L135" s="32">
        <f t="shared" ref="L135:L198" si="46">IF(AND(T134="",A135&lt;=S134),ROUND(H135-I135,0),0)</f>
        <v>54026</v>
      </c>
      <c r="M135" s="32">
        <f>IF(AND(AND(T134="",A135&lt;=S134),A135=入力!$B$15),ROUND(MIN(入力!$B$16,MAX(0,C135-L135)),0),0)</f>
        <v>0</v>
      </c>
      <c r="N135" s="32">
        <f t="shared" ref="N135:N198" si="47">IF(AND(T134="",A135&lt;=S134),ROUND(MAX(0,C135-L135-M135),0),0)</f>
        <v>21531930</v>
      </c>
      <c r="O135" s="32">
        <f t="shared" ref="O135:O198" si="48">IF(AND(T134="",A135&lt;=S134),ROUND(O134+F135,0),O134)</f>
        <v>5209500</v>
      </c>
      <c r="P135" s="34" t="str">
        <f>IF(NOT(AND(T134="",A135&lt;=S134)),"",IF(A135=入力!$B$15+1,"繰上返済後再計算","")&amp;IF(AND(入力!$B$13="有効",A135&gt;1,MOD(A135-1,60)=0),IF(A135=入力!$B$15+1,"・","")&amp;"5年見直し","")&amp;IF(AND(A135=入力!$B$11,A135&gt;1),IF(OR(A135=入力!$B$15+1,AND(入力!$B$13="有効",A135&gt;1,MOD(A135-1,60)=0)),"・","")&amp;"金利変更","")&amp;IF(AND(OR(AND(入力!$B$13="有効",A135&gt;1,MOD(A135-1,60)=0),AND(A135=入力!$B$11,A135&gt;1)),入力!$B$14="有効",IF(E135=0,ROUND(C135/MAX(1,S134-A135+1),0),ROUND(-PMT(E135/12,MAX(1,S134-A135+1),C135),0))&gt;ROUND(G134*1.25,0),NOT(A135=入力!$B$15+1)),"・上限適用",""))</f>
        <v/>
      </c>
      <c r="Q135" s="35" t="str">
        <f>IF(AND(T134="",A135&lt;=S134),入力!$B$13,"")</f>
        <v>有効</v>
      </c>
      <c r="R135" s="32" t="str">
        <f>IF(AND(AND(T134="",A135&lt;=S134),OR(AND(入力!$B$13="有効",A135&gt;1,MOD(A135-1,60)=0),AND(A135=入力!$B$11,A135&gt;1)),入力!$B$14="有効"),ROUND(G134*1.25,0),"")</f>
        <v/>
      </c>
      <c r="S135" s="36">
        <f t="shared" ref="S135:S198" si="49">S134</f>
        <v>420</v>
      </c>
      <c r="T135" s="35" t="str">
        <f t="shared" ref="T135:T198" si="50">IF(NOT(AND(T134="",A135&lt;=S134)),"",IF(AND(N135=0,K135=0),"完済",IF(A135=S135,"最終回清算","")))</f>
        <v/>
      </c>
      <c r="U135" s="3">
        <f t="shared" si="34"/>
        <v>0</v>
      </c>
      <c r="V135" s="3">
        <f t="shared" si="35"/>
        <v>0</v>
      </c>
      <c r="W135" s="3">
        <f t="shared" si="36"/>
        <v>0</v>
      </c>
      <c r="X135" s="3">
        <f t="shared" si="37"/>
        <v>0</v>
      </c>
      <c r="Y135" s="3">
        <f>0</f>
        <v>0</v>
      </c>
      <c r="Z135" s="3">
        <f t="shared" si="38"/>
        <v>0</v>
      </c>
      <c r="AA135">
        <f>ROUND(IF(A135=入力!$B$15+1,IF(E135=0,ROUND(C135/MAX(1,S134-A135+1),0),ROUND(-PMT(E135/12,MAX(1,S134-A135+1)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,0)</f>
        <v>98997</v>
      </c>
    </row>
    <row r="136" spans="1:27">
      <c r="A136" s="30">
        <f>131</f>
        <v>131</v>
      </c>
      <c r="B136" s="31">
        <f>EDATE(入力!$B$6,A136-1)</f>
        <v>50192</v>
      </c>
      <c r="C136" s="32">
        <f t="shared" si="39"/>
        <v>21531930</v>
      </c>
      <c r="D136" s="32">
        <f t="shared" si="40"/>
        <v>0</v>
      </c>
      <c r="E136" s="33">
        <f>IF(AND(T135="",A136&lt;=S135),IF(A136&lt;入力!$B$11,入力!$B$10,入力!$B$12),0)</f>
        <v>2.5000000000000001E-2</v>
      </c>
      <c r="F136" s="32">
        <f t="shared" si="41"/>
        <v>44858</v>
      </c>
      <c r="G136" s="32">
        <f>ROUND(IF(NOT(AND(T135="",A136&lt;=S135)),0,IF(A136=入力!$B$15+1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),0)</f>
        <v>98997</v>
      </c>
      <c r="H136" s="32">
        <f t="shared" si="42"/>
        <v>98997</v>
      </c>
      <c r="I136" s="32">
        <f t="shared" si="43"/>
        <v>44858</v>
      </c>
      <c r="J136" s="32">
        <f t="shared" si="44"/>
        <v>0</v>
      </c>
      <c r="K136" s="32">
        <f t="shared" si="45"/>
        <v>0</v>
      </c>
      <c r="L136" s="32">
        <f t="shared" si="46"/>
        <v>54139</v>
      </c>
      <c r="M136" s="32">
        <f>IF(AND(AND(T135="",A136&lt;=S135),A136=入力!$B$15),ROUND(MIN(入力!$B$16,MAX(0,C136-L136)),0),0)</f>
        <v>0</v>
      </c>
      <c r="N136" s="32">
        <f t="shared" si="47"/>
        <v>21477791</v>
      </c>
      <c r="O136" s="32">
        <f t="shared" si="48"/>
        <v>5254358</v>
      </c>
      <c r="P136" s="34" t="str">
        <f>IF(NOT(AND(T135="",A136&lt;=S135)),"",IF(A136=入力!$B$15+1,"繰上返済後再計算","")&amp;IF(AND(入力!$B$13="有効",A136&gt;1,MOD(A136-1,60)=0),IF(A136=入力!$B$15+1,"・","")&amp;"5年見直し","")&amp;IF(AND(A136=入力!$B$11,A136&gt;1),IF(OR(A136=入力!$B$15+1,AND(入力!$B$13="有効",A136&gt;1,MOD(A136-1,60)=0)),"・","")&amp;"金利変更","")&amp;IF(AND(OR(AND(入力!$B$13="有効",A136&gt;1,MOD(A136-1,60)=0),AND(A136=入力!$B$11,A136&gt;1)),入力!$B$14="有効",IF(E136=0,ROUND(C136/MAX(1,S135-A136+1),0),ROUND(-PMT(E136/12,MAX(1,S135-A136+1),C136),0))&gt;ROUND(G135*1.25,0),NOT(A136=入力!$B$15+1)),"・上限適用",""))</f>
        <v/>
      </c>
      <c r="Q136" s="35" t="str">
        <f>IF(AND(T135="",A136&lt;=S135),入力!$B$13,"")</f>
        <v>有効</v>
      </c>
      <c r="R136" s="32" t="str">
        <f>IF(AND(AND(T135="",A136&lt;=S135),OR(AND(入力!$B$13="有効",A136&gt;1,MOD(A136-1,60)=0),AND(A136=入力!$B$11,A136&gt;1)),入力!$B$14="有効"),ROUND(G135*1.25,0),"")</f>
        <v/>
      </c>
      <c r="S136" s="36">
        <f t="shared" si="49"/>
        <v>420</v>
      </c>
      <c r="T136" s="35" t="str">
        <f t="shared" si="50"/>
        <v/>
      </c>
      <c r="U136" s="3">
        <f t="shared" si="34"/>
        <v>0</v>
      </c>
      <c r="V136" s="3">
        <f t="shared" si="35"/>
        <v>0</v>
      </c>
      <c r="W136" s="3">
        <f t="shared" si="36"/>
        <v>0</v>
      </c>
      <c r="X136" s="3">
        <f t="shared" si="37"/>
        <v>0</v>
      </c>
      <c r="Y136" s="3">
        <f>0</f>
        <v>0</v>
      </c>
      <c r="Z136" s="3">
        <f t="shared" si="38"/>
        <v>0</v>
      </c>
      <c r="AA136">
        <f>ROUND(IF(A136=入力!$B$15+1,IF(E136=0,ROUND(C136/MAX(1,S135-A136+1),0),ROUND(-PMT(E136/12,MAX(1,S135-A136+1)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,0)</f>
        <v>98997</v>
      </c>
    </row>
    <row r="137" spans="1:27">
      <c r="A137" s="30">
        <f>132</f>
        <v>132</v>
      </c>
      <c r="B137" s="31">
        <f>EDATE(入力!$B$6,A137-1)</f>
        <v>50222</v>
      </c>
      <c r="C137" s="32">
        <f t="shared" si="39"/>
        <v>21477791</v>
      </c>
      <c r="D137" s="32">
        <f t="shared" si="40"/>
        <v>0</v>
      </c>
      <c r="E137" s="33">
        <f>IF(AND(T136="",A137&lt;=S136),IF(A137&lt;入力!$B$11,入力!$B$10,入力!$B$12),0)</f>
        <v>2.5000000000000001E-2</v>
      </c>
      <c r="F137" s="32">
        <f t="shared" si="41"/>
        <v>44745</v>
      </c>
      <c r="G137" s="32">
        <f>ROUND(IF(NOT(AND(T136="",A137&lt;=S136)),0,IF(A137=入力!$B$15+1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),0)</f>
        <v>98997</v>
      </c>
      <c r="H137" s="32">
        <f t="shared" si="42"/>
        <v>98997</v>
      </c>
      <c r="I137" s="32">
        <f t="shared" si="43"/>
        <v>44745</v>
      </c>
      <c r="J137" s="32">
        <f t="shared" si="44"/>
        <v>0</v>
      </c>
      <c r="K137" s="32">
        <f t="shared" si="45"/>
        <v>0</v>
      </c>
      <c r="L137" s="32">
        <f t="shared" si="46"/>
        <v>54252</v>
      </c>
      <c r="M137" s="32">
        <f>IF(AND(AND(T136="",A137&lt;=S136),A137=入力!$B$15),ROUND(MIN(入力!$B$16,MAX(0,C137-L137)),0),0)</f>
        <v>0</v>
      </c>
      <c r="N137" s="32">
        <f t="shared" si="47"/>
        <v>21423539</v>
      </c>
      <c r="O137" s="32">
        <f t="shared" si="48"/>
        <v>5299103</v>
      </c>
      <c r="P137" s="34" t="str">
        <f>IF(NOT(AND(T136="",A137&lt;=S136)),"",IF(A137=入力!$B$15+1,"繰上返済後再計算","")&amp;IF(AND(入力!$B$13="有効",A137&gt;1,MOD(A137-1,60)=0),IF(A137=入力!$B$15+1,"・","")&amp;"5年見直し","")&amp;IF(AND(A137=入力!$B$11,A137&gt;1),IF(OR(A137=入力!$B$15+1,AND(入力!$B$13="有効",A137&gt;1,MOD(A137-1,60)=0)),"・","")&amp;"金利変更","")&amp;IF(AND(OR(AND(入力!$B$13="有効",A137&gt;1,MOD(A137-1,60)=0),AND(A137=入力!$B$11,A137&gt;1)),入力!$B$14="有効",IF(E137=0,ROUND(C137/MAX(1,S136-A137+1),0),ROUND(-PMT(E137/12,MAX(1,S136-A137+1),C137),0))&gt;ROUND(G136*1.25,0),NOT(A137=入力!$B$15+1)),"・上限適用",""))</f>
        <v/>
      </c>
      <c r="Q137" s="35" t="str">
        <f>IF(AND(T136="",A137&lt;=S136),入力!$B$13,"")</f>
        <v>有効</v>
      </c>
      <c r="R137" s="32" t="str">
        <f>IF(AND(AND(T136="",A137&lt;=S136),OR(AND(入力!$B$13="有効",A137&gt;1,MOD(A137-1,60)=0),AND(A137=入力!$B$11,A137&gt;1)),入力!$B$14="有効"),ROUND(G136*1.25,0),"")</f>
        <v/>
      </c>
      <c r="S137" s="36">
        <f t="shared" si="49"/>
        <v>420</v>
      </c>
      <c r="T137" s="35" t="str">
        <f t="shared" si="50"/>
        <v/>
      </c>
      <c r="U137" s="3">
        <f t="shared" si="34"/>
        <v>0</v>
      </c>
      <c r="V137" s="3">
        <f t="shared" si="35"/>
        <v>0</v>
      </c>
      <c r="W137" s="3">
        <f t="shared" si="36"/>
        <v>0</v>
      </c>
      <c r="X137" s="3">
        <f t="shared" si="37"/>
        <v>0</v>
      </c>
      <c r="Y137" s="3">
        <f>0</f>
        <v>0</v>
      </c>
      <c r="Z137" s="3">
        <f t="shared" si="38"/>
        <v>0</v>
      </c>
      <c r="AA137">
        <f>ROUND(IF(A137=入力!$B$15+1,IF(E137=0,ROUND(C137/MAX(1,S136-A137+1),0),ROUND(-PMT(E137/12,MAX(1,S136-A137+1)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,0)</f>
        <v>98997</v>
      </c>
    </row>
    <row r="138" spans="1:27">
      <c r="A138" s="30">
        <f>133</f>
        <v>133</v>
      </c>
      <c r="B138" s="31">
        <f>EDATE(入力!$B$6,A138-1)</f>
        <v>50253</v>
      </c>
      <c r="C138" s="32">
        <f t="shared" si="39"/>
        <v>21423539</v>
      </c>
      <c r="D138" s="32">
        <f t="shared" si="40"/>
        <v>0</v>
      </c>
      <c r="E138" s="33">
        <f>IF(AND(T137="",A138&lt;=S137),IF(A138&lt;入力!$B$11,入力!$B$10,入力!$B$12),0)</f>
        <v>2.5000000000000001E-2</v>
      </c>
      <c r="F138" s="32">
        <f t="shared" si="41"/>
        <v>44632</v>
      </c>
      <c r="G138" s="32">
        <f>ROUND(IF(NOT(AND(T137="",A138&lt;=S137)),0,IF(A138=入力!$B$15+1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),0)</f>
        <v>98997</v>
      </c>
      <c r="H138" s="32">
        <f t="shared" si="42"/>
        <v>98997</v>
      </c>
      <c r="I138" s="32">
        <f t="shared" si="43"/>
        <v>44632</v>
      </c>
      <c r="J138" s="32">
        <f t="shared" si="44"/>
        <v>0</v>
      </c>
      <c r="K138" s="32">
        <f t="shared" si="45"/>
        <v>0</v>
      </c>
      <c r="L138" s="32">
        <f t="shared" si="46"/>
        <v>54365</v>
      </c>
      <c r="M138" s="32">
        <f>IF(AND(AND(T137="",A138&lt;=S137),A138=入力!$B$15),ROUND(MIN(入力!$B$16,MAX(0,C138-L138)),0),0)</f>
        <v>0</v>
      </c>
      <c r="N138" s="32">
        <f t="shared" si="47"/>
        <v>21369174</v>
      </c>
      <c r="O138" s="32">
        <f t="shared" si="48"/>
        <v>5343735</v>
      </c>
      <c r="P138" s="34" t="str">
        <f>IF(NOT(AND(T137="",A138&lt;=S137)),"",IF(A138=入力!$B$15+1,"繰上返済後再計算","")&amp;IF(AND(入力!$B$13="有効",A138&gt;1,MOD(A138-1,60)=0),IF(A138=入力!$B$15+1,"・","")&amp;"5年見直し","")&amp;IF(AND(A138=入力!$B$11,A138&gt;1),IF(OR(A138=入力!$B$15+1,AND(入力!$B$13="有効",A138&gt;1,MOD(A138-1,60)=0)),"・","")&amp;"金利変更","")&amp;IF(AND(OR(AND(入力!$B$13="有効",A138&gt;1,MOD(A138-1,60)=0),AND(A138=入力!$B$11,A138&gt;1)),入力!$B$14="有効",IF(E138=0,ROUND(C138/MAX(1,S137-A138+1),0),ROUND(-PMT(E138/12,MAX(1,S137-A138+1),C138),0))&gt;ROUND(G137*1.25,0),NOT(A138=入力!$B$15+1)),"・上限適用",""))</f>
        <v/>
      </c>
      <c r="Q138" s="35" t="str">
        <f>IF(AND(T137="",A138&lt;=S137),入力!$B$13,"")</f>
        <v>有効</v>
      </c>
      <c r="R138" s="32" t="str">
        <f>IF(AND(AND(T137="",A138&lt;=S137),OR(AND(入力!$B$13="有効",A138&gt;1,MOD(A138-1,60)=0),AND(A138=入力!$B$11,A138&gt;1)),入力!$B$14="有効"),ROUND(G137*1.25,0),"")</f>
        <v/>
      </c>
      <c r="S138" s="36">
        <f t="shared" si="49"/>
        <v>420</v>
      </c>
      <c r="T138" s="35" t="str">
        <f t="shared" si="50"/>
        <v/>
      </c>
      <c r="U138" s="3">
        <f t="shared" si="34"/>
        <v>0</v>
      </c>
      <c r="V138" s="3">
        <f t="shared" si="35"/>
        <v>0</v>
      </c>
      <c r="W138" s="3">
        <f t="shared" si="36"/>
        <v>0</v>
      </c>
      <c r="X138" s="3">
        <f t="shared" si="37"/>
        <v>0</v>
      </c>
      <c r="Y138" s="3">
        <f>0</f>
        <v>0</v>
      </c>
      <c r="Z138" s="3">
        <f t="shared" si="38"/>
        <v>0</v>
      </c>
      <c r="AA138">
        <f>ROUND(IF(A138=入力!$B$15+1,IF(E138=0,ROUND(C138/MAX(1,S137-A138+1),0),ROUND(-PMT(E138/12,MAX(1,S137-A138+1)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,0)</f>
        <v>98997</v>
      </c>
    </row>
    <row r="139" spans="1:27">
      <c r="A139" s="30">
        <f>134</f>
        <v>134</v>
      </c>
      <c r="B139" s="31">
        <f>EDATE(入力!$B$6,A139-1)</f>
        <v>50284</v>
      </c>
      <c r="C139" s="32">
        <f t="shared" si="39"/>
        <v>21369174</v>
      </c>
      <c r="D139" s="32">
        <f t="shared" si="40"/>
        <v>0</v>
      </c>
      <c r="E139" s="33">
        <f>IF(AND(T138="",A139&lt;=S138),IF(A139&lt;入力!$B$11,入力!$B$10,入力!$B$12),0)</f>
        <v>2.5000000000000001E-2</v>
      </c>
      <c r="F139" s="32">
        <f t="shared" si="41"/>
        <v>44519</v>
      </c>
      <c r="G139" s="32">
        <f>ROUND(IF(NOT(AND(T138="",A139&lt;=S138)),0,IF(A139=入力!$B$15+1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),0)</f>
        <v>98997</v>
      </c>
      <c r="H139" s="32">
        <f t="shared" si="42"/>
        <v>98997</v>
      </c>
      <c r="I139" s="32">
        <f t="shared" si="43"/>
        <v>44519</v>
      </c>
      <c r="J139" s="32">
        <f t="shared" si="44"/>
        <v>0</v>
      </c>
      <c r="K139" s="32">
        <f t="shared" si="45"/>
        <v>0</v>
      </c>
      <c r="L139" s="32">
        <f t="shared" si="46"/>
        <v>54478</v>
      </c>
      <c r="M139" s="32">
        <f>IF(AND(AND(T138="",A139&lt;=S138),A139=入力!$B$15),ROUND(MIN(入力!$B$16,MAX(0,C139-L139)),0),0)</f>
        <v>0</v>
      </c>
      <c r="N139" s="32">
        <f t="shared" si="47"/>
        <v>21314696</v>
      </c>
      <c r="O139" s="32">
        <f t="shared" si="48"/>
        <v>5388254</v>
      </c>
      <c r="P139" s="34" t="str">
        <f>IF(NOT(AND(T138="",A139&lt;=S138)),"",IF(A139=入力!$B$15+1,"繰上返済後再計算","")&amp;IF(AND(入力!$B$13="有効",A139&gt;1,MOD(A139-1,60)=0),IF(A139=入力!$B$15+1,"・","")&amp;"5年見直し","")&amp;IF(AND(A139=入力!$B$11,A139&gt;1),IF(OR(A139=入力!$B$15+1,AND(入力!$B$13="有効",A139&gt;1,MOD(A139-1,60)=0)),"・","")&amp;"金利変更","")&amp;IF(AND(OR(AND(入力!$B$13="有効",A139&gt;1,MOD(A139-1,60)=0),AND(A139=入力!$B$11,A139&gt;1)),入力!$B$14="有効",IF(E139=0,ROUND(C139/MAX(1,S138-A139+1),0),ROUND(-PMT(E139/12,MAX(1,S138-A139+1),C139),0))&gt;ROUND(G138*1.25,0),NOT(A139=入力!$B$15+1)),"・上限適用",""))</f>
        <v/>
      </c>
      <c r="Q139" s="35" t="str">
        <f>IF(AND(T138="",A139&lt;=S138),入力!$B$13,"")</f>
        <v>有効</v>
      </c>
      <c r="R139" s="32" t="str">
        <f>IF(AND(AND(T138="",A139&lt;=S138),OR(AND(入力!$B$13="有効",A139&gt;1,MOD(A139-1,60)=0),AND(A139=入力!$B$11,A139&gt;1)),入力!$B$14="有効"),ROUND(G138*1.25,0),"")</f>
        <v/>
      </c>
      <c r="S139" s="36">
        <f t="shared" si="49"/>
        <v>420</v>
      </c>
      <c r="T139" s="35" t="str">
        <f t="shared" si="50"/>
        <v/>
      </c>
      <c r="U139" s="3">
        <f t="shared" si="34"/>
        <v>0</v>
      </c>
      <c r="V139" s="3">
        <f t="shared" si="35"/>
        <v>0</v>
      </c>
      <c r="W139" s="3">
        <f t="shared" si="36"/>
        <v>0</v>
      </c>
      <c r="X139" s="3">
        <f t="shared" si="37"/>
        <v>0</v>
      </c>
      <c r="Y139" s="3">
        <f>0</f>
        <v>0</v>
      </c>
      <c r="Z139" s="3">
        <f t="shared" si="38"/>
        <v>0</v>
      </c>
      <c r="AA139">
        <f>ROUND(IF(A139=入力!$B$15+1,IF(E139=0,ROUND(C139/MAX(1,S138-A139+1),0),ROUND(-PMT(E139/12,MAX(1,S138-A139+1)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,0)</f>
        <v>98997</v>
      </c>
    </row>
    <row r="140" spans="1:27">
      <c r="A140" s="30">
        <f>135</f>
        <v>135</v>
      </c>
      <c r="B140" s="31">
        <f>EDATE(入力!$B$6,A140-1)</f>
        <v>50314</v>
      </c>
      <c r="C140" s="32">
        <f t="shared" si="39"/>
        <v>21314696</v>
      </c>
      <c r="D140" s="32">
        <f t="shared" si="40"/>
        <v>0</v>
      </c>
      <c r="E140" s="33">
        <f>IF(AND(T139="",A140&lt;=S139),IF(A140&lt;入力!$B$11,入力!$B$10,入力!$B$12),0)</f>
        <v>2.5000000000000001E-2</v>
      </c>
      <c r="F140" s="32">
        <f t="shared" si="41"/>
        <v>44406</v>
      </c>
      <c r="G140" s="32">
        <f>ROUND(IF(NOT(AND(T139="",A140&lt;=S139)),0,IF(A140=入力!$B$15+1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),0)</f>
        <v>98997</v>
      </c>
      <c r="H140" s="32">
        <f t="shared" si="42"/>
        <v>98997</v>
      </c>
      <c r="I140" s="32">
        <f t="shared" si="43"/>
        <v>44406</v>
      </c>
      <c r="J140" s="32">
        <f t="shared" si="44"/>
        <v>0</v>
      </c>
      <c r="K140" s="32">
        <f t="shared" si="45"/>
        <v>0</v>
      </c>
      <c r="L140" s="32">
        <f t="shared" si="46"/>
        <v>54591</v>
      </c>
      <c r="M140" s="32">
        <f>IF(AND(AND(T139="",A140&lt;=S139),A140=入力!$B$15),ROUND(MIN(入力!$B$16,MAX(0,C140-L140)),0),0)</f>
        <v>0</v>
      </c>
      <c r="N140" s="32">
        <f t="shared" si="47"/>
        <v>21260105</v>
      </c>
      <c r="O140" s="32">
        <f t="shared" si="48"/>
        <v>5432660</v>
      </c>
      <c r="P140" s="34" t="str">
        <f>IF(NOT(AND(T139="",A140&lt;=S139)),"",IF(A140=入力!$B$15+1,"繰上返済後再計算","")&amp;IF(AND(入力!$B$13="有効",A140&gt;1,MOD(A140-1,60)=0),IF(A140=入力!$B$15+1,"・","")&amp;"5年見直し","")&amp;IF(AND(A140=入力!$B$11,A140&gt;1),IF(OR(A140=入力!$B$15+1,AND(入力!$B$13="有効",A140&gt;1,MOD(A140-1,60)=0)),"・","")&amp;"金利変更","")&amp;IF(AND(OR(AND(入力!$B$13="有効",A140&gt;1,MOD(A140-1,60)=0),AND(A140=入力!$B$11,A140&gt;1)),入力!$B$14="有効",IF(E140=0,ROUND(C140/MAX(1,S139-A140+1),0),ROUND(-PMT(E140/12,MAX(1,S139-A140+1),C140),0))&gt;ROUND(G139*1.25,0),NOT(A140=入力!$B$15+1)),"・上限適用",""))</f>
        <v/>
      </c>
      <c r="Q140" s="35" t="str">
        <f>IF(AND(T139="",A140&lt;=S139),入力!$B$13,"")</f>
        <v>有効</v>
      </c>
      <c r="R140" s="32" t="str">
        <f>IF(AND(AND(T139="",A140&lt;=S139),OR(AND(入力!$B$13="有効",A140&gt;1,MOD(A140-1,60)=0),AND(A140=入力!$B$11,A140&gt;1)),入力!$B$14="有効"),ROUND(G139*1.25,0),"")</f>
        <v/>
      </c>
      <c r="S140" s="36">
        <f t="shared" si="49"/>
        <v>420</v>
      </c>
      <c r="T140" s="35" t="str">
        <f t="shared" si="50"/>
        <v/>
      </c>
      <c r="U140" s="3">
        <f t="shared" si="34"/>
        <v>0</v>
      </c>
      <c r="V140" s="3">
        <f t="shared" si="35"/>
        <v>0</v>
      </c>
      <c r="W140" s="3">
        <f t="shared" si="36"/>
        <v>0</v>
      </c>
      <c r="X140" s="3">
        <f t="shared" si="37"/>
        <v>0</v>
      </c>
      <c r="Y140" s="3">
        <f>0</f>
        <v>0</v>
      </c>
      <c r="Z140" s="3">
        <f t="shared" si="38"/>
        <v>0</v>
      </c>
      <c r="AA140">
        <f>ROUND(IF(A140=入力!$B$15+1,IF(E140=0,ROUND(C140/MAX(1,S139-A140+1),0),ROUND(-PMT(E140/12,MAX(1,S139-A140+1)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,0)</f>
        <v>98997</v>
      </c>
    </row>
    <row r="141" spans="1:27">
      <c r="A141" s="30">
        <f>136</f>
        <v>136</v>
      </c>
      <c r="B141" s="31">
        <f>EDATE(入力!$B$6,A141-1)</f>
        <v>50345</v>
      </c>
      <c r="C141" s="32">
        <f t="shared" si="39"/>
        <v>21260105</v>
      </c>
      <c r="D141" s="32">
        <f t="shared" si="40"/>
        <v>0</v>
      </c>
      <c r="E141" s="33">
        <f>IF(AND(T140="",A141&lt;=S140),IF(A141&lt;入力!$B$11,入力!$B$10,入力!$B$12),0)</f>
        <v>2.5000000000000001E-2</v>
      </c>
      <c r="F141" s="32">
        <f t="shared" si="41"/>
        <v>44292</v>
      </c>
      <c r="G141" s="32">
        <f>ROUND(IF(NOT(AND(T140="",A141&lt;=S140)),0,IF(A141=入力!$B$15+1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),0)</f>
        <v>98997</v>
      </c>
      <c r="H141" s="32">
        <f t="shared" si="42"/>
        <v>98997</v>
      </c>
      <c r="I141" s="32">
        <f t="shared" si="43"/>
        <v>44292</v>
      </c>
      <c r="J141" s="32">
        <f t="shared" si="44"/>
        <v>0</v>
      </c>
      <c r="K141" s="32">
        <f t="shared" si="45"/>
        <v>0</v>
      </c>
      <c r="L141" s="32">
        <f t="shared" si="46"/>
        <v>54705</v>
      </c>
      <c r="M141" s="32">
        <f>IF(AND(AND(T140="",A141&lt;=S140),A141=入力!$B$15),ROUND(MIN(入力!$B$16,MAX(0,C141-L141)),0),0)</f>
        <v>0</v>
      </c>
      <c r="N141" s="32">
        <f t="shared" si="47"/>
        <v>21205400</v>
      </c>
      <c r="O141" s="32">
        <f t="shared" si="48"/>
        <v>5476952</v>
      </c>
      <c r="P141" s="34" t="str">
        <f>IF(NOT(AND(T140="",A141&lt;=S140)),"",IF(A141=入力!$B$15+1,"繰上返済後再計算","")&amp;IF(AND(入力!$B$13="有効",A141&gt;1,MOD(A141-1,60)=0),IF(A141=入力!$B$15+1,"・","")&amp;"5年見直し","")&amp;IF(AND(A141=入力!$B$11,A141&gt;1),IF(OR(A141=入力!$B$15+1,AND(入力!$B$13="有効",A141&gt;1,MOD(A141-1,60)=0)),"・","")&amp;"金利変更","")&amp;IF(AND(OR(AND(入力!$B$13="有効",A141&gt;1,MOD(A141-1,60)=0),AND(A141=入力!$B$11,A141&gt;1)),入力!$B$14="有効",IF(E141=0,ROUND(C141/MAX(1,S140-A141+1),0),ROUND(-PMT(E141/12,MAX(1,S140-A141+1),C141),0))&gt;ROUND(G140*1.25,0),NOT(A141=入力!$B$15+1)),"・上限適用",""))</f>
        <v/>
      </c>
      <c r="Q141" s="35" t="str">
        <f>IF(AND(T140="",A141&lt;=S140),入力!$B$13,"")</f>
        <v>有効</v>
      </c>
      <c r="R141" s="32" t="str">
        <f>IF(AND(AND(T140="",A141&lt;=S140),OR(AND(入力!$B$13="有効",A141&gt;1,MOD(A141-1,60)=0),AND(A141=入力!$B$11,A141&gt;1)),入力!$B$14="有効"),ROUND(G140*1.25,0),"")</f>
        <v/>
      </c>
      <c r="S141" s="36">
        <f t="shared" si="49"/>
        <v>420</v>
      </c>
      <c r="T141" s="35" t="str">
        <f t="shared" si="50"/>
        <v/>
      </c>
      <c r="U141" s="3">
        <f t="shared" si="34"/>
        <v>0</v>
      </c>
      <c r="V141" s="3">
        <f t="shared" si="35"/>
        <v>0</v>
      </c>
      <c r="W141" s="3">
        <f t="shared" si="36"/>
        <v>0</v>
      </c>
      <c r="X141" s="3">
        <f t="shared" si="37"/>
        <v>0</v>
      </c>
      <c r="Y141" s="3">
        <f>0</f>
        <v>0</v>
      </c>
      <c r="Z141" s="3">
        <f t="shared" si="38"/>
        <v>0</v>
      </c>
      <c r="AA141">
        <f>ROUND(IF(A141=入力!$B$15+1,IF(E141=0,ROUND(C141/MAX(1,S140-A141+1),0),ROUND(-PMT(E141/12,MAX(1,S140-A141+1)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,0)</f>
        <v>98997</v>
      </c>
    </row>
    <row r="142" spans="1:27">
      <c r="A142" s="30">
        <f>137</f>
        <v>137</v>
      </c>
      <c r="B142" s="31">
        <f>EDATE(入力!$B$6,A142-1)</f>
        <v>50375</v>
      </c>
      <c r="C142" s="32">
        <f t="shared" si="39"/>
        <v>21205400</v>
      </c>
      <c r="D142" s="32">
        <f t="shared" si="40"/>
        <v>0</v>
      </c>
      <c r="E142" s="33">
        <f>IF(AND(T141="",A142&lt;=S141),IF(A142&lt;入力!$B$11,入力!$B$10,入力!$B$12),0)</f>
        <v>2.5000000000000001E-2</v>
      </c>
      <c r="F142" s="32">
        <f t="shared" si="41"/>
        <v>44178</v>
      </c>
      <c r="G142" s="32">
        <f>ROUND(IF(NOT(AND(T141="",A142&lt;=S141)),0,IF(A142=入力!$B$15+1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),0)</f>
        <v>98997</v>
      </c>
      <c r="H142" s="32">
        <f t="shared" si="42"/>
        <v>98997</v>
      </c>
      <c r="I142" s="32">
        <f t="shared" si="43"/>
        <v>44178</v>
      </c>
      <c r="J142" s="32">
        <f t="shared" si="44"/>
        <v>0</v>
      </c>
      <c r="K142" s="32">
        <f t="shared" si="45"/>
        <v>0</v>
      </c>
      <c r="L142" s="32">
        <f t="shared" si="46"/>
        <v>54819</v>
      </c>
      <c r="M142" s="32">
        <f>IF(AND(AND(T141="",A142&lt;=S141),A142=入力!$B$15),ROUND(MIN(入力!$B$16,MAX(0,C142-L142)),0),0)</f>
        <v>0</v>
      </c>
      <c r="N142" s="32">
        <f t="shared" si="47"/>
        <v>21150581</v>
      </c>
      <c r="O142" s="32">
        <f t="shared" si="48"/>
        <v>5521130</v>
      </c>
      <c r="P142" s="34" t="str">
        <f>IF(NOT(AND(T141="",A142&lt;=S141)),"",IF(A142=入力!$B$15+1,"繰上返済後再計算","")&amp;IF(AND(入力!$B$13="有効",A142&gt;1,MOD(A142-1,60)=0),IF(A142=入力!$B$15+1,"・","")&amp;"5年見直し","")&amp;IF(AND(A142=入力!$B$11,A142&gt;1),IF(OR(A142=入力!$B$15+1,AND(入力!$B$13="有効",A142&gt;1,MOD(A142-1,60)=0)),"・","")&amp;"金利変更","")&amp;IF(AND(OR(AND(入力!$B$13="有効",A142&gt;1,MOD(A142-1,60)=0),AND(A142=入力!$B$11,A142&gt;1)),入力!$B$14="有効",IF(E142=0,ROUND(C142/MAX(1,S141-A142+1),0),ROUND(-PMT(E142/12,MAX(1,S141-A142+1),C142),0))&gt;ROUND(G141*1.25,0),NOT(A142=入力!$B$15+1)),"・上限適用",""))</f>
        <v/>
      </c>
      <c r="Q142" s="35" t="str">
        <f>IF(AND(T141="",A142&lt;=S141),入力!$B$13,"")</f>
        <v>有効</v>
      </c>
      <c r="R142" s="32" t="str">
        <f>IF(AND(AND(T141="",A142&lt;=S141),OR(AND(入力!$B$13="有効",A142&gt;1,MOD(A142-1,60)=0),AND(A142=入力!$B$11,A142&gt;1)),入力!$B$14="有効"),ROUND(G141*1.25,0),"")</f>
        <v/>
      </c>
      <c r="S142" s="36">
        <f t="shared" si="49"/>
        <v>420</v>
      </c>
      <c r="T142" s="35" t="str">
        <f t="shared" si="50"/>
        <v/>
      </c>
      <c r="U142" s="3">
        <f t="shared" si="34"/>
        <v>0</v>
      </c>
      <c r="V142" s="3">
        <f t="shared" si="35"/>
        <v>0</v>
      </c>
      <c r="W142" s="3">
        <f t="shared" si="36"/>
        <v>0</v>
      </c>
      <c r="X142" s="3">
        <f t="shared" si="37"/>
        <v>0</v>
      </c>
      <c r="Y142" s="3">
        <f>0</f>
        <v>0</v>
      </c>
      <c r="Z142" s="3">
        <f t="shared" si="38"/>
        <v>0</v>
      </c>
      <c r="AA142">
        <f>ROUND(IF(A142=入力!$B$15+1,IF(E142=0,ROUND(C142/MAX(1,S141-A142+1),0),ROUND(-PMT(E142/12,MAX(1,S141-A142+1)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,0)</f>
        <v>98997</v>
      </c>
    </row>
    <row r="143" spans="1:27">
      <c r="A143" s="30">
        <f>138</f>
        <v>138</v>
      </c>
      <c r="B143" s="31">
        <f>EDATE(入力!$B$6,A143-1)</f>
        <v>50406</v>
      </c>
      <c r="C143" s="32">
        <f t="shared" si="39"/>
        <v>21150581</v>
      </c>
      <c r="D143" s="32">
        <f t="shared" si="40"/>
        <v>0</v>
      </c>
      <c r="E143" s="33">
        <f>IF(AND(T142="",A143&lt;=S142),IF(A143&lt;入力!$B$11,入力!$B$10,入力!$B$12),0)</f>
        <v>2.5000000000000001E-2</v>
      </c>
      <c r="F143" s="32">
        <f t="shared" si="41"/>
        <v>44064</v>
      </c>
      <c r="G143" s="32">
        <f>ROUND(IF(NOT(AND(T142="",A143&lt;=S142)),0,IF(A143=入力!$B$15+1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),0)</f>
        <v>98997</v>
      </c>
      <c r="H143" s="32">
        <f t="shared" si="42"/>
        <v>98997</v>
      </c>
      <c r="I143" s="32">
        <f t="shared" si="43"/>
        <v>44064</v>
      </c>
      <c r="J143" s="32">
        <f t="shared" si="44"/>
        <v>0</v>
      </c>
      <c r="K143" s="32">
        <f t="shared" si="45"/>
        <v>0</v>
      </c>
      <c r="L143" s="32">
        <f t="shared" si="46"/>
        <v>54933</v>
      </c>
      <c r="M143" s="32">
        <f>IF(AND(AND(T142="",A143&lt;=S142),A143=入力!$B$15),ROUND(MIN(入力!$B$16,MAX(0,C143-L143)),0),0)</f>
        <v>0</v>
      </c>
      <c r="N143" s="32">
        <f t="shared" si="47"/>
        <v>21095648</v>
      </c>
      <c r="O143" s="32">
        <f t="shared" si="48"/>
        <v>5565194</v>
      </c>
      <c r="P143" s="34" t="str">
        <f>IF(NOT(AND(T142="",A143&lt;=S142)),"",IF(A143=入力!$B$15+1,"繰上返済後再計算","")&amp;IF(AND(入力!$B$13="有効",A143&gt;1,MOD(A143-1,60)=0),IF(A143=入力!$B$15+1,"・","")&amp;"5年見直し","")&amp;IF(AND(A143=入力!$B$11,A143&gt;1),IF(OR(A143=入力!$B$15+1,AND(入力!$B$13="有効",A143&gt;1,MOD(A143-1,60)=0)),"・","")&amp;"金利変更","")&amp;IF(AND(OR(AND(入力!$B$13="有効",A143&gt;1,MOD(A143-1,60)=0),AND(A143=入力!$B$11,A143&gt;1)),入力!$B$14="有効",IF(E143=0,ROUND(C143/MAX(1,S142-A143+1),0),ROUND(-PMT(E143/12,MAX(1,S142-A143+1),C143),0))&gt;ROUND(G142*1.25,0),NOT(A143=入力!$B$15+1)),"・上限適用",""))</f>
        <v/>
      </c>
      <c r="Q143" s="35" t="str">
        <f>IF(AND(T142="",A143&lt;=S142),入力!$B$13,"")</f>
        <v>有効</v>
      </c>
      <c r="R143" s="32" t="str">
        <f>IF(AND(AND(T142="",A143&lt;=S142),OR(AND(入力!$B$13="有効",A143&gt;1,MOD(A143-1,60)=0),AND(A143=入力!$B$11,A143&gt;1)),入力!$B$14="有効"),ROUND(G142*1.25,0),"")</f>
        <v/>
      </c>
      <c r="S143" s="36">
        <f t="shared" si="49"/>
        <v>420</v>
      </c>
      <c r="T143" s="35" t="str">
        <f t="shared" si="50"/>
        <v/>
      </c>
      <c r="U143" s="3">
        <f t="shared" si="34"/>
        <v>0</v>
      </c>
      <c r="V143" s="3">
        <f t="shared" si="35"/>
        <v>0</v>
      </c>
      <c r="W143" s="3">
        <f t="shared" si="36"/>
        <v>0</v>
      </c>
      <c r="X143" s="3">
        <f t="shared" si="37"/>
        <v>0</v>
      </c>
      <c r="Y143" s="3">
        <f>0</f>
        <v>0</v>
      </c>
      <c r="Z143" s="3">
        <f t="shared" si="38"/>
        <v>0</v>
      </c>
      <c r="AA143">
        <f>ROUND(IF(A143=入力!$B$15+1,IF(E143=0,ROUND(C143/MAX(1,S142-A143+1),0),ROUND(-PMT(E143/12,MAX(1,S142-A143+1)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,0)</f>
        <v>98997</v>
      </c>
    </row>
    <row r="144" spans="1:27">
      <c r="A144" s="30">
        <f>139</f>
        <v>139</v>
      </c>
      <c r="B144" s="31">
        <f>EDATE(入力!$B$6,A144-1)</f>
        <v>50437</v>
      </c>
      <c r="C144" s="32">
        <f t="shared" si="39"/>
        <v>21095648</v>
      </c>
      <c r="D144" s="32">
        <f t="shared" si="40"/>
        <v>0</v>
      </c>
      <c r="E144" s="33">
        <f>IF(AND(T143="",A144&lt;=S143),IF(A144&lt;入力!$B$11,入力!$B$10,入力!$B$12),0)</f>
        <v>2.5000000000000001E-2</v>
      </c>
      <c r="F144" s="32">
        <f t="shared" si="41"/>
        <v>43949</v>
      </c>
      <c r="G144" s="32">
        <f>ROUND(IF(NOT(AND(T143="",A144&lt;=S143)),0,IF(A144=入力!$B$15+1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),0)</f>
        <v>98997</v>
      </c>
      <c r="H144" s="32">
        <f t="shared" si="42"/>
        <v>98997</v>
      </c>
      <c r="I144" s="32">
        <f t="shared" si="43"/>
        <v>43949</v>
      </c>
      <c r="J144" s="32">
        <f t="shared" si="44"/>
        <v>0</v>
      </c>
      <c r="K144" s="32">
        <f t="shared" si="45"/>
        <v>0</v>
      </c>
      <c r="L144" s="32">
        <f t="shared" si="46"/>
        <v>55048</v>
      </c>
      <c r="M144" s="32">
        <f>IF(AND(AND(T143="",A144&lt;=S143),A144=入力!$B$15),ROUND(MIN(入力!$B$16,MAX(0,C144-L144)),0),0)</f>
        <v>0</v>
      </c>
      <c r="N144" s="32">
        <f t="shared" si="47"/>
        <v>21040600</v>
      </c>
      <c r="O144" s="32">
        <f t="shared" si="48"/>
        <v>5609143</v>
      </c>
      <c r="P144" s="34" t="str">
        <f>IF(NOT(AND(T143="",A144&lt;=S143)),"",IF(A144=入力!$B$15+1,"繰上返済後再計算","")&amp;IF(AND(入力!$B$13="有効",A144&gt;1,MOD(A144-1,60)=0),IF(A144=入力!$B$15+1,"・","")&amp;"5年見直し","")&amp;IF(AND(A144=入力!$B$11,A144&gt;1),IF(OR(A144=入力!$B$15+1,AND(入力!$B$13="有効",A144&gt;1,MOD(A144-1,60)=0)),"・","")&amp;"金利変更","")&amp;IF(AND(OR(AND(入力!$B$13="有効",A144&gt;1,MOD(A144-1,60)=0),AND(A144=入力!$B$11,A144&gt;1)),入力!$B$14="有効",IF(E144=0,ROUND(C144/MAX(1,S143-A144+1),0),ROUND(-PMT(E144/12,MAX(1,S143-A144+1),C144),0))&gt;ROUND(G143*1.25,0),NOT(A144=入力!$B$15+1)),"・上限適用",""))</f>
        <v/>
      </c>
      <c r="Q144" s="35" t="str">
        <f>IF(AND(T143="",A144&lt;=S143),入力!$B$13,"")</f>
        <v>有効</v>
      </c>
      <c r="R144" s="32" t="str">
        <f>IF(AND(AND(T143="",A144&lt;=S143),OR(AND(入力!$B$13="有効",A144&gt;1,MOD(A144-1,60)=0),AND(A144=入力!$B$11,A144&gt;1)),入力!$B$14="有効"),ROUND(G143*1.25,0),"")</f>
        <v/>
      </c>
      <c r="S144" s="36">
        <f t="shared" si="49"/>
        <v>420</v>
      </c>
      <c r="T144" s="35" t="str">
        <f t="shared" si="50"/>
        <v/>
      </c>
      <c r="U144" s="3">
        <f t="shared" si="34"/>
        <v>0</v>
      </c>
      <c r="V144" s="3">
        <f t="shared" si="35"/>
        <v>0</v>
      </c>
      <c r="W144" s="3">
        <f t="shared" si="36"/>
        <v>0</v>
      </c>
      <c r="X144" s="3">
        <f t="shared" si="37"/>
        <v>0</v>
      </c>
      <c r="Y144" s="3">
        <f>0</f>
        <v>0</v>
      </c>
      <c r="Z144" s="3">
        <f t="shared" si="38"/>
        <v>0</v>
      </c>
      <c r="AA144">
        <f>ROUND(IF(A144=入力!$B$15+1,IF(E144=0,ROUND(C144/MAX(1,S143-A144+1),0),ROUND(-PMT(E144/12,MAX(1,S143-A144+1)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,0)</f>
        <v>98997</v>
      </c>
    </row>
    <row r="145" spans="1:27">
      <c r="A145" s="30">
        <f>140</f>
        <v>140</v>
      </c>
      <c r="B145" s="31">
        <f>EDATE(入力!$B$6,A145-1)</f>
        <v>50465</v>
      </c>
      <c r="C145" s="32">
        <f t="shared" si="39"/>
        <v>21040600</v>
      </c>
      <c r="D145" s="32">
        <f t="shared" si="40"/>
        <v>0</v>
      </c>
      <c r="E145" s="33">
        <f>IF(AND(T144="",A145&lt;=S144),IF(A145&lt;入力!$B$11,入力!$B$10,入力!$B$12),0)</f>
        <v>2.5000000000000001E-2</v>
      </c>
      <c r="F145" s="32">
        <f t="shared" si="41"/>
        <v>43835</v>
      </c>
      <c r="G145" s="32">
        <f>ROUND(IF(NOT(AND(T144="",A145&lt;=S144)),0,IF(A145=入力!$B$15+1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),0)</f>
        <v>98997</v>
      </c>
      <c r="H145" s="32">
        <f t="shared" si="42"/>
        <v>98997</v>
      </c>
      <c r="I145" s="32">
        <f t="shared" si="43"/>
        <v>43835</v>
      </c>
      <c r="J145" s="32">
        <f t="shared" si="44"/>
        <v>0</v>
      </c>
      <c r="K145" s="32">
        <f t="shared" si="45"/>
        <v>0</v>
      </c>
      <c r="L145" s="32">
        <f t="shared" si="46"/>
        <v>55162</v>
      </c>
      <c r="M145" s="32">
        <f>IF(AND(AND(T144="",A145&lt;=S144),A145=入力!$B$15),ROUND(MIN(入力!$B$16,MAX(0,C145-L145)),0),0)</f>
        <v>0</v>
      </c>
      <c r="N145" s="32">
        <f t="shared" si="47"/>
        <v>20985438</v>
      </c>
      <c r="O145" s="32">
        <f t="shared" si="48"/>
        <v>5652978</v>
      </c>
      <c r="P145" s="34" t="str">
        <f>IF(NOT(AND(T144="",A145&lt;=S144)),"",IF(A145=入力!$B$15+1,"繰上返済後再計算","")&amp;IF(AND(入力!$B$13="有効",A145&gt;1,MOD(A145-1,60)=0),IF(A145=入力!$B$15+1,"・","")&amp;"5年見直し","")&amp;IF(AND(A145=入力!$B$11,A145&gt;1),IF(OR(A145=入力!$B$15+1,AND(入力!$B$13="有効",A145&gt;1,MOD(A145-1,60)=0)),"・","")&amp;"金利変更","")&amp;IF(AND(OR(AND(入力!$B$13="有効",A145&gt;1,MOD(A145-1,60)=0),AND(A145=入力!$B$11,A145&gt;1)),入力!$B$14="有効",IF(E145=0,ROUND(C145/MAX(1,S144-A145+1),0),ROUND(-PMT(E145/12,MAX(1,S144-A145+1),C145),0))&gt;ROUND(G144*1.25,0),NOT(A145=入力!$B$15+1)),"・上限適用",""))</f>
        <v/>
      </c>
      <c r="Q145" s="35" t="str">
        <f>IF(AND(T144="",A145&lt;=S144),入力!$B$13,"")</f>
        <v>有効</v>
      </c>
      <c r="R145" s="32" t="str">
        <f>IF(AND(AND(T144="",A145&lt;=S144),OR(AND(入力!$B$13="有効",A145&gt;1,MOD(A145-1,60)=0),AND(A145=入力!$B$11,A145&gt;1)),入力!$B$14="有効"),ROUND(G144*1.25,0),"")</f>
        <v/>
      </c>
      <c r="S145" s="36">
        <f t="shared" si="49"/>
        <v>420</v>
      </c>
      <c r="T145" s="35" t="str">
        <f t="shared" si="50"/>
        <v/>
      </c>
      <c r="U145" s="3">
        <f t="shared" si="34"/>
        <v>0</v>
      </c>
      <c r="V145" s="3">
        <f t="shared" si="35"/>
        <v>0</v>
      </c>
      <c r="W145" s="3">
        <f t="shared" si="36"/>
        <v>0</v>
      </c>
      <c r="X145" s="3">
        <f t="shared" si="37"/>
        <v>0</v>
      </c>
      <c r="Y145" s="3">
        <f>0</f>
        <v>0</v>
      </c>
      <c r="Z145" s="3">
        <f t="shared" si="38"/>
        <v>0</v>
      </c>
      <c r="AA145">
        <f>ROUND(IF(A145=入力!$B$15+1,IF(E145=0,ROUND(C145/MAX(1,S144-A145+1),0),ROUND(-PMT(E145/12,MAX(1,S144-A145+1)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,0)</f>
        <v>98997</v>
      </c>
    </row>
    <row r="146" spans="1:27">
      <c r="A146" s="30">
        <f>141</f>
        <v>141</v>
      </c>
      <c r="B146" s="31">
        <f>EDATE(入力!$B$6,A146-1)</f>
        <v>50496</v>
      </c>
      <c r="C146" s="32">
        <f t="shared" si="39"/>
        <v>20985438</v>
      </c>
      <c r="D146" s="32">
        <f t="shared" si="40"/>
        <v>0</v>
      </c>
      <c r="E146" s="33">
        <f>IF(AND(T145="",A146&lt;=S145),IF(A146&lt;入力!$B$11,入力!$B$10,入力!$B$12),0)</f>
        <v>2.5000000000000001E-2</v>
      </c>
      <c r="F146" s="32">
        <f t="shared" si="41"/>
        <v>43720</v>
      </c>
      <c r="G146" s="32">
        <f>ROUND(IF(NOT(AND(T145="",A146&lt;=S145)),0,IF(A146=入力!$B$15+1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),0)</f>
        <v>98997</v>
      </c>
      <c r="H146" s="32">
        <f t="shared" si="42"/>
        <v>98997</v>
      </c>
      <c r="I146" s="32">
        <f t="shared" si="43"/>
        <v>43720</v>
      </c>
      <c r="J146" s="32">
        <f t="shared" si="44"/>
        <v>0</v>
      </c>
      <c r="K146" s="32">
        <f t="shared" si="45"/>
        <v>0</v>
      </c>
      <c r="L146" s="32">
        <f t="shared" si="46"/>
        <v>55277</v>
      </c>
      <c r="M146" s="32">
        <f>IF(AND(AND(T145="",A146&lt;=S145),A146=入力!$B$15),ROUND(MIN(入力!$B$16,MAX(0,C146-L146)),0),0)</f>
        <v>0</v>
      </c>
      <c r="N146" s="32">
        <f t="shared" si="47"/>
        <v>20930161</v>
      </c>
      <c r="O146" s="32">
        <f t="shared" si="48"/>
        <v>5696698</v>
      </c>
      <c r="P146" s="34" t="str">
        <f>IF(NOT(AND(T145="",A146&lt;=S145)),"",IF(A146=入力!$B$15+1,"繰上返済後再計算","")&amp;IF(AND(入力!$B$13="有効",A146&gt;1,MOD(A146-1,60)=0),IF(A146=入力!$B$15+1,"・","")&amp;"5年見直し","")&amp;IF(AND(A146=入力!$B$11,A146&gt;1),IF(OR(A146=入力!$B$15+1,AND(入力!$B$13="有効",A146&gt;1,MOD(A146-1,60)=0)),"・","")&amp;"金利変更","")&amp;IF(AND(OR(AND(入力!$B$13="有効",A146&gt;1,MOD(A146-1,60)=0),AND(A146=入力!$B$11,A146&gt;1)),入力!$B$14="有効",IF(E146=0,ROUND(C146/MAX(1,S145-A146+1),0),ROUND(-PMT(E146/12,MAX(1,S145-A146+1),C146),0))&gt;ROUND(G145*1.25,0),NOT(A146=入力!$B$15+1)),"・上限適用",""))</f>
        <v/>
      </c>
      <c r="Q146" s="35" t="str">
        <f>IF(AND(T145="",A146&lt;=S145),入力!$B$13,"")</f>
        <v>有効</v>
      </c>
      <c r="R146" s="32" t="str">
        <f>IF(AND(AND(T145="",A146&lt;=S145),OR(AND(入力!$B$13="有効",A146&gt;1,MOD(A146-1,60)=0),AND(A146=入力!$B$11,A146&gt;1)),入力!$B$14="有効"),ROUND(G145*1.25,0),"")</f>
        <v/>
      </c>
      <c r="S146" s="36">
        <f t="shared" si="49"/>
        <v>420</v>
      </c>
      <c r="T146" s="35" t="str">
        <f t="shared" si="50"/>
        <v/>
      </c>
      <c r="U146" s="3">
        <f t="shared" si="34"/>
        <v>0</v>
      </c>
      <c r="V146" s="3">
        <f t="shared" si="35"/>
        <v>0</v>
      </c>
      <c r="W146" s="3">
        <f t="shared" si="36"/>
        <v>0</v>
      </c>
      <c r="X146" s="3">
        <f t="shared" si="37"/>
        <v>0</v>
      </c>
      <c r="Y146" s="3">
        <f>0</f>
        <v>0</v>
      </c>
      <c r="Z146" s="3">
        <f t="shared" si="38"/>
        <v>0</v>
      </c>
      <c r="AA146">
        <f>ROUND(IF(A146=入力!$B$15+1,IF(E146=0,ROUND(C146/MAX(1,S145-A146+1),0),ROUND(-PMT(E146/12,MAX(1,S145-A146+1)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,0)</f>
        <v>98997</v>
      </c>
    </row>
    <row r="147" spans="1:27">
      <c r="A147" s="30">
        <f>142</f>
        <v>142</v>
      </c>
      <c r="B147" s="31">
        <f>EDATE(入力!$B$6,A147-1)</f>
        <v>50526</v>
      </c>
      <c r="C147" s="32">
        <f t="shared" si="39"/>
        <v>20930161</v>
      </c>
      <c r="D147" s="32">
        <f t="shared" si="40"/>
        <v>0</v>
      </c>
      <c r="E147" s="33">
        <f>IF(AND(T146="",A147&lt;=S146),IF(A147&lt;入力!$B$11,入力!$B$10,入力!$B$12),0)</f>
        <v>2.5000000000000001E-2</v>
      </c>
      <c r="F147" s="32">
        <f t="shared" si="41"/>
        <v>43605</v>
      </c>
      <c r="G147" s="32">
        <f>ROUND(IF(NOT(AND(T146="",A147&lt;=S146)),0,IF(A147=入力!$B$15+1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),0)</f>
        <v>98997</v>
      </c>
      <c r="H147" s="32">
        <f t="shared" si="42"/>
        <v>98997</v>
      </c>
      <c r="I147" s="32">
        <f t="shared" si="43"/>
        <v>43605</v>
      </c>
      <c r="J147" s="32">
        <f t="shared" si="44"/>
        <v>0</v>
      </c>
      <c r="K147" s="32">
        <f t="shared" si="45"/>
        <v>0</v>
      </c>
      <c r="L147" s="32">
        <f t="shared" si="46"/>
        <v>55392</v>
      </c>
      <c r="M147" s="32">
        <f>IF(AND(AND(T146="",A147&lt;=S146),A147=入力!$B$15),ROUND(MIN(入力!$B$16,MAX(0,C147-L147)),0),0)</f>
        <v>0</v>
      </c>
      <c r="N147" s="32">
        <f t="shared" si="47"/>
        <v>20874769</v>
      </c>
      <c r="O147" s="32">
        <f t="shared" si="48"/>
        <v>5740303</v>
      </c>
      <c r="P147" s="34" t="str">
        <f>IF(NOT(AND(T146="",A147&lt;=S146)),"",IF(A147=入力!$B$15+1,"繰上返済後再計算","")&amp;IF(AND(入力!$B$13="有効",A147&gt;1,MOD(A147-1,60)=0),IF(A147=入力!$B$15+1,"・","")&amp;"5年見直し","")&amp;IF(AND(A147=入力!$B$11,A147&gt;1),IF(OR(A147=入力!$B$15+1,AND(入力!$B$13="有効",A147&gt;1,MOD(A147-1,60)=0)),"・","")&amp;"金利変更","")&amp;IF(AND(OR(AND(入力!$B$13="有効",A147&gt;1,MOD(A147-1,60)=0),AND(A147=入力!$B$11,A147&gt;1)),入力!$B$14="有効",IF(E147=0,ROUND(C147/MAX(1,S146-A147+1),0),ROUND(-PMT(E147/12,MAX(1,S146-A147+1),C147),0))&gt;ROUND(G146*1.25,0),NOT(A147=入力!$B$15+1)),"・上限適用",""))</f>
        <v/>
      </c>
      <c r="Q147" s="35" t="str">
        <f>IF(AND(T146="",A147&lt;=S146),入力!$B$13,"")</f>
        <v>有効</v>
      </c>
      <c r="R147" s="32" t="str">
        <f>IF(AND(AND(T146="",A147&lt;=S146),OR(AND(入力!$B$13="有効",A147&gt;1,MOD(A147-1,60)=0),AND(A147=入力!$B$11,A147&gt;1)),入力!$B$14="有効"),ROUND(G146*1.25,0),"")</f>
        <v/>
      </c>
      <c r="S147" s="36">
        <f t="shared" si="49"/>
        <v>420</v>
      </c>
      <c r="T147" s="35" t="str">
        <f t="shared" si="50"/>
        <v/>
      </c>
      <c r="U147" s="3">
        <f t="shared" si="34"/>
        <v>0</v>
      </c>
      <c r="V147" s="3">
        <f t="shared" si="35"/>
        <v>0</v>
      </c>
      <c r="W147" s="3">
        <f t="shared" si="36"/>
        <v>0</v>
      </c>
      <c r="X147" s="3">
        <f t="shared" si="37"/>
        <v>0</v>
      </c>
      <c r="Y147" s="3">
        <f>0</f>
        <v>0</v>
      </c>
      <c r="Z147" s="3">
        <f t="shared" si="38"/>
        <v>0</v>
      </c>
      <c r="AA147">
        <f>ROUND(IF(A147=入力!$B$15+1,IF(E147=0,ROUND(C147/MAX(1,S146-A147+1),0),ROUND(-PMT(E147/12,MAX(1,S146-A147+1)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,0)</f>
        <v>98997</v>
      </c>
    </row>
    <row r="148" spans="1:27">
      <c r="A148" s="30">
        <f>143</f>
        <v>143</v>
      </c>
      <c r="B148" s="31">
        <f>EDATE(入力!$B$6,A148-1)</f>
        <v>50557</v>
      </c>
      <c r="C148" s="32">
        <f t="shared" si="39"/>
        <v>20874769</v>
      </c>
      <c r="D148" s="32">
        <f t="shared" si="40"/>
        <v>0</v>
      </c>
      <c r="E148" s="33">
        <f>IF(AND(T147="",A148&lt;=S147),IF(A148&lt;入力!$B$11,入力!$B$10,入力!$B$12),0)</f>
        <v>2.5000000000000001E-2</v>
      </c>
      <c r="F148" s="32">
        <f t="shared" si="41"/>
        <v>43489</v>
      </c>
      <c r="G148" s="32">
        <f>ROUND(IF(NOT(AND(T147="",A148&lt;=S147)),0,IF(A148=入力!$B$15+1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),0)</f>
        <v>98997</v>
      </c>
      <c r="H148" s="32">
        <f t="shared" si="42"/>
        <v>98997</v>
      </c>
      <c r="I148" s="32">
        <f t="shared" si="43"/>
        <v>43489</v>
      </c>
      <c r="J148" s="32">
        <f t="shared" si="44"/>
        <v>0</v>
      </c>
      <c r="K148" s="32">
        <f t="shared" si="45"/>
        <v>0</v>
      </c>
      <c r="L148" s="32">
        <f t="shared" si="46"/>
        <v>55508</v>
      </c>
      <c r="M148" s="32">
        <f>IF(AND(AND(T147="",A148&lt;=S147),A148=入力!$B$15),ROUND(MIN(入力!$B$16,MAX(0,C148-L148)),0),0)</f>
        <v>0</v>
      </c>
      <c r="N148" s="32">
        <f t="shared" si="47"/>
        <v>20819261</v>
      </c>
      <c r="O148" s="32">
        <f t="shared" si="48"/>
        <v>5783792</v>
      </c>
      <c r="P148" s="34" t="str">
        <f>IF(NOT(AND(T147="",A148&lt;=S147)),"",IF(A148=入力!$B$15+1,"繰上返済後再計算","")&amp;IF(AND(入力!$B$13="有効",A148&gt;1,MOD(A148-1,60)=0),IF(A148=入力!$B$15+1,"・","")&amp;"5年見直し","")&amp;IF(AND(A148=入力!$B$11,A148&gt;1),IF(OR(A148=入力!$B$15+1,AND(入力!$B$13="有効",A148&gt;1,MOD(A148-1,60)=0)),"・","")&amp;"金利変更","")&amp;IF(AND(OR(AND(入力!$B$13="有効",A148&gt;1,MOD(A148-1,60)=0),AND(A148=入力!$B$11,A148&gt;1)),入力!$B$14="有効",IF(E148=0,ROUND(C148/MAX(1,S147-A148+1),0),ROUND(-PMT(E148/12,MAX(1,S147-A148+1),C148),0))&gt;ROUND(G147*1.25,0),NOT(A148=入力!$B$15+1)),"・上限適用",""))</f>
        <v/>
      </c>
      <c r="Q148" s="35" t="str">
        <f>IF(AND(T147="",A148&lt;=S147),入力!$B$13,"")</f>
        <v>有効</v>
      </c>
      <c r="R148" s="32" t="str">
        <f>IF(AND(AND(T147="",A148&lt;=S147),OR(AND(入力!$B$13="有効",A148&gt;1,MOD(A148-1,60)=0),AND(A148=入力!$B$11,A148&gt;1)),入力!$B$14="有効"),ROUND(G147*1.25,0),"")</f>
        <v/>
      </c>
      <c r="S148" s="36">
        <f t="shared" si="49"/>
        <v>420</v>
      </c>
      <c r="T148" s="35" t="str">
        <f t="shared" si="50"/>
        <v/>
      </c>
      <c r="U148" s="3">
        <f t="shared" si="34"/>
        <v>0</v>
      </c>
      <c r="V148" s="3">
        <f t="shared" si="35"/>
        <v>0</v>
      </c>
      <c r="W148" s="3">
        <f t="shared" si="36"/>
        <v>0</v>
      </c>
      <c r="X148" s="3">
        <f t="shared" si="37"/>
        <v>0</v>
      </c>
      <c r="Y148" s="3">
        <f>0</f>
        <v>0</v>
      </c>
      <c r="Z148" s="3">
        <f t="shared" si="38"/>
        <v>0</v>
      </c>
      <c r="AA148">
        <f>ROUND(IF(A148=入力!$B$15+1,IF(E148=0,ROUND(C148/MAX(1,S147-A148+1),0),ROUND(-PMT(E148/12,MAX(1,S147-A148+1)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,0)</f>
        <v>98997</v>
      </c>
    </row>
    <row r="149" spans="1:27">
      <c r="A149" s="30">
        <f>144</f>
        <v>144</v>
      </c>
      <c r="B149" s="31">
        <f>EDATE(入力!$B$6,A149-1)</f>
        <v>50587</v>
      </c>
      <c r="C149" s="32">
        <f t="shared" si="39"/>
        <v>20819261</v>
      </c>
      <c r="D149" s="32">
        <f t="shared" si="40"/>
        <v>0</v>
      </c>
      <c r="E149" s="33">
        <f>IF(AND(T148="",A149&lt;=S148),IF(A149&lt;入力!$B$11,入力!$B$10,入力!$B$12),0)</f>
        <v>2.5000000000000001E-2</v>
      </c>
      <c r="F149" s="32">
        <f t="shared" si="41"/>
        <v>43373</v>
      </c>
      <c r="G149" s="32">
        <f>ROUND(IF(NOT(AND(T148="",A149&lt;=S148)),0,IF(A149=入力!$B$15+1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),0)</f>
        <v>98997</v>
      </c>
      <c r="H149" s="32">
        <f t="shared" si="42"/>
        <v>98997</v>
      </c>
      <c r="I149" s="32">
        <f t="shared" si="43"/>
        <v>43373</v>
      </c>
      <c r="J149" s="32">
        <f t="shared" si="44"/>
        <v>0</v>
      </c>
      <c r="K149" s="32">
        <f t="shared" si="45"/>
        <v>0</v>
      </c>
      <c r="L149" s="32">
        <f t="shared" si="46"/>
        <v>55624</v>
      </c>
      <c r="M149" s="32">
        <f>IF(AND(AND(T148="",A149&lt;=S148),A149=入力!$B$15),ROUND(MIN(入力!$B$16,MAX(0,C149-L149)),0),0)</f>
        <v>0</v>
      </c>
      <c r="N149" s="32">
        <f t="shared" si="47"/>
        <v>20763637</v>
      </c>
      <c r="O149" s="32">
        <f t="shared" si="48"/>
        <v>5827165</v>
      </c>
      <c r="P149" s="34" t="str">
        <f>IF(NOT(AND(T148="",A149&lt;=S148)),"",IF(A149=入力!$B$15+1,"繰上返済後再計算","")&amp;IF(AND(入力!$B$13="有効",A149&gt;1,MOD(A149-1,60)=0),IF(A149=入力!$B$15+1,"・","")&amp;"5年見直し","")&amp;IF(AND(A149=入力!$B$11,A149&gt;1),IF(OR(A149=入力!$B$15+1,AND(入力!$B$13="有効",A149&gt;1,MOD(A149-1,60)=0)),"・","")&amp;"金利変更","")&amp;IF(AND(OR(AND(入力!$B$13="有効",A149&gt;1,MOD(A149-1,60)=0),AND(A149=入力!$B$11,A149&gt;1)),入力!$B$14="有効",IF(E149=0,ROUND(C149/MAX(1,S148-A149+1),0),ROUND(-PMT(E149/12,MAX(1,S148-A149+1),C149),0))&gt;ROUND(G148*1.25,0),NOT(A149=入力!$B$15+1)),"・上限適用",""))</f>
        <v/>
      </c>
      <c r="Q149" s="35" t="str">
        <f>IF(AND(T148="",A149&lt;=S148),入力!$B$13,"")</f>
        <v>有効</v>
      </c>
      <c r="R149" s="32" t="str">
        <f>IF(AND(AND(T148="",A149&lt;=S148),OR(AND(入力!$B$13="有効",A149&gt;1,MOD(A149-1,60)=0),AND(A149=入力!$B$11,A149&gt;1)),入力!$B$14="有効"),ROUND(G148*1.25,0),"")</f>
        <v/>
      </c>
      <c r="S149" s="36">
        <f t="shared" si="49"/>
        <v>420</v>
      </c>
      <c r="T149" s="35" t="str">
        <f t="shared" si="50"/>
        <v/>
      </c>
      <c r="U149" s="3">
        <f t="shared" si="34"/>
        <v>0</v>
      </c>
      <c r="V149" s="3">
        <f t="shared" si="35"/>
        <v>0</v>
      </c>
      <c r="W149" s="3">
        <f t="shared" si="36"/>
        <v>0</v>
      </c>
      <c r="X149" s="3">
        <f t="shared" si="37"/>
        <v>0</v>
      </c>
      <c r="Y149" s="3">
        <f>0</f>
        <v>0</v>
      </c>
      <c r="Z149" s="3">
        <f t="shared" si="38"/>
        <v>0</v>
      </c>
      <c r="AA149">
        <f>ROUND(IF(A149=入力!$B$15+1,IF(E149=0,ROUND(C149/MAX(1,S148-A149+1),0),ROUND(-PMT(E149/12,MAX(1,S148-A149+1)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,0)</f>
        <v>98997</v>
      </c>
    </row>
    <row r="150" spans="1:27">
      <c r="A150" s="30">
        <f>145</f>
        <v>145</v>
      </c>
      <c r="B150" s="31">
        <f>EDATE(入力!$B$6,A150-1)</f>
        <v>50618</v>
      </c>
      <c r="C150" s="32">
        <f t="shared" si="39"/>
        <v>20763637</v>
      </c>
      <c r="D150" s="32">
        <f t="shared" si="40"/>
        <v>0</v>
      </c>
      <c r="E150" s="33">
        <f>IF(AND(T149="",A150&lt;=S149),IF(A150&lt;入力!$B$11,入力!$B$10,入力!$B$12),0)</f>
        <v>2.5000000000000001E-2</v>
      </c>
      <c r="F150" s="32">
        <f t="shared" si="41"/>
        <v>43258</v>
      </c>
      <c r="G150" s="32">
        <f>ROUND(IF(NOT(AND(T149="",A150&lt;=S149)),0,IF(A150=入力!$B$15+1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),0)</f>
        <v>98997</v>
      </c>
      <c r="H150" s="32">
        <f t="shared" si="42"/>
        <v>98997</v>
      </c>
      <c r="I150" s="32">
        <f t="shared" si="43"/>
        <v>43258</v>
      </c>
      <c r="J150" s="32">
        <f t="shared" si="44"/>
        <v>0</v>
      </c>
      <c r="K150" s="32">
        <f t="shared" si="45"/>
        <v>0</v>
      </c>
      <c r="L150" s="32">
        <f t="shared" si="46"/>
        <v>55739</v>
      </c>
      <c r="M150" s="32">
        <f>IF(AND(AND(T149="",A150&lt;=S149),A150=入力!$B$15),ROUND(MIN(入力!$B$16,MAX(0,C150-L150)),0),0)</f>
        <v>0</v>
      </c>
      <c r="N150" s="32">
        <f t="shared" si="47"/>
        <v>20707898</v>
      </c>
      <c r="O150" s="32">
        <f t="shared" si="48"/>
        <v>5870423</v>
      </c>
      <c r="P150" s="34" t="str">
        <f>IF(NOT(AND(T149="",A150&lt;=S149)),"",IF(A150=入力!$B$15+1,"繰上返済後再計算","")&amp;IF(AND(入力!$B$13="有効",A150&gt;1,MOD(A150-1,60)=0),IF(A150=入力!$B$15+1,"・","")&amp;"5年見直し","")&amp;IF(AND(A150=入力!$B$11,A150&gt;1),IF(OR(A150=入力!$B$15+1,AND(入力!$B$13="有効",A150&gt;1,MOD(A150-1,60)=0)),"・","")&amp;"金利変更","")&amp;IF(AND(OR(AND(入力!$B$13="有効",A150&gt;1,MOD(A150-1,60)=0),AND(A150=入力!$B$11,A150&gt;1)),入力!$B$14="有効",IF(E150=0,ROUND(C150/MAX(1,S149-A150+1),0),ROUND(-PMT(E150/12,MAX(1,S149-A150+1),C150),0))&gt;ROUND(G149*1.25,0),NOT(A150=入力!$B$15+1)),"・上限適用",""))</f>
        <v/>
      </c>
      <c r="Q150" s="35" t="str">
        <f>IF(AND(T149="",A150&lt;=S149),入力!$B$13,"")</f>
        <v>有効</v>
      </c>
      <c r="R150" s="32" t="str">
        <f>IF(AND(AND(T149="",A150&lt;=S149),OR(AND(入力!$B$13="有効",A150&gt;1,MOD(A150-1,60)=0),AND(A150=入力!$B$11,A150&gt;1)),入力!$B$14="有効"),ROUND(G149*1.25,0),"")</f>
        <v/>
      </c>
      <c r="S150" s="36">
        <f t="shared" si="49"/>
        <v>420</v>
      </c>
      <c r="T150" s="35" t="str">
        <f t="shared" si="50"/>
        <v/>
      </c>
      <c r="U150" s="3">
        <f t="shared" si="34"/>
        <v>0</v>
      </c>
      <c r="V150" s="3">
        <f t="shared" si="35"/>
        <v>0</v>
      </c>
      <c r="W150" s="3">
        <f t="shared" si="36"/>
        <v>0</v>
      </c>
      <c r="X150" s="3">
        <f t="shared" si="37"/>
        <v>0</v>
      </c>
      <c r="Y150" s="3">
        <f>0</f>
        <v>0</v>
      </c>
      <c r="Z150" s="3">
        <f t="shared" si="38"/>
        <v>0</v>
      </c>
      <c r="AA150">
        <f>ROUND(IF(A150=入力!$B$15+1,IF(E150=0,ROUND(C150/MAX(1,S149-A150+1),0),ROUND(-PMT(E150/12,MAX(1,S149-A150+1)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,0)</f>
        <v>98997</v>
      </c>
    </row>
    <row r="151" spans="1:27">
      <c r="A151" s="30">
        <f>146</f>
        <v>146</v>
      </c>
      <c r="B151" s="31">
        <f>EDATE(入力!$B$6,A151-1)</f>
        <v>50649</v>
      </c>
      <c r="C151" s="32">
        <f t="shared" si="39"/>
        <v>20707898</v>
      </c>
      <c r="D151" s="32">
        <f t="shared" si="40"/>
        <v>0</v>
      </c>
      <c r="E151" s="33">
        <f>IF(AND(T150="",A151&lt;=S150),IF(A151&lt;入力!$B$11,入力!$B$10,入力!$B$12),0)</f>
        <v>2.5000000000000001E-2</v>
      </c>
      <c r="F151" s="32">
        <f t="shared" si="41"/>
        <v>43141</v>
      </c>
      <c r="G151" s="32">
        <f>ROUND(IF(NOT(AND(T150="",A151&lt;=S150)),0,IF(A151=入力!$B$15+1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),0)</f>
        <v>98997</v>
      </c>
      <c r="H151" s="32">
        <f t="shared" si="42"/>
        <v>98997</v>
      </c>
      <c r="I151" s="32">
        <f t="shared" si="43"/>
        <v>43141</v>
      </c>
      <c r="J151" s="32">
        <f t="shared" si="44"/>
        <v>0</v>
      </c>
      <c r="K151" s="32">
        <f t="shared" si="45"/>
        <v>0</v>
      </c>
      <c r="L151" s="32">
        <f t="shared" si="46"/>
        <v>55856</v>
      </c>
      <c r="M151" s="32">
        <f>IF(AND(AND(T150="",A151&lt;=S150),A151=入力!$B$15),ROUND(MIN(入力!$B$16,MAX(0,C151-L151)),0),0)</f>
        <v>0</v>
      </c>
      <c r="N151" s="32">
        <f t="shared" si="47"/>
        <v>20652042</v>
      </c>
      <c r="O151" s="32">
        <f t="shared" si="48"/>
        <v>5913564</v>
      </c>
      <c r="P151" s="34" t="str">
        <f>IF(NOT(AND(T150="",A151&lt;=S150)),"",IF(A151=入力!$B$15+1,"繰上返済後再計算","")&amp;IF(AND(入力!$B$13="有効",A151&gt;1,MOD(A151-1,60)=0),IF(A151=入力!$B$15+1,"・","")&amp;"5年見直し","")&amp;IF(AND(A151=入力!$B$11,A151&gt;1),IF(OR(A151=入力!$B$15+1,AND(入力!$B$13="有効",A151&gt;1,MOD(A151-1,60)=0)),"・","")&amp;"金利変更","")&amp;IF(AND(OR(AND(入力!$B$13="有効",A151&gt;1,MOD(A151-1,60)=0),AND(A151=入力!$B$11,A151&gt;1)),入力!$B$14="有効",IF(E151=0,ROUND(C151/MAX(1,S150-A151+1),0),ROUND(-PMT(E151/12,MAX(1,S150-A151+1),C151),0))&gt;ROUND(G150*1.25,0),NOT(A151=入力!$B$15+1)),"・上限適用",""))</f>
        <v/>
      </c>
      <c r="Q151" s="35" t="str">
        <f>IF(AND(T150="",A151&lt;=S150),入力!$B$13,"")</f>
        <v>有効</v>
      </c>
      <c r="R151" s="32" t="str">
        <f>IF(AND(AND(T150="",A151&lt;=S150),OR(AND(入力!$B$13="有効",A151&gt;1,MOD(A151-1,60)=0),AND(A151=入力!$B$11,A151&gt;1)),入力!$B$14="有効"),ROUND(G150*1.25,0),"")</f>
        <v/>
      </c>
      <c r="S151" s="36">
        <f t="shared" si="49"/>
        <v>420</v>
      </c>
      <c r="T151" s="35" t="str">
        <f t="shared" si="50"/>
        <v/>
      </c>
      <c r="U151" s="3">
        <f t="shared" si="34"/>
        <v>0</v>
      </c>
      <c r="V151" s="3">
        <f t="shared" si="35"/>
        <v>0</v>
      </c>
      <c r="W151" s="3">
        <f t="shared" si="36"/>
        <v>0</v>
      </c>
      <c r="X151" s="3">
        <f t="shared" si="37"/>
        <v>0</v>
      </c>
      <c r="Y151" s="3">
        <f>0</f>
        <v>0</v>
      </c>
      <c r="Z151" s="3">
        <f t="shared" si="38"/>
        <v>0</v>
      </c>
      <c r="AA151">
        <f>ROUND(IF(A151=入力!$B$15+1,IF(E151=0,ROUND(C151/MAX(1,S150-A151+1),0),ROUND(-PMT(E151/12,MAX(1,S150-A151+1)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,0)</f>
        <v>98997</v>
      </c>
    </row>
    <row r="152" spans="1:27">
      <c r="A152" s="30">
        <f>147</f>
        <v>147</v>
      </c>
      <c r="B152" s="31">
        <f>EDATE(入力!$B$6,A152-1)</f>
        <v>50679</v>
      </c>
      <c r="C152" s="32">
        <f t="shared" si="39"/>
        <v>20652042</v>
      </c>
      <c r="D152" s="32">
        <f t="shared" si="40"/>
        <v>0</v>
      </c>
      <c r="E152" s="33">
        <f>IF(AND(T151="",A152&lt;=S151),IF(A152&lt;入力!$B$11,入力!$B$10,入力!$B$12),0)</f>
        <v>2.5000000000000001E-2</v>
      </c>
      <c r="F152" s="32">
        <f t="shared" si="41"/>
        <v>43025</v>
      </c>
      <c r="G152" s="32">
        <f>ROUND(IF(NOT(AND(T151="",A152&lt;=S151)),0,IF(A152=入力!$B$15+1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),0)</f>
        <v>98997</v>
      </c>
      <c r="H152" s="32">
        <f t="shared" si="42"/>
        <v>98997</v>
      </c>
      <c r="I152" s="32">
        <f t="shared" si="43"/>
        <v>43025</v>
      </c>
      <c r="J152" s="32">
        <f t="shared" si="44"/>
        <v>0</v>
      </c>
      <c r="K152" s="32">
        <f t="shared" si="45"/>
        <v>0</v>
      </c>
      <c r="L152" s="32">
        <f t="shared" si="46"/>
        <v>55972</v>
      </c>
      <c r="M152" s="32">
        <f>IF(AND(AND(T151="",A152&lt;=S151),A152=入力!$B$15),ROUND(MIN(入力!$B$16,MAX(0,C152-L152)),0),0)</f>
        <v>0</v>
      </c>
      <c r="N152" s="32">
        <f t="shared" si="47"/>
        <v>20596070</v>
      </c>
      <c r="O152" s="32">
        <f t="shared" si="48"/>
        <v>5956589</v>
      </c>
      <c r="P152" s="34" t="str">
        <f>IF(NOT(AND(T151="",A152&lt;=S151)),"",IF(A152=入力!$B$15+1,"繰上返済後再計算","")&amp;IF(AND(入力!$B$13="有効",A152&gt;1,MOD(A152-1,60)=0),IF(A152=入力!$B$15+1,"・","")&amp;"5年見直し","")&amp;IF(AND(A152=入力!$B$11,A152&gt;1),IF(OR(A152=入力!$B$15+1,AND(入力!$B$13="有効",A152&gt;1,MOD(A152-1,60)=0)),"・","")&amp;"金利変更","")&amp;IF(AND(OR(AND(入力!$B$13="有効",A152&gt;1,MOD(A152-1,60)=0),AND(A152=入力!$B$11,A152&gt;1)),入力!$B$14="有効",IF(E152=0,ROUND(C152/MAX(1,S151-A152+1),0),ROUND(-PMT(E152/12,MAX(1,S151-A152+1),C152),0))&gt;ROUND(G151*1.25,0),NOT(A152=入力!$B$15+1)),"・上限適用",""))</f>
        <v/>
      </c>
      <c r="Q152" s="35" t="str">
        <f>IF(AND(T151="",A152&lt;=S151),入力!$B$13,"")</f>
        <v>有効</v>
      </c>
      <c r="R152" s="32" t="str">
        <f>IF(AND(AND(T151="",A152&lt;=S151),OR(AND(入力!$B$13="有効",A152&gt;1,MOD(A152-1,60)=0),AND(A152=入力!$B$11,A152&gt;1)),入力!$B$14="有効"),ROUND(G151*1.25,0),"")</f>
        <v/>
      </c>
      <c r="S152" s="36">
        <f t="shared" si="49"/>
        <v>420</v>
      </c>
      <c r="T152" s="35" t="str">
        <f t="shared" si="50"/>
        <v/>
      </c>
      <c r="U152" s="3">
        <f t="shared" si="34"/>
        <v>0</v>
      </c>
      <c r="V152" s="3">
        <f t="shared" si="35"/>
        <v>0</v>
      </c>
      <c r="W152" s="3">
        <f t="shared" si="36"/>
        <v>0</v>
      </c>
      <c r="X152" s="3">
        <f t="shared" si="37"/>
        <v>0</v>
      </c>
      <c r="Y152" s="3">
        <f>0</f>
        <v>0</v>
      </c>
      <c r="Z152" s="3">
        <f t="shared" si="38"/>
        <v>0</v>
      </c>
      <c r="AA152">
        <f>ROUND(IF(A152=入力!$B$15+1,IF(E152=0,ROUND(C152/MAX(1,S151-A152+1),0),ROUND(-PMT(E152/12,MAX(1,S151-A152+1)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,0)</f>
        <v>98997</v>
      </c>
    </row>
    <row r="153" spans="1:27">
      <c r="A153" s="30">
        <f>148</f>
        <v>148</v>
      </c>
      <c r="B153" s="31">
        <f>EDATE(入力!$B$6,A153-1)</f>
        <v>50710</v>
      </c>
      <c r="C153" s="32">
        <f t="shared" si="39"/>
        <v>20596070</v>
      </c>
      <c r="D153" s="32">
        <f t="shared" si="40"/>
        <v>0</v>
      </c>
      <c r="E153" s="33">
        <f>IF(AND(T152="",A153&lt;=S152),IF(A153&lt;入力!$B$11,入力!$B$10,入力!$B$12),0)</f>
        <v>2.5000000000000001E-2</v>
      </c>
      <c r="F153" s="32">
        <f t="shared" si="41"/>
        <v>42908</v>
      </c>
      <c r="G153" s="32">
        <f>ROUND(IF(NOT(AND(T152="",A153&lt;=S152)),0,IF(A153=入力!$B$15+1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),0)</f>
        <v>98997</v>
      </c>
      <c r="H153" s="32">
        <f t="shared" si="42"/>
        <v>98997</v>
      </c>
      <c r="I153" s="32">
        <f t="shared" si="43"/>
        <v>42908</v>
      </c>
      <c r="J153" s="32">
        <f t="shared" si="44"/>
        <v>0</v>
      </c>
      <c r="K153" s="32">
        <f t="shared" si="45"/>
        <v>0</v>
      </c>
      <c r="L153" s="32">
        <f t="shared" si="46"/>
        <v>56089</v>
      </c>
      <c r="M153" s="32">
        <f>IF(AND(AND(T152="",A153&lt;=S152),A153=入力!$B$15),ROUND(MIN(入力!$B$16,MAX(0,C153-L153)),0),0)</f>
        <v>0</v>
      </c>
      <c r="N153" s="32">
        <f t="shared" si="47"/>
        <v>20539981</v>
      </c>
      <c r="O153" s="32">
        <f t="shared" si="48"/>
        <v>5999497</v>
      </c>
      <c r="P153" s="34" t="str">
        <f>IF(NOT(AND(T152="",A153&lt;=S152)),"",IF(A153=入力!$B$15+1,"繰上返済後再計算","")&amp;IF(AND(入力!$B$13="有効",A153&gt;1,MOD(A153-1,60)=0),IF(A153=入力!$B$15+1,"・","")&amp;"5年見直し","")&amp;IF(AND(A153=入力!$B$11,A153&gt;1),IF(OR(A153=入力!$B$15+1,AND(入力!$B$13="有効",A153&gt;1,MOD(A153-1,60)=0)),"・","")&amp;"金利変更","")&amp;IF(AND(OR(AND(入力!$B$13="有効",A153&gt;1,MOD(A153-1,60)=0),AND(A153=入力!$B$11,A153&gt;1)),入力!$B$14="有効",IF(E153=0,ROUND(C153/MAX(1,S152-A153+1),0),ROUND(-PMT(E153/12,MAX(1,S152-A153+1),C153),0))&gt;ROUND(G152*1.25,0),NOT(A153=入力!$B$15+1)),"・上限適用",""))</f>
        <v/>
      </c>
      <c r="Q153" s="35" t="str">
        <f>IF(AND(T152="",A153&lt;=S152),入力!$B$13,"")</f>
        <v>有効</v>
      </c>
      <c r="R153" s="32" t="str">
        <f>IF(AND(AND(T152="",A153&lt;=S152),OR(AND(入力!$B$13="有効",A153&gt;1,MOD(A153-1,60)=0),AND(A153=入力!$B$11,A153&gt;1)),入力!$B$14="有効"),ROUND(G152*1.25,0),"")</f>
        <v/>
      </c>
      <c r="S153" s="36">
        <f t="shared" si="49"/>
        <v>420</v>
      </c>
      <c r="T153" s="35" t="str">
        <f t="shared" si="50"/>
        <v/>
      </c>
      <c r="U153" s="3">
        <f t="shared" si="34"/>
        <v>0</v>
      </c>
      <c r="V153" s="3">
        <f t="shared" si="35"/>
        <v>0</v>
      </c>
      <c r="W153" s="3">
        <f t="shared" si="36"/>
        <v>0</v>
      </c>
      <c r="X153" s="3">
        <f t="shared" si="37"/>
        <v>0</v>
      </c>
      <c r="Y153" s="3">
        <f>0</f>
        <v>0</v>
      </c>
      <c r="Z153" s="3">
        <f t="shared" si="38"/>
        <v>0</v>
      </c>
      <c r="AA153">
        <f>ROUND(IF(A153=入力!$B$15+1,IF(E153=0,ROUND(C153/MAX(1,S152-A153+1),0),ROUND(-PMT(E153/12,MAX(1,S152-A153+1)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,0)</f>
        <v>98997</v>
      </c>
    </row>
    <row r="154" spans="1:27">
      <c r="A154" s="30">
        <f>149</f>
        <v>149</v>
      </c>
      <c r="B154" s="31">
        <f>EDATE(入力!$B$6,A154-1)</f>
        <v>50740</v>
      </c>
      <c r="C154" s="32">
        <f t="shared" si="39"/>
        <v>20539981</v>
      </c>
      <c r="D154" s="32">
        <f t="shared" si="40"/>
        <v>0</v>
      </c>
      <c r="E154" s="33">
        <f>IF(AND(T153="",A154&lt;=S153),IF(A154&lt;入力!$B$11,入力!$B$10,入力!$B$12),0)</f>
        <v>2.5000000000000001E-2</v>
      </c>
      <c r="F154" s="32">
        <f t="shared" si="41"/>
        <v>42792</v>
      </c>
      <c r="G154" s="32">
        <f>ROUND(IF(NOT(AND(T153="",A154&lt;=S153)),0,IF(A154=入力!$B$15+1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),0)</f>
        <v>98997</v>
      </c>
      <c r="H154" s="32">
        <f t="shared" si="42"/>
        <v>98997</v>
      </c>
      <c r="I154" s="32">
        <f t="shared" si="43"/>
        <v>42792</v>
      </c>
      <c r="J154" s="32">
        <f t="shared" si="44"/>
        <v>0</v>
      </c>
      <c r="K154" s="32">
        <f t="shared" si="45"/>
        <v>0</v>
      </c>
      <c r="L154" s="32">
        <f t="shared" si="46"/>
        <v>56205</v>
      </c>
      <c r="M154" s="32">
        <f>IF(AND(AND(T153="",A154&lt;=S153),A154=入力!$B$15),ROUND(MIN(入力!$B$16,MAX(0,C154-L154)),0),0)</f>
        <v>0</v>
      </c>
      <c r="N154" s="32">
        <f t="shared" si="47"/>
        <v>20483776</v>
      </c>
      <c r="O154" s="32">
        <f t="shared" si="48"/>
        <v>6042289</v>
      </c>
      <c r="P154" s="34" t="str">
        <f>IF(NOT(AND(T153="",A154&lt;=S153)),"",IF(A154=入力!$B$15+1,"繰上返済後再計算","")&amp;IF(AND(入力!$B$13="有効",A154&gt;1,MOD(A154-1,60)=0),IF(A154=入力!$B$15+1,"・","")&amp;"5年見直し","")&amp;IF(AND(A154=入力!$B$11,A154&gt;1),IF(OR(A154=入力!$B$15+1,AND(入力!$B$13="有効",A154&gt;1,MOD(A154-1,60)=0)),"・","")&amp;"金利変更","")&amp;IF(AND(OR(AND(入力!$B$13="有効",A154&gt;1,MOD(A154-1,60)=0),AND(A154=入力!$B$11,A154&gt;1)),入力!$B$14="有効",IF(E154=0,ROUND(C154/MAX(1,S153-A154+1),0),ROUND(-PMT(E154/12,MAX(1,S153-A154+1),C154),0))&gt;ROUND(G153*1.25,0),NOT(A154=入力!$B$15+1)),"・上限適用",""))</f>
        <v/>
      </c>
      <c r="Q154" s="35" t="str">
        <f>IF(AND(T153="",A154&lt;=S153),入力!$B$13,"")</f>
        <v>有効</v>
      </c>
      <c r="R154" s="32" t="str">
        <f>IF(AND(AND(T153="",A154&lt;=S153),OR(AND(入力!$B$13="有効",A154&gt;1,MOD(A154-1,60)=0),AND(A154=入力!$B$11,A154&gt;1)),入力!$B$14="有効"),ROUND(G153*1.25,0),"")</f>
        <v/>
      </c>
      <c r="S154" s="36">
        <f t="shared" si="49"/>
        <v>420</v>
      </c>
      <c r="T154" s="35" t="str">
        <f t="shared" si="50"/>
        <v/>
      </c>
      <c r="U154" s="3">
        <f t="shared" si="34"/>
        <v>0</v>
      </c>
      <c r="V154" s="3">
        <f t="shared" si="35"/>
        <v>0</v>
      </c>
      <c r="W154" s="3">
        <f t="shared" si="36"/>
        <v>0</v>
      </c>
      <c r="X154" s="3">
        <f t="shared" si="37"/>
        <v>0</v>
      </c>
      <c r="Y154" s="3">
        <f>0</f>
        <v>0</v>
      </c>
      <c r="Z154" s="3">
        <f t="shared" si="38"/>
        <v>0</v>
      </c>
      <c r="AA154">
        <f>ROUND(IF(A154=入力!$B$15+1,IF(E154=0,ROUND(C154/MAX(1,S153-A154+1),0),ROUND(-PMT(E154/12,MAX(1,S153-A154+1)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,0)</f>
        <v>98997</v>
      </c>
    </row>
    <row r="155" spans="1:27">
      <c r="A155" s="30">
        <f>150</f>
        <v>150</v>
      </c>
      <c r="B155" s="31">
        <f>EDATE(入力!$B$6,A155-1)</f>
        <v>50771</v>
      </c>
      <c r="C155" s="32">
        <f t="shared" si="39"/>
        <v>20483776</v>
      </c>
      <c r="D155" s="32">
        <f t="shared" si="40"/>
        <v>0</v>
      </c>
      <c r="E155" s="33">
        <f>IF(AND(T154="",A155&lt;=S154),IF(A155&lt;入力!$B$11,入力!$B$10,入力!$B$12),0)</f>
        <v>2.5000000000000001E-2</v>
      </c>
      <c r="F155" s="32">
        <f t="shared" si="41"/>
        <v>42675</v>
      </c>
      <c r="G155" s="32">
        <f>ROUND(IF(NOT(AND(T154="",A155&lt;=S154)),0,IF(A155=入力!$B$15+1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),0)</f>
        <v>98997</v>
      </c>
      <c r="H155" s="32">
        <f t="shared" si="42"/>
        <v>98997</v>
      </c>
      <c r="I155" s="32">
        <f t="shared" si="43"/>
        <v>42675</v>
      </c>
      <c r="J155" s="32">
        <f t="shared" si="44"/>
        <v>0</v>
      </c>
      <c r="K155" s="32">
        <f t="shared" si="45"/>
        <v>0</v>
      </c>
      <c r="L155" s="32">
        <f t="shared" si="46"/>
        <v>56322</v>
      </c>
      <c r="M155" s="32">
        <f>IF(AND(AND(T154="",A155&lt;=S154),A155=入力!$B$15),ROUND(MIN(入力!$B$16,MAX(0,C155-L155)),0),0)</f>
        <v>0</v>
      </c>
      <c r="N155" s="32">
        <f t="shared" si="47"/>
        <v>20427454</v>
      </c>
      <c r="O155" s="32">
        <f t="shared" si="48"/>
        <v>6084964</v>
      </c>
      <c r="P155" s="34" t="str">
        <f>IF(NOT(AND(T154="",A155&lt;=S154)),"",IF(A155=入力!$B$15+1,"繰上返済後再計算","")&amp;IF(AND(入力!$B$13="有効",A155&gt;1,MOD(A155-1,60)=0),IF(A155=入力!$B$15+1,"・","")&amp;"5年見直し","")&amp;IF(AND(A155=入力!$B$11,A155&gt;1),IF(OR(A155=入力!$B$15+1,AND(入力!$B$13="有効",A155&gt;1,MOD(A155-1,60)=0)),"・","")&amp;"金利変更","")&amp;IF(AND(OR(AND(入力!$B$13="有効",A155&gt;1,MOD(A155-1,60)=0),AND(A155=入力!$B$11,A155&gt;1)),入力!$B$14="有効",IF(E155=0,ROUND(C155/MAX(1,S154-A155+1),0),ROUND(-PMT(E155/12,MAX(1,S154-A155+1),C155),0))&gt;ROUND(G154*1.25,0),NOT(A155=入力!$B$15+1)),"・上限適用",""))</f>
        <v/>
      </c>
      <c r="Q155" s="35" t="str">
        <f>IF(AND(T154="",A155&lt;=S154),入力!$B$13,"")</f>
        <v>有効</v>
      </c>
      <c r="R155" s="32" t="str">
        <f>IF(AND(AND(T154="",A155&lt;=S154),OR(AND(入力!$B$13="有効",A155&gt;1,MOD(A155-1,60)=0),AND(A155=入力!$B$11,A155&gt;1)),入力!$B$14="有効"),ROUND(G154*1.25,0),"")</f>
        <v/>
      </c>
      <c r="S155" s="36">
        <f t="shared" si="49"/>
        <v>420</v>
      </c>
      <c r="T155" s="35" t="str">
        <f t="shared" si="50"/>
        <v/>
      </c>
      <c r="U155" s="3">
        <f t="shared" si="34"/>
        <v>0</v>
      </c>
      <c r="V155" s="3">
        <f t="shared" si="35"/>
        <v>0</v>
      </c>
      <c r="W155" s="3">
        <f t="shared" si="36"/>
        <v>0</v>
      </c>
      <c r="X155" s="3">
        <f t="shared" si="37"/>
        <v>0</v>
      </c>
      <c r="Y155" s="3">
        <f>0</f>
        <v>0</v>
      </c>
      <c r="Z155" s="3">
        <f t="shared" si="38"/>
        <v>0</v>
      </c>
      <c r="AA155">
        <f>ROUND(IF(A155=入力!$B$15+1,IF(E155=0,ROUND(C155/MAX(1,S154-A155+1),0),ROUND(-PMT(E155/12,MAX(1,S154-A155+1)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,0)</f>
        <v>98997</v>
      </c>
    </row>
    <row r="156" spans="1:27">
      <c r="A156" s="30">
        <f>151</f>
        <v>151</v>
      </c>
      <c r="B156" s="31">
        <f>EDATE(入力!$B$6,A156-1)</f>
        <v>50802</v>
      </c>
      <c r="C156" s="32">
        <f t="shared" si="39"/>
        <v>20427454</v>
      </c>
      <c r="D156" s="32">
        <f t="shared" si="40"/>
        <v>0</v>
      </c>
      <c r="E156" s="33">
        <f>IF(AND(T155="",A156&lt;=S155),IF(A156&lt;入力!$B$11,入力!$B$10,入力!$B$12),0)</f>
        <v>2.5000000000000001E-2</v>
      </c>
      <c r="F156" s="32">
        <f t="shared" si="41"/>
        <v>42557</v>
      </c>
      <c r="G156" s="32">
        <f>ROUND(IF(NOT(AND(T155="",A156&lt;=S155)),0,IF(A156=入力!$B$15+1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),0)</f>
        <v>98997</v>
      </c>
      <c r="H156" s="32">
        <f t="shared" si="42"/>
        <v>98997</v>
      </c>
      <c r="I156" s="32">
        <f t="shared" si="43"/>
        <v>42557</v>
      </c>
      <c r="J156" s="32">
        <f t="shared" si="44"/>
        <v>0</v>
      </c>
      <c r="K156" s="32">
        <f t="shared" si="45"/>
        <v>0</v>
      </c>
      <c r="L156" s="32">
        <f t="shared" si="46"/>
        <v>56440</v>
      </c>
      <c r="M156" s="32">
        <f>IF(AND(AND(T155="",A156&lt;=S155),A156=入力!$B$15),ROUND(MIN(入力!$B$16,MAX(0,C156-L156)),0),0)</f>
        <v>0</v>
      </c>
      <c r="N156" s="32">
        <f t="shared" si="47"/>
        <v>20371014</v>
      </c>
      <c r="O156" s="32">
        <f t="shared" si="48"/>
        <v>6127521</v>
      </c>
      <c r="P156" s="34" t="str">
        <f>IF(NOT(AND(T155="",A156&lt;=S155)),"",IF(A156=入力!$B$15+1,"繰上返済後再計算","")&amp;IF(AND(入力!$B$13="有効",A156&gt;1,MOD(A156-1,60)=0),IF(A156=入力!$B$15+1,"・","")&amp;"5年見直し","")&amp;IF(AND(A156=入力!$B$11,A156&gt;1),IF(OR(A156=入力!$B$15+1,AND(入力!$B$13="有効",A156&gt;1,MOD(A156-1,60)=0)),"・","")&amp;"金利変更","")&amp;IF(AND(OR(AND(入力!$B$13="有効",A156&gt;1,MOD(A156-1,60)=0),AND(A156=入力!$B$11,A156&gt;1)),入力!$B$14="有効",IF(E156=0,ROUND(C156/MAX(1,S155-A156+1),0),ROUND(-PMT(E156/12,MAX(1,S155-A156+1),C156),0))&gt;ROUND(G155*1.25,0),NOT(A156=入力!$B$15+1)),"・上限適用",""))</f>
        <v/>
      </c>
      <c r="Q156" s="35" t="str">
        <f>IF(AND(T155="",A156&lt;=S155),入力!$B$13,"")</f>
        <v>有効</v>
      </c>
      <c r="R156" s="32" t="str">
        <f>IF(AND(AND(T155="",A156&lt;=S155),OR(AND(入力!$B$13="有効",A156&gt;1,MOD(A156-1,60)=0),AND(A156=入力!$B$11,A156&gt;1)),入力!$B$14="有効"),ROUND(G155*1.25,0),"")</f>
        <v/>
      </c>
      <c r="S156" s="36">
        <f t="shared" si="49"/>
        <v>420</v>
      </c>
      <c r="T156" s="35" t="str">
        <f t="shared" si="50"/>
        <v/>
      </c>
      <c r="U156" s="3">
        <f t="shared" si="34"/>
        <v>0</v>
      </c>
      <c r="V156" s="3">
        <f t="shared" si="35"/>
        <v>0</v>
      </c>
      <c r="W156" s="3">
        <f t="shared" si="36"/>
        <v>0</v>
      </c>
      <c r="X156" s="3">
        <f t="shared" si="37"/>
        <v>0</v>
      </c>
      <c r="Y156" s="3">
        <f>0</f>
        <v>0</v>
      </c>
      <c r="Z156" s="3">
        <f t="shared" si="38"/>
        <v>0</v>
      </c>
      <c r="AA156">
        <f>ROUND(IF(A156=入力!$B$15+1,IF(E156=0,ROUND(C156/MAX(1,S155-A156+1),0),ROUND(-PMT(E156/12,MAX(1,S155-A156+1)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,0)</f>
        <v>98997</v>
      </c>
    </row>
    <row r="157" spans="1:27">
      <c r="A157" s="30">
        <f>152</f>
        <v>152</v>
      </c>
      <c r="B157" s="31">
        <f>EDATE(入力!$B$6,A157-1)</f>
        <v>50830</v>
      </c>
      <c r="C157" s="32">
        <f t="shared" si="39"/>
        <v>20371014</v>
      </c>
      <c r="D157" s="32">
        <f t="shared" si="40"/>
        <v>0</v>
      </c>
      <c r="E157" s="33">
        <f>IF(AND(T156="",A157&lt;=S156),IF(A157&lt;入力!$B$11,入力!$B$10,入力!$B$12),0)</f>
        <v>2.5000000000000001E-2</v>
      </c>
      <c r="F157" s="32">
        <f t="shared" si="41"/>
        <v>42440</v>
      </c>
      <c r="G157" s="32">
        <f>ROUND(IF(NOT(AND(T156="",A157&lt;=S156)),0,IF(A157=入力!$B$15+1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),0)</f>
        <v>98997</v>
      </c>
      <c r="H157" s="32">
        <f t="shared" si="42"/>
        <v>98997</v>
      </c>
      <c r="I157" s="32">
        <f t="shared" si="43"/>
        <v>42440</v>
      </c>
      <c r="J157" s="32">
        <f t="shared" si="44"/>
        <v>0</v>
      </c>
      <c r="K157" s="32">
        <f t="shared" si="45"/>
        <v>0</v>
      </c>
      <c r="L157" s="32">
        <f t="shared" si="46"/>
        <v>56557</v>
      </c>
      <c r="M157" s="32">
        <f>IF(AND(AND(T156="",A157&lt;=S156),A157=入力!$B$15),ROUND(MIN(入力!$B$16,MAX(0,C157-L157)),0),0)</f>
        <v>0</v>
      </c>
      <c r="N157" s="32">
        <f t="shared" si="47"/>
        <v>20314457</v>
      </c>
      <c r="O157" s="32">
        <f t="shared" si="48"/>
        <v>6169961</v>
      </c>
      <c r="P157" s="34" t="str">
        <f>IF(NOT(AND(T156="",A157&lt;=S156)),"",IF(A157=入力!$B$15+1,"繰上返済後再計算","")&amp;IF(AND(入力!$B$13="有効",A157&gt;1,MOD(A157-1,60)=0),IF(A157=入力!$B$15+1,"・","")&amp;"5年見直し","")&amp;IF(AND(A157=入力!$B$11,A157&gt;1),IF(OR(A157=入力!$B$15+1,AND(入力!$B$13="有効",A157&gt;1,MOD(A157-1,60)=0)),"・","")&amp;"金利変更","")&amp;IF(AND(OR(AND(入力!$B$13="有効",A157&gt;1,MOD(A157-1,60)=0),AND(A157=入力!$B$11,A157&gt;1)),入力!$B$14="有効",IF(E157=0,ROUND(C157/MAX(1,S156-A157+1),0),ROUND(-PMT(E157/12,MAX(1,S156-A157+1),C157),0))&gt;ROUND(G156*1.25,0),NOT(A157=入力!$B$15+1)),"・上限適用",""))</f>
        <v/>
      </c>
      <c r="Q157" s="35" t="str">
        <f>IF(AND(T156="",A157&lt;=S156),入力!$B$13,"")</f>
        <v>有効</v>
      </c>
      <c r="R157" s="32" t="str">
        <f>IF(AND(AND(T156="",A157&lt;=S156),OR(AND(入力!$B$13="有効",A157&gt;1,MOD(A157-1,60)=0),AND(A157=入力!$B$11,A157&gt;1)),入力!$B$14="有効"),ROUND(G156*1.25,0),"")</f>
        <v/>
      </c>
      <c r="S157" s="36">
        <f t="shared" si="49"/>
        <v>420</v>
      </c>
      <c r="T157" s="35" t="str">
        <f t="shared" si="50"/>
        <v/>
      </c>
      <c r="U157" s="3">
        <f t="shared" si="34"/>
        <v>0</v>
      </c>
      <c r="V157" s="3">
        <f t="shared" si="35"/>
        <v>0</v>
      </c>
      <c r="W157" s="3">
        <f t="shared" si="36"/>
        <v>0</v>
      </c>
      <c r="X157" s="3">
        <f t="shared" si="37"/>
        <v>0</v>
      </c>
      <c r="Y157" s="3">
        <f>0</f>
        <v>0</v>
      </c>
      <c r="Z157" s="3">
        <f t="shared" si="38"/>
        <v>0</v>
      </c>
      <c r="AA157">
        <f>ROUND(IF(A157=入力!$B$15+1,IF(E157=0,ROUND(C157/MAX(1,S156-A157+1),0),ROUND(-PMT(E157/12,MAX(1,S156-A157+1)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,0)</f>
        <v>98997</v>
      </c>
    </row>
    <row r="158" spans="1:27">
      <c r="A158" s="30">
        <f>153</f>
        <v>153</v>
      </c>
      <c r="B158" s="31">
        <f>EDATE(入力!$B$6,A158-1)</f>
        <v>50861</v>
      </c>
      <c r="C158" s="32">
        <f t="shared" si="39"/>
        <v>20314457</v>
      </c>
      <c r="D158" s="32">
        <f t="shared" si="40"/>
        <v>0</v>
      </c>
      <c r="E158" s="33">
        <f>IF(AND(T157="",A158&lt;=S157),IF(A158&lt;入力!$B$11,入力!$B$10,入力!$B$12),0)</f>
        <v>2.5000000000000001E-2</v>
      </c>
      <c r="F158" s="32">
        <f t="shared" si="41"/>
        <v>42322</v>
      </c>
      <c r="G158" s="32">
        <f>ROUND(IF(NOT(AND(T157="",A158&lt;=S157)),0,IF(A158=入力!$B$15+1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),0)</f>
        <v>98997</v>
      </c>
      <c r="H158" s="32">
        <f t="shared" si="42"/>
        <v>98997</v>
      </c>
      <c r="I158" s="32">
        <f t="shared" si="43"/>
        <v>42322</v>
      </c>
      <c r="J158" s="32">
        <f t="shared" si="44"/>
        <v>0</v>
      </c>
      <c r="K158" s="32">
        <f t="shared" si="45"/>
        <v>0</v>
      </c>
      <c r="L158" s="32">
        <f t="shared" si="46"/>
        <v>56675</v>
      </c>
      <c r="M158" s="32">
        <f>IF(AND(AND(T157="",A158&lt;=S157),A158=入力!$B$15),ROUND(MIN(入力!$B$16,MAX(0,C158-L158)),0),0)</f>
        <v>0</v>
      </c>
      <c r="N158" s="32">
        <f t="shared" si="47"/>
        <v>20257782</v>
      </c>
      <c r="O158" s="32">
        <f t="shared" si="48"/>
        <v>6212283</v>
      </c>
      <c r="P158" s="34" t="str">
        <f>IF(NOT(AND(T157="",A158&lt;=S157)),"",IF(A158=入力!$B$15+1,"繰上返済後再計算","")&amp;IF(AND(入力!$B$13="有効",A158&gt;1,MOD(A158-1,60)=0),IF(A158=入力!$B$15+1,"・","")&amp;"5年見直し","")&amp;IF(AND(A158=入力!$B$11,A158&gt;1),IF(OR(A158=入力!$B$15+1,AND(入力!$B$13="有効",A158&gt;1,MOD(A158-1,60)=0)),"・","")&amp;"金利変更","")&amp;IF(AND(OR(AND(入力!$B$13="有効",A158&gt;1,MOD(A158-1,60)=0),AND(A158=入力!$B$11,A158&gt;1)),入力!$B$14="有効",IF(E158=0,ROUND(C158/MAX(1,S157-A158+1),0),ROUND(-PMT(E158/12,MAX(1,S157-A158+1),C158),0))&gt;ROUND(G157*1.25,0),NOT(A158=入力!$B$15+1)),"・上限適用",""))</f>
        <v/>
      </c>
      <c r="Q158" s="35" t="str">
        <f>IF(AND(T157="",A158&lt;=S157),入力!$B$13,"")</f>
        <v>有効</v>
      </c>
      <c r="R158" s="32" t="str">
        <f>IF(AND(AND(T157="",A158&lt;=S157),OR(AND(入力!$B$13="有効",A158&gt;1,MOD(A158-1,60)=0),AND(A158=入力!$B$11,A158&gt;1)),入力!$B$14="有効"),ROUND(G157*1.25,0),"")</f>
        <v/>
      </c>
      <c r="S158" s="36">
        <f t="shared" si="49"/>
        <v>420</v>
      </c>
      <c r="T158" s="35" t="str">
        <f t="shared" si="50"/>
        <v/>
      </c>
      <c r="U158" s="3">
        <f t="shared" si="34"/>
        <v>0</v>
      </c>
      <c r="V158" s="3">
        <f t="shared" si="35"/>
        <v>0</v>
      </c>
      <c r="W158" s="3">
        <f t="shared" si="36"/>
        <v>0</v>
      </c>
      <c r="X158" s="3">
        <f t="shared" si="37"/>
        <v>0</v>
      </c>
      <c r="Y158" s="3">
        <f>0</f>
        <v>0</v>
      </c>
      <c r="Z158" s="3">
        <f t="shared" si="38"/>
        <v>0</v>
      </c>
      <c r="AA158">
        <f>ROUND(IF(A158=入力!$B$15+1,IF(E158=0,ROUND(C158/MAX(1,S157-A158+1),0),ROUND(-PMT(E158/12,MAX(1,S157-A158+1)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,0)</f>
        <v>98997</v>
      </c>
    </row>
    <row r="159" spans="1:27">
      <c r="A159" s="30">
        <f>154</f>
        <v>154</v>
      </c>
      <c r="B159" s="31">
        <f>EDATE(入力!$B$6,A159-1)</f>
        <v>50891</v>
      </c>
      <c r="C159" s="32">
        <f t="shared" si="39"/>
        <v>20257782</v>
      </c>
      <c r="D159" s="32">
        <f t="shared" si="40"/>
        <v>0</v>
      </c>
      <c r="E159" s="33">
        <f>IF(AND(T158="",A159&lt;=S158),IF(A159&lt;入力!$B$11,入力!$B$10,入力!$B$12),0)</f>
        <v>2.5000000000000001E-2</v>
      </c>
      <c r="F159" s="32">
        <f t="shared" si="41"/>
        <v>42204</v>
      </c>
      <c r="G159" s="32">
        <f>ROUND(IF(NOT(AND(T158="",A159&lt;=S158)),0,IF(A159=入力!$B$15+1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),0)</f>
        <v>98997</v>
      </c>
      <c r="H159" s="32">
        <f t="shared" si="42"/>
        <v>98997</v>
      </c>
      <c r="I159" s="32">
        <f t="shared" si="43"/>
        <v>42204</v>
      </c>
      <c r="J159" s="32">
        <f t="shared" si="44"/>
        <v>0</v>
      </c>
      <c r="K159" s="32">
        <f t="shared" si="45"/>
        <v>0</v>
      </c>
      <c r="L159" s="32">
        <f t="shared" si="46"/>
        <v>56793</v>
      </c>
      <c r="M159" s="32">
        <f>IF(AND(AND(T158="",A159&lt;=S158),A159=入力!$B$15),ROUND(MIN(入力!$B$16,MAX(0,C159-L159)),0),0)</f>
        <v>0</v>
      </c>
      <c r="N159" s="32">
        <f t="shared" si="47"/>
        <v>20200989</v>
      </c>
      <c r="O159" s="32">
        <f t="shared" si="48"/>
        <v>6254487</v>
      </c>
      <c r="P159" s="34" t="str">
        <f>IF(NOT(AND(T158="",A159&lt;=S158)),"",IF(A159=入力!$B$15+1,"繰上返済後再計算","")&amp;IF(AND(入力!$B$13="有効",A159&gt;1,MOD(A159-1,60)=0),IF(A159=入力!$B$15+1,"・","")&amp;"5年見直し","")&amp;IF(AND(A159=入力!$B$11,A159&gt;1),IF(OR(A159=入力!$B$15+1,AND(入力!$B$13="有効",A159&gt;1,MOD(A159-1,60)=0)),"・","")&amp;"金利変更","")&amp;IF(AND(OR(AND(入力!$B$13="有効",A159&gt;1,MOD(A159-1,60)=0),AND(A159=入力!$B$11,A159&gt;1)),入力!$B$14="有効",IF(E159=0,ROUND(C159/MAX(1,S158-A159+1),0),ROUND(-PMT(E159/12,MAX(1,S158-A159+1),C159),0))&gt;ROUND(G158*1.25,0),NOT(A159=入力!$B$15+1)),"・上限適用",""))</f>
        <v/>
      </c>
      <c r="Q159" s="35" t="str">
        <f>IF(AND(T158="",A159&lt;=S158),入力!$B$13,"")</f>
        <v>有効</v>
      </c>
      <c r="R159" s="32" t="str">
        <f>IF(AND(AND(T158="",A159&lt;=S158),OR(AND(入力!$B$13="有効",A159&gt;1,MOD(A159-1,60)=0),AND(A159=入力!$B$11,A159&gt;1)),入力!$B$14="有効"),ROUND(G158*1.25,0),"")</f>
        <v/>
      </c>
      <c r="S159" s="36">
        <f t="shared" si="49"/>
        <v>420</v>
      </c>
      <c r="T159" s="35" t="str">
        <f t="shared" si="50"/>
        <v/>
      </c>
      <c r="U159" s="3">
        <f t="shared" si="34"/>
        <v>0</v>
      </c>
      <c r="V159" s="3">
        <f t="shared" si="35"/>
        <v>0</v>
      </c>
      <c r="W159" s="3">
        <f t="shared" si="36"/>
        <v>0</v>
      </c>
      <c r="X159" s="3">
        <f t="shared" si="37"/>
        <v>0</v>
      </c>
      <c r="Y159" s="3">
        <f>0</f>
        <v>0</v>
      </c>
      <c r="Z159" s="3">
        <f t="shared" si="38"/>
        <v>0</v>
      </c>
      <c r="AA159">
        <f>ROUND(IF(A159=入力!$B$15+1,IF(E159=0,ROUND(C159/MAX(1,S158-A159+1),0),ROUND(-PMT(E159/12,MAX(1,S158-A159+1)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,0)</f>
        <v>98997</v>
      </c>
    </row>
    <row r="160" spans="1:27">
      <c r="A160" s="30">
        <f>155</f>
        <v>155</v>
      </c>
      <c r="B160" s="31">
        <f>EDATE(入力!$B$6,A160-1)</f>
        <v>50922</v>
      </c>
      <c r="C160" s="32">
        <f t="shared" si="39"/>
        <v>20200989</v>
      </c>
      <c r="D160" s="32">
        <f t="shared" si="40"/>
        <v>0</v>
      </c>
      <c r="E160" s="33">
        <f>IF(AND(T159="",A160&lt;=S159),IF(A160&lt;入力!$B$11,入力!$B$10,入力!$B$12),0)</f>
        <v>2.5000000000000001E-2</v>
      </c>
      <c r="F160" s="32">
        <f t="shared" si="41"/>
        <v>42085</v>
      </c>
      <c r="G160" s="32">
        <f>ROUND(IF(NOT(AND(T159="",A160&lt;=S159)),0,IF(A160=入力!$B$15+1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),0)</f>
        <v>98997</v>
      </c>
      <c r="H160" s="32">
        <f t="shared" si="42"/>
        <v>98997</v>
      </c>
      <c r="I160" s="32">
        <f t="shared" si="43"/>
        <v>42085</v>
      </c>
      <c r="J160" s="32">
        <f t="shared" si="44"/>
        <v>0</v>
      </c>
      <c r="K160" s="32">
        <f t="shared" si="45"/>
        <v>0</v>
      </c>
      <c r="L160" s="32">
        <f t="shared" si="46"/>
        <v>56912</v>
      </c>
      <c r="M160" s="32">
        <f>IF(AND(AND(T159="",A160&lt;=S159),A160=入力!$B$15),ROUND(MIN(入力!$B$16,MAX(0,C160-L160)),0),0)</f>
        <v>0</v>
      </c>
      <c r="N160" s="32">
        <f t="shared" si="47"/>
        <v>20144077</v>
      </c>
      <c r="O160" s="32">
        <f t="shared" si="48"/>
        <v>6296572</v>
      </c>
      <c r="P160" s="34" t="str">
        <f>IF(NOT(AND(T159="",A160&lt;=S159)),"",IF(A160=入力!$B$15+1,"繰上返済後再計算","")&amp;IF(AND(入力!$B$13="有効",A160&gt;1,MOD(A160-1,60)=0),IF(A160=入力!$B$15+1,"・","")&amp;"5年見直し","")&amp;IF(AND(A160=入力!$B$11,A160&gt;1),IF(OR(A160=入力!$B$15+1,AND(入力!$B$13="有効",A160&gt;1,MOD(A160-1,60)=0)),"・","")&amp;"金利変更","")&amp;IF(AND(OR(AND(入力!$B$13="有効",A160&gt;1,MOD(A160-1,60)=0),AND(A160=入力!$B$11,A160&gt;1)),入力!$B$14="有効",IF(E160=0,ROUND(C160/MAX(1,S159-A160+1),0),ROUND(-PMT(E160/12,MAX(1,S159-A160+1),C160),0))&gt;ROUND(G159*1.25,0),NOT(A160=入力!$B$15+1)),"・上限適用",""))</f>
        <v/>
      </c>
      <c r="Q160" s="35" t="str">
        <f>IF(AND(T159="",A160&lt;=S159),入力!$B$13,"")</f>
        <v>有効</v>
      </c>
      <c r="R160" s="32" t="str">
        <f>IF(AND(AND(T159="",A160&lt;=S159),OR(AND(入力!$B$13="有効",A160&gt;1,MOD(A160-1,60)=0),AND(A160=入力!$B$11,A160&gt;1)),入力!$B$14="有効"),ROUND(G159*1.25,0),"")</f>
        <v/>
      </c>
      <c r="S160" s="36">
        <f t="shared" si="49"/>
        <v>420</v>
      </c>
      <c r="T160" s="35" t="str">
        <f t="shared" si="50"/>
        <v/>
      </c>
      <c r="U160" s="3">
        <f t="shared" si="34"/>
        <v>0</v>
      </c>
      <c r="V160" s="3">
        <f t="shared" si="35"/>
        <v>0</v>
      </c>
      <c r="W160" s="3">
        <f t="shared" si="36"/>
        <v>0</v>
      </c>
      <c r="X160" s="3">
        <f t="shared" si="37"/>
        <v>0</v>
      </c>
      <c r="Y160" s="3">
        <f>0</f>
        <v>0</v>
      </c>
      <c r="Z160" s="3">
        <f t="shared" si="38"/>
        <v>0</v>
      </c>
      <c r="AA160">
        <f>ROUND(IF(A160=入力!$B$15+1,IF(E160=0,ROUND(C160/MAX(1,S159-A160+1),0),ROUND(-PMT(E160/12,MAX(1,S159-A160+1)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,0)</f>
        <v>98997</v>
      </c>
    </row>
    <row r="161" spans="1:27">
      <c r="A161" s="30">
        <f>156</f>
        <v>156</v>
      </c>
      <c r="B161" s="31">
        <f>EDATE(入力!$B$6,A161-1)</f>
        <v>50952</v>
      </c>
      <c r="C161" s="32">
        <f t="shared" si="39"/>
        <v>20144077</v>
      </c>
      <c r="D161" s="32">
        <f t="shared" si="40"/>
        <v>0</v>
      </c>
      <c r="E161" s="33">
        <f>IF(AND(T160="",A161&lt;=S160),IF(A161&lt;入力!$B$11,入力!$B$10,入力!$B$12),0)</f>
        <v>2.5000000000000001E-2</v>
      </c>
      <c r="F161" s="32">
        <f t="shared" si="41"/>
        <v>41967</v>
      </c>
      <c r="G161" s="32">
        <f>ROUND(IF(NOT(AND(T160="",A161&lt;=S160)),0,IF(A161=入力!$B$15+1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),0)</f>
        <v>98997</v>
      </c>
      <c r="H161" s="32">
        <f t="shared" si="42"/>
        <v>98997</v>
      </c>
      <c r="I161" s="32">
        <f t="shared" si="43"/>
        <v>41967</v>
      </c>
      <c r="J161" s="32">
        <f t="shared" si="44"/>
        <v>0</v>
      </c>
      <c r="K161" s="32">
        <f t="shared" si="45"/>
        <v>0</v>
      </c>
      <c r="L161" s="32">
        <f t="shared" si="46"/>
        <v>57030</v>
      </c>
      <c r="M161" s="32">
        <f>IF(AND(AND(T160="",A161&lt;=S160),A161=入力!$B$15),ROUND(MIN(入力!$B$16,MAX(0,C161-L161)),0),0)</f>
        <v>0</v>
      </c>
      <c r="N161" s="32">
        <f t="shared" si="47"/>
        <v>20087047</v>
      </c>
      <c r="O161" s="32">
        <f t="shared" si="48"/>
        <v>6338539</v>
      </c>
      <c r="P161" s="34" t="str">
        <f>IF(NOT(AND(T160="",A161&lt;=S160)),"",IF(A161=入力!$B$15+1,"繰上返済後再計算","")&amp;IF(AND(入力!$B$13="有効",A161&gt;1,MOD(A161-1,60)=0),IF(A161=入力!$B$15+1,"・","")&amp;"5年見直し","")&amp;IF(AND(A161=入力!$B$11,A161&gt;1),IF(OR(A161=入力!$B$15+1,AND(入力!$B$13="有効",A161&gt;1,MOD(A161-1,60)=0)),"・","")&amp;"金利変更","")&amp;IF(AND(OR(AND(入力!$B$13="有効",A161&gt;1,MOD(A161-1,60)=0),AND(A161=入力!$B$11,A161&gt;1)),入力!$B$14="有効",IF(E161=0,ROUND(C161/MAX(1,S160-A161+1),0),ROUND(-PMT(E161/12,MAX(1,S160-A161+1),C161),0))&gt;ROUND(G160*1.25,0),NOT(A161=入力!$B$15+1)),"・上限適用",""))</f>
        <v/>
      </c>
      <c r="Q161" s="35" t="str">
        <f>IF(AND(T160="",A161&lt;=S160),入力!$B$13,"")</f>
        <v>有効</v>
      </c>
      <c r="R161" s="32" t="str">
        <f>IF(AND(AND(T160="",A161&lt;=S160),OR(AND(入力!$B$13="有効",A161&gt;1,MOD(A161-1,60)=0),AND(A161=入力!$B$11,A161&gt;1)),入力!$B$14="有効"),ROUND(G160*1.25,0),"")</f>
        <v/>
      </c>
      <c r="S161" s="36">
        <f t="shared" si="49"/>
        <v>420</v>
      </c>
      <c r="T161" s="35" t="str">
        <f t="shared" si="50"/>
        <v/>
      </c>
      <c r="U161" s="3">
        <f t="shared" si="34"/>
        <v>0</v>
      </c>
      <c r="V161" s="3">
        <f t="shared" si="35"/>
        <v>0</v>
      </c>
      <c r="W161" s="3">
        <f t="shared" si="36"/>
        <v>0</v>
      </c>
      <c r="X161" s="3">
        <f t="shared" si="37"/>
        <v>0</v>
      </c>
      <c r="Y161" s="3">
        <f>0</f>
        <v>0</v>
      </c>
      <c r="Z161" s="3">
        <f t="shared" si="38"/>
        <v>0</v>
      </c>
      <c r="AA161">
        <f>ROUND(IF(A161=入力!$B$15+1,IF(E161=0,ROUND(C161/MAX(1,S160-A161+1),0),ROUND(-PMT(E161/12,MAX(1,S160-A161+1)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,0)</f>
        <v>98997</v>
      </c>
    </row>
    <row r="162" spans="1:27">
      <c r="A162" s="30">
        <f>157</f>
        <v>157</v>
      </c>
      <c r="B162" s="31">
        <f>EDATE(入力!$B$6,A162-1)</f>
        <v>50983</v>
      </c>
      <c r="C162" s="32">
        <f t="shared" si="39"/>
        <v>20087047</v>
      </c>
      <c r="D162" s="32">
        <f t="shared" si="40"/>
        <v>0</v>
      </c>
      <c r="E162" s="33">
        <f>IF(AND(T161="",A162&lt;=S161),IF(A162&lt;入力!$B$11,入力!$B$10,入力!$B$12),0)</f>
        <v>2.5000000000000001E-2</v>
      </c>
      <c r="F162" s="32">
        <f t="shared" si="41"/>
        <v>41848</v>
      </c>
      <c r="G162" s="32">
        <f>ROUND(IF(NOT(AND(T161="",A162&lt;=S161)),0,IF(A162=入力!$B$15+1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),0)</f>
        <v>98997</v>
      </c>
      <c r="H162" s="32">
        <f t="shared" si="42"/>
        <v>98997</v>
      </c>
      <c r="I162" s="32">
        <f t="shared" si="43"/>
        <v>41848</v>
      </c>
      <c r="J162" s="32">
        <f t="shared" si="44"/>
        <v>0</v>
      </c>
      <c r="K162" s="32">
        <f t="shared" si="45"/>
        <v>0</v>
      </c>
      <c r="L162" s="32">
        <f t="shared" si="46"/>
        <v>57149</v>
      </c>
      <c r="M162" s="32">
        <f>IF(AND(AND(T161="",A162&lt;=S161),A162=入力!$B$15),ROUND(MIN(入力!$B$16,MAX(0,C162-L162)),0),0)</f>
        <v>0</v>
      </c>
      <c r="N162" s="32">
        <f t="shared" si="47"/>
        <v>20029898</v>
      </c>
      <c r="O162" s="32">
        <f t="shared" si="48"/>
        <v>6380387</v>
      </c>
      <c r="P162" s="34" t="str">
        <f>IF(NOT(AND(T161="",A162&lt;=S161)),"",IF(A162=入力!$B$15+1,"繰上返済後再計算","")&amp;IF(AND(入力!$B$13="有効",A162&gt;1,MOD(A162-1,60)=0),IF(A162=入力!$B$15+1,"・","")&amp;"5年見直し","")&amp;IF(AND(A162=入力!$B$11,A162&gt;1),IF(OR(A162=入力!$B$15+1,AND(入力!$B$13="有効",A162&gt;1,MOD(A162-1,60)=0)),"・","")&amp;"金利変更","")&amp;IF(AND(OR(AND(入力!$B$13="有効",A162&gt;1,MOD(A162-1,60)=0),AND(A162=入力!$B$11,A162&gt;1)),入力!$B$14="有効",IF(E162=0,ROUND(C162/MAX(1,S161-A162+1),0),ROUND(-PMT(E162/12,MAX(1,S161-A162+1),C162),0))&gt;ROUND(G161*1.25,0),NOT(A162=入力!$B$15+1)),"・上限適用",""))</f>
        <v/>
      </c>
      <c r="Q162" s="35" t="str">
        <f>IF(AND(T161="",A162&lt;=S161),入力!$B$13,"")</f>
        <v>有効</v>
      </c>
      <c r="R162" s="32" t="str">
        <f>IF(AND(AND(T161="",A162&lt;=S161),OR(AND(入力!$B$13="有効",A162&gt;1,MOD(A162-1,60)=0),AND(A162=入力!$B$11,A162&gt;1)),入力!$B$14="有効"),ROUND(G161*1.25,0),"")</f>
        <v/>
      </c>
      <c r="S162" s="36">
        <f t="shared" si="49"/>
        <v>420</v>
      </c>
      <c r="T162" s="35" t="str">
        <f t="shared" si="50"/>
        <v/>
      </c>
      <c r="U162" s="3">
        <f t="shared" si="34"/>
        <v>0</v>
      </c>
      <c r="V162" s="3">
        <f t="shared" si="35"/>
        <v>0</v>
      </c>
      <c r="W162" s="3">
        <f t="shared" si="36"/>
        <v>0</v>
      </c>
      <c r="X162" s="3">
        <f t="shared" si="37"/>
        <v>0</v>
      </c>
      <c r="Y162" s="3">
        <f>0</f>
        <v>0</v>
      </c>
      <c r="Z162" s="3">
        <f t="shared" si="38"/>
        <v>0</v>
      </c>
      <c r="AA162">
        <f>ROUND(IF(A162=入力!$B$15+1,IF(E162=0,ROUND(C162/MAX(1,S161-A162+1),0),ROUND(-PMT(E162/12,MAX(1,S161-A162+1)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,0)</f>
        <v>98997</v>
      </c>
    </row>
    <row r="163" spans="1:27">
      <c r="A163" s="30">
        <f>158</f>
        <v>158</v>
      </c>
      <c r="B163" s="31">
        <f>EDATE(入力!$B$6,A163-1)</f>
        <v>51014</v>
      </c>
      <c r="C163" s="32">
        <f t="shared" si="39"/>
        <v>20029898</v>
      </c>
      <c r="D163" s="32">
        <f t="shared" si="40"/>
        <v>0</v>
      </c>
      <c r="E163" s="33">
        <f>IF(AND(T162="",A163&lt;=S162),IF(A163&lt;入力!$B$11,入力!$B$10,入力!$B$12),0)</f>
        <v>2.5000000000000001E-2</v>
      </c>
      <c r="F163" s="32">
        <f t="shared" si="41"/>
        <v>41729</v>
      </c>
      <c r="G163" s="32">
        <f>ROUND(IF(NOT(AND(T162="",A163&lt;=S162)),0,IF(A163=入力!$B$15+1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),0)</f>
        <v>98997</v>
      </c>
      <c r="H163" s="32">
        <f t="shared" si="42"/>
        <v>98997</v>
      </c>
      <c r="I163" s="32">
        <f t="shared" si="43"/>
        <v>41729</v>
      </c>
      <c r="J163" s="32">
        <f t="shared" si="44"/>
        <v>0</v>
      </c>
      <c r="K163" s="32">
        <f t="shared" si="45"/>
        <v>0</v>
      </c>
      <c r="L163" s="32">
        <f t="shared" si="46"/>
        <v>57268</v>
      </c>
      <c r="M163" s="32">
        <f>IF(AND(AND(T162="",A163&lt;=S162),A163=入力!$B$15),ROUND(MIN(入力!$B$16,MAX(0,C163-L163)),0),0)</f>
        <v>0</v>
      </c>
      <c r="N163" s="32">
        <f t="shared" si="47"/>
        <v>19972630</v>
      </c>
      <c r="O163" s="32">
        <f t="shared" si="48"/>
        <v>6422116</v>
      </c>
      <c r="P163" s="34" t="str">
        <f>IF(NOT(AND(T162="",A163&lt;=S162)),"",IF(A163=入力!$B$15+1,"繰上返済後再計算","")&amp;IF(AND(入力!$B$13="有効",A163&gt;1,MOD(A163-1,60)=0),IF(A163=入力!$B$15+1,"・","")&amp;"5年見直し","")&amp;IF(AND(A163=入力!$B$11,A163&gt;1),IF(OR(A163=入力!$B$15+1,AND(入力!$B$13="有効",A163&gt;1,MOD(A163-1,60)=0)),"・","")&amp;"金利変更","")&amp;IF(AND(OR(AND(入力!$B$13="有効",A163&gt;1,MOD(A163-1,60)=0),AND(A163=入力!$B$11,A163&gt;1)),入力!$B$14="有効",IF(E163=0,ROUND(C163/MAX(1,S162-A163+1),0),ROUND(-PMT(E163/12,MAX(1,S162-A163+1),C163),0))&gt;ROUND(G162*1.25,0),NOT(A163=入力!$B$15+1)),"・上限適用",""))</f>
        <v/>
      </c>
      <c r="Q163" s="35" t="str">
        <f>IF(AND(T162="",A163&lt;=S162),入力!$B$13,"")</f>
        <v>有効</v>
      </c>
      <c r="R163" s="32" t="str">
        <f>IF(AND(AND(T162="",A163&lt;=S162),OR(AND(入力!$B$13="有効",A163&gt;1,MOD(A163-1,60)=0),AND(A163=入力!$B$11,A163&gt;1)),入力!$B$14="有効"),ROUND(G162*1.25,0),"")</f>
        <v/>
      </c>
      <c r="S163" s="36">
        <f t="shared" si="49"/>
        <v>420</v>
      </c>
      <c r="T163" s="35" t="str">
        <f t="shared" si="50"/>
        <v/>
      </c>
      <c r="U163" s="3">
        <f t="shared" si="34"/>
        <v>0</v>
      </c>
      <c r="V163" s="3">
        <f t="shared" si="35"/>
        <v>0</v>
      </c>
      <c r="W163" s="3">
        <f t="shared" si="36"/>
        <v>0</v>
      </c>
      <c r="X163" s="3">
        <f t="shared" si="37"/>
        <v>0</v>
      </c>
      <c r="Y163" s="3">
        <f>0</f>
        <v>0</v>
      </c>
      <c r="Z163" s="3">
        <f t="shared" si="38"/>
        <v>0</v>
      </c>
      <c r="AA163">
        <f>ROUND(IF(A163=入力!$B$15+1,IF(E163=0,ROUND(C163/MAX(1,S162-A163+1),0),ROUND(-PMT(E163/12,MAX(1,S162-A163+1)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,0)</f>
        <v>98997</v>
      </c>
    </row>
    <row r="164" spans="1:27">
      <c r="A164" s="30">
        <f>159</f>
        <v>159</v>
      </c>
      <c r="B164" s="31">
        <f>EDATE(入力!$B$6,A164-1)</f>
        <v>51044</v>
      </c>
      <c r="C164" s="32">
        <f t="shared" si="39"/>
        <v>19972630</v>
      </c>
      <c r="D164" s="32">
        <f t="shared" si="40"/>
        <v>0</v>
      </c>
      <c r="E164" s="33">
        <f>IF(AND(T163="",A164&lt;=S163),IF(A164&lt;入力!$B$11,入力!$B$10,入力!$B$12),0)</f>
        <v>2.5000000000000001E-2</v>
      </c>
      <c r="F164" s="32">
        <f t="shared" si="41"/>
        <v>41610</v>
      </c>
      <c r="G164" s="32">
        <f>ROUND(IF(NOT(AND(T163="",A164&lt;=S163)),0,IF(A164=入力!$B$15+1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),0)</f>
        <v>98997</v>
      </c>
      <c r="H164" s="32">
        <f t="shared" si="42"/>
        <v>98997</v>
      </c>
      <c r="I164" s="32">
        <f t="shared" si="43"/>
        <v>41610</v>
      </c>
      <c r="J164" s="32">
        <f t="shared" si="44"/>
        <v>0</v>
      </c>
      <c r="K164" s="32">
        <f t="shared" si="45"/>
        <v>0</v>
      </c>
      <c r="L164" s="32">
        <f t="shared" si="46"/>
        <v>57387</v>
      </c>
      <c r="M164" s="32">
        <f>IF(AND(AND(T163="",A164&lt;=S163),A164=入力!$B$15),ROUND(MIN(入力!$B$16,MAX(0,C164-L164)),0),0)</f>
        <v>0</v>
      </c>
      <c r="N164" s="32">
        <f t="shared" si="47"/>
        <v>19915243</v>
      </c>
      <c r="O164" s="32">
        <f t="shared" si="48"/>
        <v>6463726</v>
      </c>
      <c r="P164" s="34" t="str">
        <f>IF(NOT(AND(T163="",A164&lt;=S163)),"",IF(A164=入力!$B$15+1,"繰上返済後再計算","")&amp;IF(AND(入力!$B$13="有効",A164&gt;1,MOD(A164-1,60)=0),IF(A164=入力!$B$15+1,"・","")&amp;"5年見直し","")&amp;IF(AND(A164=入力!$B$11,A164&gt;1),IF(OR(A164=入力!$B$15+1,AND(入力!$B$13="有効",A164&gt;1,MOD(A164-1,60)=0)),"・","")&amp;"金利変更","")&amp;IF(AND(OR(AND(入力!$B$13="有効",A164&gt;1,MOD(A164-1,60)=0),AND(A164=入力!$B$11,A164&gt;1)),入力!$B$14="有効",IF(E164=0,ROUND(C164/MAX(1,S163-A164+1),0),ROUND(-PMT(E164/12,MAX(1,S163-A164+1),C164),0))&gt;ROUND(G163*1.25,0),NOT(A164=入力!$B$15+1)),"・上限適用",""))</f>
        <v/>
      </c>
      <c r="Q164" s="35" t="str">
        <f>IF(AND(T163="",A164&lt;=S163),入力!$B$13,"")</f>
        <v>有効</v>
      </c>
      <c r="R164" s="32" t="str">
        <f>IF(AND(AND(T163="",A164&lt;=S163),OR(AND(入力!$B$13="有効",A164&gt;1,MOD(A164-1,60)=0),AND(A164=入力!$B$11,A164&gt;1)),入力!$B$14="有効"),ROUND(G163*1.25,0),"")</f>
        <v/>
      </c>
      <c r="S164" s="36">
        <f t="shared" si="49"/>
        <v>420</v>
      </c>
      <c r="T164" s="35" t="str">
        <f t="shared" si="50"/>
        <v/>
      </c>
      <c r="U164" s="3">
        <f t="shared" si="34"/>
        <v>0</v>
      </c>
      <c r="V164" s="3">
        <f t="shared" si="35"/>
        <v>0</v>
      </c>
      <c r="W164" s="3">
        <f t="shared" si="36"/>
        <v>0</v>
      </c>
      <c r="X164" s="3">
        <f t="shared" si="37"/>
        <v>0</v>
      </c>
      <c r="Y164" s="3">
        <f>0</f>
        <v>0</v>
      </c>
      <c r="Z164" s="3">
        <f t="shared" si="38"/>
        <v>0</v>
      </c>
      <c r="AA164">
        <f>ROUND(IF(A164=入力!$B$15+1,IF(E164=0,ROUND(C164/MAX(1,S163-A164+1),0),ROUND(-PMT(E164/12,MAX(1,S163-A164+1)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,0)</f>
        <v>98997</v>
      </c>
    </row>
    <row r="165" spans="1:27">
      <c r="A165" s="30">
        <f>160</f>
        <v>160</v>
      </c>
      <c r="B165" s="31">
        <f>EDATE(入力!$B$6,A165-1)</f>
        <v>51075</v>
      </c>
      <c r="C165" s="32">
        <f t="shared" si="39"/>
        <v>19915243</v>
      </c>
      <c r="D165" s="32">
        <f t="shared" si="40"/>
        <v>0</v>
      </c>
      <c r="E165" s="33">
        <f>IF(AND(T164="",A165&lt;=S164),IF(A165&lt;入力!$B$11,入力!$B$10,入力!$B$12),0)</f>
        <v>2.5000000000000001E-2</v>
      </c>
      <c r="F165" s="32">
        <f t="shared" si="41"/>
        <v>41490</v>
      </c>
      <c r="G165" s="32">
        <f>ROUND(IF(NOT(AND(T164="",A165&lt;=S164)),0,IF(A165=入力!$B$15+1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),0)</f>
        <v>98997</v>
      </c>
      <c r="H165" s="32">
        <f t="shared" si="42"/>
        <v>98997</v>
      </c>
      <c r="I165" s="32">
        <f t="shared" si="43"/>
        <v>41490</v>
      </c>
      <c r="J165" s="32">
        <f t="shared" si="44"/>
        <v>0</v>
      </c>
      <c r="K165" s="32">
        <f t="shared" si="45"/>
        <v>0</v>
      </c>
      <c r="L165" s="32">
        <f t="shared" si="46"/>
        <v>57507</v>
      </c>
      <c r="M165" s="32">
        <f>IF(AND(AND(T164="",A165&lt;=S164),A165=入力!$B$15),ROUND(MIN(入力!$B$16,MAX(0,C165-L165)),0),0)</f>
        <v>0</v>
      </c>
      <c r="N165" s="32">
        <f t="shared" si="47"/>
        <v>19857736</v>
      </c>
      <c r="O165" s="32">
        <f t="shared" si="48"/>
        <v>6505216</v>
      </c>
      <c r="P165" s="34" t="str">
        <f>IF(NOT(AND(T164="",A165&lt;=S164)),"",IF(A165=入力!$B$15+1,"繰上返済後再計算","")&amp;IF(AND(入力!$B$13="有効",A165&gt;1,MOD(A165-1,60)=0),IF(A165=入力!$B$15+1,"・","")&amp;"5年見直し","")&amp;IF(AND(A165=入力!$B$11,A165&gt;1),IF(OR(A165=入力!$B$15+1,AND(入力!$B$13="有効",A165&gt;1,MOD(A165-1,60)=0)),"・","")&amp;"金利変更","")&amp;IF(AND(OR(AND(入力!$B$13="有効",A165&gt;1,MOD(A165-1,60)=0),AND(A165=入力!$B$11,A165&gt;1)),入力!$B$14="有効",IF(E165=0,ROUND(C165/MAX(1,S164-A165+1),0),ROUND(-PMT(E165/12,MAX(1,S164-A165+1),C165),0))&gt;ROUND(G164*1.25,0),NOT(A165=入力!$B$15+1)),"・上限適用",""))</f>
        <v/>
      </c>
      <c r="Q165" s="35" t="str">
        <f>IF(AND(T164="",A165&lt;=S164),入力!$B$13,"")</f>
        <v>有効</v>
      </c>
      <c r="R165" s="32" t="str">
        <f>IF(AND(AND(T164="",A165&lt;=S164),OR(AND(入力!$B$13="有効",A165&gt;1,MOD(A165-1,60)=0),AND(A165=入力!$B$11,A165&gt;1)),入力!$B$14="有効"),ROUND(G164*1.25,0),"")</f>
        <v/>
      </c>
      <c r="S165" s="36">
        <f t="shared" si="49"/>
        <v>420</v>
      </c>
      <c r="T165" s="35" t="str">
        <f t="shared" si="50"/>
        <v/>
      </c>
      <c r="U165" s="3">
        <f t="shared" si="34"/>
        <v>0</v>
      </c>
      <c r="V165" s="3">
        <f t="shared" si="35"/>
        <v>0</v>
      </c>
      <c r="W165" s="3">
        <f t="shared" si="36"/>
        <v>0</v>
      </c>
      <c r="X165" s="3">
        <f t="shared" si="37"/>
        <v>0</v>
      </c>
      <c r="Y165" s="3">
        <f>0</f>
        <v>0</v>
      </c>
      <c r="Z165" s="3">
        <f t="shared" si="38"/>
        <v>0</v>
      </c>
      <c r="AA165">
        <f>ROUND(IF(A165=入力!$B$15+1,IF(E165=0,ROUND(C165/MAX(1,S164-A165+1),0),ROUND(-PMT(E165/12,MAX(1,S164-A165+1)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,0)</f>
        <v>98997</v>
      </c>
    </row>
    <row r="166" spans="1:27">
      <c r="A166" s="30">
        <f>161</f>
        <v>161</v>
      </c>
      <c r="B166" s="31">
        <f>EDATE(入力!$B$6,A166-1)</f>
        <v>51105</v>
      </c>
      <c r="C166" s="32">
        <f t="shared" si="39"/>
        <v>19857736</v>
      </c>
      <c r="D166" s="32">
        <f t="shared" si="40"/>
        <v>0</v>
      </c>
      <c r="E166" s="33">
        <f>IF(AND(T165="",A166&lt;=S165),IF(A166&lt;入力!$B$11,入力!$B$10,入力!$B$12),0)</f>
        <v>2.5000000000000001E-2</v>
      </c>
      <c r="F166" s="32">
        <f t="shared" si="41"/>
        <v>41370</v>
      </c>
      <c r="G166" s="32">
        <f>ROUND(IF(NOT(AND(T165="",A166&lt;=S165)),0,IF(A166=入力!$B$15+1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),0)</f>
        <v>98997</v>
      </c>
      <c r="H166" s="32">
        <f t="shared" si="42"/>
        <v>98997</v>
      </c>
      <c r="I166" s="32">
        <f t="shared" si="43"/>
        <v>41370</v>
      </c>
      <c r="J166" s="32">
        <f t="shared" si="44"/>
        <v>0</v>
      </c>
      <c r="K166" s="32">
        <f t="shared" si="45"/>
        <v>0</v>
      </c>
      <c r="L166" s="32">
        <f t="shared" si="46"/>
        <v>57627</v>
      </c>
      <c r="M166" s="32">
        <f>IF(AND(AND(T165="",A166&lt;=S165),A166=入力!$B$15),ROUND(MIN(入力!$B$16,MAX(0,C166-L166)),0),0)</f>
        <v>0</v>
      </c>
      <c r="N166" s="32">
        <f t="shared" si="47"/>
        <v>19800109</v>
      </c>
      <c r="O166" s="32">
        <f t="shared" si="48"/>
        <v>6546586</v>
      </c>
      <c r="P166" s="34" t="str">
        <f>IF(NOT(AND(T165="",A166&lt;=S165)),"",IF(A166=入力!$B$15+1,"繰上返済後再計算","")&amp;IF(AND(入力!$B$13="有効",A166&gt;1,MOD(A166-1,60)=0),IF(A166=入力!$B$15+1,"・","")&amp;"5年見直し","")&amp;IF(AND(A166=入力!$B$11,A166&gt;1),IF(OR(A166=入力!$B$15+1,AND(入力!$B$13="有効",A166&gt;1,MOD(A166-1,60)=0)),"・","")&amp;"金利変更","")&amp;IF(AND(OR(AND(入力!$B$13="有効",A166&gt;1,MOD(A166-1,60)=0),AND(A166=入力!$B$11,A166&gt;1)),入力!$B$14="有効",IF(E166=0,ROUND(C166/MAX(1,S165-A166+1),0),ROUND(-PMT(E166/12,MAX(1,S165-A166+1),C166),0))&gt;ROUND(G165*1.25,0),NOT(A166=入力!$B$15+1)),"・上限適用",""))</f>
        <v/>
      </c>
      <c r="Q166" s="35" t="str">
        <f>IF(AND(T165="",A166&lt;=S165),入力!$B$13,"")</f>
        <v>有効</v>
      </c>
      <c r="R166" s="32" t="str">
        <f>IF(AND(AND(T165="",A166&lt;=S165),OR(AND(入力!$B$13="有効",A166&gt;1,MOD(A166-1,60)=0),AND(A166=入力!$B$11,A166&gt;1)),入力!$B$14="有効"),ROUND(G165*1.25,0),"")</f>
        <v/>
      </c>
      <c r="S166" s="36">
        <f t="shared" si="49"/>
        <v>420</v>
      </c>
      <c r="T166" s="35" t="str">
        <f t="shared" si="50"/>
        <v/>
      </c>
      <c r="U166" s="3">
        <f t="shared" si="34"/>
        <v>0</v>
      </c>
      <c r="V166" s="3">
        <f t="shared" si="35"/>
        <v>0</v>
      </c>
      <c r="W166" s="3">
        <f t="shared" si="36"/>
        <v>0</v>
      </c>
      <c r="X166" s="3">
        <f t="shared" si="37"/>
        <v>0</v>
      </c>
      <c r="Y166" s="3">
        <f>0</f>
        <v>0</v>
      </c>
      <c r="Z166" s="3">
        <f t="shared" si="38"/>
        <v>0</v>
      </c>
      <c r="AA166">
        <f>ROUND(IF(A166=入力!$B$15+1,IF(E166=0,ROUND(C166/MAX(1,S165-A166+1),0),ROUND(-PMT(E166/12,MAX(1,S165-A166+1)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,0)</f>
        <v>98997</v>
      </c>
    </row>
    <row r="167" spans="1:27">
      <c r="A167" s="30">
        <f>162</f>
        <v>162</v>
      </c>
      <c r="B167" s="31">
        <f>EDATE(入力!$B$6,A167-1)</f>
        <v>51136</v>
      </c>
      <c r="C167" s="32">
        <f t="shared" si="39"/>
        <v>19800109</v>
      </c>
      <c r="D167" s="32">
        <f t="shared" si="40"/>
        <v>0</v>
      </c>
      <c r="E167" s="33">
        <f>IF(AND(T166="",A167&lt;=S166),IF(A167&lt;入力!$B$11,入力!$B$10,入力!$B$12),0)</f>
        <v>2.5000000000000001E-2</v>
      </c>
      <c r="F167" s="32">
        <f t="shared" si="41"/>
        <v>41250</v>
      </c>
      <c r="G167" s="32">
        <f>ROUND(IF(NOT(AND(T166="",A167&lt;=S166)),0,IF(A167=入力!$B$15+1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),0)</f>
        <v>98997</v>
      </c>
      <c r="H167" s="32">
        <f t="shared" si="42"/>
        <v>98997</v>
      </c>
      <c r="I167" s="32">
        <f t="shared" si="43"/>
        <v>41250</v>
      </c>
      <c r="J167" s="32">
        <f t="shared" si="44"/>
        <v>0</v>
      </c>
      <c r="K167" s="32">
        <f t="shared" si="45"/>
        <v>0</v>
      </c>
      <c r="L167" s="32">
        <f t="shared" si="46"/>
        <v>57747</v>
      </c>
      <c r="M167" s="32">
        <f>IF(AND(AND(T166="",A167&lt;=S166),A167=入力!$B$15),ROUND(MIN(入力!$B$16,MAX(0,C167-L167)),0),0)</f>
        <v>0</v>
      </c>
      <c r="N167" s="32">
        <f t="shared" si="47"/>
        <v>19742362</v>
      </c>
      <c r="O167" s="32">
        <f t="shared" si="48"/>
        <v>6587836</v>
      </c>
      <c r="P167" s="34" t="str">
        <f>IF(NOT(AND(T166="",A167&lt;=S166)),"",IF(A167=入力!$B$15+1,"繰上返済後再計算","")&amp;IF(AND(入力!$B$13="有効",A167&gt;1,MOD(A167-1,60)=0),IF(A167=入力!$B$15+1,"・","")&amp;"5年見直し","")&amp;IF(AND(A167=入力!$B$11,A167&gt;1),IF(OR(A167=入力!$B$15+1,AND(入力!$B$13="有効",A167&gt;1,MOD(A167-1,60)=0)),"・","")&amp;"金利変更","")&amp;IF(AND(OR(AND(入力!$B$13="有効",A167&gt;1,MOD(A167-1,60)=0),AND(A167=入力!$B$11,A167&gt;1)),入力!$B$14="有効",IF(E167=0,ROUND(C167/MAX(1,S166-A167+1),0),ROUND(-PMT(E167/12,MAX(1,S166-A167+1),C167),0))&gt;ROUND(G166*1.25,0),NOT(A167=入力!$B$15+1)),"・上限適用",""))</f>
        <v/>
      </c>
      <c r="Q167" s="35" t="str">
        <f>IF(AND(T166="",A167&lt;=S166),入力!$B$13,"")</f>
        <v>有効</v>
      </c>
      <c r="R167" s="32" t="str">
        <f>IF(AND(AND(T166="",A167&lt;=S166),OR(AND(入力!$B$13="有効",A167&gt;1,MOD(A167-1,60)=0),AND(A167=入力!$B$11,A167&gt;1)),入力!$B$14="有効"),ROUND(G166*1.25,0),"")</f>
        <v/>
      </c>
      <c r="S167" s="36">
        <f t="shared" si="49"/>
        <v>420</v>
      </c>
      <c r="T167" s="35" t="str">
        <f t="shared" si="50"/>
        <v/>
      </c>
      <c r="U167" s="3">
        <f t="shared" si="34"/>
        <v>0</v>
      </c>
      <c r="V167" s="3">
        <f t="shared" si="35"/>
        <v>0</v>
      </c>
      <c r="W167" s="3">
        <f t="shared" si="36"/>
        <v>0</v>
      </c>
      <c r="X167" s="3">
        <f t="shared" si="37"/>
        <v>0</v>
      </c>
      <c r="Y167" s="3">
        <f>0</f>
        <v>0</v>
      </c>
      <c r="Z167" s="3">
        <f t="shared" si="38"/>
        <v>0</v>
      </c>
      <c r="AA167">
        <f>ROUND(IF(A167=入力!$B$15+1,IF(E167=0,ROUND(C167/MAX(1,S166-A167+1),0),ROUND(-PMT(E167/12,MAX(1,S166-A167+1)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,0)</f>
        <v>98997</v>
      </c>
    </row>
    <row r="168" spans="1:27">
      <c r="A168" s="30">
        <f>163</f>
        <v>163</v>
      </c>
      <c r="B168" s="31">
        <f>EDATE(入力!$B$6,A168-1)</f>
        <v>51167</v>
      </c>
      <c r="C168" s="32">
        <f t="shared" si="39"/>
        <v>19742362</v>
      </c>
      <c r="D168" s="32">
        <f t="shared" si="40"/>
        <v>0</v>
      </c>
      <c r="E168" s="33">
        <f>IF(AND(T167="",A168&lt;=S167),IF(A168&lt;入力!$B$11,入力!$B$10,入力!$B$12),0)</f>
        <v>2.5000000000000001E-2</v>
      </c>
      <c r="F168" s="32">
        <f t="shared" si="41"/>
        <v>41130</v>
      </c>
      <c r="G168" s="32">
        <f>ROUND(IF(NOT(AND(T167="",A168&lt;=S167)),0,IF(A168=入力!$B$15+1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),0)</f>
        <v>98997</v>
      </c>
      <c r="H168" s="32">
        <f t="shared" si="42"/>
        <v>98997</v>
      </c>
      <c r="I168" s="32">
        <f t="shared" si="43"/>
        <v>41130</v>
      </c>
      <c r="J168" s="32">
        <f t="shared" si="44"/>
        <v>0</v>
      </c>
      <c r="K168" s="32">
        <f t="shared" si="45"/>
        <v>0</v>
      </c>
      <c r="L168" s="32">
        <f t="shared" si="46"/>
        <v>57867</v>
      </c>
      <c r="M168" s="32">
        <f>IF(AND(AND(T167="",A168&lt;=S167),A168=入力!$B$15),ROUND(MIN(入力!$B$16,MAX(0,C168-L168)),0),0)</f>
        <v>0</v>
      </c>
      <c r="N168" s="32">
        <f t="shared" si="47"/>
        <v>19684495</v>
      </c>
      <c r="O168" s="32">
        <f t="shared" si="48"/>
        <v>6628966</v>
      </c>
      <c r="P168" s="34" t="str">
        <f>IF(NOT(AND(T167="",A168&lt;=S167)),"",IF(A168=入力!$B$15+1,"繰上返済後再計算","")&amp;IF(AND(入力!$B$13="有効",A168&gt;1,MOD(A168-1,60)=0),IF(A168=入力!$B$15+1,"・","")&amp;"5年見直し","")&amp;IF(AND(A168=入力!$B$11,A168&gt;1),IF(OR(A168=入力!$B$15+1,AND(入力!$B$13="有効",A168&gt;1,MOD(A168-1,60)=0)),"・","")&amp;"金利変更","")&amp;IF(AND(OR(AND(入力!$B$13="有効",A168&gt;1,MOD(A168-1,60)=0),AND(A168=入力!$B$11,A168&gt;1)),入力!$B$14="有効",IF(E168=0,ROUND(C168/MAX(1,S167-A168+1),0),ROUND(-PMT(E168/12,MAX(1,S167-A168+1),C168),0))&gt;ROUND(G167*1.25,0),NOT(A168=入力!$B$15+1)),"・上限適用",""))</f>
        <v/>
      </c>
      <c r="Q168" s="35" t="str">
        <f>IF(AND(T167="",A168&lt;=S167),入力!$B$13,"")</f>
        <v>有効</v>
      </c>
      <c r="R168" s="32" t="str">
        <f>IF(AND(AND(T167="",A168&lt;=S167),OR(AND(入力!$B$13="有効",A168&gt;1,MOD(A168-1,60)=0),AND(A168=入力!$B$11,A168&gt;1)),入力!$B$14="有効"),ROUND(G167*1.25,0),"")</f>
        <v/>
      </c>
      <c r="S168" s="36">
        <f t="shared" si="49"/>
        <v>420</v>
      </c>
      <c r="T168" s="35" t="str">
        <f t="shared" si="50"/>
        <v/>
      </c>
      <c r="U168" s="3">
        <f t="shared" si="34"/>
        <v>0</v>
      </c>
      <c r="V168" s="3">
        <f t="shared" si="35"/>
        <v>0</v>
      </c>
      <c r="W168" s="3">
        <f t="shared" si="36"/>
        <v>0</v>
      </c>
      <c r="X168" s="3">
        <f t="shared" si="37"/>
        <v>0</v>
      </c>
      <c r="Y168" s="3">
        <f>0</f>
        <v>0</v>
      </c>
      <c r="Z168" s="3">
        <f t="shared" si="38"/>
        <v>0</v>
      </c>
      <c r="AA168">
        <f>ROUND(IF(A168=入力!$B$15+1,IF(E168=0,ROUND(C168/MAX(1,S167-A168+1),0),ROUND(-PMT(E168/12,MAX(1,S167-A168+1)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,0)</f>
        <v>98997</v>
      </c>
    </row>
    <row r="169" spans="1:27">
      <c r="A169" s="30">
        <f>164</f>
        <v>164</v>
      </c>
      <c r="B169" s="31">
        <f>EDATE(入力!$B$6,A169-1)</f>
        <v>51196</v>
      </c>
      <c r="C169" s="32">
        <f t="shared" si="39"/>
        <v>19684495</v>
      </c>
      <c r="D169" s="32">
        <f t="shared" si="40"/>
        <v>0</v>
      </c>
      <c r="E169" s="33">
        <f>IF(AND(T168="",A169&lt;=S168),IF(A169&lt;入力!$B$11,入力!$B$10,入力!$B$12),0)</f>
        <v>2.5000000000000001E-2</v>
      </c>
      <c r="F169" s="32">
        <f t="shared" si="41"/>
        <v>41009</v>
      </c>
      <c r="G169" s="32">
        <f>ROUND(IF(NOT(AND(T168="",A169&lt;=S168)),0,IF(A169=入力!$B$15+1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),0)</f>
        <v>98997</v>
      </c>
      <c r="H169" s="32">
        <f t="shared" si="42"/>
        <v>98997</v>
      </c>
      <c r="I169" s="32">
        <f t="shared" si="43"/>
        <v>41009</v>
      </c>
      <c r="J169" s="32">
        <f t="shared" si="44"/>
        <v>0</v>
      </c>
      <c r="K169" s="32">
        <f t="shared" si="45"/>
        <v>0</v>
      </c>
      <c r="L169" s="32">
        <f t="shared" si="46"/>
        <v>57988</v>
      </c>
      <c r="M169" s="32">
        <f>IF(AND(AND(T168="",A169&lt;=S168),A169=入力!$B$15),ROUND(MIN(入力!$B$16,MAX(0,C169-L169)),0),0)</f>
        <v>0</v>
      </c>
      <c r="N169" s="32">
        <f t="shared" si="47"/>
        <v>19626507</v>
      </c>
      <c r="O169" s="32">
        <f t="shared" si="48"/>
        <v>6669975</v>
      </c>
      <c r="P169" s="34" t="str">
        <f>IF(NOT(AND(T168="",A169&lt;=S168)),"",IF(A169=入力!$B$15+1,"繰上返済後再計算","")&amp;IF(AND(入力!$B$13="有効",A169&gt;1,MOD(A169-1,60)=0),IF(A169=入力!$B$15+1,"・","")&amp;"5年見直し","")&amp;IF(AND(A169=入力!$B$11,A169&gt;1),IF(OR(A169=入力!$B$15+1,AND(入力!$B$13="有効",A169&gt;1,MOD(A169-1,60)=0)),"・","")&amp;"金利変更","")&amp;IF(AND(OR(AND(入力!$B$13="有効",A169&gt;1,MOD(A169-1,60)=0),AND(A169=入力!$B$11,A169&gt;1)),入力!$B$14="有効",IF(E169=0,ROUND(C169/MAX(1,S168-A169+1),0),ROUND(-PMT(E169/12,MAX(1,S168-A169+1),C169),0))&gt;ROUND(G168*1.25,0),NOT(A169=入力!$B$15+1)),"・上限適用",""))</f>
        <v/>
      </c>
      <c r="Q169" s="35" t="str">
        <f>IF(AND(T168="",A169&lt;=S168),入力!$B$13,"")</f>
        <v>有効</v>
      </c>
      <c r="R169" s="32" t="str">
        <f>IF(AND(AND(T168="",A169&lt;=S168),OR(AND(入力!$B$13="有効",A169&gt;1,MOD(A169-1,60)=0),AND(A169=入力!$B$11,A169&gt;1)),入力!$B$14="有効"),ROUND(G168*1.25,0),"")</f>
        <v/>
      </c>
      <c r="S169" s="36">
        <f t="shared" si="49"/>
        <v>420</v>
      </c>
      <c r="T169" s="35" t="str">
        <f t="shared" si="50"/>
        <v/>
      </c>
      <c r="U169" s="3">
        <f t="shared" si="34"/>
        <v>0</v>
      </c>
      <c r="V169" s="3">
        <f t="shared" si="35"/>
        <v>0</v>
      </c>
      <c r="W169" s="3">
        <f t="shared" si="36"/>
        <v>0</v>
      </c>
      <c r="X169" s="3">
        <f t="shared" si="37"/>
        <v>0</v>
      </c>
      <c r="Y169" s="3">
        <f>0</f>
        <v>0</v>
      </c>
      <c r="Z169" s="3">
        <f t="shared" si="38"/>
        <v>0</v>
      </c>
      <c r="AA169">
        <f>ROUND(IF(A169=入力!$B$15+1,IF(E169=0,ROUND(C169/MAX(1,S168-A169+1),0),ROUND(-PMT(E169/12,MAX(1,S168-A169+1)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,0)</f>
        <v>98997</v>
      </c>
    </row>
    <row r="170" spans="1:27">
      <c r="A170" s="30">
        <f>165</f>
        <v>165</v>
      </c>
      <c r="B170" s="31">
        <f>EDATE(入力!$B$6,A170-1)</f>
        <v>51227</v>
      </c>
      <c r="C170" s="32">
        <f t="shared" si="39"/>
        <v>19626507</v>
      </c>
      <c r="D170" s="32">
        <f t="shared" si="40"/>
        <v>0</v>
      </c>
      <c r="E170" s="33">
        <f>IF(AND(T169="",A170&lt;=S169),IF(A170&lt;入力!$B$11,入力!$B$10,入力!$B$12),0)</f>
        <v>2.5000000000000001E-2</v>
      </c>
      <c r="F170" s="32">
        <f t="shared" si="41"/>
        <v>40889</v>
      </c>
      <c r="G170" s="32">
        <f>ROUND(IF(NOT(AND(T169="",A170&lt;=S169)),0,IF(A170=入力!$B$15+1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),0)</f>
        <v>98997</v>
      </c>
      <c r="H170" s="32">
        <f t="shared" si="42"/>
        <v>98997</v>
      </c>
      <c r="I170" s="32">
        <f t="shared" si="43"/>
        <v>40889</v>
      </c>
      <c r="J170" s="32">
        <f t="shared" si="44"/>
        <v>0</v>
      </c>
      <c r="K170" s="32">
        <f t="shared" si="45"/>
        <v>0</v>
      </c>
      <c r="L170" s="32">
        <f t="shared" si="46"/>
        <v>58108</v>
      </c>
      <c r="M170" s="32">
        <f>IF(AND(AND(T169="",A170&lt;=S169),A170=入力!$B$15),ROUND(MIN(入力!$B$16,MAX(0,C170-L170)),0),0)</f>
        <v>0</v>
      </c>
      <c r="N170" s="32">
        <f t="shared" si="47"/>
        <v>19568399</v>
      </c>
      <c r="O170" s="32">
        <f t="shared" si="48"/>
        <v>6710864</v>
      </c>
      <c r="P170" s="34" t="str">
        <f>IF(NOT(AND(T169="",A170&lt;=S169)),"",IF(A170=入力!$B$15+1,"繰上返済後再計算","")&amp;IF(AND(入力!$B$13="有効",A170&gt;1,MOD(A170-1,60)=0),IF(A170=入力!$B$15+1,"・","")&amp;"5年見直し","")&amp;IF(AND(A170=入力!$B$11,A170&gt;1),IF(OR(A170=入力!$B$15+1,AND(入力!$B$13="有効",A170&gt;1,MOD(A170-1,60)=0)),"・","")&amp;"金利変更","")&amp;IF(AND(OR(AND(入力!$B$13="有効",A170&gt;1,MOD(A170-1,60)=0),AND(A170=入力!$B$11,A170&gt;1)),入力!$B$14="有効",IF(E170=0,ROUND(C170/MAX(1,S169-A170+1),0),ROUND(-PMT(E170/12,MAX(1,S169-A170+1),C170),0))&gt;ROUND(G169*1.25,0),NOT(A170=入力!$B$15+1)),"・上限適用",""))</f>
        <v/>
      </c>
      <c r="Q170" s="35" t="str">
        <f>IF(AND(T169="",A170&lt;=S169),入力!$B$13,"")</f>
        <v>有効</v>
      </c>
      <c r="R170" s="32" t="str">
        <f>IF(AND(AND(T169="",A170&lt;=S169),OR(AND(入力!$B$13="有効",A170&gt;1,MOD(A170-1,60)=0),AND(A170=入力!$B$11,A170&gt;1)),入力!$B$14="有効"),ROUND(G169*1.25,0),"")</f>
        <v/>
      </c>
      <c r="S170" s="36">
        <f t="shared" si="49"/>
        <v>420</v>
      </c>
      <c r="T170" s="35" t="str">
        <f t="shared" si="50"/>
        <v/>
      </c>
      <c r="U170" s="3">
        <f t="shared" si="34"/>
        <v>0</v>
      </c>
      <c r="V170" s="3">
        <f t="shared" si="35"/>
        <v>0</v>
      </c>
      <c r="W170" s="3">
        <f t="shared" si="36"/>
        <v>0</v>
      </c>
      <c r="X170" s="3">
        <f t="shared" si="37"/>
        <v>0</v>
      </c>
      <c r="Y170" s="3">
        <f>0</f>
        <v>0</v>
      </c>
      <c r="Z170" s="3">
        <f t="shared" si="38"/>
        <v>0</v>
      </c>
      <c r="AA170">
        <f>ROUND(IF(A170=入力!$B$15+1,IF(E170=0,ROUND(C170/MAX(1,S169-A170+1),0),ROUND(-PMT(E170/12,MAX(1,S169-A170+1)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,0)</f>
        <v>98997</v>
      </c>
    </row>
    <row r="171" spans="1:27">
      <c r="A171" s="30">
        <f>166</f>
        <v>166</v>
      </c>
      <c r="B171" s="31">
        <f>EDATE(入力!$B$6,A171-1)</f>
        <v>51257</v>
      </c>
      <c r="C171" s="32">
        <f t="shared" si="39"/>
        <v>19568399</v>
      </c>
      <c r="D171" s="32">
        <f t="shared" si="40"/>
        <v>0</v>
      </c>
      <c r="E171" s="33">
        <f>IF(AND(T170="",A171&lt;=S170),IF(A171&lt;入力!$B$11,入力!$B$10,入力!$B$12),0)</f>
        <v>2.5000000000000001E-2</v>
      </c>
      <c r="F171" s="32">
        <f t="shared" si="41"/>
        <v>40767</v>
      </c>
      <c r="G171" s="32">
        <f>ROUND(IF(NOT(AND(T170="",A171&lt;=S170)),0,IF(A171=入力!$B$15+1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),0)</f>
        <v>98997</v>
      </c>
      <c r="H171" s="32">
        <f t="shared" si="42"/>
        <v>98997</v>
      </c>
      <c r="I171" s="32">
        <f t="shared" si="43"/>
        <v>40767</v>
      </c>
      <c r="J171" s="32">
        <f t="shared" si="44"/>
        <v>0</v>
      </c>
      <c r="K171" s="32">
        <f t="shared" si="45"/>
        <v>0</v>
      </c>
      <c r="L171" s="32">
        <f t="shared" si="46"/>
        <v>58230</v>
      </c>
      <c r="M171" s="32">
        <f>IF(AND(AND(T170="",A171&lt;=S170),A171=入力!$B$15),ROUND(MIN(入力!$B$16,MAX(0,C171-L171)),0),0)</f>
        <v>0</v>
      </c>
      <c r="N171" s="32">
        <f t="shared" si="47"/>
        <v>19510169</v>
      </c>
      <c r="O171" s="32">
        <f t="shared" si="48"/>
        <v>6751631</v>
      </c>
      <c r="P171" s="34" t="str">
        <f>IF(NOT(AND(T170="",A171&lt;=S170)),"",IF(A171=入力!$B$15+1,"繰上返済後再計算","")&amp;IF(AND(入力!$B$13="有効",A171&gt;1,MOD(A171-1,60)=0),IF(A171=入力!$B$15+1,"・","")&amp;"5年見直し","")&amp;IF(AND(A171=入力!$B$11,A171&gt;1),IF(OR(A171=入力!$B$15+1,AND(入力!$B$13="有効",A171&gt;1,MOD(A171-1,60)=0)),"・","")&amp;"金利変更","")&amp;IF(AND(OR(AND(入力!$B$13="有効",A171&gt;1,MOD(A171-1,60)=0),AND(A171=入力!$B$11,A171&gt;1)),入力!$B$14="有効",IF(E171=0,ROUND(C171/MAX(1,S170-A171+1),0),ROUND(-PMT(E171/12,MAX(1,S170-A171+1),C171),0))&gt;ROUND(G170*1.25,0),NOT(A171=入力!$B$15+1)),"・上限適用",""))</f>
        <v/>
      </c>
      <c r="Q171" s="35" t="str">
        <f>IF(AND(T170="",A171&lt;=S170),入力!$B$13,"")</f>
        <v>有効</v>
      </c>
      <c r="R171" s="32" t="str">
        <f>IF(AND(AND(T170="",A171&lt;=S170),OR(AND(入力!$B$13="有効",A171&gt;1,MOD(A171-1,60)=0),AND(A171=入力!$B$11,A171&gt;1)),入力!$B$14="有効"),ROUND(G170*1.25,0),"")</f>
        <v/>
      </c>
      <c r="S171" s="36">
        <f t="shared" si="49"/>
        <v>420</v>
      </c>
      <c r="T171" s="35" t="str">
        <f t="shared" si="50"/>
        <v/>
      </c>
      <c r="U171" s="3">
        <f t="shared" si="34"/>
        <v>0</v>
      </c>
      <c r="V171" s="3">
        <f t="shared" si="35"/>
        <v>0</v>
      </c>
      <c r="W171" s="3">
        <f t="shared" si="36"/>
        <v>0</v>
      </c>
      <c r="X171" s="3">
        <f t="shared" si="37"/>
        <v>0</v>
      </c>
      <c r="Y171" s="3">
        <f>0</f>
        <v>0</v>
      </c>
      <c r="Z171" s="3">
        <f t="shared" si="38"/>
        <v>0</v>
      </c>
      <c r="AA171">
        <f>ROUND(IF(A171=入力!$B$15+1,IF(E171=0,ROUND(C171/MAX(1,S170-A171+1),0),ROUND(-PMT(E171/12,MAX(1,S170-A171+1)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,0)</f>
        <v>98997</v>
      </c>
    </row>
    <row r="172" spans="1:27">
      <c r="A172" s="30">
        <f>167</f>
        <v>167</v>
      </c>
      <c r="B172" s="31">
        <f>EDATE(入力!$B$6,A172-1)</f>
        <v>51288</v>
      </c>
      <c r="C172" s="32">
        <f t="shared" si="39"/>
        <v>19510169</v>
      </c>
      <c r="D172" s="32">
        <f t="shared" si="40"/>
        <v>0</v>
      </c>
      <c r="E172" s="33">
        <f>IF(AND(T171="",A172&lt;=S171),IF(A172&lt;入力!$B$11,入力!$B$10,入力!$B$12),0)</f>
        <v>2.5000000000000001E-2</v>
      </c>
      <c r="F172" s="32">
        <f t="shared" si="41"/>
        <v>40646</v>
      </c>
      <c r="G172" s="32">
        <f>ROUND(IF(NOT(AND(T171="",A172&lt;=S171)),0,IF(A172=入力!$B$15+1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),0)</f>
        <v>98997</v>
      </c>
      <c r="H172" s="32">
        <f t="shared" si="42"/>
        <v>98997</v>
      </c>
      <c r="I172" s="32">
        <f t="shared" si="43"/>
        <v>40646</v>
      </c>
      <c r="J172" s="32">
        <f t="shared" si="44"/>
        <v>0</v>
      </c>
      <c r="K172" s="32">
        <f t="shared" si="45"/>
        <v>0</v>
      </c>
      <c r="L172" s="32">
        <f t="shared" si="46"/>
        <v>58351</v>
      </c>
      <c r="M172" s="32">
        <f>IF(AND(AND(T171="",A172&lt;=S171),A172=入力!$B$15),ROUND(MIN(入力!$B$16,MAX(0,C172-L172)),0),0)</f>
        <v>0</v>
      </c>
      <c r="N172" s="32">
        <f t="shared" si="47"/>
        <v>19451818</v>
      </c>
      <c r="O172" s="32">
        <f t="shared" si="48"/>
        <v>6792277</v>
      </c>
      <c r="P172" s="34" t="str">
        <f>IF(NOT(AND(T171="",A172&lt;=S171)),"",IF(A172=入力!$B$15+1,"繰上返済後再計算","")&amp;IF(AND(入力!$B$13="有効",A172&gt;1,MOD(A172-1,60)=0),IF(A172=入力!$B$15+1,"・","")&amp;"5年見直し","")&amp;IF(AND(A172=入力!$B$11,A172&gt;1),IF(OR(A172=入力!$B$15+1,AND(入力!$B$13="有効",A172&gt;1,MOD(A172-1,60)=0)),"・","")&amp;"金利変更","")&amp;IF(AND(OR(AND(入力!$B$13="有効",A172&gt;1,MOD(A172-1,60)=0),AND(A172=入力!$B$11,A172&gt;1)),入力!$B$14="有効",IF(E172=0,ROUND(C172/MAX(1,S171-A172+1),0),ROUND(-PMT(E172/12,MAX(1,S171-A172+1),C172),0))&gt;ROUND(G171*1.25,0),NOT(A172=入力!$B$15+1)),"・上限適用",""))</f>
        <v/>
      </c>
      <c r="Q172" s="35" t="str">
        <f>IF(AND(T171="",A172&lt;=S171),入力!$B$13,"")</f>
        <v>有効</v>
      </c>
      <c r="R172" s="32" t="str">
        <f>IF(AND(AND(T171="",A172&lt;=S171),OR(AND(入力!$B$13="有効",A172&gt;1,MOD(A172-1,60)=0),AND(A172=入力!$B$11,A172&gt;1)),入力!$B$14="有効"),ROUND(G171*1.25,0),"")</f>
        <v/>
      </c>
      <c r="S172" s="36">
        <f t="shared" si="49"/>
        <v>420</v>
      </c>
      <c r="T172" s="35" t="str">
        <f t="shared" si="50"/>
        <v/>
      </c>
      <c r="U172" s="3">
        <f t="shared" si="34"/>
        <v>0</v>
      </c>
      <c r="V172" s="3">
        <f t="shared" si="35"/>
        <v>0</v>
      </c>
      <c r="W172" s="3">
        <f t="shared" si="36"/>
        <v>0</v>
      </c>
      <c r="X172" s="3">
        <f t="shared" si="37"/>
        <v>0</v>
      </c>
      <c r="Y172" s="3">
        <f>0</f>
        <v>0</v>
      </c>
      <c r="Z172" s="3">
        <f t="shared" si="38"/>
        <v>0</v>
      </c>
      <c r="AA172">
        <f>ROUND(IF(A172=入力!$B$15+1,IF(E172=0,ROUND(C172/MAX(1,S171-A172+1),0),ROUND(-PMT(E172/12,MAX(1,S171-A172+1)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,0)</f>
        <v>98997</v>
      </c>
    </row>
    <row r="173" spans="1:27">
      <c r="A173" s="30">
        <f>168</f>
        <v>168</v>
      </c>
      <c r="B173" s="31">
        <f>EDATE(入力!$B$6,A173-1)</f>
        <v>51318</v>
      </c>
      <c r="C173" s="32">
        <f t="shared" si="39"/>
        <v>19451818</v>
      </c>
      <c r="D173" s="32">
        <f t="shared" si="40"/>
        <v>0</v>
      </c>
      <c r="E173" s="33">
        <f>IF(AND(T172="",A173&lt;=S172),IF(A173&lt;入力!$B$11,入力!$B$10,入力!$B$12),0)</f>
        <v>2.5000000000000001E-2</v>
      </c>
      <c r="F173" s="32">
        <f t="shared" si="41"/>
        <v>40525</v>
      </c>
      <c r="G173" s="32">
        <f>ROUND(IF(NOT(AND(T172="",A173&lt;=S172)),0,IF(A173=入力!$B$15+1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),0)</f>
        <v>98997</v>
      </c>
      <c r="H173" s="32">
        <f t="shared" si="42"/>
        <v>98997</v>
      </c>
      <c r="I173" s="32">
        <f t="shared" si="43"/>
        <v>40525</v>
      </c>
      <c r="J173" s="32">
        <f t="shared" si="44"/>
        <v>0</v>
      </c>
      <c r="K173" s="32">
        <f t="shared" si="45"/>
        <v>0</v>
      </c>
      <c r="L173" s="32">
        <f t="shared" si="46"/>
        <v>58472</v>
      </c>
      <c r="M173" s="32">
        <f>IF(AND(AND(T172="",A173&lt;=S172),A173=入力!$B$15),ROUND(MIN(入力!$B$16,MAX(0,C173-L173)),0),0)</f>
        <v>0</v>
      </c>
      <c r="N173" s="32">
        <f t="shared" si="47"/>
        <v>19393346</v>
      </c>
      <c r="O173" s="32">
        <f t="shared" si="48"/>
        <v>6832802</v>
      </c>
      <c r="P173" s="34" t="str">
        <f>IF(NOT(AND(T172="",A173&lt;=S172)),"",IF(A173=入力!$B$15+1,"繰上返済後再計算","")&amp;IF(AND(入力!$B$13="有効",A173&gt;1,MOD(A173-1,60)=0),IF(A173=入力!$B$15+1,"・","")&amp;"5年見直し","")&amp;IF(AND(A173=入力!$B$11,A173&gt;1),IF(OR(A173=入力!$B$15+1,AND(入力!$B$13="有効",A173&gt;1,MOD(A173-1,60)=0)),"・","")&amp;"金利変更","")&amp;IF(AND(OR(AND(入力!$B$13="有効",A173&gt;1,MOD(A173-1,60)=0),AND(A173=入力!$B$11,A173&gt;1)),入力!$B$14="有効",IF(E173=0,ROUND(C173/MAX(1,S172-A173+1),0),ROUND(-PMT(E173/12,MAX(1,S172-A173+1),C173),0))&gt;ROUND(G172*1.25,0),NOT(A173=入力!$B$15+1)),"・上限適用",""))</f>
        <v/>
      </c>
      <c r="Q173" s="35" t="str">
        <f>IF(AND(T172="",A173&lt;=S172),入力!$B$13,"")</f>
        <v>有効</v>
      </c>
      <c r="R173" s="32" t="str">
        <f>IF(AND(AND(T172="",A173&lt;=S172),OR(AND(入力!$B$13="有効",A173&gt;1,MOD(A173-1,60)=0),AND(A173=入力!$B$11,A173&gt;1)),入力!$B$14="有効"),ROUND(G172*1.25,0),"")</f>
        <v/>
      </c>
      <c r="S173" s="36">
        <f t="shared" si="49"/>
        <v>420</v>
      </c>
      <c r="T173" s="35" t="str">
        <f t="shared" si="50"/>
        <v/>
      </c>
      <c r="U173" s="3">
        <f t="shared" si="34"/>
        <v>0</v>
      </c>
      <c r="V173" s="3">
        <f t="shared" si="35"/>
        <v>0</v>
      </c>
      <c r="W173" s="3">
        <f t="shared" si="36"/>
        <v>0</v>
      </c>
      <c r="X173" s="3">
        <f t="shared" si="37"/>
        <v>0</v>
      </c>
      <c r="Y173" s="3">
        <f>0</f>
        <v>0</v>
      </c>
      <c r="Z173" s="3">
        <f t="shared" si="38"/>
        <v>0</v>
      </c>
      <c r="AA173">
        <f>ROUND(IF(A173=入力!$B$15+1,IF(E173=0,ROUND(C173/MAX(1,S172-A173+1),0),ROUND(-PMT(E173/12,MAX(1,S172-A173+1)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,0)</f>
        <v>98997</v>
      </c>
    </row>
    <row r="174" spans="1:27">
      <c r="A174" s="30">
        <f>169</f>
        <v>169</v>
      </c>
      <c r="B174" s="31">
        <f>EDATE(入力!$B$6,A174-1)</f>
        <v>51349</v>
      </c>
      <c r="C174" s="32">
        <f t="shared" si="39"/>
        <v>19393346</v>
      </c>
      <c r="D174" s="32">
        <f t="shared" si="40"/>
        <v>0</v>
      </c>
      <c r="E174" s="33">
        <f>IF(AND(T173="",A174&lt;=S173),IF(A174&lt;入力!$B$11,入力!$B$10,入力!$B$12),0)</f>
        <v>2.5000000000000001E-2</v>
      </c>
      <c r="F174" s="32">
        <f t="shared" si="41"/>
        <v>40403</v>
      </c>
      <c r="G174" s="32">
        <f>ROUND(IF(NOT(AND(T173="",A174&lt;=S173)),0,IF(A174=入力!$B$15+1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),0)</f>
        <v>98997</v>
      </c>
      <c r="H174" s="32">
        <f t="shared" si="42"/>
        <v>98997</v>
      </c>
      <c r="I174" s="32">
        <f t="shared" si="43"/>
        <v>40403</v>
      </c>
      <c r="J174" s="32">
        <f t="shared" si="44"/>
        <v>0</v>
      </c>
      <c r="K174" s="32">
        <f t="shared" si="45"/>
        <v>0</v>
      </c>
      <c r="L174" s="32">
        <f t="shared" si="46"/>
        <v>58594</v>
      </c>
      <c r="M174" s="32">
        <f>IF(AND(AND(T173="",A174&lt;=S173),A174=入力!$B$15),ROUND(MIN(入力!$B$16,MAX(0,C174-L174)),0),0)</f>
        <v>0</v>
      </c>
      <c r="N174" s="32">
        <f t="shared" si="47"/>
        <v>19334752</v>
      </c>
      <c r="O174" s="32">
        <f t="shared" si="48"/>
        <v>6873205</v>
      </c>
      <c r="P174" s="34" t="str">
        <f>IF(NOT(AND(T173="",A174&lt;=S173)),"",IF(A174=入力!$B$15+1,"繰上返済後再計算","")&amp;IF(AND(入力!$B$13="有効",A174&gt;1,MOD(A174-1,60)=0),IF(A174=入力!$B$15+1,"・","")&amp;"5年見直し","")&amp;IF(AND(A174=入力!$B$11,A174&gt;1),IF(OR(A174=入力!$B$15+1,AND(入力!$B$13="有効",A174&gt;1,MOD(A174-1,60)=0)),"・","")&amp;"金利変更","")&amp;IF(AND(OR(AND(入力!$B$13="有効",A174&gt;1,MOD(A174-1,60)=0),AND(A174=入力!$B$11,A174&gt;1)),入力!$B$14="有効",IF(E174=0,ROUND(C174/MAX(1,S173-A174+1),0),ROUND(-PMT(E174/12,MAX(1,S173-A174+1),C174),0))&gt;ROUND(G173*1.25,0),NOT(A174=入力!$B$15+1)),"・上限適用",""))</f>
        <v/>
      </c>
      <c r="Q174" s="35" t="str">
        <f>IF(AND(T173="",A174&lt;=S173),入力!$B$13,"")</f>
        <v>有効</v>
      </c>
      <c r="R174" s="32" t="str">
        <f>IF(AND(AND(T173="",A174&lt;=S173),OR(AND(入力!$B$13="有効",A174&gt;1,MOD(A174-1,60)=0),AND(A174=入力!$B$11,A174&gt;1)),入力!$B$14="有効"),ROUND(G173*1.25,0),"")</f>
        <v/>
      </c>
      <c r="S174" s="36">
        <f t="shared" si="49"/>
        <v>420</v>
      </c>
      <c r="T174" s="35" t="str">
        <f t="shared" si="50"/>
        <v/>
      </c>
      <c r="U174" s="3">
        <f t="shared" si="34"/>
        <v>0</v>
      </c>
      <c r="V174" s="3">
        <f t="shared" si="35"/>
        <v>0</v>
      </c>
      <c r="W174" s="3">
        <f t="shared" si="36"/>
        <v>0</v>
      </c>
      <c r="X174" s="3">
        <f t="shared" si="37"/>
        <v>0</v>
      </c>
      <c r="Y174" s="3">
        <f>0</f>
        <v>0</v>
      </c>
      <c r="Z174" s="3">
        <f t="shared" si="38"/>
        <v>0</v>
      </c>
      <c r="AA174">
        <f>ROUND(IF(A174=入力!$B$15+1,IF(E174=0,ROUND(C174/MAX(1,S173-A174+1),0),ROUND(-PMT(E174/12,MAX(1,S173-A174+1)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,0)</f>
        <v>98997</v>
      </c>
    </row>
    <row r="175" spans="1:27">
      <c r="A175" s="30">
        <f>170</f>
        <v>170</v>
      </c>
      <c r="B175" s="31">
        <f>EDATE(入力!$B$6,A175-1)</f>
        <v>51380</v>
      </c>
      <c r="C175" s="32">
        <f t="shared" si="39"/>
        <v>19334752</v>
      </c>
      <c r="D175" s="32">
        <f t="shared" si="40"/>
        <v>0</v>
      </c>
      <c r="E175" s="33">
        <f>IF(AND(T174="",A175&lt;=S174),IF(A175&lt;入力!$B$11,入力!$B$10,入力!$B$12),0)</f>
        <v>2.5000000000000001E-2</v>
      </c>
      <c r="F175" s="32">
        <f t="shared" si="41"/>
        <v>40281</v>
      </c>
      <c r="G175" s="32">
        <f>ROUND(IF(NOT(AND(T174="",A175&lt;=S174)),0,IF(A175=入力!$B$15+1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),0)</f>
        <v>98997</v>
      </c>
      <c r="H175" s="32">
        <f t="shared" si="42"/>
        <v>98997</v>
      </c>
      <c r="I175" s="32">
        <f t="shared" si="43"/>
        <v>40281</v>
      </c>
      <c r="J175" s="32">
        <f t="shared" si="44"/>
        <v>0</v>
      </c>
      <c r="K175" s="32">
        <f t="shared" si="45"/>
        <v>0</v>
      </c>
      <c r="L175" s="32">
        <f t="shared" si="46"/>
        <v>58716</v>
      </c>
      <c r="M175" s="32">
        <f>IF(AND(AND(T174="",A175&lt;=S174),A175=入力!$B$15),ROUND(MIN(入力!$B$16,MAX(0,C175-L175)),0),0)</f>
        <v>0</v>
      </c>
      <c r="N175" s="32">
        <f t="shared" si="47"/>
        <v>19276036</v>
      </c>
      <c r="O175" s="32">
        <f t="shared" si="48"/>
        <v>6913486</v>
      </c>
      <c r="P175" s="34" t="str">
        <f>IF(NOT(AND(T174="",A175&lt;=S174)),"",IF(A175=入力!$B$15+1,"繰上返済後再計算","")&amp;IF(AND(入力!$B$13="有効",A175&gt;1,MOD(A175-1,60)=0),IF(A175=入力!$B$15+1,"・","")&amp;"5年見直し","")&amp;IF(AND(A175=入力!$B$11,A175&gt;1),IF(OR(A175=入力!$B$15+1,AND(入力!$B$13="有効",A175&gt;1,MOD(A175-1,60)=0)),"・","")&amp;"金利変更","")&amp;IF(AND(OR(AND(入力!$B$13="有効",A175&gt;1,MOD(A175-1,60)=0),AND(A175=入力!$B$11,A175&gt;1)),入力!$B$14="有効",IF(E175=0,ROUND(C175/MAX(1,S174-A175+1),0),ROUND(-PMT(E175/12,MAX(1,S174-A175+1),C175),0))&gt;ROUND(G174*1.25,0),NOT(A175=入力!$B$15+1)),"・上限適用",""))</f>
        <v/>
      </c>
      <c r="Q175" s="35" t="str">
        <f>IF(AND(T174="",A175&lt;=S174),入力!$B$13,"")</f>
        <v>有効</v>
      </c>
      <c r="R175" s="32" t="str">
        <f>IF(AND(AND(T174="",A175&lt;=S174),OR(AND(入力!$B$13="有効",A175&gt;1,MOD(A175-1,60)=0),AND(A175=入力!$B$11,A175&gt;1)),入力!$B$14="有効"),ROUND(G174*1.25,0),"")</f>
        <v/>
      </c>
      <c r="S175" s="36">
        <f t="shared" si="49"/>
        <v>420</v>
      </c>
      <c r="T175" s="35" t="str">
        <f t="shared" si="50"/>
        <v/>
      </c>
      <c r="U175" s="3">
        <f t="shared" si="34"/>
        <v>0</v>
      </c>
      <c r="V175" s="3">
        <f t="shared" si="35"/>
        <v>0</v>
      </c>
      <c r="W175" s="3">
        <f t="shared" si="36"/>
        <v>0</v>
      </c>
      <c r="X175" s="3">
        <f t="shared" si="37"/>
        <v>0</v>
      </c>
      <c r="Y175" s="3">
        <f>0</f>
        <v>0</v>
      </c>
      <c r="Z175" s="3">
        <f t="shared" si="38"/>
        <v>0</v>
      </c>
      <c r="AA175">
        <f>ROUND(IF(A175=入力!$B$15+1,IF(E175=0,ROUND(C175/MAX(1,S174-A175+1),0),ROUND(-PMT(E175/12,MAX(1,S174-A175+1)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,0)</f>
        <v>98997</v>
      </c>
    </row>
    <row r="176" spans="1:27">
      <c r="A176" s="30">
        <f>171</f>
        <v>171</v>
      </c>
      <c r="B176" s="31">
        <f>EDATE(入力!$B$6,A176-1)</f>
        <v>51410</v>
      </c>
      <c r="C176" s="32">
        <f t="shared" si="39"/>
        <v>19276036</v>
      </c>
      <c r="D176" s="32">
        <f t="shared" si="40"/>
        <v>0</v>
      </c>
      <c r="E176" s="33">
        <f>IF(AND(T175="",A176&lt;=S175),IF(A176&lt;入力!$B$11,入力!$B$10,入力!$B$12),0)</f>
        <v>2.5000000000000001E-2</v>
      </c>
      <c r="F176" s="32">
        <f t="shared" si="41"/>
        <v>40158</v>
      </c>
      <c r="G176" s="32">
        <f>ROUND(IF(NOT(AND(T175="",A176&lt;=S175)),0,IF(A176=入力!$B$15+1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),0)</f>
        <v>98997</v>
      </c>
      <c r="H176" s="32">
        <f t="shared" si="42"/>
        <v>98997</v>
      </c>
      <c r="I176" s="32">
        <f t="shared" si="43"/>
        <v>40158</v>
      </c>
      <c r="J176" s="32">
        <f t="shared" si="44"/>
        <v>0</v>
      </c>
      <c r="K176" s="32">
        <f t="shared" si="45"/>
        <v>0</v>
      </c>
      <c r="L176" s="32">
        <f t="shared" si="46"/>
        <v>58839</v>
      </c>
      <c r="M176" s="32">
        <f>IF(AND(AND(T175="",A176&lt;=S175),A176=入力!$B$15),ROUND(MIN(入力!$B$16,MAX(0,C176-L176)),0),0)</f>
        <v>0</v>
      </c>
      <c r="N176" s="32">
        <f t="shared" si="47"/>
        <v>19217197</v>
      </c>
      <c r="O176" s="32">
        <f t="shared" si="48"/>
        <v>6953644</v>
      </c>
      <c r="P176" s="34" t="str">
        <f>IF(NOT(AND(T175="",A176&lt;=S175)),"",IF(A176=入力!$B$15+1,"繰上返済後再計算","")&amp;IF(AND(入力!$B$13="有効",A176&gt;1,MOD(A176-1,60)=0),IF(A176=入力!$B$15+1,"・","")&amp;"5年見直し","")&amp;IF(AND(A176=入力!$B$11,A176&gt;1),IF(OR(A176=入力!$B$15+1,AND(入力!$B$13="有効",A176&gt;1,MOD(A176-1,60)=0)),"・","")&amp;"金利変更","")&amp;IF(AND(OR(AND(入力!$B$13="有効",A176&gt;1,MOD(A176-1,60)=0),AND(A176=入力!$B$11,A176&gt;1)),入力!$B$14="有効",IF(E176=0,ROUND(C176/MAX(1,S175-A176+1),0),ROUND(-PMT(E176/12,MAX(1,S175-A176+1),C176),0))&gt;ROUND(G175*1.25,0),NOT(A176=入力!$B$15+1)),"・上限適用",""))</f>
        <v/>
      </c>
      <c r="Q176" s="35" t="str">
        <f>IF(AND(T175="",A176&lt;=S175),入力!$B$13,"")</f>
        <v>有効</v>
      </c>
      <c r="R176" s="32" t="str">
        <f>IF(AND(AND(T175="",A176&lt;=S175),OR(AND(入力!$B$13="有効",A176&gt;1,MOD(A176-1,60)=0),AND(A176=入力!$B$11,A176&gt;1)),入力!$B$14="有効"),ROUND(G175*1.25,0),"")</f>
        <v/>
      </c>
      <c r="S176" s="36">
        <f t="shared" si="49"/>
        <v>420</v>
      </c>
      <c r="T176" s="35" t="str">
        <f t="shared" si="50"/>
        <v/>
      </c>
      <c r="U176" s="3">
        <f t="shared" si="34"/>
        <v>0</v>
      </c>
      <c r="V176" s="3">
        <f t="shared" si="35"/>
        <v>0</v>
      </c>
      <c r="W176" s="3">
        <f t="shared" si="36"/>
        <v>0</v>
      </c>
      <c r="X176" s="3">
        <f t="shared" si="37"/>
        <v>0</v>
      </c>
      <c r="Y176" s="3">
        <f>0</f>
        <v>0</v>
      </c>
      <c r="Z176" s="3">
        <f t="shared" si="38"/>
        <v>0</v>
      </c>
      <c r="AA176">
        <f>ROUND(IF(A176=入力!$B$15+1,IF(E176=0,ROUND(C176/MAX(1,S175-A176+1),0),ROUND(-PMT(E176/12,MAX(1,S175-A176+1)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,0)</f>
        <v>98997</v>
      </c>
    </row>
    <row r="177" spans="1:27">
      <c r="A177" s="30">
        <f>172</f>
        <v>172</v>
      </c>
      <c r="B177" s="31">
        <f>EDATE(入力!$B$6,A177-1)</f>
        <v>51441</v>
      </c>
      <c r="C177" s="32">
        <f t="shared" si="39"/>
        <v>19217197</v>
      </c>
      <c r="D177" s="32">
        <f t="shared" si="40"/>
        <v>0</v>
      </c>
      <c r="E177" s="33">
        <f>IF(AND(T176="",A177&lt;=S176),IF(A177&lt;入力!$B$11,入力!$B$10,入力!$B$12),0)</f>
        <v>2.5000000000000001E-2</v>
      </c>
      <c r="F177" s="32">
        <f t="shared" si="41"/>
        <v>40036</v>
      </c>
      <c r="G177" s="32">
        <f>ROUND(IF(NOT(AND(T176="",A177&lt;=S176)),0,IF(A177=入力!$B$15+1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),0)</f>
        <v>98997</v>
      </c>
      <c r="H177" s="32">
        <f t="shared" si="42"/>
        <v>98997</v>
      </c>
      <c r="I177" s="32">
        <f t="shared" si="43"/>
        <v>40036</v>
      </c>
      <c r="J177" s="32">
        <f t="shared" si="44"/>
        <v>0</v>
      </c>
      <c r="K177" s="32">
        <f t="shared" si="45"/>
        <v>0</v>
      </c>
      <c r="L177" s="32">
        <f t="shared" si="46"/>
        <v>58961</v>
      </c>
      <c r="M177" s="32">
        <f>IF(AND(AND(T176="",A177&lt;=S176),A177=入力!$B$15),ROUND(MIN(入力!$B$16,MAX(0,C177-L177)),0),0)</f>
        <v>0</v>
      </c>
      <c r="N177" s="32">
        <f t="shared" si="47"/>
        <v>19158236</v>
      </c>
      <c r="O177" s="32">
        <f t="shared" si="48"/>
        <v>6993680</v>
      </c>
      <c r="P177" s="34" t="str">
        <f>IF(NOT(AND(T176="",A177&lt;=S176)),"",IF(A177=入力!$B$15+1,"繰上返済後再計算","")&amp;IF(AND(入力!$B$13="有効",A177&gt;1,MOD(A177-1,60)=0),IF(A177=入力!$B$15+1,"・","")&amp;"5年見直し","")&amp;IF(AND(A177=入力!$B$11,A177&gt;1),IF(OR(A177=入力!$B$15+1,AND(入力!$B$13="有効",A177&gt;1,MOD(A177-1,60)=0)),"・","")&amp;"金利変更","")&amp;IF(AND(OR(AND(入力!$B$13="有効",A177&gt;1,MOD(A177-1,60)=0),AND(A177=入力!$B$11,A177&gt;1)),入力!$B$14="有効",IF(E177=0,ROUND(C177/MAX(1,S176-A177+1),0),ROUND(-PMT(E177/12,MAX(1,S176-A177+1),C177),0))&gt;ROUND(G176*1.25,0),NOT(A177=入力!$B$15+1)),"・上限適用",""))</f>
        <v/>
      </c>
      <c r="Q177" s="35" t="str">
        <f>IF(AND(T176="",A177&lt;=S176),入力!$B$13,"")</f>
        <v>有効</v>
      </c>
      <c r="R177" s="32" t="str">
        <f>IF(AND(AND(T176="",A177&lt;=S176),OR(AND(入力!$B$13="有効",A177&gt;1,MOD(A177-1,60)=0),AND(A177=入力!$B$11,A177&gt;1)),入力!$B$14="有効"),ROUND(G176*1.25,0),"")</f>
        <v/>
      </c>
      <c r="S177" s="36">
        <f t="shared" si="49"/>
        <v>420</v>
      </c>
      <c r="T177" s="35" t="str">
        <f t="shared" si="50"/>
        <v/>
      </c>
      <c r="U177" s="3">
        <f t="shared" si="34"/>
        <v>0</v>
      </c>
      <c r="V177" s="3">
        <f t="shared" si="35"/>
        <v>0</v>
      </c>
      <c r="W177" s="3">
        <f t="shared" si="36"/>
        <v>0</v>
      </c>
      <c r="X177" s="3">
        <f t="shared" si="37"/>
        <v>0</v>
      </c>
      <c r="Y177" s="3">
        <f>0</f>
        <v>0</v>
      </c>
      <c r="Z177" s="3">
        <f t="shared" si="38"/>
        <v>0</v>
      </c>
      <c r="AA177">
        <f>ROUND(IF(A177=入力!$B$15+1,IF(E177=0,ROUND(C177/MAX(1,S176-A177+1),0),ROUND(-PMT(E177/12,MAX(1,S176-A177+1)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,0)</f>
        <v>98997</v>
      </c>
    </row>
    <row r="178" spans="1:27">
      <c r="A178" s="30">
        <f>173</f>
        <v>173</v>
      </c>
      <c r="B178" s="31">
        <f>EDATE(入力!$B$6,A178-1)</f>
        <v>51471</v>
      </c>
      <c r="C178" s="32">
        <f t="shared" si="39"/>
        <v>19158236</v>
      </c>
      <c r="D178" s="32">
        <f t="shared" si="40"/>
        <v>0</v>
      </c>
      <c r="E178" s="33">
        <f>IF(AND(T177="",A178&lt;=S177),IF(A178&lt;入力!$B$11,入力!$B$10,入力!$B$12),0)</f>
        <v>2.5000000000000001E-2</v>
      </c>
      <c r="F178" s="32">
        <f t="shared" si="41"/>
        <v>39913</v>
      </c>
      <c r="G178" s="32">
        <f>ROUND(IF(NOT(AND(T177="",A178&lt;=S177)),0,IF(A178=入力!$B$15+1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),0)</f>
        <v>98997</v>
      </c>
      <c r="H178" s="32">
        <f t="shared" si="42"/>
        <v>98997</v>
      </c>
      <c r="I178" s="32">
        <f t="shared" si="43"/>
        <v>39913</v>
      </c>
      <c r="J178" s="32">
        <f t="shared" si="44"/>
        <v>0</v>
      </c>
      <c r="K178" s="32">
        <f t="shared" si="45"/>
        <v>0</v>
      </c>
      <c r="L178" s="32">
        <f t="shared" si="46"/>
        <v>59084</v>
      </c>
      <c r="M178" s="32">
        <f>IF(AND(AND(T177="",A178&lt;=S177),A178=入力!$B$15),ROUND(MIN(入力!$B$16,MAX(0,C178-L178)),0),0)</f>
        <v>0</v>
      </c>
      <c r="N178" s="32">
        <f t="shared" si="47"/>
        <v>19099152</v>
      </c>
      <c r="O178" s="32">
        <f t="shared" si="48"/>
        <v>7033593</v>
      </c>
      <c r="P178" s="34" t="str">
        <f>IF(NOT(AND(T177="",A178&lt;=S177)),"",IF(A178=入力!$B$15+1,"繰上返済後再計算","")&amp;IF(AND(入力!$B$13="有効",A178&gt;1,MOD(A178-1,60)=0),IF(A178=入力!$B$15+1,"・","")&amp;"5年見直し","")&amp;IF(AND(A178=入力!$B$11,A178&gt;1),IF(OR(A178=入力!$B$15+1,AND(入力!$B$13="有効",A178&gt;1,MOD(A178-1,60)=0)),"・","")&amp;"金利変更","")&amp;IF(AND(OR(AND(入力!$B$13="有効",A178&gt;1,MOD(A178-1,60)=0),AND(A178=入力!$B$11,A178&gt;1)),入力!$B$14="有効",IF(E178=0,ROUND(C178/MAX(1,S177-A178+1),0),ROUND(-PMT(E178/12,MAX(1,S177-A178+1),C178),0))&gt;ROUND(G177*1.25,0),NOT(A178=入力!$B$15+1)),"・上限適用",""))</f>
        <v/>
      </c>
      <c r="Q178" s="35" t="str">
        <f>IF(AND(T177="",A178&lt;=S177),入力!$B$13,"")</f>
        <v>有効</v>
      </c>
      <c r="R178" s="32" t="str">
        <f>IF(AND(AND(T177="",A178&lt;=S177),OR(AND(入力!$B$13="有効",A178&gt;1,MOD(A178-1,60)=0),AND(A178=入力!$B$11,A178&gt;1)),入力!$B$14="有効"),ROUND(G177*1.25,0),"")</f>
        <v/>
      </c>
      <c r="S178" s="36">
        <f t="shared" si="49"/>
        <v>420</v>
      </c>
      <c r="T178" s="35" t="str">
        <f t="shared" si="50"/>
        <v/>
      </c>
      <c r="U178" s="3">
        <f t="shared" si="34"/>
        <v>0</v>
      </c>
      <c r="V178" s="3">
        <f t="shared" si="35"/>
        <v>0</v>
      </c>
      <c r="W178" s="3">
        <f t="shared" si="36"/>
        <v>0</v>
      </c>
      <c r="X178" s="3">
        <f t="shared" si="37"/>
        <v>0</v>
      </c>
      <c r="Y178" s="3">
        <f>0</f>
        <v>0</v>
      </c>
      <c r="Z178" s="3">
        <f t="shared" si="38"/>
        <v>0</v>
      </c>
      <c r="AA178">
        <f>ROUND(IF(A178=入力!$B$15+1,IF(E178=0,ROUND(C178/MAX(1,S177-A178+1),0),ROUND(-PMT(E178/12,MAX(1,S177-A178+1)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,0)</f>
        <v>98997</v>
      </c>
    </row>
    <row r="179" spans="1:27">
      <c r="A179" s="30">
        <f>174</f>
        <v>174</v>
      </c>
      <c r="B179" s="31">
        <f>EDATE(入力!$B$6,A179-1)</f>
        <v>51502</v>
      </c>
      <c r="C179" s="32">
        <f t="shared" si="39"/>
        <v>19099152</v>
      </c>
      <c r="D179" s="32">
        <f t="shared" si="40"/>
        <v>0</v>
      </c>
      <c r="E179" s="33">
        <f>IF(AND(T178="",A179&lt;=S178),IF(A179&lt;入力!$B$11,入力!$B$10,入力!$B$12),0)</f>
        <v>2.5000000000000001E-2</v>
      </c>
      <c r="F179" s="32">
        <f t="shared" si="41"/>
        <v>39790</v>
      </c>
      <c r="G179" s="32">
        <f>ROUND(IF(NOT(AND(T178="",A179&lt;=S178)),0,IF(A179=入力!$B$15+1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),0)</f>
        <v>98997</v>
      </c>
      <c r="H179" s="32">
        <f t="shared" si="42"/>
        <v>98997</v>
      </c>
      <c r="I179" s="32">
        <f t="shared" si="43"/>
        <v>39790</v>
      </c>
      <c r="J179" s="32">
        <f t="shared" si="44"/>
        <v>0</v>
      </c>
      <c r="K179" s="32">
        <f t="shared" si="45"/>
        <v>0</v>
      </c>
      <c r="L179" s="32">
        <f t="shared" si="46"/>
        <v>59207</v>
      </c>
      <c r="M179" s="32">
        <f>IF(AND(AND(T178="",A179&lt;=S178),A179=入力!$B$15),ROUND(MIN(入力!$B$16,MAX(0,C179-L179)),0),0)</f>
        <v>0</v>
      </c>
      <c r="N179" s="32">
        <f t="shared" si="47"/>
        <v>19039945</v>
      </c>
      <c r="O179" s="32">
        <f t="shared" si="48"/>
        <v>7073383</v>
      </c>
      <c r="P179" s="34" t="str">
        <f>IF(NOT(AND(T178="",A179&lt;=S178)),"",IF(A179=入力!$B$15+1,"繰上返済後再計算","")&amp;IF(AND(入力!$B$13="有効",A179&gt;1,MOD(A179-1,60)=0),IF(A179=入力!$B$15+1,"・","")&amp;"5年見直し","")&amp;IF(AND(A179=入力!$B$11,A179&gt;1),IF(OR(A179=入力!$B$15+1,AND(入力!$B$13="有効",A179&gt;1,MOD(A179-1,60)=0)),"・","")&amp;"金利変更","")&amp;IF(AND(OR(AND(入力!$B$13="有効",A179&gt;1,MOD(A179-1,60)=0),AND(A179=入力!$B$11,A179&gt;1)),入力!$B$14="有効",IF(E179=0,ROUND(C179/MAX(1,S178-A179+1),0),ROUND(-PMT(E179/12,MAX(1,S178-A179+1),C179),0))&gt;ROUND(G178*1.25,0),NOT(A179=入力!$B$15+1)),"・上限適用",""))</f>
        <v/>
      </c>
      <c r="Q179" s="35" t="str">
        <f>IF(AND(T178="",A179&lt;=S178),入力!$B$13,"")</f>
        <v>有効</v>
      </c>
      <c r="R179" s="32" t="str">
        <f>IF(AND(AND(T178="",A179&lt;=S178),OR(AND(入力!$B$13="有効",A179&gt;1,MOD(A179-1,60)=0),AND(A179=入力!$B$11,A179&gt;1)),入力!$B$14="有効"),ROUND(G178*1.25,0),"")</f>
        <v/>
      </c>
      <c r="S179" s="36">
        <f t="shared" si="49"/>
        <v>420</v>
      </c>
      <c r="T179" s="35" t="str">
        <f t="shared" si="50"/>
        <v/>
      </c>
      <c r="U179" s="3">
        <f t="shared" si="34"/>
        <v>0</v>
      </c>
      <c r="V179" s="3">
        <f t="shared" si="35"/>
        <v>0</v>
      </c>
      <c r="W179" s="3">
        <f t="shared" si="36"/>
        <v>0</v>
      </c>
      <c r="X179" s="3">
        <f t="shared" si="37"/>
        <v>0</v>
      </c>
      <c r="Y179" s="3">
        <f>0</f>
        <v>0</v>
      </c>
      <c r="Z179" s="3">
        <f t="shared" si="38"/>
        <v>0</v>
      </c>
      <c r="AA179">
        <f>ROUND(IF(A179=入力!$B$15+1,IF(E179=0,ROUND(C179/MAX(1,S178-A179+1),0),ROUND(-PMT(E179/12,MAX(1,S178-A179+1)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,0)</f>
        <v>98997</v>
      </c>
    </row>
    <row r="180" spans="1:27">
      <c r="A180" s="30">
        <f>175</f>
        <v>175</v>
      </c>
      <c r="B180" s="31">
        <f>EDATE(入力!$B$6,A180-1)</f>
        <v>51533</v>
      </c>
      <c r="C180" s="32">
        <f t="shared" si="39"/>
        <v>19039945</v>
      </c>
      <c r="D180" s="32">
        <f t="shared" si="40"/>
        <v>0</v>
      </c>
      <c r="E180" s="33">
        <f>IF(AND(T179="",A180&lt;=S179),IF(A180&lt;入力!$B$11,入力!$B$10,入力!$B$12),0)</f>
        <v>2.5000000000000001E-2</v>
      </c>
      <c r="F180" s="32">
        <f t="shared" si="41"/>
        <v>39667</v>
      </c>
      <c r="G180" s="32">
        <f>ROUND(IF(NOT(AND(T179="",A180&lt;=S179)),0,IF(A180=入力!$B$15+1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),0)</f>
        <v>98997</v>
      </c>
      <c r="H180" s="32">
        <f t="shared" si="42"/>
        <v>98997</v>
      </c>
      <c r="I180" s="32">
        <f t="shared" si="43"/>
        <v>39667</v>
      </c>
      <c r="J180" s="32">
        <f t="shared" si="44"/>
        <v>0</v>
      </c>
      <c r="K180" s="32">
        <f t="shared" si="45"/>
        <v>0</v>
      </c>
      <c r="L180" s="32">
        <f t="shared" si="46"/>
        <v>59330</v>
      </c>
      <c r="M180" s="32">
        <f>IF(AND(AND(T179="",A180&lt;=S179),A180=入力!$B$15),ROUND(MIN(入力!$B$16,MAX(0,C180-L180)),0),0)</f>
        <v>0</v>
      </c>
      <c r="N180" s="32">
        <f t="shared" si="47"/>
        <v>18980615</v>
      </c>
      <c r="O180" s="32">
        <f t="shared" si="48"/>
        <v>7113050</v>
      </c>
      <c r="P180" s="34" t="str">
        <f>IF(NOT(AND(T179="",A180&lt;=S179)),"",IF(A180=入力!$B$15+1,"繰上返済後再計算","")&amp;IF(AND(入力!$B$13="有効",A180&gt;1,MOD(A180-1,60)=0),IF(A180=入力!$B$15+1,"・","")&amp;"5年見直し","")&amp;IF(AND(A180=入力!$B$11,A180&gt;1),IF(OR(A180=入力!$B$15+1,AND(入力!$B$13="有効",A180&gt;1,MOD(A180-1,60)=0)),"・","")&amp;"金利変更","")&amp;IF(AND(OR(AND(入力!$B$13="有効",A180&gt;1,MOD(A180-1,60)=0),AND(A180=入力!$B$11,A180&gt;1)),入力!$B$14="有効",IF(E180=0,ROUND(C180/MAX(1,S179-A180+1),0),ROUND(-PMT(E180/12,MAX(1,S179-A180+1),C180),0))&gt;ROUND(G179*1.25,0),NOT(A180=入力!$B$15+1)),"・上限適用",""))</f>
        <v/>
      </c>
      <c r="Q180" s="35" t="str">
        <f>IF(AND(T179="",A180&lt;=S179),入力!$B$13,"")</f>
        <v>有効</v>
      </c>
      <c r="R180" s="32" t="str">
        <f>IF(AND(AND(T179="",A180&lt;=S179),OR(AND(入力!$B$13="有効",A180&gt;1,MOD(A180-1,60)=0),AND(A180=入力!$B$11,A180&gt;1)),入力!$B$14="有効"),ROUND(G179*1.25,0),"")</f>
        <v/>
      </c>
      <c r="S180" s="36">
        <f t="shared" si="49"/>
        <v>420</v>
      </c>
      <c r="T180" s="35" t="str">
        <f t="shared" si="50"/>
        <v/>
      </c>
      <c r="U180" s="3">
        <f t="shared" si="34"/>
        <v>0</v>
      </c>
      <c r="V180" s="3">
        <f t="shared" si="35"/>
        <v>0</v>
      </c>
      <c r="W180" s="3">
        <f t="shared" si="36"/>
        <v>0</v>
      </c>
      <c r="X180" s="3">
        <f t="shared" si="37"/>
        <v>0</v>
      </c>
      <c r="Y180" s="3">
        <f>0</f>
        <v>0</v>
      </c>
      <c r="Z180" s="3">
        <f t="shared" si="38"/>
        <v>0</v>
      </c>
      <c r="AA180">
        <f>ROUND(IF(A180=入力!$B$15+1,IF(E180=0,ROUND(C180/MAX(1,S179-A180+1),0),ROUND(-PMT(E180/12,MAX(1,S179-A180+1)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,0)</f>
        <v>98997</v>
      </c>
    </row>
    <row r="181" spans="1:27">
      <c r="A181" s="30">
        <f>176</f>
        <v>176</v>
      </c>
      <c r="B181" s="31">
        <f>EDATE(入力!$B$6,A181-1)</f>
        <v>51561</v>
      </c>
      <c r="C181" s="32">
        <f t="shared" si="39"/>
        <v>18980615</v>
      </c>
      <c r="D181" s="32">
        <f t="shared" si="40"/>
        <v>0</v>
      </c>
      <c r="E181" s="33">
        <f>IF(AND(T180="",A181&lt;=S180),IF(A181&lt;入力!$B$11,入力!$B$10,入力!$B$12),0)</f>
        <v>2.5000000000000001E-2</v>
      </c>
      <c r="F181" s="32">
        <f t="shared" si="41"/>
        <v>39543</v>
      </c>
      <c r="G181" s="32">
        <f>ROUND(IF(NOT(AND(T180="",A181&lt;=S180)),0,IF(A181=入力!$B$15+1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),0)</f>
        <v>98997</v>
      </c>
      <c r="H181" s="32">
        <f t="shared" si="42"/>
        <v>98997</v>
      </c>
      <c r="I181" s="32">
        <f t="shared" si="43"/>
        <v>39543</v>
      </c>
      <c r="J181" s="32">
        <f t="shared" si="44"/>
        <v>0</v>
      </c>
      <c r="K181" s="32">
        <f t="shared" si="45"/>
        <v>0</v>
      </c>
      <c r="L181" s="32">
        <f t="shared" si="46"/>
        <v>59454</v>
      </c>
      <c r="M181" s="32">
        <f>IF(AND(AND(T180="",A181&lt;=S180),A181=入力!$B$15),ROUND(MIN(入力!$B$16,MAX(0,C181-L181)),0),0)</f>
        <v>0</v>
      </c>
      <c r="N181" s="32">
        <f t="shared" si="47"/>
        <v>18921161</v>
      </c>
      <c r="O181" s="32">
        <f t="shared" si="48"/>
        <v>7152593</v>
      </c>
      <c r="P181" s="34" t="str">
        <f>IF(NOT(AND(T180="",A181&lt;=S180)),"",IF(A181=入力!$B$15+1,"繰上返済後再計算","")&amp;IF(AND(入力!$B$13="有効",A181&gt;1,MOD(A181-1,60)=0),IF(A181=入力!$B$15+1,"・","")&amp;"5年見直し","")&amp;IF(AND(A181=入力!$B$11,A181&gt;1),IF(OR(A181=入力!$B$15+1,AND(入力!$B$13="有効",A181&gt;1,MOD(A181-1,60)=0)),"・","")&amp;"金利変更","")&amp;IF(AND(OR(AND(入力!$B$13="有効",A181&gt;1,MOD(A181-1,60)=0),AND(A181=入力!$B$11,A181&gt;1)),入力!$B$14="有効",IF(E181=0,ROUND(C181/MAX(1,S180-A181+1),0),ROUND(-PMT(E181/12,MAX(1,S180-A181+1),C181),0))&gt;ROUND(G180*1.25,0),NOT(A181=入力!$B$15+1)),"・上限適用",""))</f>
        <v/>
      </c>
      <c r="Q181" s="35" t="str">
        <f>IF(AND(T180="",A181&lt;=S180),入力!$B$13,"")</f>
        <v>有効</v>
      </c>
      <c r="R181" s="32" t="str">
        <f>IF(AND(AND(T180="",A181&lt;=S180),OR(AND(入力!$B$13="有効",A181&gt;1,MOD(A181-1,60)=0),AND(A181=入力!$B$11,A181&gt;1)),入力!$B$14="有効"),ROUND(G180*1.25,0),"")</f>
        <v/>
      </c>
      <c r="S181" s="36">
        <f t="shared" si="49"/>
        <v>420</v>
      </c>
      <c r="T181" s="35" t="str">
        <f t="shared" si="50"/>
        <v/>
      </c>
      <c r="U181" s="3">
        <f t="shared" si="34"/>
        <v>0</v>
      </c>
      <c r="V181" s="3">
        <f t="shared" si="35"/>
        <v>0</v>
      </c>
      <c r="W181" s="3">
        <f t="shared" si="36"/>
        <v>0</v>
      </c>
      <c r="X181" s="3">
        <f t="shared" si="37"/>
        <v>0</v>
      </c>
      <c r="Y181" s="3">
        <f>0</f>
        <v>0</v>
      </c>
      <c r="Z181" s="3">
        <f t="shared" si="38"/>
        <v>0</v>
      </c>
      <c r="AA181">
        <f>ROUND(IF(A181=入力!$B$15+1,IF(E181=0,ROUND(C181/MAX(1,S180-A181+1),0),ROUND(-PMT(E181/12,MAX(1,S180-A181+1)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,0)</f>
        <v>98997</v>
      </c>
    </row>
    <row r="182" spans="1:27">
      <c r="A182" s="30">
        <f>177</f>
        <v>177</v>
      </c>
      <c r="B182" s="31">
        <f>EDATE(入力!$B$6,A182-1)</f>
        <v>51592</v>
      </c>
      <c r="C182" s="32">
        <f t="shared" si="39"/>
        <v>18921161</v>
      </c>
      <c r="D182" s="32">
        <f t="shared" si="40"/>
        <v>0</v>
      </c>
      <c r="E182" s="33">
        <f>IF(AND(T181="",A182&lt;=S181),IF(A182&lt;入力!$B$11,入力!$B$10,入力!$B$12),0)</f>
        <v>2.5000000000000001E-2</v>
      </c>
      <c r="F182" s="32">
        <f t="shared" si="41"/>
        <v>39419</v>
      </c>
      <c r="G182" s="32">
        <f>ROUND(IF(NOT(AND(T181="",A182&lt;=S181)),0,IF(A182=入力!$B$15+1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),0)</f>
        <v>98997</v>
      </c>
      <c r="H182" s="32">
        <f t="shared" si="42"/>
        <v>98997</v>
      </c>
      <c r="I182" s="32">
        <f t="shared" si="43"/>
        <v>39419</v>
      </c>
      <c r="J182" s="32">
        <f t="shared" si="44"/>
        <v>0</v>
      </c>
      <c r="K182" s="32">
        <f t="shared" si="45"/>
        <v>0</v>
      </c>
      <c r="L182" s="32">
        <f t="shared" si="46"/>
        <v>59578</v>
      </c>
      <c r="M182" s="32">
        <f>IF(AND(AND(T181="",A182&lt;=S181),A182=入力!$B$15),ROUND(MIN(入力!$B$16,MAX(0,C182-L182)),0),0)</f>
        <v>0</v>
      </c>
      <c r="N182" s="32">
        <f t="shared" si="47"/>
        <v>18861583</v>
      </c>
      <c r="O182" s="32">
        <f t="shared" si="48"/>
        <v>7192012</v>
      </c>
      <c r="P182" s="34" t="str">
        <f>IF(NOT(AND(T181="",A182&lt;=S181)),"",IF(A182=入力!$B$15+1,"繰上返済後再計算","")&amp;IF(AND(入力!$B$13="有効",A182&gt;1,MOD(A182-1,60)=0),IF(A182=入力!$B$15+1,"・","")&amp;"5年見直し","")&amp;IF(AND(A182=入力!$B$11,A182&gt;1),IF(OR(A182=入力!$B$15+1,AND(入力!$B$13="有効",A182&gt;1,MOD(A182-1,60)=0)),"・","")&amp;"金利変更","")&amp;IF(AND(OR(AND(入力!$B$13="有効",A182&gt;1,MOD(A182-1,60)=0),AND(A182=入力!$B$11,A182&gt;1)),入力!$B$14="有効",IF(E182=0,ROUND(C182/MAX(1,S181-A182+1),0),ROUND(-PMT(E182/12,MAX(1,S181-A182+1),C182),0))&gt;ROUND(G181*1.25,0),NOT(A182=入力!$B$15+1)),"・上限適用",""))</f>
        <v/>
      </c>
      <c r="Q182" s="35" t="str">
        <f>IF(AND(T181="",A182&lt;=S181),入力!$B$13,"")</f>
        <v>有効</v>
      </c>
      <c r="R182" s="32" t="str">
        <f>IF(AND(AND(T181="",A182&lt;=S181),OR(AND(入力!$B$13="有効",A182&gt;1,MOD(A182-1,60)=0),AND(A182=入力!$B$11,A182&gt;1)),入力!$B$14="有効"),ROUND(G181*1.25,0),"")</f>
        <v/>
      </c>
      <c r="S182" s="36">
        <f t="shared" si="49"/>
        <v>420</v>
      </c>
      <c r="T182" s="35" t="str">
        <f t="shared" si="50"/>
        <v/>
      </c>
      <c r="U182" s="3">
        <f t="shared" si="34"/>
        <v>0</v>
      </c>
      <c r="V182" s="3">
        <f t="shared" si="35"/>
        <v>0</v>
      </c>
      <c r="W182" s="3">
        <f t="shared" si="36"/>
        <v>0</v>
      </c>
      <c r="X182" s="3">
        <f t="shared" si="37"/>
        <v>0</v>
      </c>
      <c r="Y182" s="3">
        <f>0</f>
        <v>0</v>
      </c>
      <c r="Z182" s="3">
        <f t="shared" si="38"/>
        <v>0</v>
      </c>
      <c r="AA182">
        <f>ROUND(IF(A182=入力!$B$15+1,IF(E182=0,ROUND(C182/MAX(1,S181-A182+1),0),ROUND(-PMT(E182/12,MAX(1,S181-A182+1)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,0)</f>
        <v>98997</v>
      </c>
    </row>
    <row r="183" spans="1:27">
      <c r="A183" s="30">
        <f>178</f>
        <v>178</v>
      </c>
      <c r="B183" s="31">
        <f>EDATE(入力!$B$6,A183-1)</f>
        <v>51622</v>
      </c>
      <c r="C183" s="32">
        <f t="shared" si="39"/>
        <v>18861583</v>
      </c>
      <c r="D183" s="32">
        <f t="shared" si="40"/>
        <v>0</v>
      </c>
      <c r="E183" s="33">
        <f>IF(AND(T182="",A183&lt;=S182),IF(A183&lt;入力!$B$11,入力!$B$10,入力!$B$12),0)</f>
        <v>2.5000000000000001E-2</v>
      </c>
      <c r="F183" s="32">
        <f t="shared" si="41"/>
        <v>39295</v>
      </c>
      <c r="G183" s="32">
        <f>ROUND(IF(NOT(AND(T182="",A183&lt;=S182)),0,IF(A183=入力!$B$15+1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),0)</f>
        <v>98997</v>
      </c>
      <c r="H183" s="32">
        <f t="shared" si="42"/>
        <v>98997</v>
      </c>
      <c r="I183" s="32">
        <f t="shared" si="43"/>
        <v>39295</v>
      </c>
      <c r="J183" s="32">
        <f t="shared" si="44"/>
        <v>0</v>
      </c>
      <c r="K183" s="32">
        <f t="shared" si="45"/>
        <v>0</v>
      </c>
      <c r="L183" s="32">
        <f t="shared" si="46"/>
        <v>59702</v>
      </c>
      <c r="M183" s="32">
        <f>IF(AND(AND(T182="",A183&lt;=S182),A183=入力!$B$15),ROUND(MIN(入力!$B$16,MAX(0,C183-L183)),0),0)</f>
        <v>0</v>
      </c>
      <c r="N183" s="32">
        <f t="shared" si="47"/>
        <v>18801881</v>
      </c>
      <c r="O183" s="32">
        <f t="shared" si="48"/>
        <v>7231307</v>
      </c>
      <c r="P183" s="34" t="str">
        <f>IF(NOT(AND(T182="",A183&lt;=S182)),"",IF(A183=入力!$B$15+1,"繰上返済後再計算","")&amp;IF(AND(入力!$B$13="有効",A183&gt;1,MOD(A183-1,60)=0),IF(A183=入力!$B$15+1,"・","")&amp;"5年見直し","")&amp;IF(AND(A183=入力!$B$11,A183&gt;1),IF(OR(A183=入力!$B$15+1,AND(入力!$B$13="有効",A183&gt;1,MOD(A183-1,60)=0)),"・","")&amp;"金利変更","")&amp;IF(AND(OR(AND(入力!$B$13="有効",A183&gt;1,MOD(A183-1,60)=0),AND(A183=入力!$B$11,A183&gt;1)),入力!$B$14="有効",IF(E183=0,ROUND(C183/MAX(1,S182-A183+1),0),ROUND(-PMT(E183/12,MAX(1,S182-A183+1),C183),0))&gt;ROUND(G182*1.25,0),NOT(A183=入力!$B$15+1)),"・上限適用",""))</f>
        <v/>
      </c>
      <c r="Q183" s="35" t="str">
        <f>IF(AND(T182="",A183&lt;=S182),入力!$B$13,"")</f>
        <v>有効</v>
      </c>
      <c r="R183" s="32" t="str">
        <f>IF(AND(AND(T182="",A183&lt;=S182),OR(AND(入力!$B$13="有効",A183&gt;1,MOD(A183-1,60)=0),AND(A183=入力!$B$11,A183&gt;1)),入力!$B$14="有効"),ROUND(G182*1.25,0),"")</f>
        <v/>
      </c>
      <c r="S183" s="36">
        <f t="shared" si="49"/>
        <v>420</v>
      </c>
      <c r="T183" s="35" t="str">
        <f t="shared" si="50"/>
        <v/>
      </c>
      <c r="U183" s="3">
        <f t="shared" si="34"/>
        <v>0</v>
      </c>
      <c r="V183" s="3">
        <f t="shared" si="35"/>
        <v>0</v>
      </c>
      <c r="W183" s="3">
        <f t="shared" si="36"/>
        <v>0</v>
      </c>
      <c r="X183" s="3">
        <f t="shared" si="37"/>
        <v>0</v>
      </c>
      <c r="Y183" s="3">
        <f>0</f>
        <v>0</v>
      </c>
      <c r="Z183" s="3">
        <f t="shared" si="38"/>
        <v>0</v>
      </c>
      <c r="AA183">
        <f>ROUND(IF(A183=入力!$B$15+1,IF(E183=0,ROUND(C183/MAX(1,S182-A183+1),0),ROUND(-PMT(E183/12,MAX(1,S182-A183+1)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,0)</f>
        <v>98997</v>
      </c>
    </row>
    <row r="184" spans="1:27">
      <c r="A184" s="30">
        <f>179</f>
        <v>179</v>
      </c>
      <c r="B184" s="31">
        <f>EDATE(入力!$B$6,A184-1)</f>
        <v>51653</v>
      </c>
      <c r="C184" s="32">
        <f t="shared" si="39"/>
        <v>18801881</v>
      </c>
      <c r="D184" s="32">
        <f t="shared" si="40"/>
        <v>0</v>
      </c>
      <c r="E184" s="33">
        <f>IF(AND(T183="",A184&lt;=S183),IF(A184&lt;入力!$B$11,入力!$B$10,入力!$B$12),0)</f>
        <v>2.5000000000000001E-2</v>
      </c>
      <c r="F184" s="32">
        <f t="shared" si="41"/>
        <v>39171</v>
      </c>
      <c r="G184" s="32">
        <f>ROUND(IF(NOT(AND(T183="",A184&lt;=S183)),0,IF(A184=入力!$B$15+1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),0)</f>
        <v>98997</v>
      </c>
      <c r="H184" s="32">
        <f t="shared" si="42"/>
        <v>98997</v>
      </c>
      <c r="I184" s="32">
        <f t="shared" si="43"/>
        <v>39171</v>
      </c>
      <c r="J184" s="32">
        <f t="shared" si="44"/>
        <v>0</v>
      </c>
      <c r="K184" s="32">
        <f t="shared" si="45"/>
        <v>0</v>
      </c>
      <c r="L184" s="32">
        <f t="shared" si="46"/>
        <v>59826</v>
      </c>
      <c r="M184" s="32">
        <f>IF(AND(AND(T183="",A184&lt;=S183),A184=入力!$B$15),ROUND(MIN(入力!$B$16,MAX(0,C184-L184)),0),0)</f>
        <v>0</v>
      </c>
      <c r="N184" s="32">
        <f t="shared" si="47"/>
        <v>18742055</v>
      </c>
      <c r="O184" s="32">
        <f t="shared" si="48"/>
        <v>7270478</v>
      </c>
      <c r="P184" s="34" t="str">
        <f>IF(NOT(AND(T183="",A184&lt;=S183)),"",IF(A184=入力!$B$15+1,"繰上返済後再計算","")&amp;IF(AND(入力!$B$13="有効",A184&gt;1,MOD(A184-1,60)=0),IF(A184=入力!$B$15+1,"・","")&amp;"5年見直し","")&amp;IF(AND(A184=入力!$B$11,A184&gt;1),IF(OR(A184=入力!$B$15+1,AND(入力!$B$13="有効",A184&gt;1,MOD(A184-1,60)=0)),"・","")&amp;"金利変更","")&amp;IF(AND(OR(AND(入力!$B$13="有効",A184&gt;1,MOD(A184-1,60)=0),AND(A184=入力!$B$11,A184&gt;1)),入力!$B$14="有効",IF(E184=0,ROUND(C184/MAX(1,S183-A184+1),0),ROUND(-PMT(E184/12,MAX(1,S183-A184+1),C184),0))&gt;ROUND(G183*1.25,0),NOT(A184=入力!$B$15+1)),"・上限適用",""))</f>
        <v/>
      </c>
      <c r="Q184" s="35" t="str">
        <f>IF(AND(T183="",A184&lt;=S183),入力!$B$13,"")</f>
        <v>有効</v>
      </c>
      <c r="R184" s="32" t="str">
        <f>IF(AND(AND(T183="",A184&lt;=S183),OR(AND(入力!$B$13="有効",A184&gt;1,MOD(A184-1,60)=0),AND(A184=入力!$B$11,A184&gt;1)),入力!$B$14="有効"),ROUND(G183*1.25,0),"")</f>
        <v/>
      </c>
      <c r="S184" s="36">
        <f t="shared" si="49"/>
        <v>420</v>
      </c>
      <c r="T184" s="35" t="str">
        <f t="shared" si="50"/>
        <v/>
      </c>
      <c r="U184" s="3">
        <f t="shared" si="34"/>
        <v>0</v>
      </c>
      <c r="V184" s="3">
        <f t="shared" si="35"/>
        <v>0</v>
      </c>
      <c r="W184" s="3">
        <f t="shared" si="36"/>
        <v>0</v>
      </c>
      <c r="X184" s="3">
        <f t="shared" si="37"/>
        <v>0</v>
      </c>
      <c r="Y184" s="3">
        <f>0</f>
        <v>0</v>
      </c>
      <c r="Z184" s="3">
        <f t="shared" si="38"/>
        <v>0</v>
      </c>
      <c r="AA184">
        <f>ROUND(IF(A184=入力!$B$15+1,IF(E184=0,ROUND(C184/MAX(1,S183-A184+1),0),ROUND(-PMT(E184/12,MAX(1,S183-A184+1)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,0)</f>
        <v>98997</v>
      </c>
    </row>
    <row r="185" spans="1:27">
      <c r="A185" s="30">
        <f>180</f>
        <v>180</v>
      </c>
      <c r="B185" s="31">
        <f>EDATE(入力!$B$6,A185-1)</f>
        <v>51683</v>
      </c>
      <c r="C185" s="32">
        <f t="shared" si="39"/>
        <v>18742055</v>
      </c>
      <c r="D185" s="32">
        <f t="shared" si="40"/>
        <v>0</v>
      </c>
      <c r="E185" s="33">
        <f>IF(AND(T184="",A185&lt;=S184),IF(A185&lt;入力!$B$11,入力!$B$10,入力!$B$12),0)</f>
        <v>2.5000000000000001E-2</v>
      </c>
      <c r="F185" s="32">
        <f t="shared" si="41"/>
        <v>39046</v>
      </c>
      <c r="G185" s="32">
        <f>ROUND(IF(NOT(AND(T184="",A185&lt;=S184)),0,IF(A185=入力!$B$15+1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),0)</f>
        <v>98997</v>
      </c>
      <c r="H185" s="32">
        <f t="shared" si="42"/>
        <v>98997</v>
      </c>
      <c r="I185" s="32">
        <f t="shared" si="43"/>
        <v>39046</v>
      </c>
      <c r="J185" s="32">
        <f t="shared" si="44"/>
        <v>0</v>
      </c>
      <c r="K185" s="32">
        <f t="shared" si="45"/>
        <v>0</v>
      </c>
      <c r="L185" s="32">
        <f t="shared" si="46"/>
        <v>59951</v>
      </c>
      <c r="M185" s="32">
        <f>IF(AND(AND(T184="",A185&lt;=S184),A185=入力!$B$15),ROUND(MIN(入力!$B$16,MAX(0,C185-L185)),0),0)</f>
        <v>0</v>
      </c>
      <c r="N185" s="32">
        <f t="shared" si="47"/>
        <v>18682104</v>
      </c>
      <c r="O185" s="32">
        <f t="shared" si="48"/>
        <v>7309524</v>
      </c>
      <c r="P185" s="34" t="str">
        <f>IF(NOT(AND(T184="",A185&lt;=S184)),"",IF(A185=入力!$B$15+1,"繰上返済後再計算","")&amp;IF(AND(入力!$B$13="有効",A185&gt;1,MOD(A185-1,60)=0),IF(A185=入力!$B$15+1,"・","")&amp;"5年見直し","")&amp;IF(AND(A185=入力!$B$11,A185&gt;1),IF(OR(A185=入力!$B$15+1,AND(入力!$B$13="有効",A185&gt;1,MOD(A185-1,60)=0)),"・","")&amp;"金利変更","")&amp;IF(AND(OR(AND(入力!$B$13="有効",A185&gt;1,MOD(A185-1,60)=0),AND(A185=入力!$B$11,A185&gt;1)),入力!$B$14="有効",IF(E185=0,ROUND(C185/MAX(1,S184-A185+1),0),ROUND(-PMT(E185/12,MAX(1,S184-A185+1),C185),0))&gt;ROUND(G184*1.25,0),NOT(A185=入力!$B$15+1)),"・上限適用",""))</f>
        <v/>
      </c>
      <c r="Q185" s="35" t="str">
        <f>IF(AND(T184="",A185&lt;=S184),入力!$B$13,"")</f>
        <v>有効</v>
      </c>
      <c r="R185" s="32" t="str">
        <f>IF(AND(AND(T184="",A185&lt;=S184),OR(AND(入力!$B$13="有効",A185&gt;1,MOD(A185-1,60)=0),AND(A185=入力!$B$11,A185&gt;1)),入力!$B$14="有効"),ROUND(G184*1.25,0),"")</f>
        <v/>
      </c>
      <c r="S185" s="36">
        <f t="shared" si="49"/>
        <v>420</v>
      </c>
      <c r="T185" s="35" t="str">
        <f t="shared" si="50"/>
        <v/>
      </c>
      <c r="U185" s="3">
        <f t="shared" si="34"/>
        <v>0</v>
      </c>
      <c r="V185" s="3">
        <f t="shared" si="35"/>
        <v>0</v>
      </c>
      <c r="W185" s="3">
        <f t="shared" si="36"/>
        <v>0</v>
      </c>
      <c r="X185" s="3">
        <f t="shared" si="37"/>
        <v>0</v>
      </c>
      <c r="Y185" s="3">
        <f>0</f>
        <v>0</v>
      </c>
      <c r="Z185" s="3">
        <f t="shared" si="38"/>
        <v>0</v>
      </c>
      <c r="AA185">
        <f>ROUND(IF(A185=入力!$B$15+1,IF(E185=0,ROUND(C185/MAX(1,S184-A185+1),0),ROUND(-PMT(E185/12,MAX(1,S184-A185+1)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,0)</f>
        <v>98997</v>
      </c>
    </row>
    <row r="186" spans="1:27">
      <c r="A186" s="30">
        <f>181</f>
        <v>181</v>
      </c>
      <c r="B186" s="31">
        <f>EDATE(入力!$B$6,A186-1)</f>
        <v>51714</v>
      </c>
      <c r="C186" s="32">
        <f t="shared" si="39"/>
        <v>18682104</v>
      </c>
      <c r="D186" s="32">
        <f t="shared" si="40"/>
        <v>0</v>
      </c>
      <c r="E186" s="33">
        <f>IF(AND(T185="",A186&lt;=S185),IF(A186&lt;入力!$B$11,入力!$B$10,入力!$B$12),0)</f>
        <v>2.5000000000000001E-2</v>
      </c>
      <c r="F186" s="32">
        <f t="shared" si="41"/>
        <v>38921</v>
      </c>
      <c r="G186" s="32">
        <f>ROUND(IF(NOT(AND(T185="",A186&lt;=S185)),0,IF(A186=入力!$B$15+1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),0)</f>
        <v>98997</v>
      </c>
      <c r="H186" s="32">
        <f t="shared" si="42"/>
        <v>98997</v>
      </c>
      <c r="I186" s="32">
        <f t="shared" si="43"/>
        <v>38921</v>
      </c>
      <c r="J186" s="32">
        <f t="shared" si="44"/>
        <v>0</v>
      </c>
      <c r="K186" s="32">
        <f t="shared" si="45"/>
        <v>0</v>
      </c>
      <c r="L186" s="32">
        <f t="shared" si="46"/>
        <v>60076</v>
      </c>
      <c r="M186" s="32">
        <f>IF(AND(AND(T185="",A186&lt;=S185),A186=入力!$B$15),ROUND(MIN(入力!$B$16,MAX(0,C186-L186)),0),0)</f>
        <v>0</v>
      </c>
      <c r="N186" s="32">
        <f t="shared" si="47"/>
        <v>18622028</v>
      </c>
      <c r="O186" s="32">
        <f t="shared" si="48"/>
        <v>7348445</v>
      </c>
      <c r="P186" s="34" t="str">
        <f>IF(NOT(AND(T185="",A186&lt;=S185)),"",IF(A186=入力!$B$15+1,"繰上返済後再計算","")&amp;IF(AND(入力!$B$13="有効",A186&gt;1,MOD(A186-1,60)=0),IF(A186=入力!$B$15+1,"・","")&amp;"5年見直し","")&amp;IF(AND(A186=入力!$B$11,A186&gt;1),IF(OR(A186=入力!$B$15+1,AND(入力!$B$13="有効",A186&gt;1,MOD(A186-1,60)=0)),"・","")&amp;"金利変更","")&amp;IF(AND(OR(AND(入力!$B$13="有効",A186&gt;1,MOD(A186-1,60)=0),AND(A186=入力!$B$11,A186&gt;1)),入力!$B$14="有効",IF(E186=0,ROUND(C186/MAX(1,S185-A186+1),0),ROUND(-PMT(E186/12,MAX(1,S185-A186+1),C186),0))&gt;ROUND(G185*1.25,0),NOT(A186=入力!$B$15+1)),"・上限適用",""))</f>
        <v>5年見直し</v>
      </c>
      <c r="Q186" s="35" t="str">
        <f>IF(AND(T185="",A186&lt;=S185),入力!$B$13,"")</f>
        <v>有効</v>
      </c>
      <c r="R186" s="32">
        <f>IF(AND(AND(T185="",A186&lt;=S185),OR(AND(入力!$B$13="有効",A186&gt;1,MOD(A186-1,60)=0),AND(A186=入力!$B$11,A186&gt;1)),入力!$B$14="有効"),ROUND(G185*1.25,0),"")</f>
        <v>123746</v>
      </c>
      <c r="S186" s="36">
        <f t="shared" si="49"/>
        <v>420</v>
      </c>
      <c r="T186" s="35" t="str">
        <f t="shared" si="50"/>
        <v/>
      </c>
      <c r="U186" s="3">
        <f t="shared" si="34"/>
        <v>0</v>
      </c>
      <c r="V186" s="3">
        <f t="shared" si="35"/>
        <v>0</v>
      </c>
      <c r="W186" s="3">
        <f t="shared" si="36"/>
        <v>0</v>
      </c>
      <c r="X186" s="3">
        <f t="shared" si="37"/>
        <v>0</v>
      </c>
      <c r="Y186" s="3">
        <f>0</f>
        <v>0</v>
      </c>
      <c r="Z186" s="3">
        <f t="shared" si="38"/>
        <v>0</v>
      </c>
      <c r="AA186">
        <f>ROUND(IF(A186=入力!$B$15+1,IF(E186=0,ROUND(C186/MAX(1,S185-A186+1),0),ROUND(-PMT(E186/12,MAX(1,S185-A186+1)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,0)</f>
        <v>98997</v>
      </c>
    </row>
    <row r="187" spans="1:27">
      <c r="A187" s="30">
        <f>182</f>
        <v>182</v>
      </c>
      <c r="B187" s="31">
        <f>EDATE(入力!$B$6,A187-1)</f>
        <v>51745</v>
      </c>
      <c r="C187" s="32">
        <f t="shared" si="39"/>
        <v>18622028</v>
      </c>
      <c r="D187" s="32">
        <f t="shared" si="40"/>
        <v>0</v>
      </c>
      <c r="E187" s="33">
        <f>IF(AND(T186="",A187&lt;=S186),IF(A187&lt;入力!$B$11,入力!$B$10,入力!$B$12),0)</f>
        <v>2.5000000000000001E-2</v>
      </c>
      <c r="F187" s="32">
        <f t="shared" si="41"/>
        <v>38796</v>
      </c>
      <c r="G187" s="32">
        <f>ROUND(IF(NOT(AND(T186="",A187&lt;=S186)),0,IF(A187=入力!$B$15+1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),0)</f>
        <v>98997</v>
      </c>
      <c r="H187" s="32">
        <f t="shared" si="42"/>
        <v>98997</v>
      </c>
      <c r="I187" s="32">
        <f t="shared" si="43"/>
        <v>38796</v>
      </c>
      <c r="J187" s="32">
        <f t="shared" si="44"/>
        <v>0</v>
      </c>
      <c r="K187" s="32">
        <f t="shared" si="45"/>
        <v>0</v>
      </c>
      <c r="L187" s="32">
        <f t="shared" si="46"/>
        <v>60201</v>
      </c>
      <c r="M187" s="32">
        <f>IF(AND(AND(T186="",A187&lt;=S186),A187=入力!$B$15),ROUND(MIN(入力!$B$16,MAX(0,C187-L187)),0),0)</f>
        <v>0</v>
      </c>
      <c r="N187" s="32">
        <f t="shared" si="47"/>
        <v>18561827</v>
      </c>
      <c r="O187" s="32">
        <f t="shared" si="48"/>
        <v>7387241</v>
      </c>
      <c r="P187" s="34" t="str">
        <f>IF(NOT(AND(T186="",A187&lt;=S186)),"",IF(A187=入力!$B$15+1,"繰上返済後再計算","")&amp;IF(AND(入力!$B$13="有効",A187&gt;1,MOD(A187-1,60)=0),IF(A187=入力!$B$15+1,"・","")&amp;"5年見直し","")&amp;IF(AND(A187=入力!$B$11,A187&gt;1),IF(OR(A187=入力!$B$15+1,AND(入力!$B$13="有効",A187&gt;1,MOD(A187-1,60)=0)),"・","")&amp;"金利変更","")&amp;IF(AND(OR(AND(入力!$B$13="有効",A187&gt;1,MOD(A187-1,60)=0),AND(A187=入力!$B$11,A187&gt;1)),入力!$B$14="有効",IF(E187=0,ROUND(C187/MAX(1,S186-A187+1),0),ROUND(-PMT(E187/12,MAX(1,S186-A187+1),C187),0))&gt;ROUND(G186*1.25,0),NOT(A187=入力!$B$15+1)),"・上限適用",""))</f>
        <v/>
      </c>
      <c r="Q187" s="35" t="str">
        <f>IF(AND(T186="",A187&lt;=S186),入力!$B$13,"")</f>
        <v>有効</v>
      </c>
      <c r="R187" s="32" t="str">
        <f>IF(AND(AND(T186="",A187&lt;=S186),OR(AND(入力!$B$13="有効",A187&gt;1,MOD(A187-1,60)=0),AND(A187=入力!$B$11,A187&gt;1)),入力!$B$14="有効"),ROUND(G186*1.25,0),"")</f>
        <v/>
      </c>
      <c r="S187" s="36">
        <f t="shared" si="49"/>
        <v>420</v>
      </c>
      <c r="T187" s="35" t="str">
        <f t="shared" si="50"/>
        <v/>
      </c>
      <c r="U187" s="3">
        <f t="shared" si="34"/>
        <v>0</v>
      </c>
      <c r="V187" s="3">
        <f t="shared" si="35"/>
        <v>0</v>
      </c>
      <c r="W187" s="3">
        <f t="shared" si="36"/>
        <v>0</v>
      </c>
      <c r="X187" s="3">
        <f t="shared" si="37"/>
        <v>0</v>
      </c>
      <c r="Y187" s="3">
        <f>0</f>
        <v>0</v>
      </c>
      <c r="Z187" s="3">
        <f t="shared" si="38"/>
        <v>0</v>
      </c>
      <c r="AA187">
        <f>ROUND(IF(A187=入力!$B$15+1,IF(E187=0,ROUND(C187/MAX(1,S186-A187+1),0),ROUND(-PMT(E187/12,MAX(1,S186-A187+1)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,0)</f>
        <v>98997</v>
      </c>
    </row>
    <row r="188" spans="1:27">
      <c r="A188" s="30">
        <f>183</f>
        <v>183</v>
      </c>
      <c r="B188" s="31">
        <f>EDATE(入力!$B$6,A188-1)</f>
        <v>51775</v>
      </c>
      <c r="C188" s="32">
        <f t="shared" si="39"/>
        <v>18561827</v>
      </c>
      <c r="D188" s="32">
        <f t="shared" si="40"/>
        <v>0</v>
      </c>
      <c r="E188" s="33">
        <f>IF(AND(T187="",A188&lt;=S187),IF(A188&lt;入力!$B$11,入力!$B$10,入力!$B$12),0)</f>
        <v>2.5000000000000001E-2</v>
      </c>
      <c r="F188" s="32">
        <f t="shared" si="41"/>
        <v>38670</v>
      </c>
      <c r="G188" s="32">
        <f>ROUND(IF(NOT(AND(T187="",A188&lt;=S187)),0,IF(A188=入力!$B$15+1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),0)</f>
        <v>98997</v>
      </c>
      <c r="H188" s="32">
        <f t="shared" si="42"/>
        <v>98997</v>
      </c>
      <c r="I188" s="32">
        <f t="shared" si="43"/>
        <v>38670</v>
      </c>
      <c r="J188" s="32">
        <f t="shared" si="44"/>
        <v>0</v>
      </c>
      <c r="K188" s="32">
        <f t="shared" si="45"/>
        <v>0</v>
      </c>
      <c r="L188" s="32">
        <f t="shared" si="46"/>
        <v>60327</v>
      </c>
      <c r="M188" s="32">
        <f>IF(AND(AND(T187="",A188&lt;=S187),A188=入力!$B$15),ROUND(MIN(入力!$B$16,MAX(0,C188-L188)),0),0)</f>
        <v>0</v>
      </c>
      <c r="N188" s="32">
        <f t="shared" si="47"/>
        <v>18501500</v>
      </c>
      <c r="O188" s="32">
        <f t="shared" si="48"/>
        <v>7425911</v>
      </c>
      <c r="P188" s="34" t="str">
        <f>IF(NOT(AND(T187="",A188&lt;=S187)),"",IF(A188=入力!$B$15+1,"繰上返済後再計算","")&amp;IF(AND(入力!$B$13="有効",A188&gt;1,MOD(A188-1,60)=0),IF(A188=入力!$B$15+1,"・","")&amp;"5年見直し","")&amp;IF(AND(A188=入力!$B$11,A188&gt;1),IF(OR(A188=入力!$B$15+1,AND(入力!$B$13="有効",A188&gt;1,MOD(A188-1,60)=0)),"・","")&amp;"金利変更","")&amp;IF(AND(OR(AND(入力!$B$13="有効",A188&gt;1,MOD(A188-1,60)=0),AND(A188=入力!$B$11,A188&gt;1)),入力!$B$14="有効",IF(E188=0,ROUND(C188/MAX(1,S187-A188+1),0),ROUND(-PMT(E188/12,MAX(1,S187-A188+1),C188),0))&gt;ROUND(G187*1.25,0),NOT(A188=入力!$B$15+1)),"・上限適用",""))</f>
        <v/>
      </c>
      <c r="Q188" s="35" t="str">
        <f>IF(AND(T187="",A188&lt;=S187),入力!$B$13,"")</f>
        <v>有効</v>
      </c>
      <c r="R188" s="32" t="str">
        <f>IF(AND(AND(T187="",A188&lt;=S187),OR(AND(入力!$B$13="有効",A188&gt;1,MOD(A188-1,60)=0),AND(A188=入力!$B$11,A188&gt;1)),入力!$B$14="有効"),ROUND(G187*1.25,0),"")</f>
        <v/>
      </c>
      <c r="S188" s="36">
        <f t="shared" si="49"/>
        <v>420</v>
      </c>
      <c r="T188" s="35" t="str">
        <f t="shared" si="50"/>
        <v/>
      </c>
      <c r="U188" s="3">
        <f t="shared" si="34"/>
        <v>0</v>
      </c>
      <c r="V188" s="3">
        <f t="shared" si="35"/>
        <v>0</v>
      </c>
      <c r="W188" s="3">
        <f t="shared" si="36"/>
        <v>0</v>
      </c>
      <c r="X188" s="3">
        <f t="shared" si="37"/>
        <v>0</v>
      </c>
      <c r="Y188" s="3">
        <f>0</f>
        <v>0</v>
      </c>
      <c r="Z188" s="3">
        <f t="shared" si="38"/>
        <v>0</v>
      </c>
      <c r="AA188">
        <f>ROUND(IF(A188=入力!$B$15+1,IF(E188=0,ROUND(C188/MAX(1,S187-A188+1),0),ROUND(-PMT(E188/12,MAX(1,S187-A188+1)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,0)</f>
        <v>98997</v>
      </c>
    </row>
    <row r="189" spans="1:27">
      <c r="A189" s="30">
        <f>184</f>
        <v>184</v>
      </c>
      <c r="B189" s="31">
        <f>EDATE(入力!$B$6,A189-1)</f>
        <v>51806</v>
      </c>
      <c r="C189" s="32">
        <f t="shared" si="39"/>
        <v>18501500</v>
      </c>
      <c r="D189" s="32">
        <f t="shared" si="40"/>
        <v>0</v>
      </c>
      <c r="E189" s="33">
        <f>IF(AND(T188="",A189&lt;=S188),IF(A189&lt;入力!$B$11,入力!$B$10,入力!$B$12),0)</f>
        <v>2.5000000000000001E-2</v>
      </c>
      <c r="F189" s="32">
        <f t="shared" si="41"/>
        <v>38545</v>
      </c>
      <c r="G189" s="32">
        <f>ROUND(IF(NOT(AND(T188="",A189&lt;=S188)),0,IF(A189=入力!$B$15+1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),0)</f>
        <v>98997</v>
      </c>
      <c r="H189" s="32">
        <f t="shared" si="42"/>
        <v>98997</v>
      </c>
      <c r="I189" s="32">
        <f t="shared" si="43"/>
        <v>38545</v>
      </c>
      <c r="J189" s="32">
        <f t="shared" si="44"/>
        <v>0</v>
      </c>
      <c r="K189" s="32">
        <f t="shared" si="45"/>
        <v>0</v>
      </c>
      <c r="L189" s="32">
        <f t="shared" si="46"/>
        <v>60452</v>
      </c>
      <c r="M189" s="32">
        <f>IF(AND(AND(T188="",A189&lt;=S188),A189=入力!$B$15),ROUND(MIN(入力!$B$16,MAX(0,C189-L189)),0),0)</f>
        <v>0</v>
      </c>
      <c r="N189" s="32">
        <f t="shared" si="47"/>
        <v>18441048</v>
      </c>
      <c r="O189" s="32">
        <f t="shared" si="48"/>
        <v>7464456</v>
      </c>
      <c r="P189" s="34" t="str">
        <f>IF(NOT(AND(T188="",A189&lt;=S188)),"",IF(A189=入力!$B$15+1,"繰上返済後再計算","")&amp;IF(AND(入力!$B$13="有効",A189&gt;1,MOD(A189-1,60)=0),IF(A189=入力!$B$15+1,"・","")&amp;"5年見直し","")&amp;IF(AND(A189=入力!$B$11,A189&gt;1),IF(OR(A189=入力!$B$15+1,AND(入力!$B$13="有効",A189&gt;1,MOD(A189-1,60)=0)),"・","")&amp;"金利変更","")&amp;IF(AND(OR(AND(入力!$B$13="有効",A189&gt;1,MOD(A189-1,60)=0),AND(A189=入力!$B$11,A189&gt;1)),入力!$B$14="有効",IF(E189=0,ROUND(C189/MAX(1,S188-A189+1),0),ROUND(-PMT(E189/12,MAX(1,S188-A189+1),C189),0))&gt;ROUND(G188*1.25,0),NOT(A189=入力!$B$15+1)),"・上限適用",""))</f>
        <v/>
      </c>
      <c r="Q189" s="35" t="str">
        <f>IF(AND(T188="",A189&lt;=S188),入力!$B$13,"")</f>
        <v>有効</v>
      </c>
      <c r="R189" s="32" t="str">
        <f>IF(AND(AND(T188="",A189&lt;=S188),OR(AND(入力!$B$13="有効",A189&gt;1,MOD(A189-1,60)=0),AND(A189=入力!$B$11,A189&gt;1)),入力!$B$14="有効"),ROUND(G188*1.25,0),"")</f>
        <v/>
      </c>
      <c r="S189" s="36">
        <f t="shared" si="49"/>
        <v>420</v>
      </c>
      <c r="T189" s="35" t="str">
        <f t="shared" si="50"/>
        <v/>
      </c>
      <c r="U189" s="3">
        <f t="shared" si="34"/>
        <v>0</v>
      </c>
      <c r="V189" s="3">
        <f t="shared" si="35"/>
        <v>0</v>
      </c>
      <c r="W189" s="3">
        <f t="shared" si="36"/>
        <v>0</v>
      </c>
      <c r="X189" s="3">
        <f t="shared" si="37"/>
        <v>0</v>
      </c>
      <c r="Y189" s="3">
        <f>0</f>
        <v>0</v>
      </c>
      <c r="Z189" s="3">
        <f t="shared" si="38"/>
        <v>0</v>
      </c>
      <c r="AA189">
        <f>ROUND(IF(A189=入力!$B$15+1,IF(E189=0,ROUND(C189/MAX(1,S188-A189+1),0),ROUND(-PMT(E189/12,MAX(1,S188-A189+1)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,0)</f>
        <v>98997</v>
      </c>
    </row>
    <row r="190" spans="1:27">
      <c r="A190" s="30">
        <f>185</f>
        <v>185</v>
      </c>
      <c r="B190" s="31">
        <f>EDATE(入力!$B$6,A190-1)</f>
        <v>51836</v>
      </c>
      <c r="C190" s="32">
        <f t="shared" si="39"/>
        <v>18441048</v>
      </c>
      <c r="D190" s="32">
        <f t="shared" si="40"/>
        <v>0</v>
      </c>
      <c r="E190" s="33">
        <f>IF(AND(T189="",A190&lt;=S189),IF(A190&lt;入力!$B$11,入力!$B$10,入力!$B$12),0)</f>
        <v>2.5000000000000001E-2</v>
      </c>
      <c r="F190" s="32">
        <f t="shared" si="41"/>
        <v>38419</v>
      </c>
      <c r="G190" s="32">
        <f>ROUND(IF(NOT(AND(T189="",A190&lt;=S189)),0,IF(A190=入力!$B$15+1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),0)</f>
        <v>98997</v>
      </c>
      <c r="H190" s="32">
        <f t="shared" si="42"/>
        <v>98997</v>
      </c>
      <c r="I190" s="32">
        <f t="shared" si="43"/>
        <v>38419</v>
      </c>
      <c r="J190" s="32">
        <f t="shared" si="44"/>
        <v>0</v>
      </c>
      <c r="K190" s="32">
        <f t="shared" si="45"/>
        <v>0</v>
      </c>
      <c r="L190" s="32">
        <f t="shared" si="46"/>
        <v>60578</v>
      </c>
      <c r="M190" s="32">
        <f>IF(AND(AND(T189="",A190&lt;=S189),A190=入力!$B$15),ROUND(MIN(入力!$B$16,MAX(0,C190-L190)),0),0)</f>
        <v>0</v>
      </c>
      <c r="N190" s="32">
        <f t="shared" si="47"/>
        <v>18380470</v>
      </c>
      <c r="O190" s="32">
        <f t="shared" si="48"/>
        <v>7502875</v>
      </c>
      <c r="P190" s="34" t="str">
        <f>IF(NOT(AND(T189="",A190&lt;=S189)),"",IF(A190=入力!$B$15+1,"繰上返済後再計算","")&amp;IF(AND(入力!$B$13="有効",A190&gt;1,MOD(A190-1,60)=0),IF(A190=入力!$B$15+1,"・","")&amp;"5年見直し","")&amp;IF(AND(A190=入力!$B$11,A190&gt;1),IF(OR(A190=入力!$B$15+1,AND(入力!$B$13="有効",A190&gt;1,MOD(A190-1,60)=0)),"・","")&amp;"金利変更","")&amp;IF(AND(OR(AND(入力!$B$13="有効",A190&gt;1,MOD(A190-1,60)=0),AND(A190=入力!$B$11,A190&gt;1)),入力!$B$14="有効",IF(E190=0,ROUND(C190/MAX(1,S189-A190+1),0),ROUND(-PMT(E190/12,MAX(1,S189-A190+1),C190),0))&gt;ROUND(G189*1.25,0),NOT(A190=入力!$B$15+1)),"・上限適用",""))</f>
        <v/>
      </c>
      <c r="Q190" s="35" t="str">
        <f>IF(AND(T189="",A190&lt;=S189),入力!$B$13,"")</f>
        <v>有効</v>
      </c>
      <c r="R190" s="32" t="str">
        <f>IF(AND(AND(T189="",A190&lt;=S189),OR(AND(入力!$B$13="有効",A190&gt;1,MOD(A190-1,60)=0),AND(A190=入力!$B$11,A190&gt;1)),入力!$B$14="有効"),ROUND(G189*1.25,0),"")</f>
        <v/>
      </c>
      <c r="S190" s="36">
        <f t="shared" si="49"/>
        <v>420</v>
      </c>
      <c r="T190" s="35" t="str">
        <f t="shared" si="50"/>
        <v/>
      </c>
      <c r="U190" s="3">
        <f t="shared" si="34"/>
        <v>0</v>
      </c>
      <c r="V190" s="3">
        <f t="shared" si="35"/>
        <v>0</v>
      </c>
      <c r="W190" s="3">
        <f t="shared" si="36"/>
        <v>0</v>
      </c>
      <c r="X190" s="3">
        <f t="shared" si="37"/>
        <v>0</v>
      </c>
      <c r="Y190" s="3">
        <f>0</f>
        <v>0</v>
      </c>
      <c r="Z190" s="3">
        <f t="shared" si="38"/>
        <v>0</v>
      </c>
      <c r="AA190">
        <f>ROUND(IF(A190=入力!$B$15+1,IF(E190=0,ROUND(C190/MAX(1,S189-A190+1),0),ROUND(-PMT(E190/12,MAX(1,S189-A190+1)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,0)</f>
        <v>98997</v>
      </c>
    </row>
    <row r="191" spans="1:27">
      <c r="A191" s="30">
        <f>186</f>
        <v>186</v>
      </c>
      <c r="B191" s="31">
        <f>EDATE(入力!$B$6,A191-1)</f>
        <v>51867</v>
      </c>
      <c r="C191" s="32">
        <f t="shared" si="39"/>
        <v>18380470</v>
      </c>
      <c r="D191" s="32">
        <f t="shared" si="40"/>
        <v>0</v>
      </c>
      <c r="E191" s="33">
        <f>IF(AND(T190="",A191&lt;=S190),IF(A191&lt;入力!$B$11,入力!$B$10,入力!$B$12),0)</f>
        <v>2.5000000000000001E-2</v>
      </c>
      <c r="F191" s="32">
        <f t="shared" si="41"/>
        <v>38293</v>
      </c>
      <c r="G191" s="32">
        <f>ROUND(IF(NOT(AND(T190="",A191&lt;=S190)),0,IF(A191=入力!$B$15+1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),0)</f>
        <v>98997</v>
      </c>
      <c r="H191" s="32">
        <f t="shared" si="42"/>
        <v>98997</v>
      </c>
      <c r="I191" s="32">
        <f t="shared" si="43"/>
        <v>38293</v>
      </c>
      <c r="J191" s="32">
        <f t="shared" si="44"/>
        <v>0</v>
      </c>
      <c r="K191" s="32">
        <f t="shared" si="45"/>
        <v>0</v>
      </c>
      <c r="L191" s="32">
        <f t="shared" si="46"/>
        <v>60704</v>
      </c>
      <c r="M191" s="32">
        <f>IF(AND(AND(T190="",A191&lt;=S190),A191=入力!$B$15),ROUND(MIN(入力!$B$16,MAX(0,C191-L191)),0),0)</f>
        <v>0</v>
      </c>
      <c r="N191" s="32">
        <f t="shared" si="47"/>
        <v>18319766</v>
      </c>
      <c r="O191" s="32">
        <f t="shared" si="48"/>
        <v>7541168</v>
      </c>
      <c r="P191" s="34" t="str">
        <f>IF(NOT(AND(T190="",A191&lt;=S190)),"",IF(A191=入力!$B$15+1,"繰上返済後再計算","")&amp;IF(AND(入力!$B$13="有効",A191&gt;1,MOD(A191-1,60)=0),IF(A191=入力!$B$15+1,"・","")&amp;"5年見直し","")&amp;IF(AND(A191=入力!$B$11,A191&gt;1),IF(OR(A191=入力!$B$15+1,AND(入力!$B$13="有効",A191&gt;1,MOD(A191-1,60)=0)),"・","")&amp;"金利変更","")&amp;IF(AND(OR(AND(入力!$B$13="有効",A191&gt;1,MOD(A191-1,60)=0),AND(A191=入力!$B$11,A191&gt;1)),入力!$B$14="有効",IF(E191=0,ROUND(C191/MAX(1,S190-A191+1),0),ROUND(-PMT(E191/12,MAX(1,S190-A191+1),C191),0))&gt;ROUND(G190*1.25,0),NOT(A191=入力!$B$15+1)),"・上限適用",""))</f>
        <v/>
      </c>
      <c r="Q191" s="35" t="str">
        <f>IF(AND(T190="",A191&lt;=S190),入力!$B$13,"")</f>
        <v>有効</v>
      </c>
      <c r="R191" s="32" t="str">
        <f>IF(AND(AND(T190="",A191&lt;=S190),OR(AND(入力!$B$13="有効",A191&gt;1,MOD(A191-1,60)=0),AND(A191=入力!$B$11,A191&gt;1)),入力!$B$14="有効"),ROUND(G190*1.25,0),"")</f>
        <v/>
      </c>
      <c r="S191" s="36">
        <f t="shared" si="49"/>
        <v>420</v>
      </c>
      <c r="T191" s="35" t="str">
        <f t="shared" si="50"/>
        <v/>
      </c>
      <c r="U191" s="3">
        <f t="shared" si="34"/>
        <v>0</v>
      </c>
      <c r="V191" s="3">
        <f t="shared" si="35"/>
        <v>0</v>
      </c>
      <c r="W191" s="3">
        <f t="shared" si="36"/>
        <v>0</v>
      </c>
      <c r="X191" s="3">
        <f t="shared" si="37"/>
        <v>0</v>
      </c>
      <c r="Y191" s="3">
        <f>0</f>
        <v>0</v>
      </c>
      <c r="Z191" s="3">
        <f t="shared" si="38"/>
        <v>0</v>
      </c>
      <c r="AA191">
        <f>ROUND(IF(A191=入力!$B$15+1,IF(E191=0,ROUND(C191/MAX(1,S190-A191+1),0),ROUND(-PMT(E191/12,MAX(1,S190-A191+1)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,0)</f>
        <v>98997</v>
      </c>
    </row>
    <row r="192" spans="1:27">
      <c r="A192" s="30">
        <f>187</f>
        <v>187</v>
      </c>
      <c r="B192" s="31">
        <f>EDATE(入力!$B$6,A192-1)</f>
        <v>51898</v>
      </c>
      <c r="C192" s="32">
        <f t="shared" si="39"/>
        <v>18319766</v>
      </c>
      <c r="D192" s="32">
        <f t="shared" si="40"/>
        <v>0</v>
      </c>
      <c r="E192" s="33">
        <f>IF(AND(T191="",A192&lt;=S191),IF(A192&lt;入力!$B$11,入力!$B$10,入力!$B$12),0)</f>
        <v>2.5000000000000001E-2</v>
      </c>
      <c r="F192" s="32">
        <f t="shared" si="41"/>
        <v>38166</v>
      </c>
      <c r="G192" s="32">
        <f>ROUND(IF(NOT(AND(T191="",A192&lt;=S191)),0,IF(A192=入力!$B$15+1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),0)</f>
        <v>98997</v>
      </c>
      <c r="H192" s="32">
        <f t="shared" si="42"/>
        <v>98997</v>
      </c>
      <c r="I192" s="32">
        <f t="shared" si="43"/>
        <v>38166</v>
      </c>
      <c r="J192" s="32">
        <f t="shared" si="44"/>
        <v>0</v>
      </c>
      <c r="K192" s="32">
        <f t="shared" si="45"/>
        <v>0</v>
      </c>
      <c r="L192" s="32">
        <f t="shared" si="46"/>
        <v>60831</v>
      </c>
      <c r="M192" s="32">
        <f>IF(AND(AND(T191="",A192&lt;=S191),A192=入力!$B$15),ROUND(MIN(入力!$B$16,MAX(0,C192-L192)),0),0)</f>
        <v>0</v>
      </c>
      <c r="N192" s="32">
        <f t="shared" si="47"/>
        <v>18258935</v>
      </c>
      <c r="O192" s="32">
        <f t="shared" si="48"/>
        <v>7579334</v>
      </c>
      <c r="P192" s="34" t="str">
        <f>IF(NOT(AND(T191="",A192&lt;=S191)),"",IF(A192=入力!$B$15+1,"繰上返済後再計算","")&amp;IF(AND(入力!$B$13="有効",A192&gt;1,MOD(A192-1,60)=0),IF(A192=入力!$B$15+1,"・","")&amp;"5年見直し","")&amp;IF(AND(A192=入力!$B$11,A192&gt;1),IF(OR(A192=入力!$B$15+1,AND(入力!$B$13="有効",A192&gt;1,MOD(A192-1,60)=0)),"・","")&amp;"金利変更","")&amp;IF(AND(OR(AND(入力!$B$13="有効",A192&gt;1,MOD(A192-1,60)=0),AND(A192=入力!$B$11,A192&gt;1)),入力!$B$14="有効",IF(E192=0,ROUND(C192/MAX(1,S191-A192+1),0),ROUND(-PMT(E192/12,MAX(1,S191-A192+1),C192),0))&gt;ROUND(G191*1.25,0),NOT(A192=入力!$B$15+1)),"・上限適用",""))</f>
        <v/>
      </c>
      <c r="Q192" s="35" t="str">
        <f>IF(AND(T191="",A192&lt;=S191),入力!$B$13,"")</f>
        <v>有効</v>
      </c>
      <c r="R192" s="32" t="str">
        <f>IF(AND(AND(T191="",A192&lt;=S191),OR(AND(入力!$B$13="有効",A192&gt;1,MOD(A192-1,60)=0),AND(A192=入力!$B$11,A192&gt;1)),入力!$B$14="有効"),ROUND(G191*1.25,0),"")</f>
        <v/>
      </c>
      <c r="S192" s="36">
        <f t="shared" si="49"/>
        <v>420</v>
      </c>
      <c r="T192" s="35" t="str">
        <f t="shared" si="50"/>
        <v/>
      </c>
      <c r="U192" s="3">
        <f t="shared" si="34"/>
        <v>0</v>
      </c>
      <c r="V192" s="3">
        <f t="shared" si="35"/>
        <v>0</v>
      </c>
      <c r="W192" s="3">
        <f t="shared" si="36"/>
        <v>0</v>
      </c>
      <c r="X192" s="3">
        <f t="shared" si="37"/>
        <v>0</v>
      </c>
      <c r="Y192" s="3">
        <f>0</f>
        <v>0</v>
      </c>
      <c r="Z192" s="3">
        <f t="shared" si="38"/>
        <v>0</v>
      </c>
      <c r="AA192">
        <f>ROUND(IF(A192=入力!$B$15+1,IF(E192=0,ROUND(C192/MAX(1,S191-A192+1),0),ROUND(-PMT(E192/12,MAX(1,S191-A192+1)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,0)</f>
        <v>98997</v>
      </c>
    </row>
    <row r="193" spans="1:27">
      <c r="A193" s="30">
        <f>188</f>
        <v>188</v>
      </c>
      <c r="B193" s="31">
        <f>EDATE(入力!$B$6,A193-1)</f>
        <v>51926</v>
      </c>
      <c r="C193" s="32">
        <f t="shared" si="39"/>
        <v>18258935</v>
      </c>
      <c r="D193" s="32">
        <f t="shared" si="40"/>
        <v>0</v>
      </c>
      <c r="E193" s="33">
        <f>IF(AND(T192="",A193&lt;=S192),IF(A193&lt;入力!$B$11,入力!$B$10,入力!$B$12),0)</f>
        <v>2.5000000000000001E-2</v>
      </c>
      <c r="F193" s="32">
        <f t="shared" si="41"/>
        <v>38039</v>
      </c>
      <c r="G193" s="32">
        <f>ROUND(IF(NOT(AND(T192="",A193&lt;=S192)),0,IF(A193=入力!$B$15+1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),0)</f>
        <v>98997</v>
      </c>
      <c r="H193" s="32">
        <f t="shared" si="42"/>
        <v>98997</v>
      </c>
      <c r="I193" s="32">
        <f t="shared" si="43"/>
        <v>38039</v>
      </c>
      <c r="J193" s="32">
        <f t="shared" si="44"/>
        <v>0</v>
      </c>
      <c r="K193" s="32">
        <f t="shared" si="45"/>
        <v>0</v>
      </c>
      <c r="L193" s="32">
        <f t="shared" si="46"/>
        <v>60958</v>
      </c>
      <c r="M193" s="32">
        <f>IF(AND(AND(T192="",A193&lt;=S192),A193=入力!$B$15),ROUND(MIN(入力!$B$16,MAX(0,C193-L193)),0),0)</f>
        <v>0</v>
      </c>
      <c r="N193" s="32">
        <f t="shared" si="47"/>
        <v>18197977</v>
      </c>
      <c r="O193" s="32">
        <f t="shared" si="48"/>
        <v>7617373</v>
      </c>
      <c r="P193" s="34" t="str">
        <f>IF(NOT(AND(T192="",A193&lt;=S192)),"",IF(A193=入力!$B$15+1,"繰上返済後再計算","")&amp;IF(AND(入力!$B$13="有効",A193&gt;1,MOD(A193-1,60)=0),IF(A193=入力!$B$15+1,"・","")&amp;"5年見直し","")&amp;IF(AND(A193=入力!$B$11,A193&gt;1),IF(OR(A193=入力!$B$15+1,AND(入力!$B$13="有効",A193&gt;1,MOD(A193-1,60)=0)),"・","")&amp;"金利変更","")&amp;IF(AND(OR(AND(入力!$B$13="有効",A193&gt;1,MOD(A193-1,60)=0),AND(A193=入力!$B$11,A193&gt;1)),入力!$B$14="有効",IF(E193=0,ROUND(C193/MAX(1,S192-A193+1),0),ROUND(-PMT(E193/12,MAX(1,S192-A193+1),C193),0))&gt;ROUND(G192*1.25,0),NOT(A193=入力!$B$15+1)),"・上限適用",""))</f>
        <v/>
      </c>
      <c r="Q193" s="35" t="str">
        <f>IF(AND(T192="",A193&lt;=S192),入力!$B$13,"")</f>
        <v>有効</v>
      </c>
      <c r="R193" s="32" t="str">
        <f>IF(AND(AND(T192="",A193&lt;=S192),OR(AND(入力!$B$13="有効",A193&gt;1,MOD(A193-1,60)=0),AND(A193=入力!$B$11,A193&gt;1)),入力!$B$14="有効"),ROUND(G192*1.25,0),"")</f>
        <v/>
      </c>
      <c r="S193" s="36">
        <f t="shared" si="49"/>
        <v>420</v>
      </c>
      <c r="T193" s="35" t="str">
        <f t="shared" si="50"/>
        <v/>
      </c>
      <c r="U193" s="3">
        <f t="shared" si="34"/>
        <v>0</v>
      </c>
      <c r="V193" s="3">
        <f t="shared" si="35"/>
        <v>0</v>
      </c>
      <c r="W193" s="3">
        <f t="shared" si="36"/>
        <v>0</v>
      </c>
      <c r="X193" s="3">
        <f t="shared" si="37"/>
        <v>0</v>
      </c>
      <c r="Y193" s="3">
        <f>0</f>
        <v>0</v>
      </c>
      <c r="Z193" s="3">
        <f t="shared" si="38"/>
        <v>0</v>
      </c>
      <c r="AA193">
        <f>ROUND(IF(A193=入力!$B$15+1,IF(E193=0,ROUND(C193/MAX(1,S192-A193+1),0),ROUND(-PMT(E193/12,MAX(1,S192-A193+1)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,0)</f>
        <v>98997</v>
      </c>
    </row>
    <row r="194" spans="1:27">
      <c r="A194" s="30">
        <f>189</f>
        <v>189</v>
      </c>
      <c r="B194" s="31">
        <f>EDATE(入力!$B$6,A194-1)</f>
        <v>51957</v>
      </c>
      <c r="C194" s="32">
        <f t="shared" si="39"/>
        <v>18197977</v>
      </c>
      <c r="D194" s="32">
        <f t="shared" si="40"/>
        <v>0</v>
      </c>
      <c r="E194" s="33">
        <f>IF(AND(T193="",A194&lt;=S193),IF(A194&lt;入力!$B$11,入力!$B$10,入力!$B$12),0)</f>
        <v>2.5000000000000001E-2</v>
      </c>
      <c r="F194" s="32">
        <f t="shared" si="41"/>
        <v>37912</v>
      </c>
      <c r="G194" s="32">
        <f>ROUND(IF(NOT(AND(T193="",A194&lt;=S193)),0,IF(A194=入力!$B$15+1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),0)</f>
        <v>98997</v>
      </c>
      <c r="H194" s="32">
        <f t="shared" si="42"/>
        <v>98997</v>
      </c>
      <c r="I194" s="32">
        <f t="shared" si="43"/>
        <v>37912</v>
      </c>
      <c r="J194" s="32">
        <f t="shared" si="44"/>
        <v>0</v>
      </c>
      <c r="K194" s="32">
        <f t="shared" si="45"/>
        <v>0</v>
      </c>
      <c r="L194" s="32">
        <f t="shared" si="46"/>
        <v>61085</v>
      </c>
      <c r="M194" s="32">
        <f>IF(AND(AND(T193="",A194&lt;=S193),A194=入力!$B$15),ROUND(MIN(入力!$B$16,MAX(0,C194-L194)),0),0)</f>
        <v>0</v>
      </c>
      <c r="N194" s="32">
        <f t="shared" si="47"/>
        <v>18136892</v>
      </c>
      <c r="O194" s="32">
        <f t="shared" si="48"/>
        <v>7655285</v>
      </c>
      <c r="P194" s="34" t="str">
        <f>IF(NOT(AND(T193="",A194&lt;=S193)),"",IF(A194=入力!$B$15+1,"繰上返済後再計算","")&amp;IF(AND(入力!$B$13="有効",A194&gt;1,MOD(A194-1,60)=0),IF(A194=入力!$B$15+1,"・","")&amp;"5年見直し","")&amp;IF(AND(A194=入力!$B$11,A194&gt;1),IF(OR(A194=入力!$B$15+1,AND(入力!$B$13="有効",A194&gt;1,MOD(A194-1,60)=0)),"・","")&amp;"金利変更","")&amp;IF(AND(OR(AND(入力!$B$13="有効",A194&gt;1,MOD(A194-1,60)=0),AND(A194=入力!$B$11,A194&gt;1)),入力!$B$14="有効",IF(E194=0,ROUND(C194/MAX(1,S193-A194+1),0),ROUND(-PMT(E194/12,MAX(1,S193-A194+1),C194),0))&gt;ROUND(G193*1.25,0),NOT(A194=入力!$B$15+1)),"・上限適用",""))</f>
        <v/>
      </c>
      <c r="Q194" s="35" t="str">
        <f>IF(AND(T193="",A194&lt;=S193),入力!$B$13,"")</f>
        <v>有効</v>
      </c>
      <c r="R194" s="32" t="str">
        <f>IF(AND(AND(T193="",A194&lt;=S193),OR(AND(入力!$B$13="有効",A194&gt;1,MOD(A194-1,60)=0),AND(A194=入力!$B$11,A194&gt;1)),入力!$B$14="有効"),ROUND(G193*1.25,0),"")</f>
        <v/>
      </c>
      <c r="S194" s="36">
        <f t="shared" si="49"/>
        <v>420</v>
      </c>
      <c r="T194" s="35" t="str">
        <f t="shared" si="50"/>
        <v/>
      </c>
      <c r="U194" s="3">
        <f t="shared" si="34"/>
        <v>0</v>
      </c>
      <c r="V194" s="3">
        <f t="shared" si="35"/>
        <v>0</v>
      </c>
      <c r="W194" s="3">
        <f t="shared" si="36"/>
        <v>0</v>
      </c>
      <c r="X194" s="3">
        <f t="shared" si="37"/>
        <v>0</v>
      </c>
      <c r="Y194" s="3">
        <f>0</f>
        <v>0</v>
      </c>
      <c r="Z194" s="3">
        <f t="shared" si="38"/>
        <v>0</v>
      </c>
      <c r="AA194">
        <f>ROUND(IF(A194=入力!$B$15+1,IF(E194=0,ROUND(C194/MAX(1,S193-A194+1),0),ROUND(-PMT(E194/12,MAX(1,S193-A194+1)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,0)</f>
        <v>98997</v>
      </c>
    </row>
    <row r="195" spans="1:27">
      <c r="A195" s="30">
        <f>190</f>
        <v>190</v>
      </c>
      <c r="B195" s="31">
        <f>EDATE(入力!$B$6,A195-1)</f>
        <v>51987</v>
      </c>
      <c r="C195" s="32">
        <f t="shared" si="39"/>
        <v>18136892</v>
      </c>
      <c r="D195" s="32">
        <f t="shared" si="40"/>
        <v>0</v>
      </c>
      <c r="E195" s="33">
        <f>IF(AND(T194="",A195&lt;=S194),IF(A195&lt;入力!$B$11,入力!$B$10,入力!$B$12),0)</f>
        <v>2.5000000000000001E-2</v>
      </c>
      <c r="F195" s="32">
        <f t="shared" si="41"/>
        <v>37785</v>
      </c>
      <c r="G195" s="32">
        <f>ROUND(IF(NOT(AND(T194="",A195&lt;=S194)),0,IF(A195=入力!$B$15+1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),0)</f>
        <v>98997</v>
      </c>
      <c r="H195" s="32">
        <f t="shared" si="42"/>
        <v>98997</v>
      </c>
      <c r="I195" s="32">
        <f t="shared" si="43"/>
        <v>37785</v>
      </c>
      <c r="J195" s="32">
        <f t="shared" si="44"/>
        <v>0</v>
      </c>
      <c r="K195" s="32">
        <f t="shared" si="45"/>
        <v>0</v>
      </c>
      <c r="L195" s="32">
        <f t="shared" si="46"/>
        <v>61212</v>
      </c>
      <c r="M195" s="32">
        <f>IF(AND(AND(T194="",A195&lt;=S194),A195=入力!$B$15),ROUND(MIN(入力!$B$16,MAX(0,C195-L195)),0),0)</f>
        <v>0</v>
      </c>
      <c r="N195" s="32">
        <f t="shared" si="47"/>
        <v>18075680</v>
      </c>
      <c r="O195" s="32">
        <f t="shared" si="48"/>
        <v>7693070</v>
      </c>
      <c r="P195" s="34" t="str">
        <f>IF(NOT(AND(T194="",A195&lt;=S194)),"",IF(A195=入力!$B$15+1,"繰上返済後再計算","")&amp;IF(AND(入力!$B$13="有効",A195&gt;1,MOD(A195-1,60)=0),IF(A195=入力!$B$15+1,"・","")&amp;"5年見直し","")&amp;IF(AND(A195=入力!$B$11,A195&gt;1),IF(OR(A195=入力!$B$15+1,AND(入力!$B$13="有効",A195&gt;1,MOD(A195-1,60)=0)),"・","")&amp;"金利変更","")&amp;IF(AND(OR(AND(入力!$B$13="有効",A195&gt;1,MOD(A195-1,60)=0),AND(A195=入力!$B$11,A195&gt;1)),入力!$B$14="有効",IF(E195=0,ROUND(C195/MAX(1,S194-A195+1),0),ROUND(-PMT(E195/12,MAX(1,S194-A195+1),C195),0))&gt;ROUND(G194*1.25,0),NOT(A195=入力!$B$15+1)),"・上限適用",""))</f>
        <v/>
      </c>
      <c r="Q195" s="35" t="str">
        <f>IF(AND(T194="",A195&lt;=S194),入力!$B$13,"")</f>
        <v>有効</v>
      </c>
      <c r="R195" s="32" t="str">
        <f>IF(AND(AND(T194="",A195&lt;=S194),OR(AND(入力!$B$13="有効",A195&gt;1,MOD(A195-1,60)=0),AND(A195=入力!$B$11,A195&gt;1)),入力!$B$14="有効"),ROUND(G194*1.25,0),"")</f>
        <v/>
      </c>
      <c r="S195" s="36">
        <f t="shared" si="49"/>
        <v>420</v>
      </c>
      <c r="T195" s="35" t="str">
        <f t="shared" si="50"/>
        <v/>
      </c>
      <c r="U195" s="3">
        <f t="shared" si="34"/>
        <v>0</v>
      </c>
      <c r="V195" s="3">
        <f t="shared" si="35"/>
        <v>0</v>
      </c>
      <c r="W195" s="3">
        <f t="shared" si="36"/>
        <v>0</v>
      </c>
      <c r="X195" s="3">
        <f t="shared" si="37"/>
        <v>0</v>
      </c>
      <c r="Y195" s="3">
        <f>0</f>
        <v>0</v>
      </c>
      <c r="Z195" s="3">
        <f t="shared" si="38"/>
        <v>0</v>
      </c>
      <c r="AA195">
        <f>ROUND(IF(A195=入力!$B$15+1,IF(E195=0,ROUND(C195/MAX(1,S194-A195+1),0),ROUND(-PMT(E195/12,MAX(1,S194-A195+1)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,0)</f>
        <v>98997</v>
      </c>
    </row>
    <row r="196" spans="1:27">
      <c r="A196" s="30">
        <f>191</f>
        <v>191</v>
      </c>
      <c r="B196" s="31">
        <f>EDATE(入力!$B$6,A196-1)</f>
        <v>52018</v>
      </c>
      <c r="C196" s="32">
        <f t="shared" si="39"/>
        <v>18075680</v>
      </c>
      <c r="D196" s="32">
        <f t="shared" si="40"/>
        <v>0</v>
      </c>
      <c r="E196" s="33">
        <f>IF(AND(T195="",A196&lt;=S195),IF(A196&lt;入力!$B$11,入力!$B$10,入力!$B$12),0)</f>
        <v>2.5000000000000001E-2</v>
      </c>
      <c r="F196" s="32">
        <f t="shared" si="41"/>
        <v>37658</v>
      </c>
      <c r="G196" s="32">
        <f>ROUND(IF(NOT(AND(T195="",A196&lt;=S195)),0,IF(A196=入力!$B$15+1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),0)</f>
        <v>98997</v>
      </c>
      <c r="H196" s="32">
        <f t="shared" si="42"/>
        <v>98997</v>
      </c>
      <c r="I196" s="32">
        <f t="shared" si="43"/>
        <v>37658</v>
      </c>
      <c r="J196" s="32">
        <f t="shared" si="44"/>
        <v>0</v>
      </c>
      <c r="K196" s="32">
        <f t="shared" si="45"/>
        <v>0</v>
      </c>
      <c r="L196" s="32">
        <f t="shared" si="46"/>
        <v>61339</v>
      </c>
      <c r="M196" s="32">
        <f>IF(AND(AND(T195="",A196&lt;=S195),A196=入力!$B$15),ROUND(MIN(入力!$B$16,MAX(0,C196-L196)),0),0)</f>
        <v>0</v>
      </c>
      <c r="N196" s="32">
        <f t="shared" si="47"/>
        <v>18014341</v>
      </c>
      <c r="O196" s="32">
        <f t="shared" si="48"/>
        <v>7730728</v>
      </c>
      <c r="P196" s="34" t="str">
        <f>IF(NOT(AND(T195="",A196&lt;=S195)),"",IF(A196=入力!$B$15+1,"繰上返済後再計算","")&amp;IF(AND(入力!$B$13="有効",A196&gt;1,MOD(A196-1,60)=0),IF(A196=入力!$B$15+1,"・","")&amp;"5年見直し","")&amp;IF(AND(A196=入力!$B$11,A196&gt;1),IF(OR(A196=入力!$B$15+1,AND(入力!$B$13="有効",A196&gt;1,MOD(A196-1,60)=0)),"・","")&amp;"金利変更","")&amp;IF(AND(OR(AND(入力!$B$13="有効",A196&gt;1,MOD(A196-1,60)=0),AND(A196=入力!$B$11,A196&gt;1)),入力!$B$14="有効",IF(E196=0,ROUND(C196/MAX(1,S195-A196+1),0),ROUND(-PMT(E196/12,MAX(1,S195-A196+1),C196),0))&gt;ROUND(G195*1.25,0),NOT(A196=入力!$B$15+1)),"・上限適用",""))</f>
        <v/>
      </c>
      <c r="Q196" s="35" t="str">
        <f>IF(AND(T195="",A196&lt;=S195),入力!$B$13,"")</f>
        <v>有効</v>
      </c>
      <c r="R196" s="32" t="str">
        <f>IF(AND(AND(T195="",A196&lt;=S195),OR(AND(入力!$B$13="有効",A196&gt;1,MOD(A196-1,60)=0),AND(A196=入力!$B$11,A196&gt;1)),入力!$B$14="有効"),ROUND(G195*1.25,0),"")</f>
        <v/>
      </c>
      <c r="S196" s="36">
        <f t="shared" si="49"/>
        <v>420</v>
      </c>
      <c r="T196" s="35" t="str">
        <f t="shared" si="50"/>
        <v/>
      </c>
      <c r="U196" s="3">
        <f t="shared" si="34"/>
        <v>0</v>
      </c>
      <c r="V196" s="3">
        <f t="shared" si="35"/>
        <v>0</v>
      </c>
      <c r="W196" s="3">
        <f t="shared" si="36"/>
        <v>0</v>
      </c>
      <c r="X196" s="3">
        <f t="shared" si="37"/>
        <v>0</v>
      </c>
      <c r="Y196" s="3">
        <f>0</f>
        <v>0</v>
      </c>
      <c r="Z196" s="3">
        <f t="shared" si="38"/>
        <v>0</v>
      </c>
      <c r="AA196">
        <f>ROUND(IF(A196=入力!$B$15+1,IF(E196=0,ROUND(C196/MAX(1,S195-A196+1),0),ROUND(-PMT(E196/12,MAX(1,S195-A196+1)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,0)</f>
        <v>98997</v>
      </c>
    </row>
    <row r="197" spans="1:27">
      <c r="A197" s="30">
        <f>192</f>
        <v>192</v>
      </c>
      <c r="B197" s="31">
        <f>EDATE(入力!$B$6,A197-1)</f>
        <v>52048</v>
      </c>
      <c r="C197" s="32">
        <f t="shared" si="39"/>
        <v>18014341</v>
      </c>
      <c r="D197" s="32">
        <f t="shared" si="40"/>
        <v>0</v>
      </c>
      <c r="E197" s="33">
        <f>IF(AND(T196="",A197&lt;=S196),IF(A197&lt;入力!$B$11,入力!$B$10,入力!$B$12),0)</f>
        <v>2.5000000000000001E-2</v>
      </c>
      <c r="F197" s="32">
        <f t="shared" si="41"/>
        <v>37530</v>
      </c>
      <c r="G197" s="32">
        <f>ROUND(IF(NOT(AND(T196="",A197&lt;=S196)),0,IF(A197=入力!$B$15+1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),0)</f>
        <v>98997</v>
      </c>
      <c r="H197" s="32">
        <f t="shared" si="42"/>
        <v>98997</v>
      </c>
      <c r="I197" s="32">
        <f t="shared" si="43"/>
        <v>37530</v>
      </c>
      <c r="J197" s="32">
        <f t="shared" si="44"/>
        <v>0</v>
      </c>
      <c r="K197" s="32">
        <f t="shared" si="45"/>
        <v>0</v>
      </c>
      <c r="L197" s="32">
        <f t="shared" si="46"/>
        <v>61467</v>
      </c>
      <c r="M197" s="32">
        <f>IF(AND(AND(T196="",A197&lt;=S196),A197=入力!$B$15),ROUND(MIN(入力!$B$16,MAX(0,C197-L197)),0),0)</f>
        <v>0</v>
      </c>
      <c r="N197" s="32">
        <f t="shared" si="47"/>
        <v>17952874</v>
      </c>
      <c r="O197" s="32">
        <f t="shared" si="48"/>
        <v>7768258</v>
      </c>
      <c r="P197" s="34" t="str">
        <f>IF(NOT(AND(T196="",A197&lt;=S196)),"",IF(A197=入力!$B$15+1,"繰上返済後再計算","")&amp;IF(AND(入力!$B$13="有効",A197&gt;1,MOD(A197-1,60)=0),IF(A197=入力!$B$15+1,"・","")&amp;"5年見直し","")&amp;IF(AND(A197=入力!$B$11,A197&gt;1),IF(OR(A197=入力!$B$15+1,AND(入力!$B$13="有効",A197&gt;1,MOD(A197-1,60)=0)),"・","")&amp;"金利変更","")&amp;IF(AND(OR(AND(入力!$B$13="有効",A197&gt;1,MOD(A197-1,60)=0),AND(A197=入力!$B$11,A197&gt;1)),入力!$B$14="有効",IF(E197=0,ROUND(C197/MAX(1,S196-A197+1),0),ROUND(-PMT(E197/12,MAX(1,S196-A197+1),C197),0))&gt;ROUND(G196*1.25,0),NOT(A197=入力!$B$15+1)),"・上限適用",""))</f>
        <v/>
      </c>
      <c r="Q197" s="35" t="str">
        <f>IF(AND(T196="",A197&lt;=S196),入力!$B$13,"")</f>
        <v>有効</v>
      </c>
      <c r="R197" s="32" t="str">
        <f>IF(AND(AND(T196="",A197&lt;=S196),OR(AND(入力!$B$13="有効",A197&gt;1,MOD(A197-1,60)=0),AND(A197=入力!$B$11,A197&gt;1)),入力!$B$14="有効"),ROUND(G196*1.25,0),"")</f>
        <v/>
      </c>
      <c r="S197" s="36">
        <f t="shared" si="49"/>
        <v>420</v>
      </c>
      <c r="T197" s="35" t="str">
        <f t="shared" si="50"/>
        <v/>
      </c>
      <c r="U197" s="3">
        <f t="shared" si="34"/>
        <v>0</v>
      </c>
      <c r="V197" s="3">
        <f t="shared" si="35"/>
        <v>0</v>
      </c>
      <c r="W197" s="3">
        <f t="shared" si="36"/>
        <v>0</v>
      </c>
      <c r="X197" s="3">
        <f t="shared" si="37"/>
        <v>0</v>
      </c>
      <c r="Y197" s="3">
        <f>0</f>
        <v>0</v>
      </c>
      <c r="Z197" s="3">
        <f t="shared" si="38"/>
        <v>0</v>
      </c>
      <c r="AA197">
        <f>ROUND(IF(A197=入力!$B$15+1,IF(E197=0,ROUND(C197/MAX(1,S196-A197+1),0),ROUND(-PMT(E197/12,MAX(1,S196-A197+1)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,0)</f>
        <v>98997</v>
      </c>
    </row>
    <row r="198" spans="1:27">
      <c r="A198" s="30">
        <f>193</f>
        <v>193</v>
      </c>
      <c r="B198" s="31">
        <f>EDATE(入力!$B$6,A198-1)</f>
        <v>52079</v>
      </c>
      <c r="C198" s="32">
        <f t="shared" si="39"/>
        <v>17952874</v>
      </c>
      <c r="D198" s="32">
        <f t="shared" si="40"/>
        <v>0</v>
      </c>
      <c r="E198" s="33">
        <f>IF(AND(T197="",A198&lt;=S197),IF(A198&lt;入力!$B$11,入力!$B$10,入力!$B$12),0)</f>
        <v>2.5000000000000001E-2</v>
      </c>
      <c r="F198" s="32">
        <f t="shared" si="41"/>
        <v>37402</v>
      </c>
      <c r="G198" s="32">
        <f>ROUND(IF(NOT(AND(T197="",A198&lt;=S197)),0,IF(A198=入力!$B$15+1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),0)</f>
        <v>98997</v>
      </c>
      <c r="H198" s="32">
        <f t="shared" si="42"/>
        <v>98997</v>
      </c>
      <c r="I198" s="32">
        <f t="shared" si="43"/>
        <v>37402</v>
      </c>
      <c r="J198" s="32">
        <f t="shared" si="44"/>
        <v>0</v>
      </c>
      <c r="K198" s="32">
        <f t="shared" si="45"/>
        <v>0</v>
      </c>
      <c r="L198" s="32">
        <f t="shared" si="46"/>
        <v>61595</v>
      </c>
      <c r="M198" s="32">
        <f>IF(AND(AND(T197="",A198&lt;=S197),A198=入力!$B$15),ROUND(MIN(入力!$B$16,MAX(0,C198-L198)),0),0)</f>
        <v>0</v>
      </c>
      <c r="N198" s="32">
        <f t="shared" si="47"/>
        <v>17891279</v>
      </c>
      <c r="O198" s="32">
        <f t="shared" si="48"/>
        <v>7805660</v>
      </c>
      <c r="P198" s="34" t="str">
        <f>IF(NOT(AND(T197="",A198&lt;=S197)),"",IF(A198=入力!$B$15+1,"繰上返済後再計算","")&amp;IF(AND(入力!$B$13="有効",A198&gt;1,MOD(A198-1,60)=0),IF(A198=入力!$B$15+1,"・","")&amp;"5年見直し","")&amp;IF(AND(A198=入力!$B$11,A198&gt;1),IF(OR(A198=入力!$B$15+1,AND(入力!$B$13="有効",A198&gt;1,MOD(A198-1,60)=0)),"・","")&amp;"金利変更","")&amp;IF(AND(OR(AND(入力!$B$13="有効",A198&gt;1,MOD(A198-1,60)=0),AND(A198=入力!$B$11,A198&gt;1)),入力!$B$14="有効",IF(E198=0,ROUND(C198/MAX(1,S197-A198+1),0),ROUND(-PMT(E198/12,MAX(1,S197-A198+1),C198),0))&gt;ROUND(G197*1.25,0),NOT(A198=入力!$B$15+1)),"・上限適用",""))</f>
        <v/>
      </c>
      <c r="Q198" s="35" t="str">
        <f>IF(AND(T197="",A198&lt;=S197),入力!$B$13,"")</f>
        <v>有効</v>
      </c>
      <c r="R198" s="32" t="str">
        <f>IF(AND(AND(T197="",A198&lt;=S197),OR(AND(入力!$B$13="有効",A198&gt;1,MOD(A198-1,60)=0),AND(A198=入力!$B$11,A198&gt;1)),入力!$B$14="有効"),ROUND(G197*1.25,0),"")</f>
        <v/>
      </c>
      <c r="S198" s="36">
        <f t="shared" si="49"/>
        <v>420</v>
      </c>
      <c r="T198" s="35" t="str">
        <f t="shared" si="50"/>
        <v/>
      </c>
      <c r="U198" s="3">
        <f t="shared" ref="U198:U261" si="51">ABS(I198-MIN(H198,D198+F198))</f>
        <v>0</v>
      </c>
      <c r="V198" s="3">
        <f t="shared" ref="V198:V261" si="52">ABS(L198-(H198-I198))</f>
        <v>0</v>
      </c>
      <c r="W198" s="3">
        <f t="shared" ref="W198:W261" si="53">ABS(K198-(D198+J198))</f>
        <v>0</v>
      </c>
      <c r="X198" s="3">
        <f t="shared" ref="X198:X261" si="54">ABS(F198-ROUND(F198,0))+ABS(G198-ROUND(G198,0))+ABS(H198-ROUND(H198,0))+ABS(I198-ROUND(I198,0))+ABS(J198-ROUND(J198,0))+ABS(K198-ROUND(K198,0))+ABS(L198-ROUND(L198,0))+ABS(M198-ROUND(M198,0))+ABS(N198-ROUND(N198,0))+ABS(O198-ROUND(O198,0))</f>
        <v>0</v>
      </c>
      <c r="Y198" s="3">
        <f>0</f>
        <v>0</v>
      </c>
      <c r="Z198" s="3">
        <f t="shared" ref="Z198:Z261" si="55">SUM(--ISERROR(A198),--ISERROR(B198),--ISERROR(C198),--ISERROR(D198),--ISERROR(E198),--ISERROR(F198),--ISERROR(G198),--ISERROR(H198),--ISERROR(I198),--ISERROR(J198),--ISERROR(K198),--ISERROR(L198),--ISERROR(M198),--ISERROR(N198),--ISERROR(O198),--ISERROR(P198),--ISERROR(Q198),--ISERROR(R198),--ISERROR(S198),--ISERROR(T198))</f>
        <v>0</v>
      </c>
      <c r="AA198">
        <f>ROUND(IF(A198=入力!$B$15+1,IF(E198=0,ROUND(C198/MAX(1,S197-A198+1),0),ROUND(-PMT(E198/12,MAX(1,S197-A198+1)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,0)</f>
        <v>98997</v>
      </c>
    </row>
    <row r="199" spans="1:27">
      <c r="A199" s="30">
        <f>194</f>
        <v>194</v>
      </c>
      <c r="B199" s="31">
        <f>EDATE(入力!$B$6,A199-1)</f>
        <v>52110</v>
      </c>
      <c r="C199" s="32">
        <f t="shared" ref="C199:C262" si="56">IF(AND(T198="",A199&lt;=S198),N198,0)</f>
        <v>17891279</v>
      </c>
      <c r="D199" s="32">
        <f t="shared" ref="D199:D262" si="57">IF(AND(T198="",A199&lt;=S198),K198,0)</f>
        <v>0</v>
      </c>
      <c r="E199" s="33">
        <f>IF(AND(T198="",A199&lt;=S198),IF(A199&lt;入力!$B$11,入力!$B$10,入力!$B$12),0)</f>
        <v>2.5000000000000001E-2</v>
      </c>
      <c r="F199" s="32">
        <f t="shared" ref="F199:F262" si="58">IF(AND(T198="",A199&lt;=S198),ROUND(C199*E199/12,0),0)</f>
        <v>37273</v>
      </c>
      <c r="G199" s="32">
        <f>ROUND(IF(NOT(AND(T198="",A199&lt;=S198)),0,IF(A199=入力!$B$15+1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),0)</f>
        <v>98997</v>
      </c>
      <c r="H199" s="32">
        <f t="shared" ref="H199:H262" si="59">IF(AND(T198="",A199&lt;=S198),ROUND(MIN(G199,C199+D199+F199),0),0)</f>
        <v>98997</v>
      </c>
      <c r="I199" s="32">
        <f t="shared" ref="I199:I262" si="60">IF(AND(T198="",A199&lt;=S198),ROUND(MIN(H199,D199+F199),0),0)</f>
        <v>37273</v>
      </c>
      <c r="J199" s="32">
        <f t="shared" ref="J199:J262" si="61">IF(AND(T198="",A199&lt;=S198),ROUND(F199-I199,0),0)</f>
        <v>0</v>
      </c>
      <c r="K199" s="32">
        <f t="shared" ref="K199:K262" si="62">IF(AND(T198="",A199&lt;=S198),ROUND(D199+J199,0),0)</f>
        <v>0</v>
      </c>
      <c r="L199" s="32">
        <f t="shared" ref="L199:L262" si="63">IF(AND(T198="",A199&lt;=S198),ROUND(H199-I199,0),0)</f>
        <v>61724</v>
      </c>
      <c r="M199" s="32">
        <f>IF(AND(AND(T198="",A199&lt;=S198),A199=入力!$B$15),ROUND(MIN(入力!$B$16,MAX(0,C199-L199)),0),0)</f>
        <v>0</v>
      </c>
      <c r="N199" s="32">
        <f t="shared" ref="N199:N262" si="64">IF(AND(T198="",A199&lt;=S198),ROUND(MAX(0,C199-L199-M199),0),0)</f>
        <v>17829555</v>
      </c>
      <c r="O199" s="32">
        <f t="shared" ref="O199:O262" si="65">IF(AND(T198="",A199&lt;=S198),ROUND(O198+F199,0),O198)</f>
        <v>7842933</v>
      </c>
      <c r="P199" s="34" t="str">
        <f>IF(NOT(AND(T198="",A199&lt;=S198)),"",IF(A199=入力!$B$15+1,"繰上返済後再計算","")&amp;IF(AND(入力!$B$13="有効",A199&gt;1,MOD(A199-1,60)=0),IF(A199=入力!$B$15+1,"・","")&amp;"5年見直し","")&amp;IF(AND(A199=入力!$B$11,A199&gt;1),IF(OR(A199=入力!$B$15+1,AND(入力!$B$13="有効",A199&gt;1,MOD(A199-1,60)=0)),"・","")&amp;"金利変更","")&amp;IF(AND(OR(AND(入力!$B$13="有効",A199&gt;1,MOD(A199-1,60)=0),AND(A199=入力!$B$11,A199&gt;1)),入力!$B$14="有効",IF(E199=0,ROUND(C199/MAX(1,S198-A199+1),0),ROUND(-PMT(E199/12,MAX(1,S198-A199+1),C199),0))&gt;ROUND(G198*1.25,0),NOT(A199=入力!$B$15+1)),"・上限適用",""))</f>
        <v/>
      </c>
      <c r="Q199" s="35" t="str">
        <f>IF(AND(T198="",A199&lt;=S198),入力!$B$13,"")</f>
        <v>有効</v>
      </c>
      <c r="R199" s="32" t="str">
        <f>IF(AND(AND(T198="",A199&lt;=S198),OR(AND(入力!$B$13="有効",A199&gt;1,MOD(A199-1,60)=0),AND(A199=入力!$B$11,A199&gt;1)),入力!$B$14="有効"),ROUND(G198*1.25,0),"")</f>
        <v/>
      </c>
      <c r="S199" s="36">
        <f t="shared" ref="S199:S262" si="66">S198</f>
        <v>420</v>
      </c>
      <c r="T199" s="35" t="str">
        <f t="shared" ref="T199:T262" si="67">IF(NOT(AND(T198="",A199&lt;=S198)),"",IF(AND(N199=0,K199=0),"完済",IF(A199=S199,"最終回清算","")))</f>
        <v/>
      </c>
      <c r="U199" s="3">
        <f t="shared" si="51"/>
        <v>0</v>
      </c>
      <c r="V199" s="3">
        <f t="shared" si="52"/>
        <v>0</v>
      </c>
      <c r="W199" s="3">
        <f t="shared" si="53"/>
        <v>0</v>
      </c>
      <c r="X199" s="3">
        <f t="shared" si="54"/>
        <v>0</v>
      </c>
      <c r="Y199" s="3">
        <f>0</f>
        <v>0</v>
      </c>
      <c r="Z199" s="3">
        <f t="shared" si="55"/>
        <v>0</v>
      </c>
      <c r="AA199">
        <f>ROUND(IF(A199=入力!$B$15+1,IF(E199=0,ROUND(C199/MAX(1,S198-A199+1),0),ROUND(-PMT(E199/12,MAX(1,S198-A199+1)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,0)</f>
        <v>98997</v>
      </c>
    </row>
    <row r="200" spans="1:27">
      <c r="A200" s="30">
        <f>195</f>
        <v>195</v>
      </c>
      <c r="B200" s="31">
        <f>EDATE(入力!$B$6,A200-1)</f>
        <v>52140</v>
      </c>
      <c r="C200" s="32">
        <f t="shared" si="56"/>
        <v>17829555</v>
      </c>
      <c r="D200" s="32">
        <f t="shared" si="57"/>
        <v>0</v>
      </c>
      <c r="E200" s="33">
        <f>IF(AND(T199="",A200&lt;=S199),IF(A200&lt;入力!$B$11,入力!$B$10,入力!$B$12),0)</f>
        <v>2.5000000000000001E-2</v>
      </c>
      <c r="F200" s="32">
        <f t="shared" si="58"/>
        <v>37145</v>
      </c>
      <c r="G200" s="32">
        <f>ROUND(IF(NOT(AND(T199="",A200&lt;=S199)),0,IF(A200=入力!$B$15+1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),0)</f>
        <v>98997</v>
      </c>
      <c r="H200" s="32">
        <f t="shared" si="59"/>
        <v>98997</v>
      </c>
      <c r="I200" s="32">
        <f t="shared" si="60"/>
        <v>37145</v>
      </c>
      <c r="J200" s="32">
        <f t="shared" si="61"/>
        <v>0</v>
      </c>
      <c r="K200" s="32">
        <f t="shared" si="62"/>
        <v>0</v>
      </c>
      <c r="L200" s="32">
        <f t="shared" si="63"/>
        <v>61852</v>
      </c>
      <c r="M200" s="32">
        <f>IF(AND(AND(T199="",A200&lt;=S199),A200=入力!$B$15),ROUND(MIN(入力!$B$16,MAX(0,C200-L200)),0),0)</f>
        <v>0</v>
      </c>
      <c r="N200" s="32">
        <f t="shared" si="64"/>
        <v>17767703</v>
      </c>
      <c r="O200" s="32">
        <f t="shared" si="65"/>
        <v>7880078</v>
      </c>
      <c r="P200" s="34" t="str">
        <f>IF(NOT(AND(T199="",A200&lt;=S199)),"",IF(A200=入力!$B$15+1,"繰上返済後再計算","")&amp;IF(AND(入力!$B$13="有効",A200&gt;1,MOD(A200-1,60)=0),IF(A200=入力!$B$15+1,"・","")&amp;"5年見直し","")&amp;IF(AND(A200=入力!$B$11,A200&gt;1),IF(OR(A200=入力!$B$15+1,AND(入力!$B$13="有効",A200&gt;1,MOD(A200-1,60)=0)),"・","")&amp;"金利変更","")&amp;IF(AND(OR(AND(入力!$B$13="有効",A200&gt;1,MOD(A200-1,60)=0),AND(A200=入力!$B$11,A200&gt;1)),入力!$B$14="有効",IF(E200=0,ROUND(C200/MAX(1,S199-A200+1),0),ROUND(-PMT(E200/12,MAX(1,S199-A200+1),C200),0))&gt;ROUND(G199*1.25,0),NOT(A200=入力!$B$15+1)),"・上限適用",""))</f>
        <v/>
      </c>
      <c r="Q200" s="35" t="str">
        <f>IF(AND(T199="",A200&lt;=S199),入力!$B$13,"")</f>
        <v>有効</v>
      </c>
      <c r="R200" s="32" t="str">
        <f>IF(AND(AND(T199="",A200&lt;=S199),OR(AND(入力!$B$13="有効",A200&gt;1,MOD(A200-1,60)=0),AND(A200=入力!$B$11,A200&gt;1)),入力!$B$14="有効"),ROUND(G199*1.25,0),"")</f>
        <v/>
      </c>
      <c r="S200" s="36">
        <f t="shared" si="66"/>
        <v>420</v>
      </c>
      <c r="T200" s="35" t="str">
        <f t="shared" si="67"/>
        <v/>
      </c>
      <c r="U200" s="3">
        <f t="shared" si="51"/>
        <v>0</v>
      </c>
      <c r="V200" s="3">
        <f t="shared" si="52"/>
        <v>0</v>
      </c>
      <c r="W200" s="3">
        <f t="shared" si="53"/>
        <v>0</v>
      </c>
      <c r="X200" s="3">
        <f t="shared" si="54"/>
        <v>0</v>
      </c>
      <c r="Y200" s="3">
        <f>0</f>
        <v>0</v>
      </c>
      <c r="Z200" s="3">
        <f t="shared" si="55"/>
        <v>0</v>
      </c>
      <c r="AA200">
        <f>ROUND(IF(A200=入力!$B$15+1,IF(E200=0,ROUND(C200/MAX(1,S199-A200+1),0),ROUND(-PMT(E200/12,MAX(1,S199-A200+1)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,0)</f>
        <v>98997</v>
      </c>
    </row>
    <row r="201" spans="1:27">
      <c r="A201" s="30">
        <f>196</f>
        <v>196</v>
      </c>
      <c r="B201" s="31">
        <f>EDATE(入力!$B$6,A201-1)</f>
        <v>52171</v>
      </c>
      <c r="C201" s="32">
        <f t="shared" si="56"/>
        <v>17767703</v>
      </c>
      <c r="D201" s="32">
        <f t="shared" si="57"/>
        <v>0</v>
      </c>
      <c r="E201" s="33">
        <f>IF(AND(T200="",A201&lt;=S200),IF(A201&lt;入力!$B$11,入力!$B$10,入力!$B$12),0)</f>
        <v>2.5000000000000001E-2</v>
      </c>
      <c r="F201" s="32">
        <f t="shared" si="58"/>
        <v>37016</v>
      </c>
      <c r="G201" s="32">
        <f>ROUND(IF(NOT(AND(T200="",A201&lt;=S200)),0,IF(A201=入力!$B$15+1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),0)</f>
        <v>98997</v>
      </c>
      <c r="H201" s="32">
        <f t="shared" si="59"/>
        <v>98997</v>
      </c>
      <c r="I201" s="32">
        <f t="shared" si="60"/>
        <v>37016</v>
      </c>
      <c r="J201" s="32">
        <f t="shared" si="61"/>
        <v>0</v>
      </c>
      <c r="K201" s="32">
        <f t="shared" si="62"/>
        <v>0</v>
      </c>
      <c r="L201" s="32">
        <f t="shared" si="63"/>
        <v>61981</v>
      </c>
      <c r="M201" s="32">
        <f>IF(AND(AND(T200="",A201&lt;=S200),A201=入力!$B$15),ROUND(MIN(入力!$B$16,MAX(0,C201-L201)),0),0)</f>
        <v>0</v>
      </c>
      <c r="N201" s="32">
        <f t="shared" si="64"/>
        <v>17705722</v>
      </c>
      <c r="O201" s="32">
        <f t="shared" si="65"/>
        <v>7917094</v>
      </c>
      <c r="P201" s="34" t="str">
        <f>IF(NOT(AND(T200="",A201&lt;=S200)),"",IF(A201=入力!$B$15+1,"繰上返済後再計算","")&amp;IF(AND(入力!$B$13="有効",A201&gt;1,MOD(A201-1,60)=0),IF(A201=入力!$B$15+1,"・","")&amp;"5年見直し","")&amp;IF(AND(A201=入力!$B$11,A201&gt;1),IF(OR(A201=入力!$B$15+1,AND(入力!$B$13="有効",A201&gt;1,MOD(A201-1,60)=0)),"・","")&amp;"金利変更","")&amp;IF(AND(OR(AND(入力!$B$13="有効",A201&gt;1,MOD(A201-1,60)=0),AND(A201=入力!$B$11,A201&gt;1)),入力!$B$14="有効",IF(E201=0,ROUND(C201/MAX(1,S200-A201+1),0),ROUND(-PMT(E201/12,MAX(1,S200-A201+1),C201),0))&gt;ROUND(G200*1.25,0),NOT(A201=入力!$B$15+1)),"・上限適用",""))</f>
        <v/>
      </c>
      <c r="Q201" s="35" t="str">
        <f>IF(AND(T200="",A201&lt;=S200),入力!$B$13,"")</f>
        <v>有効</v>
      </c>
      <c r="R201" s="32" t="str">
        <f>IF(AND(AND(T200="",A201&lt;=S200),OR(AND(入力!$B$13="有効",A201&gt;1,MOD(A201-1,60)=0),AND(A201=入力!$B$11,A201&gt;1)),入力!$B$14="有効"),ROUND(G200*1.25,0),"")</f>
        <v/>
      </c>
      <c r="S201" s="36">
        <f t="shared" si="66"/>
        <v>420</v>
      </c>
      <c r="T201" s="35" t="str">
        <f t="shared" si="67"/>
        <v/>
      </c>
      <c r="U201" s="3">
        <f t="shared" si="51"/>
        <v>0</v>
      </c>
      <c r="V201" s="3">
        <f t="shared" si="52"/>
        <v>0</v>
      </c>
      <c r="W201" s="3">
        <f t="shared" si="53"/>
        <v>0</v>
      </c>
      <c r="X201" s="3">
        <f t="shared" si="54"/>
        <v>0</v>
      </c>
      <c r="Y201" s="3">
        <f>0</f>
        <v>0</v>
      </c>
      <c r="Z201" s="3">
        <f t="shared" si="55"/>
        <v>0</v>
      </c>
      <c r="AA201">
        <f>ROUND(IF(A201=入力!$B$15+1,IF(E201=0,ROUND(C201/MAX(1,S200-A201+1),0),ROUND(-PMT(E201/12,MAX(1,S200-A201+1)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,0)</f>
        <v>98997</v>
      </c>
    </row>
    <row r="202" spans="1:27">
      <c r="A202" s="30">
        <f>197</f>
        <v>197</v>
      </c>
      <c r="B202" s="31">
        <f>EDATE(入力!$B$6,A202-1)</f>
        <v>52201</v>
      </c>
      <c r="C202" s="32">
        <f t="shared" si="56"/>
        <v>17705722</v>
      </c>
      <c r="D202" s="32">
        <f t="shared" si="57"/>
        <v>0</v>
      </c>
      <c r="E202" s="33">
        <f>IF(AND(T201="",A202&lt;=S201),IF(A202&lt;入力!$B$11,入力!$B$10,入力!$B$12),0)</f>
        <v>2.5000000000000001E-2</v>
      </c>
      <c r="F202" s="32">
        <f t="shared" si="58"/>
        <v>36887</v>
      </c>
      <c r="G202" s="32">
        <f>ROUND(IF(NOT(AND(T201="",A202&lt;=S201)),0,IF(A202=入力!$B$15+1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),0)</f>
        <v>98997</v>
      </c>
      <c r="H202" s="32">
        <f t="shared" si="59"/>
        <v>98997</v>
      </c>
      <c r="I202" s="32">
        <f t="shared" si="60"/>
        <v>36887</v>
      </c>
      <c r="J202" s="32">
        <f t="shared" si="61"/>
        <v>0</v>
      </c>
      <c r="K202" s="32">
        <f t="shared" si="62"/>
        <v>0</v>
      </c>
      <c r="L202" s="32">
        <f t="shared" si="63"/>
        <v>62110</v>
      </c>
      <c r="M202" s="32">
        <f>IF(AND(AND(T201="",A202&lt;=S201),A202=入力!$B$15),ROUND(MIN(入力!$B$16,MAX(0,C202-L202)),0),0)</f>
        <v>0</v>
      </c>
      <c r="N202" s="32">
        <f t="shared" si="64"/>
        <v>17643612</v>
      </c>
      <c r="O202" s="32">
        <f t="shared" si="65"/>
        <v>7953981</v>
      </c>
      <c r="P202" s="34" t="str">
        <f>IF(NOT(AND(T201="",A202&lt;=S201)),"",IF(A202=入力!$B$15+1,"繰上返済後再計算","")&amp;IF(AND(入力!$B$13="有効",A202&gt;1,MOD(A202-1,60)=0),IF(A202=入力!$B$15+1,"・","")&amp;"5年見直し","")&amp;IF(AND(A202=入力!$B$11,A202&gt;1),IF(OR(A202=入力!$B$15+1,AND(入力!$B$13="有効",A202&gt;1,MOD(A202-1,60)=0)),"・","")&amp;"金利変更","")&amp;IF(AND(OR(AND(入力!$B$13="有効",A202&gt;1,MOD(A202-1,60)=0),AND(A202=入力!$B$11,A202&gt;1)),入力!$B$14="有効",IF(E202=0,ROUND(C202/MAX(1,S201-A202+1),0),ROUND(-PMT(E202/12,MAX(1,S201-A202+1),C202),0))&gt;ROUND(G201*1.25,0),NOT(A202=入力!$B$15+1)),"・上限適用",""))</f>
        <v/>
      </c>
      <c r="Q202" s="35" t="str">
        <f>IF(AND(T201="",A202&lt;=S201),入力!$B$13,"")</f>
        <v>有効</v>
      </c>
      <c r="R202" s="32" t="str">
        <f>IF(AND(AND(T201="",A202&lt;=S201),OR(AND(入力!$B$13="有効",A202&gt;1,MOD(A202-1,60)=0),AND(A202=入力!$B$11,A202&gt;1)),入力!$B$14="有効"),ROUND(G201*1.25,0),"")</f>
        <v/>
      </c>
      <c r="S202" s="36">
        <f t="shared" si="66"/>
        <v>420</v>
      </c>
      <c r="T202" s="35" t="str">
        <f t="shared" si="67"/>
        <v/>
      </c>
      <c r="U202" s="3">
        <f t="shared" si="51"/>
        <v>0</v>
      </c>
      <c r="V202" s="3">
        <f t="shared" si="52"/>
        <v>0</v>
      </c>
      <c r="W202" s="3">
        <f t="shared" si="53"/>
        <v>0</v>
      </c>
      <c r="X202" s="3">
        <f t="shared" si="54"/>
        <v>0</v>
      </c>
      <c r="Y202" s="3">
        <f>0</f>
        <v>0</v>
      </c>
      <c r="Z202" s="3">
        <f t="shared" si="55"/>
        <v>0</v>
      </c>
      <c r="AA202">
        <f>ROUND(IF(A202=入力!$B$15+1,IF(E202=0,ROUND(C202/MAX(1,S201-A202+1),0),ROUND(-PMT(E202/12,MAX(1,S201-A202+1)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,0)</f>
        <v>98997</v>
      </c>
    </row>
    <row r="203" spans="1:27">
      <c r="A203" s="30">
        <f>198</f>
        <v>198</v>
      </c>
      <c r="B203" s="31">
        <f>EDATE(入力!$B$6,A203-1)</f>
        <v>52232</v>
      </c>
      <c r="C203" s="32">
        <f t="shared" si="56"/>
        <v>17643612</v>
      </c>
      <c r="D203" s="32">
        <f t="shared" si="57"/>
        <v>0</v>
      </c>
      <c r="E203" s="33">
        <f>IF(AND(T202="",A203&lt;=S202),IF(A203&lt;入力!$B$11,入力!$B$10,入力!$B$12),0)</f>
        <v>2.5000000000000001E-2</v>
      </c>
      <c r="F203" s="32">
        <f t="shared" si="58"/>
        <v>36758</v>
      </c>
      <c r="G203" s="32">
        <f>ROUND(IF(NOT(AND(T202="",A203&lt;=S202)),0,IF(A203=入力!$B$15+1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),0)</f>
        <v>98997</v>
      </c>
      <c r="H203" s="32">
        <f t="shared" si="59"/>
        <v>98997</v>
      </c>
      <c r="I203" s="32">
        <f t="shared" si="60"/>
        <v>36758</v>
      </c>
      <c r="J203" s="32">
        <f t="shared" si="61"/>
        <v>0</v>
      </c>
      <c r="K203" s="32">
        <f t="shared" si="62"/>
        <v>0</v>
      </c>
      <c r="L203" s="32">
        <f t="shared" si="63"/>
        <v>62239</v>
      </c>
      <c r="M203" s="32">
        <f>IF(AND(AND(T202="",A203&lt;=S202),A203=入力!$B$15),ROUND(MIN(入力!$B$16,MAX(0,C203-L203)),0),0)</f>
        <v>0</v>
      </c>
      <c r="N203" s="32">
        <f t="shared" si="64"/>
        <v>17581373</v>
      </c>
      <c r="O203" s="32">
        <f t="shared" si="65"/>
        <v>7990739</v>
      </c>
      <c r="P203" s="34" t="str">
        <f>IF(NOT(AND(T202="",A203&lt;=S202)),"",IF(A203=入力!$B$15+1,"繰上返済後再計算","")&amp;IF(AND(入力!$B$13="有効",A203&gt;1,MOD(A203-1,60)=0),IF(A203=入力!$B$15+1,"・","")&amp;"5年見直し","")&amp;IF(AND(A203=入力!$B$11,A203&gt;1),IF(OR(A203=入力!$B$15+1,AND(入力!$B$13="有効",A203&gt;1,MOD(A203-1,60)=0)),"・","")&amp;"金利変更","")&amp;IF(AND(OR(AND(入力!$B$13="有効",A203&gt;1,MOD(A203-1,60)=0),AND(A203=入力!$B$11,A203&gt;1)),入力!$B$14="有効",IF(E203=0,ROUND(C203/MAX(1,S202-A203+1),0),ROUND(-PMT(E203/12,MAX(1,S202-A203+1),C203),0))&gt;ROUND(G202*1.25,0),NOT(A203=入力!$B$15+1)),"・上限適用",""))</f>
        <v/>
      </c>
      <c r="Q203" s="35" t="str">
        <f>IF(AND(T202="",A203&lt;=S202),入力!$B$13,"")</f>
        <v>有効</v>
      </c>
      <c r="R203" s="32" t="str">
        <f>IF(AND(AND(T202="",A203&lt;=S202),OR(AND(入力!$B$13="有効",A203&gt;1,MOD(A203-1,60)=0),AND(A203=入力!$B$11,A203&gt;1)),入力!$B$14="有効"),ROUND(G202*1.25,0),"")</f>
        <v/>
      </c>
      <c r="S203" s="36">
        <f t="shared" si="66"/>
        <v>420</v>
      </c>
      <c r="T203" s="35" t="str">
        <f t="shared" si="67"/>
        <v/>
      </c>
      <c r="U203" s="3">
        <f t="shared" si="51"/>
        <v>0</v>
      </c>
      <c r="V203" s="3">
        <f t="shared" si="52"/>
        <v>0</v>
      </c>
      <c r="W203" s="3">
        <f t="shared" si="53"/>
        <v>0</v>
      </c>
      <c r="X203" s="3">
        <f t="shared" si="54"/>
        <v>0</v>
      </c>
      <c r="Y203" s="3">
        <f>0</f>
        <v>0</v>
      </c>
      <c r="Z203" s="3">
        <f t="shared" si="55"/>
        <v>0</v>
      </c>
      <c r="AA203">
        <f>ROUND(IF(A203=入力!$B$15+1,IF(E203=0,ROUND(C203/MAX(1,S202-A203+1),0),ROUND(-PMT(E203/12,MAX(1,S202-A203+1)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,0)</f>
        <v>98997</v>
      </c>
    </row>
    <row r="204" spans="1:27">
      <c r="A204" s="30">
        <f>199</f>
        <v>199</v>
      </c>
      <c r="B204" s="31">
        <f>EDATE(入力!$B$6,A204-1)</f>
        <v>52263</v>
      </c>
      <c r="C204" s="32">
        <f t="shared" si="56"/>
        <v>17581373</v>
      </c>
      <c r="D204" s="32">
        <f t="shared" si="57"/>
        <v>0</v>
      </c>
      <c r="E204" s="33">
        <f>IF(AND(T203="",A204&lt;=S203),IF(A204&lt;入力!$B$11,入力!$B$10,入力!$B$12),0)</f>
        <v>2.5000000000000001E-2</v>
      </c>
      <c r="F204" s="32">
        <f t="shared" si="58"/>
        <v>36628</v>
      </c>
      <c r="G204" s="32">
        <f>ROUND(IF(NOT(AND(T203="",A204&lt;=S203)),0,IF(A204=入力!$B$15+1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),0)</f>
        <v>98997</v>
      </c>
      <c r="H204" s="32">
        <f t="shared" si="59"/>
        <v>98997</v>
      </c>
      <c r="I204" s="32">
        <f t="shared" si="60"/>
        <v>36628</v>
      </c>
      <c r="J204" s="32">
        <f t="shared" si="61"/>
        <v>0</v>
      </c>
      <c r="K204" s="32">
        <f t="shared" si="62"/>
        <v>0</v>
      </c>
      <c r="L204" s="32">
        <f t="shared" si="63"/>
        <v>62369</v>
      </c>
      <c r="M204" s="32">
        <f>IF(AND(AND(T203="",A204&lt;=S203),A204=入力!$B$15),ROUND(MIN(入力!$B$16,MAX(0,C204-L204)),0),0)</f>
        <v>0</v>
      </c>
      <c r="N204" s="32">
        <f t="shared" si="64"/>
        <v>17519004</v>
      </c>
      <c r="O204" s="32">
        <f t="shared" si="65"/>
        <v>8027367</v>
      </c>
      <c r="P204" s="34" t="str">
        <f>IF(NOT(AND(T203="",A204&lt;=S203)),"",IF(A204=入力!$B$15+1,"繰上返済後再計算","")&amp;IF(AND(入力!$B$13="有効",A204&gt;1,MOD(A204-1,60)=0),IF(A204=入力!$B$15+1,"・","")&amp;"5年見直し","")&amp;IF(AND(A204=入力!$B$11,A204&gt;1),IF(OR(A204=入力!$B$15+1,AND(入力!$B$13="有効",A204&gt;1,MOD(A204-1,60)=0)),"・","")&amp;"金利変更","")&amp;IF(AND(OR(AND(入力!$B$13="有効",A204&gt;1,MOD(A204-1,60)=0),AND(A204=入力!$B$11,A204&gt;1)),入力!$B$14="有効",IF(E204=0,ROUND(C204/MAX(1,S203-A204+1),0),ROUND(-PMT(E204/12,MAX(1,S203-A204+1),C204),0))&gt;ROUND(G203*1.25,0),NOT(A204=入力!$B$15+1)),"・上限適用",""))</f>
        <v/>
      </c>
      <c r="Q204" s="35" t="str">
        <f>IF(AND(T203="",A204&lt;=S203),入力!$B$13,"")</f>
        <v>有効</v>
      </c>
      <c r="R204" s="32" t="str">
        <f>IF(AND(AND(T203="",A204&lt;=S203),OR(AND(入力!$B$13="有効",A204&gt;1,MOD(A204-1,60)=0),AND(A204=入力!$B$11,A204&gt;1)),入力!$B$14="有効"),ROUND(G203*1.25,0),"")</f>
        <v/>
      </c>
      <c r="S204" s="36">
        <f t="shared" si="66"/>
        <v>420</v>
      </c>
      <c r="T204" s="35" t="str">
        <f t="shared" si="67"/>
        <v/>
      </c>
      <c r="U204" s="3">
        <f t="shared" si="51"/>
        <v>0</v>
      </c>
      <c r="V204" s="3">
        <f t="shared" si="52"/>
        <v>0</v>
      </c>
      <c r="W204" s="3">
        <f t="shared" si="53"/>
        <v>0</v>
      </c>
      <c r="X204" s="3">
        <f t="shared" si="54"/>
        <v>0</v>
      </c>
      <c r="Y204" s="3">
        <f>0</f>
        <v>0</v>
      </c>
      <c r="Z204" s="3">
        <f t="shared" si="55"/>
        <v>0</v>
      </c>
      <c r="AA204">
        <f>ROUND(IF(A204=入力!$B$15+1,IF(E204=0,ROUND(C204/MAX(1,S203-A204+1),0),ROUND(-PMT(E204/12,MAX(1,S203-A204+1)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,0)</f>
        <v>98997</v>
      </c>
    </row>
    <row r="205" spans="1:27">
      <c r="A205" s="30">
        <f>200</f>
        <v>200</v>
      </c>
      <c r="B205" s="31">
        <f>EDATE(入力!$B$6,A205-1)</f>
        <v>52291</v>
      </c>
      <c r="C205" s="32">
        <f t="shared" si="56"/>
        <v>17519004</v>
      </c>
      <c r="D205" s="32">
        <f t="shared" si="57"/>
        <v>0</v>
      </c>
      <c r="E205" s="33">
        <f>IF(AND(T204="",A205&lt;=S204),IF(A205&lt;入力!$B$11,入力!$B$10,入力!$B$12),0)</f>
        <v>2.5000000000000001E-2</v>
      </c>
      <c r="F205" s="32">
        <f t="shared" si="58"/>
        <v>36498</v>
      </c>
      <c r="G205" s="32">
        <f>ROUND(IF(NOT(AND(T204="",A205&lt;=S204)),0,IF(A205=入力!$B$15+1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),0)</f>
        <v>98997</v>
      </c>
      <c r="H205" s="32">
        <f t="shared" si="59"/>
        <v>98997</v>
      </c>
      <c r="I205" s="32">
        <f t="shared" si="60"/>
        <v>36498</v>
      </c>
      <c r="J205" s="32">
        <f t="shared" si="61"/>
        <v>0</v>
      </c>
      <c r="K205" s="32">
        <f t="shared" si="62"/>
        <v>0</v>
      </c>
      <c r="L205" s="32">
        <f t="shared" si="63"/>
        <v>62499</v>
      </c>
      <c r="M205" s="32">
        <f>IF(AND(AND(T204="",A205&lt;=S204),A205=入力!$B$15),ROUND(MIN(入力!$B$16,MAX(0,C205-L205)),0),0)</f>
        <v>0</v>
      </c>
      <c r="N205" s="32">
        <f t="shared" si="64"/>
        <v>17456505</v>
      </c>
      <c r="O205" s="32">
        <f t="shared" si="65"/>
        <v>8063865</v>
      </c>
      <c r="P205" s="34" t="str">
        <f>IF(NOT(AND(T204="",A205&lt;=S204)),"",IF(A205=入力!$B$15+1,"繰上返済後再計算","")&amp;IF(AND(入力!$B$13="有効",A205&gt;1,MOD(A205-1,60)=0),IF(A205=入力!$B$15+1,"・","")&amp;"5年見直し","")&amp;IF(AND(A205=入力!$B$11,A205&gt;1),IF(OR(A205=入力!$B$15+1,AND(入力!$B$13="有効",A205&gt;1,MOD(A205-1,60)=0)),"・","")&amp;"金利変更","")&amp;IF(AND(OR(AND(入力!$B$13="有効",A205&gt;1,MOD(A205-1,60)=0),AND(A205=入力!$B$11,A205&gt;1)),入力!$B$14="有効",IF(E205=0,ROUND(C205/MAX(1,S204-A205+1),0),ROUND(-PMT(E205/12,MAX(1,S204-A205+1),C205),0))&gt;ROUND(G204*1.25,0),NOT(A205=入力!$B$15+1)),"・上限適用",""))</f>
        <v/>
      </c>
      <c r="Q205" s="35" t="str">
        <f>IF(AND(T204="",A205&lt;=S204),入力!$B$13,"")</f>
        <v>有効</v>
      </c>
      <c r="R205" s="32" t="str">
        <f>IF(AND(AND(T204="",A205&lt;=S204),OR(AND(入力!$B$13="有効",A205&gt;1,MOD(A205-1,60)=0),AND(A205=入力!$B$11,A205&gt;1)),入力!$B$14="有効"),ROUND(G204*1.25,0),"")</f>
        <v/>
      </c>
      <c r="S205" s="36">
        <f t="shared" si="66"/>
        <v>420</v>
      </c>
      <c r="T205" s="35" t="str">
        <f t="shared" si="67"/>
        <v/>
      </c>
      <c r="U205" s="3">
        <f t="shared" si="51"/>
        <v>0</v>
      </c>
      <c r="V205" s="3">
        <f t="shared" si="52"/>
        <v>0</v>
      </c>
      <c r="W205" s="3">
        <f t="shared" si="53"/>
        <v>0</v>
      </c>
      <c r="X205" s="3">
        <f t="shared" si="54"/>
        <v>0</v>
      </c>
      <c r="Y205" s="3">
        <f>0</f>
        <v>0</v>
      </c>
      <c r="Z205" s="3">
        <f t="shared" si="55"/>
        <v>0</v>
      </c>
      <c r="AA205">
        <f>ROUND(IF(A205=入力!$B$15+1,IF(E205=0,ROUND(C205/MAX(1,S204-A205+1),0),ROUND(-PMT(E205/12,MAX(1,S204-A205+1)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,0)</f>
        <v>98997</v>
      </c>
    </row>
    <row r="206" spans="1:27">
      <c r="A206" s="30">
        <f>201</f>
        <v>201</v>
      </c>
      <c r="B206" s="31">
        <f>EDATE(入力!$B$6,A206-1)</f>
        <v>52322</v>
      </c>
      <c r="C206" s="32">
        <f t="shared" si="56"/>
        <v>17456505</v>
      </c>
      <c r="D206" s="32">
        <f t="shared" si="57"/>
        <v>0</v>
      </c>
      <c r="E206" s="33">
        <f>IF(AND(T205="",A206&lt;=S205),IF(A206&lt;入力!$B$11,入力!$B$10,入力!$B$12),0)</f>
        <v>2.5000000000000001E-2</v>
      </c>
      <c r="F206" s="32">
        <f t="shared" si="58"/>
        <v>36368</v>
      </c>
      <c r="G206" s="32">
        <f>ROUND(IF(NOT(AND(T205="",A206&lt;=S205)),0,IF(A206=入力!$B$15+1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),0)</f>
        <v>98997</v>
      </c>
      <c r="H206" s="32">
        <f t="shared" si="59"/>
        <v>98997</v>
      </c>
      <c r="I206" s="32">
        <f t="shared" si="60"/>
        <v>36368</v>
      </c>
      <c r="J206" s="32">
        <f t="shared" si="61"/>
        <v>0</v>
      </c>
      <c r="K206" s="32">
        <f t="shared" si="62"/>
        <v>0</v>
      </c>
      <c r="L206" s="32">
        <f t="shared" si="63"/>
        <v>62629</v>
      </c>
      <c r="M206" s="32">
        <f>IF(AND(AND(T205="",A206&lt;=S205),A206=入力!$B$15),ROUND(MIN(入力!$B$16,MAX(0,C206-L206)),0),0)</f>
        <v>0</v>
      </c>
      <c r="N206" s="32">
        <f t="shared" si="64"/>
        <v>17393876</v>
      </c>
      <c r="O206" s="32">
        <f t="shared" si="65"/>
        <v>8100233</v>
      </c>
      <c r="P206" s="34" t="str">
        <f>IF(NOT(AND(T205="",A206&lt;=S205)),"",IF(A206=入力!$B$15+1,"繰上返済後再計算","")&amp;IF(AND(入力!$B$13="有効",A206&gt;1,MOD(A206-1,60)=0),IF(A206=入力!$B$15+1,"・","")&amp;"5年見直し","")&amp;IF(AND(A206=入力!$B$11,A206&gt;1),IF(OR(A206=入力!$B$15+1,AND(入力!$B$13="有効",A206&gt;1,MOD(A206-1,60)=0)),"・","")&amp;"金利変更","")&amp;IF(AND(OR(AND(入力!$B$13="有効",A206&gt;1,MOD(A206-1,60)=0),AND(A206=入力!$B$11,A206&gt;1)),入力!$B$14="有効",IF(E206=0,ROUND(C206/MAX(1,S205-A206+1),0),ROUND(-PMT(E206/12,MAX(1,S205-A206+1),C206),0))&gt;ROUND(G205*1.25,0),NOT(A206=入力!$B$15+1)),"・上限適用",""))</f>
        <v/>
      </c>
      <c r="Q206" s="35" t="str">
        <f>IF(AND(T205="",A206&lt;=S205),入力!$B$13,"")</f>
        <v>有効</v>
      </c>
      <c r="R206" s="32" t="str">
        <f>IF(AND(AND(T205="",A206&lt;=S205),OR(AND(入力!$B$13="有効",A206&gt;1,MOD(A206-1,60)=0),AND(A206=入力!$B$11,A206&gt;1)),入力!$B$14="有効"),ROUND(G205*1.25,0),"")</f>
        <v/>
      </c>
      <c r="S206" s="36">
        <f t="shared" si="66"/>
        <v>420</v>
      </c>
      <c r="T206" s="35" t="str">
        <f t="shared" si="67"/>
        <v/>
      </c>
      <c r="U206" s="3">
        <f t="shared" si="51"/>
        <v>0</v>
      </c>
      <c r="V206" s="3">
        <f t="shared" si="52"/>
        <v>0</v>
      </c>
      <c r="W206" s="3">
        <f t="shared" si="53"/>
        <v>0</v>
      </c>
      <c r="X206" s="3">
        <f t="shared" si="54"/>
        <v>0</v>
      </c>
      <c r="Y206" s="3">
        <f>0</f>
        <v>0</v>
      </c>
      <c r="Z206" s="3">
        <f t="shared" si="55"/>
        <v>0</v>
      </c>
      <c r="AA206">
        <f>ROUND(IF(A206=入力!$B$15+1,IF(E206=0,ROUND(C206/MAX(1,S205-A206+1),0),ROUND(-PMT(E206/12,MAX(1,S205-A206+1)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,0)</f>
        <v>98997</v>
      </c>
    </row>
    <row r="207" spans="1:27">
      <c r="A207" s="30">
        <f>202</f>
        <v>202</v>
      </c>
      <c r="B207" s="31">
        <f>EDATE(入力!$B$6,A207-1)</f>
        <v>52352</v>
      </c>
      <c r="C207" s="32">
        <f t="shared" si="56"/>
        <v>17393876</v>
      </c>
      <c r="D207" s="32">
        <f t="shared" si="57"/>
        <v>0</v>
      </c>
      <c r="E207" s="33">
        <f>IF(AND(T206="",A207&lt;=S206),IF(A207&lt;入力!$B$11,入力!$B$10,入力!$B$12),0)</f>
        <v>2.5000000000000001E-2</v>
      </c>
      <c r="F207" s="32">
        <f t="shared" si="58"/>
        <v>36237</v>
      </c>
      <c r="G207" s="32">
        <f>ROUND(IF(NOT(AND(T206="",A207&lt;=S206)),0,IF(A207=入力!$B$15+1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),0)</f>
        <v>98997</v>
      </c>
      <c r="H207" s="32">
        <f t="shared" si="59"/>
        <v>98997</v>
      </c>
      <c r="I207" s="32">
        <f t="shared" si="60"/>
        <v>36237</v>
      </c>
      <c r="J207" s="32">
        <f t="shared" si="61"/>
        <v>0</v>
      </c>
      <c r="K207" s="32">
        <f t="shared" si="62"/>
        <v>0</v>
      </c>
      <c r="L207" s="32">
        <f t="shared" si="63"/>
        <v>62760</v>
      </c>
      <c r="M207" s="32">
        <f>IF(AND(AND(T206="",A207&lt;=S206),A207=入力!$B$15),ROUND(MIN(入力!$B$16,MAX(0,C207-L207)),0),0)</f>
        <v>0</v>
      </c>
      <c r="N207" s="32">
        <f t="shared" si="64"/>
        <v>17331116</v>
      </c>
      <c r="O207" s="32">
        <f t="shared" si="65"/>
        <v>8136470</v>
      </c>
      <c r="P207" s="34" t="str">
        <f>IF(NOT(AND(T206="",A207&lt;=S206)),"",IF(A207=入力!$B$15+1,"繰上返済後再計算","")&amp;IF(AND(入力!$B$13="有効",A207&gt;1,MOD(A207-1,60)=0),IF(A207=入力!$B$15+1,"・","")&amp;"5年見直し","")&amp;IF(AND(A207=入力!$B$11,A207&gt;1),IF(OR(A207=入力!$B$15+1,AND(入力!$B$13="有効",A207&gt;1,MOD(A207-1,60)=0)),"・","")&amp;"金利変更","")&amp;IF(AND(OR(AND(入力!$B$13="有効",A207&gt;1,MOD(A207-1,60)=0),AND(A207=入力!$B$11,A207&gt;1)),入力!$B$14="有効",IF(E207=0,ROUND(C207/MAX(1,S206-A207+1),0),ROUND(-PMT(E207/12,MAX(1,S206-A207+1),C207),0))&gt;ROUND(G206*1.25,0),NOT(A207=入力!$B$15+1)),"・上限適用",""))</f>
        <v/>
      </c>
      <c r="Q207" s="35" t="str">
        <f>IF(AND(T206="",A207&lt;=S206),入力!$B$13,"")</f>
        <v>有効</v>
      </c>
      <c r="R207" s="32" t="str">
        <f>IF(AND(AND(T206="",A207&lt;=S206),OR(AND(入力!$B$13="有効",A207&gt;1,MOD(A207-1,60)=0),AND(A207=入力!$B$11,A207&gt;1)),入力!$B$14="有効"),ROUND(G206*1.25,0),"")</f>
        <v/>
      </c>
      <c r="S207" s="36">
        <f t="shared" si="66"/>
        <v>420</v>
      </c>
      <c r="T207" s="35" t="str">
        <f t="shared" si="67"/>
        <v/>
      </c>
      <c r="U207" s="3">
        <f t="shared" si="51"/>
        <v>0</v>
      </c>
      <c r="V207" s="3">
        <f t="shared" si="52"/>
        <v>0</v>
      </c>
      <c r="W207" s="3">
        <f t="shared" si="53"/>
        <v>0</v>
      </c>
      <c r="X207" s="3">
        <f t="shared" si="54"/>
        <v>0</v>
      </c>
      <c r="Y207" s="3">
        <f>0</f>
        <v>0</v>
      </c>
      <c r="Z207" s="3">
        <f t="shared" si="55"/>
        <v>0</v>
      </c>
      <c r="AA207">
        <f>ROUND(IF(A207=入力!$B$15+1,IF(E207=0,ROUND(C207/MAX(1,S206-A207+1),0),ROUND(-PMT(E207/12,MAX(1,S206-A207+1)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,0)</f>
        <v>98997</v>
      </c>
    </row>
    <row r="208" spans="1:27">
      <c r="A208" s="30">
        <f>203</f>
        <v>203</v>
      </c>
      <c r="B208" s="31">
        <f>EDATE(入力!$B$6,A208-1)</f>
        <v>52383</v>
      </c>
      <c r="C208" s="32">
        <f t="shared" si="56"/>
        <v>17331116</v>
      </c>
      <c r="D208" s="32">
        <f t="shared" si="57"/>
        <v>0</v>
      </c>
      <c r="E208" s="33">
        <f>IF(AND(T207="",A208&lt;=S207),IF(A208&lt;入力!$B$11,入力!$B$10,入力!$B$12),0)</f>
        <v>2.5000000000000001E-2</v>
      </c>
      <c r="F208" s="32">
        <f t="shared" si="58"/>
        <v>36106</v>
      </c>
      <c r="G208" s="32">
        <f>ROUND(IF(NOT(AND(T207="",A208&lt;=S207)),0,IF(A208=入力!$B$15+1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),0)</f>
        <v>98997</v>
      </c>
      <c r="H208" s="32">
        <f t="shared" si="59"/>
        <v>98997</v>
      </c>
      <c r="I208" s="32">
        <f t="shared" si="60"/>
        <v>36106</v>
      </c>
      <c r="J208" s="32">
        <f t="shared" si="61"/>
        <v>0</v>
      </c>
      <c r="K208" s="32">
        <f t="shared" si="62"/>
        <v>0</v>
      </c>
      <c r="L208" s="32">
        <f t="shared" si="63"/>
        <v>62891</v>
      </c>
      <c r="M208" s="32">
        <f>IF(AND(AND(T207="",A208&lt;=S207),A208=入力!$B$15),ROUND(MIN(入力!$B$16,MAX(0,C208-L208)),0),0)</f>
        <v>0</v>
      </c>
      <c r="N208" s="32">
        <f t="shared" si="64"/>
        <v>17268225</v>
      </c>
      <c r="O208" s="32">
        <f t="shared" si="65"/>
        <v>8172576</v>
      </c>
      <c r="P208" s="34" t="str">
        <f>IF(NOT(AND(T207="",A208&lt;=S207)),"",IF(A208=入力!$B$15+1,"繰上返済後再計算","")&amp;IF(AND(入力!$B$13="有効",A208&gt;1,MOD(A208-1,60)=0),IF(A208=入力!$B$15+1,"・","")&amp;"5年見直し","")&amp;IF(AND(A208=入力!$B$11,A208&gt;1),IF(OR(A208=入力!$B$15+1,AND(入力!$B$13="有効",A208&gt;1,MOD(A208-1,60)=0)),"・","")&amp;"金利変更","")&amp;IF(AND(OR(AND(入力!$B$13="有効",A208&gt;1,MOD(A208-1,60)=0),AND(A208=入力!$B$11,A208&gt;1)),入力!$B$14="有効",IF(E208=0,ROUND(C208/MAX(1,S207-A208+1),0),ROUND(-PMT(E208/12,MAX(1,S207-A208+1),C208),0))&gt;ROUND(G207*1.25,0),NOT(A208=入力!$B$15+1)),"・上限適用",""))</f>
        <v/>
      </c>
      <c r="Q208" s="35" t="str">
        <f>IF(AND(T207="",A208&lt;=S207),入力!$B$13,"")</f>
        <v>有効</v>
      </c>
      <c r="R208" s="32" t="str">
        <f>IF(AND(AND(T207="",A208&lt;=S207),OR(AND(入力!$B$13="有効",A208&gt;1,MOD(A208-1,60)=0),AND(A208=入力!$B$11,A208&gt;1)),入力!$B$14="有効"),ROUND(G207*1.25,0),"")</f>
        <v/>
      </c>
      <c r="S208" s="36">
        <f t="shared" si="66"/>
        <v>420</v>
      </c>
      <c r="T208" s="35" t="str">
        <f t="shared" si="67"/>
        <v/>
      </c>
      <c r="U208" s="3">
        <f t="shared" si="51"/>
        <v>0</v>
      </c>
      <c r="V208" s="3">
        <f t="shared" si="52"/>
        <v>0</v>
      </c>
      <c r="W208" s="3">
        <f t="shared" si="53"/>
        <v>0</v>
      </c>
      <c r="X208" s="3">
        <f t="shared" si="54"/>
        <v>0</v>
      </c>
      <c r="Y208" s="3">
        <f>0</f>
        <v>0</v>
      </c>
      <c r="Z208" s="3">
        <f t="shared" si="55"/>
        <v>0</v>
      </c>
      <c r="AA208">
        <f>ROUND(IF(A208=入力!$B$15+1,IF(E208=0,ROUND(C208/MAX(1,S207-A208+1),0),ROUND(-PMT(E208/12,MAX(1,S207-A208+1)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,0)</f>
        <v>98997</v>
      </c>
    </row>
    <row r="209" spans="1:27">
      <c r="A209" s="30">
        <f>204</f>
        <v>204</v>
      </c>
      <c r="B209" s="31">
        <f>EDATE(入力!$B$6,A209-1)</f>
        <v>52413</v>
      </c>
      <c r="C209" s="32">
        <f t="shared" si="56"/>
        <v>17268225</v>
      </c>
      <c r="D209" s="32">
        <f t="shared" si="57"/>
        <v>0</v>
      </c>
      <c r="E209" s="33">
        <f>IF(AND(T208="",A209&lt;=S208),IF(A209&lt;入力!$B$11,入力!$B$10,入力!$B$12),0)</f>
        <v>2.5000000000000001E-2</v>
      </c>
      <c r="F209" s="32">
        <f t="shared" si="58"/>
        <v>35975</v>
      </c>
      <c r="G209" s="32">
        <f>ROUND(IF(NOT(AND(T208="",A209&lt;=S208)),0,IF(A209=入力!$B$15+1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),0)</f>
        <v>98997</v>
      </c>
      <c r="H209" s="32">
        <f t="shared" si="59"/>
        <v>98997</v>
      </c>
      <c r="I209" s="32">
        <f t="shared" si="60"/>
        <v>35975</v>
      </c>
      <c r="J209" s="32">
        <f t="shared" si="61"/>
        <v>0</v>
      </c>
      <c r="K209" s="32">
        <f t="shared" si="62"/>
        <v>0</v>
      </c>
      <c r="L209" s="32">
        <f t="shared" si="63"/>
        <v>63022</v>
      </c>
      <c r="M209" s="32">
        <f>IF(AND(AND(T208="",A209&lt;=S208),A209=入力!$B$15),ROUND(MIN(入力!$B$16,MAX(0,C209-L209)),0),0)</f>
        <v>0</v>
      </c>
      <c r="N209" s="32">
        <f t="shared" si="64"/>
        <v>17205203</v>
      </c>
      <c r="O209" s="32">
        <f t="shared" si="65"/>
        <v>8208551</v>
      </c>
      <c r="P209" s="34" t="str">
        <f>IF(NOT(AND(T208="",A209&lt;=S208)),"",IF(A209=入力!$B$15+1,"繰上返済後再計算","")&amp;IF(AND(入力!$B$13="有効",A209&gt;1,MOD(A209-1,60)=0),IF(A209=入力!$B$15+1,"・","")&amp;"5年見直し","")&amp;IF(AND(A209=入力!$B$11,A209&gt;1),IF(OR(A209=入力!$B$15+1,AND(入力!$B$13="有効",A209&gt;1,MOD(A209-1,60)=0)),"・","")&amp;"金利変更","")&amp;IF(AND(OR(AND(入力!$B$13="有効",A209&gt;1,MOD(A209-1,60)=0),AND(A209=入力!$B$11,A209&gt;1)),入力!$B$14="有効",IF(E209=0,ROUND(C209/MAX(1,S208-A209+1),0),ROUND(-PMT(E209/12,MAX(1,S208-A209+1),C209),0))&gt;ROUND(G208*1.25,0),NOT(A209=入力!$B$15+1)),"・上限適用",""))</f>
        <v/>
      </c>
      <c r="Q209" s="35" t="str">
        <f>IF(AND(T208="",A209&lt;=S208),入力!$B$13,"")</f>
        <v>有効</v>
      </c>
      <c r="R209" s="32" t="str">
        <f>IF(AND(AND(T208="",A209&lt;=S208),OR(AND(入力!$B$13="有効",A209&gt;1,MOD(A209-1,60)=0),AND(A209=入力!$B$11,A209&gt;1)),入力!$B$14="有効"),ROUND(G208*1.25,0),"")</f>
        <v/>
      </c>
      <c r="S209" s="36">
        <f t="shared" si="66"/>
        <v>420</v>
      </c>
      <c r="T209" s="35" t="str">
        <f t="shared" si="67"/>
        <v/>
      </c>
      <c r="U209" s="3">
        <f t="shared" si="51"/>
        <v>0</v>
      </c>
      <c r="V209" s="3">
        <f t="shared" si="52"/>
        <v>0</v>
      </c>
      <c r="W209" s="3">
        <f t="shared" si="53"/>
        <v>0</v>
      </c>
      <c r="X209" s="3">
        <f t="shared" si="54"/>
        <v>0</v>
      </c>
      <c r="Y209" s="3">
        <f>0</f>
        <v>0</v>
      </c>
      <c r="Z209" s="3">
        <f t="shared" si="55"/>
        <v>0</v>
      </c>
      <c r="AA209">
        <f>ROUND(IF(A209=入力!$B$15+1,IF(E209=0,ROUND(C209/MAX(1,S208-A209+1),0),ROUND(-PMT(E209/12,MAX(1,S208-A209+1)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,0)</f>
        <v>98997</v>
      </c>
    </row>
    <row r="210" spans="1:27">
      <c r="A210" s="30">
        <f>205</f>
        <v>205</v>
      </c>
      <c r="B210" s="31">
        <f>EDATE(入力!$B$6,A210-1)</f>
        <v>52444</v>
      </c>
      <c r="C210" s="32">
        <f t="shared" si="56"/>
        <v>17205203</v>
      </c>
      <c r="D210" s="32">
        <f t="shared" si="57"/>
        <v>0</v>
      </c>
      <c r="E210" s="33">
        <f>IF(AND(T209="",A210&lt;=S209),IF(A210&lt;入力!$B$11,入力!$B$10,入力!$B$12),0)</f>
        <v>2.5000000000000001E-2</v>
      </c>
      <c r="F210" s="32">
        <f t="shared" si="58"/>
        <v>35844</v>
      </c>
      <c r="G210" s="32">
        <f>ROUND(IF(NOT(AND(T209="",A210&lt;=S209)),0,IF(A210=入力!$B$15+1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),0)</f>
        <v>98997</v>
      </c>
      <c r="H210" s="32">
        <f t="shared" si="59"/>
        <v>98997</v>
      </c>
      <c r="I210" s="32">
        <f t="shared" si="60"/>
        <v>35844</v>
      </c>
      <c r="J210" s="32">
        <f t="shared" si="61"/>
        <v>0</v>
      </c>
      <c r="K210" s="32">
        <f t="shared" si="62"/>
        <v>0</v>
      </c>
      <c r="L210" s="32">
        <f t="shared" si="63"/>
        <v>63153</v>
      </c>
      <c r="M210" s="32">
        <f>IF(AND(AND(T209="",A210&lt;=S209),A210=入力!$B$15),ROUND(MIN(入力!$B$16,MAX(0,C210-L210)),0),0)</f>
        <v>0</v>
      </c>
      <c r="N210" s="32">
        <f t="shared" si="64"/>
        <v>17142050</v>
      </c>
      <c r="O210" s="32">
        <f t="shared" si="65"/>
        <v>8244395</v>
      </c>
      <c r="P210" s="34" t="str">
        <f>IF(NOT(AND(T209="",A210&lt;=S209)),"",IF(A210=入力!$B$15+1,"繰上返済後再計算","")&amp;IF(AND(入力!$B$13="有効",A210&gt;1,MOD(A210-1,60)=0),IF(A210=入力!$B$15+1,"・","")&amp;"5年見直し","")&amp;IF(AND(A210=入力!$B$11,A210&gt;1),IF(OR(A210=入力!$B$15+1,AND(入力!$B$13="有効",A210&gt;1,MOD(A210-1,60)=0)),"・","")&amp;"金利変更","")&amp;IF(AND(OR(AND(入力!$B$13="有効",A210&gt;1,MOD(A210-1,60)=0),AND(A210=入力!$B$11,A210&gt;1)),入力!$B$14="有効",IF(E210=0,ROUND(C210/MAX(1,S209-A210+1),0),ROUND(-PMT(E210/12,MAX(1,S209-A210+1),C210),0))&gt;ROUND(G209*1.25,0),NOT(A210=入力!$B$15+1)),"・上限適用",""))</f>
        <v/>
      </c>
      <c r="Q210" s="35" t="str">
        <f>IF(AND(T209="",A210&lt;=S209),入力!$B$13,"")</f>
        <v>有効</v>
      </c>
      <c r="R210" s="32" t="str">
        <f>IF(AND(AND(T209="",A210&lt;=S209),OR(AND(入力!$B$13="有効",A210&gt;1,MOD(A210-1,60)=0),AND(A210=入力!$B$11,A210&gt;1)),入力!$B$14="有効"),ROUND(G209*1.25,0),"")</f>
        <v/>
      </c>
      <c r="S210" s="36">
        <f t="shared" si="66"/>
        <v>420</v>
      </c>
      <c r="T210" s="35" t="str">
        <f t="shared" si="67"/>
        <v/>
      </c>
      <c r="U210" s="3">
        <f t="shared" si="51"/>
        <v>0</v>
      </c>
      <c r="V210" s="3">
        <f t="shared" si="52"/>
        <v>0</v>
      </c>
      <c r="W210" s="3">
        <f t="shared" si="53"/>
        <v>0</v>
      </c>
      <c r="X210" s="3">
        <f t="shared" si="54"/>
        <v>0</v>
      </c>
      <c r="Y210" s="3">
        <f>0</f>
        <v>0</v>
      </c>
      <c r="Z210" s="3">
        <f t="shared" si="55"/>
        <v>0</v>
      </c>
      <c r="AA210">
        <f>ROUND(IF(A210=入力!$B$15+1,IF(E210=0,ROUND(C210/MAX(1,S209-A210+1),0),ROUND(-PMT(E210/12,MAX(1,S209-A210+1)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,0)</f>
        <v>98997</v>
      </c>
    </row>
    <row r="211" spans="1:27">
      <c r="A211" s="30">
        <f>206</f>
        <v>206</v>
      </c>
      <c r="B211" s="31">
        <f>EDATE(入力!$B$6,A211-1)</f>
        <v>52475</v>
      </c>
      <c r="C211" s="32">
        <f t="shared" si="56"/>
        <v>17142050</v>
      </c>
      <c r="D211" s="32">
        <f t="shared" si="57"/>
        <v>0</v>
      </c>
      <c r="E211" s="33">
        <f>IF(AND(T210="",A211&lt;=S210),IF(A211&lt;入力!$B$11,入力!$B$10,入力!$B$12),0)</f>
        <v>2.5000000000000001E-2</v>
      </c>
      <c r="F211" s="32">
        <f t="shared" si="58"/>
        <v>35713</v>
      </c>
      <c r="G211" s="32">
        <f>ROUND(IF(NOT(AND(T210="",A211&lt;=S210)),0,IF(A211=入力!$B$15+1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),0)</f>
        <v>98997</v>
      </c>
      <c r="H211" s="32">
        <f t="shared" si="59"/>
        <v>98997</v>
      </c>
      <c r="I211" s="32">
        <f t="shared" si="60"/>
        <v>35713</v>
      </c>
      <c r="J211" s="32">
        <f t="shared" si="61"/>
        <v>0</v>
      </c>
      <c r="K211" s="32">
        <f t="shared" si="62"/>
        <v>0</v>
      </c>
      <c r="L211" s="32">
        <f t="shared" si="63"/>
        <v>63284</v>
      </c>
      <c r="M211" s="32">
        <f>IF(AND(AND(T210="",A211&lt;=S210),A211=入力!$B$15),ROUND(MIN(入力!$B$16,MAX(0,C211-L211)),0),0)</f>
        <v>0</v>
      </c>
      <c r="N211" s="32">
        <f t="shared" si="64"/>
        <v>17078766</v>
      </c>
      <c r="O211" s="32">
        <f t="shared" si="65"/>
        <v>8280108</v>
      </c>
      <c r="P211" s="34" t="str">
        <f>IF(NOT(AND(T210="",A211&lt;=S210)),"",IF(A211=入力!$B$15+1,"繰上返済後再計算","")&amp;IF(AND(入力!$B$13="有効",A211&gt;1,MOD(A211-1,60)=0),IF(A211=入力!$B$15+1,"・","")&amp;"5年見直し","")&amp;IF(AND(A211=入力!$B$11,A211&gt;1),IF(OR(A211=入力!$B$15+1,AND(入力!$B$13="有効",A211&gt;1,MOD(A211-1,60)=0)),"・","")&amp;"金利変更","")&amp;IF(AND(OR(AND(入力!$B$13="有効",A211&gt;1,MOD(A211-1,60)=0),AND(A211=入力!$B$11,A211&gt;1)),入力!$B$14="有効",IF(E211=0,ROUND(C211/MAX(1,S210-A211+1),0),ROUND(-PMT(E211/12,MAX(1,S210-A211+1),C211),0))&gt;ROUND(G210*1.25,0),NOT(A211=入力!$B$15+1)),"・上限適用",""))</f>
        <v/>
      </c>
      <c r="Q211" s="35" t="str">
        <f>IF(AND(T210="",A211&lt;=S210),入力!$B$13,"")</f>
        <v>有効</v>
      </c>
      <c r="R211" s="32" t="str">
        <f>IF(AND(AND(T210="",A211&lt;=S210),OR(AND(入力!$B$13="有効",A211&gt;1,MOD(A211-1,60)=0),AND(A211=入力!$B$11,A211&gt;1)),入力!$B$14="有効"),ROUND(G210*1.25,0),"")</f>
        <v/>
      </c>
      <c r="S211" s="36">
        <f t="shared" si="66"/>
        <v>420</v>
      </c>
      <c r="T211" s="35" t="str">
        <f t="shared" si="67"/>
        <v/>
      </c>
      <c r="U211" s="3">
        <f t="shared" si="51"/>
        <v>0</v>
      </c>
      <c r="V211" s="3">
        <f t="shared" si="52"/>
        <v>0</v>
      </c>
      <c r="W211" s="3">
        <f t="shared" si="53"/>
        <v>0</v>
      </c>
      <c r="X211" s="3">
        <f t="shared" si="54"/>
        <v>0</v>
      </c>
      <c r="Y211" s="3">
        <f>0</f>
        <v>0</v>
      </c>
      <c r="Z211" s="3">
        <f t="shared" si="55"/>
        <v>0</v>
      </c>
      <c r="AA211">
        <f>ROUND(IF(A211=入力!$B$15+1,IF(E211=0,ROUND(C211/MAX(1,S210-A211+1),0),ROUND(-PMT(E211/12,MAX(1,S210-A211+1)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,0)</f>
        <v>98997</v>
      </c>
    </row>
    <row r="212" spans="1:27">
      <c r="A212" s="30">
        <f>207</f>
        <v>207</v>
      </c>
      <c r="B212" s="31">
        <f>EDATE(入力!$B$6,A212-1)</f>
        <v>52505</v>
      </c>
      <c r="C212" s="32">
        <f t="shared" si="56"/>
        <v>17078766</v>
      </c>
      <c r="D212" s="32">
        <f t="shared" si="57"/>
        <v>0</v>
      </c>
      <c r="E212" s="33">
        <f>IF(AND(T211="",A212&lt;=S211),IF(A212&lt;入力!$B$11,入力!$B$10,入力!$B$12),0)</f>
        <v>2.5000000000000001E-2</v>
      </c>
      <c r="F212" s="32">
        <f t="shared" si="58"/>
        <v>35581</v>
      </c>
      <c r="G212" s="32">
        <f>ROUND(IF(NOT(AND(T211="",A212&lt;=S211)),0,IF(A212=入力!$B$15+1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),0)</f>
        <v>98997</v>
      </c>
      <c r="H212" s="32">
        <f t="shared" si="59"/>
        <v>98997</v>
      </c>
      <c r="I212" s="32">
        <f t="shared" si="60"/>
        <v>35581</v>
      </c>
      <c r="J212" s="32">
        <f t="shared" si="61"/>
        <v>0</v>
      </c>
      <c r="K212" s="32">
        <f t="shared" si="62"/>
        <v>0</v>
      </c>
      <c r="L212" s="32">
        <f t="shared" si="63"/>
        <v>63416</v>
      </c>
      <c r="M212" s="32">
        <f>IF(AND(AND(T211="",A212&lt;=S211),A212=入力!$B$15),ROUND(MIN(入力!$B$16,MAX(0,C212-L212)),0),0)</f>
        <v>0</v>
      </c>
      <c r="N212" s="32">
        <f t="shared" si="64"/>
        <v>17015350</v>
      </c>
      <c r="O212" s="32">
        <f t="shared" si="65"/>
        <v>8315689</v>
      </c>
      <c r="P212" s="34" t="str">
        <f>IF(NOT(AND(T211="",A212&lt;=S211)),"",IF(A212=入力!$B$15+1,"繰上返済後再計算","")&amp;IF(AND(入力!$B$13="有効",A212&gt;1,MOD(A212-1,60)=0),IF(A212=入力!$B$15+1,"・","")&amp;"5年見直し","")&amp;IF(AND(A212=入力!$B$11,A212&gt;1),IF(OR(A212=入力!$B$15+1,AND(入力!$B$13="有効",A212&gt;1,MOD(A212-1,60)=0)),"・","")&amp;"金利変更","")&amp;IF(AND(OR(AND(入力!$B$13="有効",A212&gt;1,MOD(A212-1,60)=0),AND(A212=入力!$B$11,A212&gt;1)),入力!$B$14="有効",IF(E212=0,ROUND(C212/MAX(1,S211-A212+1),0),ROUND(-PMT(E212/12,MAX(1,S211-A212+1),C212),0))&gt;ROUND(G211*1.25,0),NOT(A212=入力!$B$15+1)),"・上限適用",""))</f>
        <v/>
      </c>
      <c r="Q212" s="35" t="str">
        <f>IF(AND(T211="",A212&lt;=S211),入力!$B$13,"")</f>
        <v>有効</v>
      </c>
      <c r="R212" s="32" t="str">
        <f>IF(AND(AND(T211="",A212&lt;=S211),OR(AND(入力!$B$13="有効",A212&gt;1,MOD(A212-1,60)=0),AND(A212=入力!$B$11,A212&gt;1)),入力!$B$14="有効"),ROUND(G211*1.25,0),"")</f>
        <v/>
      </c>
      <c r="S212" s="36">
        <f t="shared" si="66"/>
        <v>420</v>
      </c>
      <c r="T212" s="35" t="str">
        <f t="shared" si="67"/>
        <v/>
      </c>
      <c r="U212" s="3">
        <f t="shared" si="51"/>
        <v>0</v>
      </c>
      <c r="V212" s="3">
        <f t="shared" si="52"/>
        <v>0</v>
      </c>
      <c r="W212" s="3">
        <f t="shared" si="53"/>
        <v>0</v>
      </c>
      <c r="X212" s="3">
        <f t="shared" si="54"/>
        <v>0</v>
      </c>
      <c r="Y212" s="3">
        <f>0</f>
        <v>0</v>
      </c>
      <c r="Z212" s="3">
        <f t="shared" si="55"/>
        <v>0</v>
      </c>
      <c r="AA212">
        <f>ROUND(IF(A212=入力!$B$15+1,IF(E212=0,ROUND(C212/MAX(1,S211-A212+1),0),ROUND(-PMT(E212/12,MAX(1,S211-A212+1)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,0)</f>
        <v>98997</v>
      </c>
    </row>
    <row r="213" spans="1:27">
      <c r="A213" s="30">
        <f>208</f>
        <v>208</v>
      </c>
      <c r="B213" s="31">
        <f>EDATE(入力!$B$6,A213-1)</f>
        <v>52536</v>
      </c>
      <c r="C213" s="32">
        <f t="shared" si="56"/>
        <v>17015350</v>
      </c>
      <c r="D213" s="32">
        <f t="shared" si="57"/>
        <v>0</v>
      </c>
      <c r="E213" s="33">
        <f>IF(AND(T212="",A213&lt;=S212),IF(A213&lt;入力!$B$11,入力!$B$10,入力!$B$12),0)</f>
        <v>2.5000000000000001E-2</v>
      </c>
      <c r="F213" s="32">
        <f t="shared" si="58"/>
        <v>35449</v>
      </c>
      <c r="G213" s="32">
        <f>ROUND(IF(NOT(AND(T212="",A213&lt;=S212)),0,IF(A213=入力!$B$15+1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),0)</f>
        <v>98997</v>
      </c>
      <c r="H213" s="32">
        <f t="shared" si="59"/>
        <v>98997</v>
      </c>
      <c r="I213" s="32">
        <f t="shared" si="60"/>
        <v>35449</v>
      </c>
      <c r="J213" s="32">
        <f t="shared" si="61"/>
        <v>0</v>
      </c>
      <c r="K213" s="32">
        <f t="shared" si="62"/>
        <v>0</v>
      </c>
      <c r="L213" s="32">
        <f t="shared" si="63"/>
        <v>63548</v>
      </c>
      <c r="M213" s="32">
        <f>IF(AND(AND(T212="",A213&lt;=S212),A213=入力!$B$15),ROUND(MIN(入力!$B$16,MAX(0,C213-L213)),0),0)</f>
        <v>0</v>
      </c>
      <c r="N213" s="32">
        <f t="shared" si="64"/>
        <v>16951802</v>
      </c>
      <c r="O213" s="32">
        <f t="shared" si="65"/>
        <v>8351138</v>
      </c>
      <c r="P213" s="34" t="str">
        <f>IF(NOT(AND(T212="",A213&lt;=S212)),"",IF(A213=入力!$B$15+1,"繰上返済後再計算","")&amp;IF(AND(入力!$B$13="有効",A213&gt;1,MOD(A213-1,60)=0),IF(A213=入力!$B$15+1,"・","")&amp;"5年見直し","")&amp;IF(AND(A213=入力!$B$11,A213&gt;1),IF(OR(A213=入力!$B$15+1,AND(入力!$B$13="有効",A213&gt;1,MOD(A213-1,60)=0)),"・","")&amp;"金利変更","")&amp;IF(AND(OR(AND(入力!$B$13="有効",A213&gt;1,MOD(A213-1,60)=0),AND(A213=入力!$B$11,A213&gt;1)),入力!$B$14="有効",IF(E213=0,ROUND(C213/MAX(1,S212-A213+1),0),ROUND(-PMT(E213/12,MAX(1,S212-A213+1),C213),0))&gt;ROUND(G212*1.25,0),NOT(A213=入力!$B$15+1)),"・上限適用",""))</f>
        <v/>
      </c>
      <c r="Q213" s="35" t="str">
        <f>IF(AND(T212="",A213&lt;=S212),入力!$B$13,"")</f>
        <v>有効</v>
      </c>
      <c r="R213" s="32" t="str">
        <f>IF(AND(AND(T212="",A213&lt;=S212),OR(AND(入力!$B$13="有効",A213&gt;1,MOD(A213-1,60)=0),AND(A213=入力!$B$11,A213&gt;1)),入力!$B$14="有効"),ROUND(G212*1.25,0),"")</f>
        <v/>
      </c>
      <c r="S213" s="36">
        <f t="shared" si="66"/>
        <v>420</v>
      </c>
      <c r="T213" s="35" t="str">
        <f t="shared" si="67"/>
        <v/>
      </c>
      <c r="U213" s="3">
        <f t="shared" si="51"/>
        <v>0</v>
      </c>
      <c r="V213" s="3">
        <f t="shared" si="52"/>
        <v>0</v>
      </c>
      <c r="W213" s="3">
        <f t="shared" si="53"/>
        <v>0</v>
      </c>
      <c r="X213" s="3">
        <f t="shared" si="54"/>
        <v>0</v>
      </c>
      <c r="Y213" s="3">
        <f>0</f>
        <v>0</v>
      </c>
      <c r="Z213" s="3">
        <f t="shared" si="55"/>
        <v>0</v>
      </c>
      <c r="AA213">
        <f>ROUND(IF(A213=入力!$B$15+1,IF(E213=0,ROUND(C213/MAX(1,S212-A213+1),0),ROUND(-PMT(E213/12,MAX(1,S212-A213+1)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,0)</f>
        <v>98997</v>
      </c>
    </row>
    <row r="214" spans="1:27">
      <c r="A214" s="30">
        <f>209</f>
        <v>209</v>
      </c>
      <c r="B214" s="31">
        <f>EDATE(入力!$B$6,A214-1)</f>
        <v>52566</v>
      </c>
      <c r="C214" s="32">
        <f t="shared" si="56"/>
        <v>16951802</v>
      </c>
      <c r="D214" s="32">
        <f t="shared" si="57"/>
        <v>0</v>
      </c>
      <c r="E214" s="33">
        <f>IF(AND(T213="",A214&lt;=S213),IF(A214&lt;入力!$B$11,入力!$B$10,入力!$B$12),0)</f>
        <v>2.5000000000000001E-2</v>
      </c>
      <c r="F214" s="32">
        <f t="shared" si="58"/>
        <v>35316</v>
      </c>
      <c r="G214" s="32">
        <f>ROUND(IF(NOT(AND(T213="",A214&lt;=S213)),0,IF(A214=入力!$B$15+1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),0)</f>
        <v>98997</v>
      </c>
      <c r="H214" s="32">
        <f t="shared" si="59"/>
        <v>98997</v>
      </c>
      <c r="I214" s="32">
        <f t="shared" si="60"/>
        <v>35316</v>
      </c>
      <c r="J214" s="32">
        <f t="shared" si="61"/>
        <v>0</v>
      </c>
      <c r="K214" s="32">
        <f t="shared" si="62"/>
        <v>0</v>
      </c>
      <c r="L214" s="32">
        <f t="shared" si="63"/>
        <v>63681</v>
      </c>
      <c r="M214" s="32">
        <f>IF(AND(AND(T213="",A214&lt;=S213),A214=入力!$B$15),ROUND(MIN(入力!$B$16,MAX(0,C214-L214)),0),0)</f>
        <v>0</v>
      </c>
      <c r="N214" s="32">
        <f t="shared" si="64"/>
        <v>16888121</v>
      </c>
      <c r="O214" s="32">
        <f t="shared" si="65"/>
        <v>8386454</v>
      </c>
      <c r="P214" s="34" t="str">
        <f>IF(NOT(AND(T213="",A214&lt;=S213)),"",IF(A214=入力!$B$15+1,"繰上返済後再計算","")&amp;IF(AND(入力!$B$13="有効",A214&gt;1,MOD(A214-1,60)=0),IF(A214=入力!$B$15+1,"・","")&amp;"5年見直し","")&amp;IF(AND(A214=入力!$B$11,A214&gt;1),IF(OR(A214=入力!$B$15+1,AND(入力!$B$13="有効",A214&gt;1,MOD(A214-1,60)=0)),"・","")&amp;"金利変更","")&amp;IF(AND(OR(AND(入力!$B$13="有効",A214&gt;1,MOD(A214-1,60)=0),AND(A214=入力!$B$11,A214&gt;1)),入力!$B$14="有効",IF(E214=0,ROUND(C214/MAX(1,S213-A214+1),0),ROUND(-PMT(E214/12,MAX(1,S213-A214+1),C214),0))&gt;ROUND(G213*1.25,0),NOT(A214=入力!$B$15+1)),"・上限適用",""))</f>
        <v/>
      </c>
      <c r="Q214" s="35" t="str">
        <f>IF(AND(T213="",A214&lt;=S213),入力!$B$13,"")</f>
        <v>有効</v>
      </c>
      <c r="R214" s="32" t="str">
        <f>IF(AND(AND(T213="",A214&lt;=S213),OR(AND(入力!$B$13="有効",A214&gt;1,MOD(A214-1,60)=0),AND(A214=入力!$B$11,A214&gt;1)),入力!$B$14="有効"),ROUND(G213*1.25,0),"")</f>
        <v/>
      </c>
      <c r="S214" s="36">
        <f t="shared" si="66"/>
        <v>420</v>
      </c>
      <c r="T214" s="35" t="str">
        <f t="shared" si="67"/>
        <v/>
      </c>
      <c r="U214" s="3">
        <f t="shared" si="51"/>
        <v>0</v>
      </c>
      <c r="V214" s="3">
        <f t="shared" si="52"/>
        <v>0</v>
      </c>
      <c r="W214" s="3">
        <f t="shared" si="53"/>
        <v>0</v>
      </c>
      <c r="X214" s="3">
        <f t="shared" si="54"/>
        <v>0</v>
      </c>
      <c r="Y214" s="3">
        <f>0</f>
        <v>0</v>
      </c>
      <c r="Z214" s="3">
        <f t="shared" si="55"/>
        <v>0</v>
      </c>
      <c r="AA214">
        <f>ROUND(IF(A214=入力!$B$15+1,IF(E214=0,ROUND(C214/MAX(1,S213-A214+1),0),ROUND(-PMT(E214/12,MAX(1,S213-A214+1)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,0)</f>
        <v>98997</v>
      </c>
    </row>
    <row r="215" spans="1:27">
      <c r="A215" s="30">
        <f>210</f>
        <v>210</v>
      </c>
      <c r="B215" s="31">
        <f>EDATE(入力!$B$6,A215-1)</f>
        <v>52597</v>
      </c>
      <c r="C215" s="32">
        <f t="shared" si="56"/>
        <v>16888121</v>
      </c>
      <c r="D215" s="32">
        <f t="shared" si="57"/>
        <v>0</v>
      </c>
      <c r="E215" s="33">
        <f>IF(AND(T214="",A215&lt;=S214),IF(A215&lt;入力!$B$11,入力!$B$10,入力!$B$12),0)</f>
        <v>2.5000000000000001E-2</v>
      </c>
      <c r="F215" s="32">
        <f t="shared" si="58"/>
        <v>35184</v>
      </c>
      <c r="G215" s="32">
        <f>ROUND(IF(NOT(AND(T214="",A215&lt;=S214)),0,IF(A215=入力!$B$15+1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),0)</f>
        <v>98997</v>
      </c>
      <c r="H215" s="32">
        <f t="shared" si="59"/>
        <v>98997</v>
      </c>
      <c r="I215" s="32">
        <f t="shared" si="60"/>
        <v>35184</v>
      </c>
      <c r="J215" s="32">
        <f t="shared" si="61"/>
        <v>0</v>
      </c>
      <c r="K215" s="32">
        <f t="shared" si="62"/>
        <v>0</v>
      </c>
      <c r="L215" s="32">
        <f t="shared" si="63"/>
        <v>63813</v>
      </c>
      <c r="M215" s="32">
        <f>IF(AND(AND(T214="",A215&lt;=S214),A215=入力!$B$15),ROUND(MIN(入力!$B$16,MAX(0,C215-L215)),0),0)</f>
        <v>0</v>
      </c>
      <c r="N215" s="32">
        <f t="shared" si="64"/>
        <v>16824308</v>
      </c>
      <c r="O215" s="32">
        <f t="shared" si="65"/>
        <v>8421638</v>
      </c>
      <c r="P215" s="34" t="str">
        <f>IF(NOT(AND(T214="",A215&lt;=S214)),"",IF(A215=入力!$B$15+1,"繰上返済後再計算","")&amp;IF(AND(入力!$B$13="有効",A215&gt;1,MOD(A215-1,60)=0),IF(A215=入力!$B$15+1,"・","")&amp;"5年見直し","")&amp;IF(AND(A215=入力!$B$11,A215&gt;1),IF(OR(A215=入力!$B$15+1,AND(入力!$B$13="有効",A215&gt;1,MOD(A215-1,60)=0)),"・","")&amp;"金利変更","")&amp;IF(AND(OR(AND(入力!$B$13="有効",A215&gt;1,MOD(A215-1,60)=0),AND(A215=入力!$B$11,A215&gt;1)),入力!$B$14="有効",IF(E215=0,ROUND(C215/MAX(1,S214-A215+1),0),ROUND(-PMT(E215/12,MAX(1,S214-A215+1),C215),0))&gt;ROUND(G214*1.25,0),NOT(A215=入力!$B$15+1)),"・上限適用",""))</f>
        <v/>
      </c>
      <c r="Q215" s="35" t="str">
        <f>IF(AND(T214="",A215&lt;=S214),入力!$B$13,"")</f>
        <v>有効</v>
      </c>
      <c r="R215" s="32" t="str">
        <f>IF(AND(AND(T214="",A215&lt;=S214),OR(AND(入力!$B$13="有効",A215&gt;1,MOD(A215-1,60)=0),AND(A215=入力!$B$11,A215&gt;1)),入力!$B$14="有効"),ROUND(G214*1.25,0),"")</f>
        <v/>
      </c>
      <c r="S215" s="36">
        <f t="shared" si="66"/>
        <v>420</v>
      </c>
      <c r="T215" s="35" t="str">
        <f t="shared" si="67"/>
        <v/>
      </c>
      <c r="U215" s="3">
        <f t="shared" si="51"/>
        <v>0</v>
      </c>
      <c r="V215" s="3">
        <f t="shared" si="52"/>
        <v>0</v>
      </c>
      <c r="W215" s="3">
        <f t="shared" si="53"/>
        <v>0</v>
      </c>
      <c r="X215" s="3">
        <f t="shared" si="54"/>
        <v>0</v>
      </c>
      <c r="Y215" s="3">
        <f>0</f>
        <v>0</v>
      </c>
      <c r="Z215" s="3">
        <f t="shared" si="55"/>
        <v>0</v>
      </c>
      <c r="AA215">
        <f>ROUND(IF(A215=入力!$B$15+1,IF(E215=0,ROUND(C215/MAX(1,S214-A215+1),0),ROUND(-PMT(E215/12,MAX(1,S214-A215+1)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,0)</f>
        <v>98997</v>
      </c>
    </row>
    <row r="216" spans="1:27">
      <c r="A216" s="30">
        <f>211</f>
        <v>211</v>
      </c>
      <c r="B216" s="31">
        <f>EDATE(入力!$B$6,A216-1)</f>
        <v>52628</v>
      </c>
      <c r="C216" s="32">
        <f t="shared" si="56"/>
        <v>16824308</v>
      </c>
      <c r="D216" s="32">
        <f t="shared" si="57"/>
        <v>0</v>
      </c>
      <c r="E216" s="33">
        <f>IF(AND(T215="",A216&lt;=S215),IF(A216&lt;入力!$B$11,入力!$B$10,入力!$B$12),0)</f>
        <v>2.5000000000000001E-2</v>
      </c>
      <c r="F216" s="32">
        <f t="shared" si="58"/>
        <v>35051</v>
      </c>
      <c r="G216" s="32">
        <f>ROUND(IF(NOT(AND(T215="",A216&lt;=S215)),0,IF(A216=入力!$B$15+1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),0)</f>
        <v>98997</v>
      </c>
      <c r="H216" s="32">
        <f t="shared" si="59"/>
        <v>98997</v>
      </c>
      <c r="I216" s="32">
        <f t="shared" si="60"/>
        <v>35051</v>
      </c>
      <c r="J216" s="32">
        <f t="shared" si="61"/>
        <v>0</v>
      </c>
      <c r="K216" s="32">
        <f t="shared" si="62"/>
        <v>0</v>
      </c>
      <c r="L216" s="32">
        <f t="shared" si="63"/>
        <v>63946</v>
      </c>
      <c r="M216" s="32">
        <f>IF(AND(AND(T215="",A216&lt;=S215),A216=入力!$B$15),ROUND(MIN(入力!$B$16,MAX(0,C216-L216)),0),0)</f>
        <v>0</v>
      </c>
      <c r="N216" s="32">
        <f t="shared" si="64"/>
        <v>16760362</v>
      </c>
      <c r="O216" s="32">
        <f t="shared" si="65"/>
        <v>8456689</v>
      </c>
      <c r="P216" s="34" t="str">
        <f>IF(NOT(AND(T215="",A216&lt;=S215)),"",IF(A216=入力!$B$15+1,"繰上返済後再計算","")&amp;IF(AND(入力!$B$13="有効",A216&gt;1,MOD(A216-1,60)=0),IF(A216=入力!$B$15+1,"・","")&amp;"5年見直し","")&amp;IF(AND(A216=入力!$B$11,A216&gt;1),IF(OR(A216=入力!$B$15+1,AND(入力!$B$13="有効",A216&gt;1,MOD(A216-1,60)=0)),"・","")&amp;"金利変更","")&amp;IF(AND(OR(AND(入力!$B$13="有効",A216&gt;1,MOD(A216-1,60)=0),AND(A216=入力!$B$11,A216&gt;1)),入力!$B$14="有効",IF(E216=0,ROUND(C216/MAX(1,S215-A216+1),0),ROUND(-PMT(E216/12,MAX(1,S215-A216+1),C216),0))&gt;ROUND(G215*1.25,0),NOT(A216=入力!$B$15+1)),"・上限適用",""))</f>
        <v/>
      </c>
      <c r="Q216" s="35" t="str">
        <f>IF(AND(T215="",A216&lt;=S215),入力!$B$13,"")</f>
        <v>有効</v>
      </c>
      <c r="R216" s="32" t="str">
        <f>IF(AND(AND(T215="",A216&lt;=S215),OR(AND(入力!$B$13="有効",A216&gt;1,MOD(A216-1,60)=0),AND(A216=入力!$B$11,A216&gt;1)),入力!$B$14="有効"),ROUND(G215*1.25,0),"")</f>
        <v/>
      </c>
      <c r="S216" s="36">
        <f t="shared" si="66"/>
        <v>420</v>
      </c>
      <c r="T216" s="35" t="str">
        <f t="shared" si="67"/>
        <v/>
      </c>
      <c r="U216" s="3">
        <f t="shared" si="51"/>
        <v>0</v>
      </c>
      <c r="V216" s="3">
        <f t="shared" si="52"/>
        <v>0</v>
      </c>
      <c r="W216" s="3">
        <f t="shared" si="53"/>
        <v>0</v>
      </c>
      <c r="X216" s="3">
        <f t="shared" si="54"/>
        <v>0</v>
      </c>
      <c r="Y216" s="3">
        <f>0</f>
        <v>0</v>
      </c>
      <c r="Z216" s="3">
        <f t="shared" si="55"/>
        <v>0</v>
      </c>
      <c r="AA216">
        <f>ROUND(IF(A216=入力!$B$15+1,IF(E216=0,ROUND(C216/MAX(1,S215-A216+1),0),ROUND(-PMT(E216/12,MAX(1,S215-A216+1)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,0)</f>
        <v>98997</v>
      </c>
    </row>
    <row r="217" spans="1:27">
      <c r="A217" s="30">
        <f>212</f>
        <v>212</v>
      </c>
      <c r="B217" s="31">
        <f>EDATE(入力!$B$6,A217-1)</f>
        <v>52657</v>
      </c>
      <c r="C217" s="32">
        <f t="shared" si="56"/>
        <v>16760362</v>
      </c>
      <c r="D217" s="32">
        <f t="shared" si="57"/>
        <v>0</v>
      </c>
      <c r="E217" s="33">
        <f>IF(AND(T216="",A217&lt;=S216),IF(A217&lt;入力!$B$11,入力!$B$10,入力!$B$12),0)</f>
        <v>2.5000000000000001E-2</v>
      </c>
      <c r="F217" s="32">
        <f t="shared" si="58"/>
        <v>34917</v>
      </c>
      <c r="G217" s="32">
        <f>ROUND(IF(NOT(AND(T216="",A217&lt;=S216)),0,IF(A217=入力!$B$15+1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),0)</f>
        <v>98997</v>
      </c>
      <c r="H217" s="32">
        <f t="shared" si="59"/>
        <v>98997</v>
      </c>
      <c r="I217" s="32">
        <f t="shared" si="60"/>
        <v>34917</v>
      </c>
      <c r="J217" s="32">
        <f t="shared" si="61"/>
        <v>0</v>
      </c>
      <c r="K217" s="32">
        <f t="shared" si="62"/>
        <v>0</v>
      </c>
      <c r="L217" s="32">
        <f t="shared" si="63"/>
        <v>64080</v>
      </c>
      <c r="M217" s="32">
        <f>IF(AND(AND(T216="",A217&lt;=S216),A217=入力!$B$15),ROUND(MIN(入力!$B$16,MAX(0,C217-L217)),0),0)</f>
        <v>0</v>
      </c>
      <c r="N217" s="32">
        <f t="shared" si="64"/>
        <v>16696282</v>
      </c>
      <c r="O217" s="32">
        <f t="shared" si="65"/>
        <v>8491606</v>
      </c>
      <c r="P217" s="34" t="str">
        <f>IF(NOT(AND(T216="",A217&lt;=S216)),"",IF(A217=入力!$B$15+1,"繰上返済後再計算","")&amp;IF(AND(入力!$B$13="有効",A217&gt;1,MOD(A217-1,60)=0),IF(A217=入力!$B$15+1,"・","")&amp;"5年見直し","")&amp;IF(AND(A217=入力!$B$11,A217&gt;1),IF(OR(A217=入力!$B$15+1,AND(入力!$B$13="有効",A217&gt;1,MOD(A217-1,60)=0)),"・","")&amp;"金利変更","")&amp;IF(AND(OR(AND(入力!$B$13="有効",A217&gt;1,MOD(A217-1,60)=0),AND(A217=入力!$B$11,A217&gt;1)),入力!$B$14="有効",IF(E217=0,ROUND(C217/MAX(1,S216-A217+1),0),ROUND(-PMT(E217/12,MAX(1,S216-A217+1),C217),0))&gt;ROUND(G216*1.25,0),NOT(A217=入力!$B$15+1)),"・上限適用",""))</f>
        <v/>
      </c>
      <c r="Q217" s="35" t="str">
        <f>IF(AND(T216="",A217&lt;=S216),入力!$B$13,"")</f>
        <v>有効</v>
      </c>
      <c r="R217" s="32" t="str">
        <f>IF(AND(AND(T216="",A217&lt;=S216),OR(AND(入力!$B$13="有効",A217&gt;1,MOD(A217-1,60)=0),AND(A217=入力!$B$11,A217&gt;1)),入力!$B$14="有効"),ROUND(G216*1.25,0),"")</f>
        <v/>
      </c>
      <c r="S217" s="36">
        <f t="shared" si="66"/>
        <v>420</v>
      </c>
      <c r="T217" s="35" t="str">
        <f t="shared" si="67"/>
        <v/>
      </c>
      <c r="U217" s="3">
        <f t="shared" si="51"/>
        <v>0</v>
      </c>
      <c r="V217" s="3">
        <f t="shared" si="52"/>
        <v>0</v>
      </c>
      <c r="W217" s="3">
        <f t="shared" si="53"/>
        <v>0</v>
      </c>
      <c r="X217" s="3">
        <f t="shared" si="54"/>
        <v>0</v>
      </c>
      <c r="Y217" s="3">
        <f>0</f>
        <v>0</v>
      </c>
      <c r="Z217" s="3">
        <f t="shared" si="55"/>
        <v>0</v>
      </c>
      <c r="AA217">
        <f>ROUND(IF(A217=入力!$B$15+1,IF(E217=0,ROUND(C217/MAX(1,S216-A217+1),0),ROUND(-PMT(E217/12,MAX(1,S216-A217+1)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,0)</f>
        <v>98997</v>
      </c>
    </row>
    <row r="218" spans="1:27">
      <c r="A218" s="30">
        <f>213</f>
        <v>213</v>
      </c>
      <c r="B218" s="31">
        <f>EDATE(入力!$B$6,A218-1)</f>
        <v>52688</v>
      </c>
      <c r="C218" s="32">
        <f t="shared" si="56"/>
        <v>16696282</v>
      </c>
      <c r="D218" s="32">
        <f t="shared" si="57"/>
        <v>0</v>
      </c>
      <c r="E218" s="33">
        <f>IF(AND(T217="",A218&lt;=S217),IF(A218&lt;入力!$B$11,入力!$B$10,入力!$B$12),0)</f>
        <v>2.5000000000000001E-2</v>
      </c>
      <c r="F218" s="32">
        <f t="shared" si="58"/>
        <v>34784</v>
      </c>
      <c r="G218" s="32">
        <f>ROUND(IF(NOT(AND(T217="",A218&lt;=S217)),0,IF(A218=入力!$B$15+1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),0)</f>
        <v>98997</v>
      </c>
      <c r="H218" s="32">
        <f t="shared" si="59"/>
        <v>98997</v>
      </c>
      <c r="I218" s="32">
        <f t="shared" si="60"/>
        <v>34784</v>
      </c>
      <c r="J218" s="32">
        <f t="shared" si="61"/>
        <v>0</v>
      </c>
      <c r="K218" s="32">
        <f t="shared" si="62"/>
        <v>0</v>
      </c>
      <c r="L218" s="32">
        <f t="shared" si="63"/>
        <v>64213</v>
      </c>
      <c r="M218" s="32">
        <f>IF(AND(AND(T217="",A218&lt;=S217),A218=入力!$B$15),ROUND(MIN(入力!$B$16,MAX(0,C218-L218)),0),0)</f>
        <v>0</v>
      </c>
      <c r="N218" s="32">
        <f t="shared" si="64"/>
        <v>16632069</v>
      </c>
      <c r="O218" s="32">
        <f t="shared" si="65"/>
        <v>8526390</v>
      </c>
      <c r="P218" s="34" t="str">
        <f>IF(NOT(AND(T217="",A218&lt;=S217)),"",IF(A218=入力!$B$15+1,"繰上返済後再計算","")&amp;IF(AND(入力!$B$13="有効",A218&gt;1,MOD(A218-1,60)=0),IF(A218=入力!$B$15+1,"・","")&amp;"5年見直し","")&amp;IF(AND(A218=入力!$B$11,A218&gt;1),IF(OR(A218=入力!$B$15+1,AND(入力!$B$13="有効",A218&gt;1,MOD(A218-1,60)=0)),"・","")&amp;"金利変更","")&amp;IF(AND(OR(AND(入力!$B$13="有効",A218&gt;1,MOD(A218-1,60)=0),AND(A218=入力!$B$11,A218&gt;1)),入力!$B$14="有効",IF(E218=0,ROUND(C218/MAX(1,S217-A218+1),0),ROUND(-PMT(E218/12,MAX(1,S217-A218+1),C218),0))&gt;ROUND(G217*1.25,0),NOT(A218=入力!$B$15+1)),"・上限適用",""))</f>
        <v/>
      </c>
      <c r="Q218" s="35" t="str">
        <f>IF(AND(T217="",A218&lt;=S217),入力!$B$13,"")</f>
        <v>有効</v>
      </c>
      <c r="R218" s="32" t="str">
        <f>IF(AND(AND(T217="",A218&lt;=S217),OR(AND(入力!$B$13="有効",A218&gt;1,MOD(A218-1,60)=0),AND(A218=入力!$B$11,A218&gt;1)),入力!$B$14="有効"),ROUND(G217*1.25,0),"")</f>
        <v/>
      </c>
      <c r="S218" s="36">
        <f t="shared" si="66"/>
        <v>420</v>
      </c>
      <c r="T218" s="35" t="str">
        <f t="shared" si="67"/>
        <v/>
      </c>
      <c r="U218" s="3">
        <f t="shared" si="51"/>
        <v>0</v>
      </c>
      <c r="V218" s="3">
        <f t="shared" si="52"/>
        <v>0</v>
      </c>
      <c r="W218" s="3">
        <f t="shared" si="53"/>
        <v>0</v>
      </c>
      <c r="X218" s="3">
        <f t="shared" si="54"/>
        <v>0</v>
      </c>
      <c r="Y218" s="3">
        <f>0</f>
        <v>0</v>
      </c>
      <c r="Z218" s="3">
        <f t="shared" si="55"/>
        <v>0</v>
      </c>
      <c r="AA218">
        <f>ROUND(IF(A218=入力!$B$15+1,IF(E218=0,ROUND(C218/MAX(1,S217-A218+1),0),ROUND(-PMT(E218/12,MAX(1,S217-A218+1)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,0)</f>
        <v>98997</v>
      </c>
    </row>
    <row r="219" spans="1:27">
      <c r="A219" s="30">
        <f>214</f>
        <v>214</v>
      </c>
      <c r="B219" s="31">
        <f>EDATE(入力!$B$6,A219-1)</f>
        <v>52718</v>
      </c>
      <c r="C219" s="32">
        <f t="shared" si="56"/>
        <v>16632069</v>
      </c>
      <c r="D219" s="32">
        <f t="shared" si="57"/>
        <v>0</v>
      </c>
      <c r="E219" s="33">
        <f>IF(AND(T218="",A219&lt;=S218),IF(A219&lt;入力!$B$11,入力!$B$10,入力!$B$12),0)</f>
        <v>2.5000000000000001E-2</v>
      </c>
      <c r="F219" s="32">
        <f t="shared" si="58"/>
        <v>34650</v>
      </c>
      <c r="G219" s="32">
        <f>ROUND(IF(NOT(AND(T218="",A219&lt;=S218)),0,IF(A219=入力!$B$15+1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),0)</f>
        <v>98997</v>
      </c>
      <c r="H219" s="32">
        <f t="shared" si="59"/>
        <v>98997</v>
      </c>
      <c r="I219" s="32">
        <f t="shared" si="60"/>
        <v>34650</v>
      </c>
      <c r="J219" s="32">
        <f t="shared" si="61"/>
        <v>0</v>
      </c>
      <c r="K219" s="32">
        <f t="shared" si="62"/>
        <v>0</v>
      </c>
      <c r="L219" s="32">
        <f t="shared" si="63"/>
        <v>64347</v>
      </c>
      <c r="M219" s="32">
        <f>IF(AND(AND(T218="",A219&lt;=S218),A219=入力!$B$15),ROUND(MIN(入力!$B$16,MAX(0,C219-L219)),0),0)</f>
        <v>0</v>
      </c>
      <c r="N219" s="32">
        <f t="shared" si="64"/>
        <v>16567722</v>
      </c>
      <c r="O219" s="32">
        <f t="shared" si="65"/>
        <v>8561040</v>
      </c>
      <c r="P219" s="34" t="str">
        <f>IF(NOT(AND(T218="",A219&lt;=S218)),"",IF(A219=入力!$B$15+1,"繰上返済後再計算","")&amp;IF(AND(入力!$B$13="有効",A219&gt;1,MOD(A219-1,60)=0),IF(A219=入力!$B$15+1,"・","")&amp;"5年見直し","")&amp;IF(AND(A219=入力!$B$11,A219&gt;1),IF(OR(A219=入力!$B$15+1,AND(入力!$B$13="有効",A219&gt;1,MOD(A219-1,60)=0)),"・","")&amp;"金利変更","")&amp;IF(AND(OR(AND(入力!$B$13="有効",A219&gt;1,MOD(A219-1,60)=0),AND(A219=入力!$B$11,A219&gt;1)),入力!$B$14="有効",IF(E219=0,ROUND(C219/MAX(1,S218-A219+1),0),ROUND(-PMT(E219/12,MAX(1,S218-A219+1),C219),0))&gt;ROUND(G218*1.25,0),NOT(A219=入力!$B$15+1)),"・上限適用",""))</f>
        <v/>
      </c>
      <c r="Q219" s="35" t="str">
        <f>IF(AND(T218="",A219&lt;=S218),入力!$B$13,"")</f>
        <v>有効</v>
      </c>
      <c r="R219" s="32" t="str">
        <f>IF(AND(AND(T218="",A219&lt;=S218),OR(AND(入力!$B$13="有効",A219&gt;1,MOD(A219-1,60)=0),AND(A219=入力!$B$11,A219&gt;1)),入力!$B$14="有効"),ROUND(G218*1.25,0),"")</f>
        <v/>
      </c>
      <c r="S219" s="36">
        <f t="shared" si="66"/>
        <v>420</v>
      </c>
      <c r="T219" s="35" t="str">
        <f t="shared" si="67"/>
        <v/>
      </c>
      <c r="U219" s="3">
        <f t="shared" si="51"/>
        <v>0</v>
      </c>
      <c r="V219" s="3">
        <f t="shared" si="52"/>
        <v>0</v>
      </c>
      <c r="W219" s="3">
        <f t="shared" si="53"/>
        <v>0</v>
      </c>
      <c r="X219" s="3">
        <f t="shared" si="54"/>
        <v>0</v>
      </c>
      <c r="Y219" s="3">
        <f>0</f>
        <v>0</v>
      </c>
      <c r="Z219" s="3">
        <f t="shared" si="55"/>
        <v>0</v>
      </c>
      <c r="AA219">
        <f>ROUND(IF(A219=入力!$B$15+1,IF(E219=0,ROUND(C219/MAX(1,S218-A219+1),0),ROUND(-PMT(E219/12,MAX(1,S218-A219+1)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,0)</f>
        <v>98997</v>
      </c>
    </row>
    <row r="220" spans="1:27">
      <c r="A220" s="30">
        <f>215</f>
        <v>215</v>
      </c>
      <c r="B220" s="31">
        <f>EDATE(入力!$B$6,A220-1)</f>
        <v>52749</v>
      </c>
      <c r="C220" s="32">
        <f t="shared" si="56"/>
        <v>16567722</v>
      </c>
      <c r="D220" s="32">
        <f t="shared" si="57"/>
        <v>0</v>
      </c>
      <c r="E220" s="33">
        <f>IF(AND(T219="",A220&lt;=S219),IF(A220&lt;入力!$B$11,入力!$B$10,入力!$B$12),0)</f>
        <v>2.5000000000000001E-2</v>
      </c>
      <c r="F220" s="32">
        <f t="shared" si="58"/>
        <v>34516</v>
      </c>
      <c r="G220" s="32">
        <f>ROUND(IF(NOT(AND(T219="",A220&lt;=S219)),0,IF(A220=入力!$B$15+1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),0)</f>
        <v>98997</v>
      </c>
      <c r="H220" s="32">
        <f t="shared" si="59"/>
        <v>98997</v>
      </c>
      <c r="I220" s="32">
        <f t="shared" si="60"/>
        <v>34516</v>
      </c>
      <c r="J220" s="32">
        <f t="shared" si="61"/>
        <v>0</v>
      </c>
      <c r="K220" s="32">
        <f t="shared" si="62"/>
        <v>0</v>
      </c>
      <c r="L220" s="32">
        <f t="shared" si="63"/>
        <v>64481</v>
      </c>
      <c r="M220" s="32">
        <f>IF(AND(AND(T219="",A220&lt;=S219),A220=入力!$B$15),ROUND(MIN(入力!$B$16,MAX(0,C220-L220)),0),0)</f>
        <v>0</v>
      </c>
      <c r="N220" s="32">
        <f t="shared" si="64"/>
        <v>16503241</v>
      </c>
      <c r="O220" s="32">
        <f t="shared" si="65"/>
        <v>8595556</v>
      </c>
      <c r="P220" s="34" t="str">
        <f>IF(NOT(AND(T219="",A220&lt;=S219)),"",IF(A220=入力!$B$15+1,"繰上返済後再計算","")&amp;IF(AND(入力!$B$13="有効",A220&gt;1,MOD(A220-1,60)=0),IF(A220=入力!$B$15+1,"・","")&amp;"5年見直し","")&amp;IF(AND(A220=入力!$B$11,A220&gt;1),IF(OR(A220=入力!$B$15+1,AND(入力!$B$13="有効",A220&gt;1,MOD(A220-1,60)=0)),"・","")&amp;"金利変更","")&amp;IF(AND(OR(AND(入力!$B$13="有効",A220&gt;1,MOD(A220-1,60)=0),AND(A220=入力!$B$11,A220&gt;1)),入力!$B$14="有効",IF(E220=0,ROUND(C220/MAX(1,S219-A220+1),0),ROUND(-PMT(E220/12,MAX(1,S219-A220+1),C220),0))&gt;ROUND(G219*1.25,0),NOT(A220=入力!$B$15+1)),"・上限適用",""))</f>
        <v/>
      </c>
      <c r="Q220" s="35" t="str">
        <f>IF(AND(T219="",A220&lt;=S219),入力!$B$13,"")</f>
        <v>有効</v>
      </c>
      <c r="R220" s="32" t="str">
        <f>IF(AND(AND(T219="",A220&lt;=S219),OR(AND(入力!$B$13="有効",A220&gt;1,MOD(A220-1,60)=0),AND(A220=入力!$B$11,A220&gt;1)),入力!$B$14="有効"),ROUND(G219*1.25,0),"")</f>
        <v/>
      </c>
      <c r="S220" s="36">
        <f t="shared" si="66"/>
        <v>420</v>
      </c>
      <c r="T220" s="35" t="str">
        <f t="shared" si="67"/>
        <v/>
      </c>
      <c r="U220" s="3">
        <f t="shared" si="51"/>
        <v>0</v>
      </c>
      <c r="V220" s="3">
        <f t="shared" si="52"/>
        <v>0</v>
      </c>
      <c r="W220" s="3">
        <f t="shared" si="53"/>
        <v>0</v>
      </c>
      <c r="X220" s="3">
        <f t="shared" si="54"/>
        <v>0</v>
      </c>
      <c r="Y220" s="3">
        <f>0</f>
        <v>0</v>
      </c>
      <c r="Z220" s="3">
        <f t="shared" si="55"/>
        <v>0</v>
      </c>
      <c r="AA220">
        <f>ROUND(IF(A220=入力!$B$15+1,IF(E220=0,ROUND(C220/MAX(1,S219-A220+1),0),ROUND(-PMT(E220/12,MAX(1,S219-A220+1)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,0)</f>
        <v>98997</v>
      </c>
    </row>
    <row r="221" spans="1:27">
      <c r="A221" s="30">
        <f>216</f>
        <v>216</v>
      </c>
      <c r="B221" s="31">
        <f>EDATE(入力!$B$6,A221-1)</f>
        <v>52779</v>
      </c>
      <c r="C221" s="32">
        <f t="shared" si="56"/>
        <v>16503241</v>
      </c>
      <c r="D221" s="32">
        <f t="shared" si="57"/>
        <v>0</v>
      </c>
      <c r="E221" s="33">
        <f>IF(AND(T220="",A221&lt;=S220),IF(A221&lt;入力!$B$11,入力!$B$10,入力!$B$12),0)</f>
        <v>2.5000000000000001E-2</v>
      </c>
      <c r="F221" s="32">
        <f t="shared" si="58"/>
        <v>34382</v>
      </c>
      <c r="G221" s="32">
        <f>ROUND(IF(NOT(AND(T220="",A221&lt;=S220)),0,IF(A221=入力!$B$15+1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),0)</f>
        <v>98997</v>
      </c>
      <c r="H221" s="32">
        <f t="shared" si="59"/>
        <v>98997</v>
      </c>
      <c r="I221" s="32">
        <f t="shared" si="60"/>
        <v>34382</v>
      </c>
      <c r="J221" s="32">
        <f t="shared" si="61"/>
        <v>0</v>
      </c>
      <c r="K221" s="32">
        <f t="shared" si="62"/>
        <v>0</v>
      </c>
      <c r="L221" s="32">
        <f t="shared" si="63"/>
        <v>64615</v>
      </c>
      <c r="M221" s="32">
        <f>IF(AND(AND(T220="",A221&lt;=S220),A221=入力!$B$15),ROUND(MIN(入力!$B$16,MAX(0,C221-L221)),0),0)</f>
        <v>0</v>
      </c>
      <c r="N221" s="32">
        <f t="shared" si="64"/>
        <v>16438626</v>
      </c>
      <c r="O221" s="32">
        <f t="shared" si="65"/>
        <v>8629938</v>
      </c>
      <c r="P221" s="34" t="str">
        <f>IF(NOT(AND(T220="",A221&lt;=S220)),"",IF(A221=入力!$B$15+1,"繰上返済後再計算","")&amp;IF(AND(入力!$B$13="有効",A221&gt;1,MOD(A221-1,60)=0),IF(A221=入力!$B$15+1,"・","")&amp;"5年見直し","")&amp;IF(AND(A221=入力!$B$11,A221&gt;1),IF(OR(A221=入力!$B$15+1,AND(入力!$B$13="有効",A221&gt;1,MOD(A221-1,60)=0)),"・","")&amp;"金利変更","")&amp;IF(AND(OR(AND(入力!$B$13="有効",A221&gt;1,MOD(A221-1,60)=0),AND(A221=入力!$B$11,A221&gt;1)),入力!$B$14="有効",IF(E221=0,ROUND(C221/MAX(1,S220-A221+1),0),ROUND(-PMT(E221/12,MAX(1,S220-A221+1),C221),0))&gt;ROUND(G220*1.25,0),NOT(A221=入力!$B$15+1)),"・上限適用",""))</f>
        <v/>
      </c>
      <c r="Q221" s="35" t="str">
        <f>IF(AND(T220="",A221&lt;=S220),入力!$B$13,"")</f>
        <v>有効</v>
      </c>
      <c r="R221" s="32" t="str">
        <f>IF(AND(AND(T220="",A221&lt;=S220),OR(AND(入力!$B$13="有効",A221&gt;1,MOD(A221-1,60)=0),AND(A221=入力!$B$11,A221&gt;1)),入力!$B$14="有効"),ROUND(G220*1.25,0),"")</f>
        <v/>
      </c>
      <c r="S221" s="36">
        <f t="shared" si="66"/>
        <v>420</v>
      </c>
      <c r="T221" s="35" t="str">
        <f t="shared" si="67"/>
        <v/>
      </c>
      <c r="U221" s="3">
        <f t="shared" si="51"/>
        <v>0</v>
      </c>
      <c r="V221" s="3">
        <f t="shared" si="52"/>
        <v>0</v>
      </c>
      <c r="W221" s="3">
        <f t="shared" si="53"/>
        <v>0</v>
      </c>
      <c r="X221" s="3">
        <f t="shared" si="54"/>
        <v>0</v>
      </c>
      <c r="Y221" s="3">
        <f>0</f>
        <v>0</v>
      </c>
      <c r="Z221" s="3">
        <f t="shared" si="55"/>
        <v>0</v>
      </c>
      <c r="AA221">
        <f>ROUND(IF(A221=入力!$B$15+1,IF(E221=0,ROUND(C221/MAX(1,S220-A221+1),0),ROUND(-PMT(E221/12,MAX(1,S220-A221+1)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,0)</f>
        <v>98997</v>
      </c>
    </row>
    <row r="222" spans="1:27">
      <c r="A222" s="30">
        <f>217</f>
        <v>217</v>
      </c>
      <c r="B222" s="31">
        <f>EDATE(入力!$B$6,A222-1)</f>
        <v>52810</v>
      </c>
      <c r="C222" s="32">
        <f t="shared" si="56"/>
        <v>16438626</v>
      </c>
      <c r="D222" s="32">
        <f t="shared" si="57"/>
        <v>0</v>
      </c>
      <c r="E222" s="33">
        <f>IF(AND(T221="",A222&lt;=S221),IF(A222&lt;入力!$B$11,入力!$B$10,入力!$B$12),0)</f>
        <v>2.5000000000000001E-2</v>
      </c>
      <c r="F222" s="32">
        <f t="shared" si="58"/>
        <v>34247</v>
      </c>
      <c r="G222" s="32">
        <f>ROUND(IF(NOT(AND(T221="",A222&lt;=S221)),0,IF(A222=入力!$B$15+1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),0)</f>
        <v>98997</v>
      </c>
      <c r="H222" s="32">
        <f t="shared" si="59"/>
        <v>98997</v>
      </c>
      <c r="I222" s="32">
        <f t="shared" si="60"/>
        <v>34247</v>
      </c>
      <c r="J222" s="32">
        <f t="shared" si="61"/>
        <v>0</v>
      </c>
      <c r="K222" s="32">
        <f t="shared" si="62"/>
        <v>0</v>
      </c>
      <c r="L222" s="32">
        <f t="shared" si="63"/>
        <v>64750</v>
      </c>
      <c r="M222" s="32">
        <f>IF(AND(AND(T221="",A222&lt;=S221),A222=入力!$B$15),ROUND(MIN(入力!$B$16,MAX(0,C222-L222)),0),0)</f>
        <v>0</v>
      </c>
      <c r="N222" s="32">
        <f t="shared" si="64"/>
        <v>16373876</v>
      </c>
      <c r="O222" s="32">
        <f t="shared" si="65"/>
        <v>8664185</v>
      </c>
      <c r="P222" s="34" t="str">
        <f>IF(NOT(AND(T221="",A222&lt;=S221)),"",IF(A222=入力!$B$15+1,"繰上返済後再計算","")&amp;IF(AND(入力!$B$13="有効",A222&gt;1,MOD(A222-1,60)=0),IF(A222=入力!$B$15+1,"・","")&amp;"5年見直し","")&amp;IF(AND(A222=入力!$B$11,A222&gt;1),IF(OR(A222=入力!$B$15+1,AND(入力!$B$13="有効",A222&gt;1,MOD(A222-1,60)=0)),"・","")&amp;"金利変更","")&amp;IF(AND(OR(AND(入力!$B$13="有効",A222&gt;1,MOD(A222-1,60)=0),AND(A222=入力!$B$11,A222&gt;1)),入力!$B$14="有効",IF(E222=0,ROUND(C222/MAX(1,S221-A222+1),0),ROUND(-PMT(E222/12,MAX(1,S221-A222+1),C222),0))&gt;ROUND(G221*1.25,0),NOT(A222=入力!$B$15+1)),"・上限適用",""))</f>
        <v/>
      </c>
      <c r="Q222" s="35" t="str">
        <f>IF(AND(T221="",A222&lt;=S221),入力!$B$13,"")</f>
        <v>有効</v>
      </c>
      <c r="R222" s="32" t="str">
        <f>IF(AND(AND(T221="",A222&lt;=S221),OR(AND(入力!$B$13="有効",A222&gt;1,MOD(A222-1,60)=0),AND(A222=入力!$B$11,A222&gt;1)),入力!$B$14="有効"),ROUND(G221*1.25,0),"")</f>
        <v/>
      </c>
      <c r="S222" s="36">
        <f t="shared" si="66"/>
        <v>420</v>
      </c>
      <c r="T222" s="35" t="str">
        <f t="shared" si="67"/>
        <v/>
      </c>
      <c r="U222" s="3">
        <f t="shared" si="51"/>
        <v>0</v>
      </c>
      <c r="V222" s="3">
        <f t="shared" si="52"/>
        <v>0</v>
      </c>
      <c r="W222" s="3">
        <f t="shared" si="53"/>
        <v>0</v>
      </c>
      <c r="X222" s="3">
        <f t="shared" si="54"/>
        <v>0</v>
      </c>
      <c r="Y222" s="3">
        <f>0</f>
        <v>0</v>
      </c>
      <c r="Z222" s="3">
        <f t="shared" si="55"/>
        <v>0</v>
      </c>
      <c r="AA222">
        <f>ROUND(IF(A222=入力!$B$15+1,IF(E222=0,ROUND(C222/MAX(1,S221-A222+1),0),ROUND(-PMT(E222/12,MAX(1,S221-A222+1)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,0)</f>
        <v>98997</v>
      </c>
    </row>
    <row r="223" spans="1:27">
      <c r="A223" s="30">
        <f>218</f>
        <v>218</v>
      </c>
      <c r="B223" s="31">
        <f>EDATE(入力!$B$6,A223-1)</f>
        <v>52841</v>
      </c>
      <c r="C223" s="32">
        <f t="shared" si="56"/>
        <v>16373876</v>
      </c>
      <c r="D223" s="32">
        <f t="shared" si="57"/>
        <v>0</v>
      </c>
      <c r="E223" s="33">
        <f>IF(AND(T222="",A223&lt;=S222),IF(A223&lt;入力!$B$11,入力!$B$10,入力!$B$12),0)</f>
        <v>2.5000000000000001E-2</v>
      </c>
      <c r="F223" s="32">
        <f t="shared" si="58"/>
        <v>34112</v>
      </c>
      <c r="G223" s="32">
        <f>ROUND(IF(NOT(AND(T222="",A223&lt;=S222)),0,IF(A223=入力!$B$15+1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),0)</f>
        <v>98997</v>
      </c>
      <c r="H223" s="32">
        <f t="shared" si="59"/>
        <v>98997</v>
      </c>
      <c r="I223" s="32">
        <f t="shared" si="60"/>
        <v>34112</v>
      </c>
      <c r="J223" s="32">
        <f t="shared" si="61"/>
        <v>0</v>
      </c>
      <c r="K223" s="32">
        <f t="shared" si="62"/>
        <v>0</v>
      </c>
      <c r="L223" s="32">
        <f t="shared" si="63"/>
        <v>64885</v>
      </c>
      <c r="M223" s="32">
        <f>IF(AND(AND(T222="",A223&lt;=S222),A223=入力!$B$15),ROUND(MIN(入力!$B$16,MAX(0,C223-L223)),0),0)</f>
        <v>0</v>
      </c>
      <c r="N223" s="32">
        <f t="shared" si="64"/>
        <v>16308991</v>
      </c>
      <c r="O223" s="32">
        <f t="shared" si="65"/>
        <v>8698297</v>
      </c>
      <c r="P223" s="34" t="str">
        <f>IF(NOT(AND(T222="",A223&lt;=S222)),"",IF(A223=入力!$B$15+1,"繰上返済後再計算","")&amp;IF(AND(入力!$B$13="有効",A223&gt;1,MOD(A223-1,60)=0),IF(A223=入力!$B$15+1,"・","")&amp;"5年見直し","")&amp;IF(AND(A223=入力!$B$11,A223&gt;1),IF(OR(A223=入力!$B$15+1,AND(入力!$B$13="有効",A223&gt;1,MOD(A223-1,60)=0)),"・","")&amp;"金利変更","")&amp;IF(AND(OR(AND(入力!$B$13="有効",A223&gt;1,MOD(A223-1,60)=0),AND(A223=入力!$B$11,A223&gt;1)),入力!$B$14="有効",IF(E223=0,ROUND(C223/MAX(1,S222-A223+1),0),ROUND(-PMT(E223/12,MAX(1,S222-A223+1),C223),0))&gt;ROUND(G222*1.25,0),NOT(A223=入力!$B$15+1)),"・上限適用",""))</f>
        <v/>
      </c>
      <c r="Q223" s="35" t="str">
        <f>IF(AND(T222="",A223&lt;=S222),入力!$B$13,"")</f>
        <v>有効</v>
      </c>
      <c r="R223" s="32" t="str">
        <f>IF(AND(AND(T222="",A223&lt;=S222),OR(AND(入力!$B$13="有効",A223&gt;1,MOD(A223-1,60)=0),AND(A223=入力!$B$11,A223&gt;1)),入力!$B$14="有効"),ROUND(G222*1.25,0),"")</f>
        <v/>
      </c>
      <c r="S223" s="36">
        <f t="shared" si="66"/>
        <v>420</v>
      </c>
      <c r="T223" s="35" t="str">
        <f t="shared" si="67"/>
        <v/>
      </c>
      <c r="U223" s="3">
        <f t="shared" si="51"/>
        <v>0</v>
      </c>
      <c r="V223" s="3">
        <f t="shared" si="52"/>
        <v>0</v>
      </c>
      <c r="W223" s="3">
        <f t="shared" si="53"/>
        <v>0</v>
      </c>
      <c r="X223" s="3">
        <f t="shared" si="54"/>
        <v>0</v>
      </c>
      <c r="Y223" s="3">
        <f>0</f>
        <v>0</v>
      </c>
      <c r="Z223" s="3">
        <f t="shared" si="55"/>
        <v>0</v>
      </c>
      <c r="AA223">
        <f>ROUND(IF(A223=入力!$B$15+1,IF(E223=0,ROUND(C223/MAX(1,S222-A223+1),0),ROUND(-PMT(E223/12,MAX(1,S222-A223+1)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,0)</f>
        <v>98997</v>
      </c>
    </row>
    <row r="224" spans="1:27">
      <c r="A224" s="30">
        <f>219</f>
        <v>219</v>
      </c>
      <c r="B224" s="31">
        <f>EDATE(入力!$B$6,A224-1)</f>
        <v>52871</v>
      </c>
      <c r="C224" s="32">
        <f t="shared" si="56"/>
        <v>16308991</v>
      </c>
      <c r="D224" s="32">
        <f t="shared" si="57"/>
        <v>0</v>
      </c>
      <c r="E224" s="33">
        <f>IF(AND(T223="",A224&lt;=S223),IF(A224&lt;入力!$B$11,入力!$B$10,入力!$B$12),0)</f>
        <v>2.5000000000000001E-2</v>
      </c>
      <c r="F224" s="32">
        <f t="shared" si="58"/>
        <v>33977</v>
      </c>
      <c r="G224" s="32">
        <f>ROUND(IF(NOT(AND(T223="",A224&lt;=S223)),0,IF(A224=入力!$B$15+1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),0)</f>
        <v>98997</v>
      </c>
      <c r="H224" s="32">
        <f t="shared" si="59"/>
        <v>98997</v>
      </c>
      <c r="I224" s="32">
        <f t="shared" si="60"/>
        <v>33977</v>
      </c>
      <c r="J224" s="32">
        <f t="shared" si="61"/>
        <v>0</v>
      </c>
      <c r="K224" s="32">
        <f t="shared" si="62"/>
        <v>0</v>
      </c>
      <c r="L224" s="32">
        <f t="shared" si="63"/>
        <v>65020</v>
      </c>
      <c r="M224" s="32">
        <f>IF(AND(AND(T223="",A224&lt;=S223),A224=入力!$B$15),ROUND(MIN(入力!$B$16,MAX(0,C224-L224)),0),0)</f>
        <v>0</v>
      </c>
      <c r="N224" s="32">
        <f t="shared" si="64"/>
        <v>16243971</v>
      </c>
      <c r="O224" s="32">
        <f t="shared" si="65"/>
        <v>8732274</v>
      </c>
      <c r="P224" s="34" t="str">
        <f>IF(NOT(AND(T223="",A224&lt;=S223)),"",IF(A224=入力!$B$15+1,"繰上返済後再計算","")&amp;IF(AND(入力!$B$13="有効",A224&gt;1,MOD(A224-1,60)=0),IF(A224=入力!$B$15+1,"・","")&amp;"5年見直し","")&amp;IF(AND(A224=入力!$B$11,A224&gt;1),IF(OR(A224=入力!$B$15+1,AND(入力!$B$13="有効",A224&gt;1,MOD(A224-1,60)=0)),"・","")&amp;"金利変更","")&amp;IF(AND(OR(AND(入力!$B$13="有効",A224&gt;1,MOD(A224-1,60)=0),AND(A224=入力!$B$11,A224&gt;1)),入力!$B$14="有効",IF(E224=0,ROUND(C224/MAX(1,S223-A224+1),0),ROUND(-PMT(E224/12,MAX(1,S223-A224+1),C224),0))&gt;ROUND(G223*1.25,0),NOT(A224=入力!$B$15+1)),"・上限適用",""))</f>
        <v/>
      </c>
      <c r="Q224" s="35" t="str">
        <f>IF(AND(T223="",A224&lt;=S223),入力!$B$13,"")</f>
        <v>有効</v>
      </c>
      <c r="R224" s="32" t="str">
        <f>IF(AND(AND(T223="",A224&lt;=S223),OR(AND(入力!$B$13="有効",A224&gt;1,MOD(A224-1,60)=0),AND(A224=入力!$B$11,A224&gt;1)),入力!$B$14="有効"),ROUND(G223*1.25,0),"")</f>
        <v/>
      </c>
      <c r="S224" s="36">
        <f t="shared" si="66"/>
        <v>420</v>
      </c>
      <c r="T224" s="35" t="str">
        <f t="shared" si="67"/>
        <v/>
      </c>
      <c r="U224" s="3">
        <f t="shared" si="51"/>
        <v>0</v>
      </c>
      <c r="V224" s="3">
        <f t="shared" si="52"/>
        <v>0</v>
      </c>
      <c r="W224" s="3">
        <f t="shared" si="53"/>
        <v>0</v>
      </c>
      <c r="X224" s="3">
        <f t="shared" si="54"/>
        <v>0</v>
      </c>
      <c r="Y224" s="3">
        <f>0</f>
        <v>0</v>
      </c>
      <c r="Z224" s="3">
        <f t="shared" si="55"/>
        <v>0</v>
      </c>
      <c r="AA224">
        <f>ROUND(IF(A224=入力!$B$15+1,IF(E224=0,ROUND(C224/MAX(1,S223-A224+1),0),ROUND(-PMT(E224/12,MAX(1,S223-A224+1)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,0)</f>
        <v>98997</v>
      </c>
    </row>
    <row r="225" spans="1:27">
      <c r="A225" s="30">
        <f>220</f>
        <v>220</v>
      </c>
      <c r="B225" s="31">
        <f>EDATE(入力!$B$6,A225-1)</f>
        <v>52902</v>
      </c>
      <c r="C225" s="32">
        <f t="shared" si="56"/>
        <v>16243971</v>
      </c>
      <c r="D225" s="32">
        <f t="shared" si="57"/>
        <v>0</v>
      </c>
      <c r="E225" s="33">
        <f>IF(AND(T224="",A225&lt;=S224),IF(A225&lt;入力!$B$11,入力!$B$10,入力!$B$12),0)</f>
        <v>2.5000000000000001E-2</v>
      </c>
      <c r="F225" s="32">
        <f t="shared" si="58"/>
        <v>33842</v>
      </c>
      <c r="G225" s="32">
        <f>ROUND(IF(NOT(AND(T224="",A225&lt;=S224)),0,IF(A225=入力!$B$15+1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),0)</f>
        <v>98997</v>
      </c>
      <c r="H225" s="32">
        <f t="shared" si="59"/>
        <v>98997</v>
      </c>
      <c r="I225" s="32">
        <f t="shared" si="60"/>
        <v>33842</v>
      </c>
      <c r="J225" s="32">
        <f t="shared" si="61"/>
        <v>0</v>
      </c>
      <c r="K225" s="32">
        <f t="shared" si="62"/>
        <v>0</v>
      </c>
      <c r="L225" s="32">
        <f t="shared" si="63"/>
        <v>65155</v>
      </c>
      <c r="M225" s="32">
        <f>IF(AND(AND(T224="",A225&lt;=S224),A225=入力!$B$15),ROUND(MIN(入力!$B$16,MAX(0,C225-L225)),0),0)</f>
        <v>0</v>
      </c>
      <c r="N225" s="32">
        <f t="shared" si="64"/>
        <v>16178816</v>
      </c>
      <c r="O225" s="32">
        <f t="shared" si="65"/>
        <v>8766116</v>
      </c>
      <c r="P225" s="34" t="str">
        <f>IF(NOT(AND(T224="",A225&lt;=S224)),"",IF(A225=入力!$B$15+1,"繰上返済後再計算","")&amp;IF(AND(入力!$B$13="有効",A225&gt;1,MOD(A225-1,60)=0),IF(A225=入力!$B$15+1,"・","")&amp;"5年見直し","")&amp;IF(AND(A225=入力!$B$11,A225&gt;1),IF(OR(A225=入力!$B$15+1,AND(入力!$B$13="有効",A225&gt;1,MOD(A225-1,60)=0)),"・","")&amp;"金利変更","")&amp;IF(AND(OR(AND(入力!$B$13="有効",A225&gt;1,MOD(A225-1,60)=0),AND(A225=入力!$B$11,A225&gt;1)),入力!$B$14="有効",IF(E225=0,ROUND(C225/MAX(1,S224-A225+1),0),ROUND(-PMT(E225/12,MAX(1,S224-A225+1),C225),0))&gt;ROUND(G224*1.25,0),NOT(A225=入力!$B$15+1)),"・上限適用",""))</f>
        <v/>
      </c>
      <c r="Q225" s="35" t="str">
        <f>IF(AND(T224="",A225&lt;=S224),入力!$B$13,"")</f>
        <v>有効</v>
      </c>
      <c r="R225" s="32" t="str">
        <f>IF(AND(AND(T224="",A225&lt;=S224),OR(AND(入力!$B$13="有効",A225&gt;1,MOD(A225-1,60)=0),AND(A225=入力!$B$11,A225&gt;1)),入力!$B$14="有効"),ROUND(G224*1.25,0),"")</f>
        <v/>
      </c>
      <c r="S225" s="36">
        <f t="shared" si="66"/>
        <v>420</v>
      </c>
      <c r="T225" s="35" t="str">
        <f t="shared" si="67"/>
        <v/>
      </c>
      <c r="U225" s="3">
        <f t="shared" si="51"/>
        <v>0</v>
      </c>
      <c r="V225" s="3">
        <f t="shared" si="52"/>
        <v>0</v>
      </c>
      <c r="W225" s="3">
        <f t="shared" si="53"/>
        <v>0</v>
      </c>
      <c r="X225" s="3">
        <f t="shared" si="54"/>
        <v>0</v>
      </c>
      <c r="Y225" s="3">
        <f>0</f>
        <v>0</v>
      </c>
      <c r="Z225" s="3">
        <f t="shared" si="55"/>
        <v>0</v>
      </c>
      <c r="AA225">
        <f>ROUND(IF(A225=入力!$B$15+1,IF(E225=0,ROUND(C225/MAX(1,S224-A225+1),0),ROUND(-PMT(E225/12,MAX(1,S224-A225+1)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,0)</f>
        <v>98997</v>
      </c>
    </row>
    <row r="226" spans="1:27">
      <c r="A226" s="30">
        <f>221</f>
        <v>221</v>
      </c>
      <c r="B226" s="31">
        <f>EDATE(入力!$B$6,A226-1)</f>
        <v>52932</v>
      </c>
      <c r="C226" s="32">
        <f t="shared" si="56"/>
        <v>16178816</v>
      </c>
      <c r="D226" s="32">
        <f t="shared" si="57"/>
        <v>0</v>
      </c>
      <c r="E226" s="33">
        <f>IF(AND(T225="",A226&lt;=S225),IF(A226&lt;入力!$B$11,入力!$B$10,入力!$B$12),0)</f>
        <v>2.5000000000000001E-2</v>
      </c>
      <c r="F226" s="32">
        <f t="shared" si="58"/>
        <v>33706</v>
      </c>
      <c r="G226" s="32">
        <f>ROUND(IF(NOT(AND(T225="",A226&lt;=S225)),0,IF(A226=入力!$B$15+1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),0)</f>
        <v>98997</v>
      </c>
      <c r="H226" s="32">
        <f t="shared" si="59"/>
        <v>98997</v>
      </c>
      <c r="I226" s="32">
        <f t="shared" si="60"/>
        <v>33706</v>
      </c>
      <c r="J226" s="32">
        <f t="shared" si="61"/>
        <v>0</v>
      </c>
      <c r="K226" s="32">
        <f t="shared" si="62"/>
        <v>0</v>
      </c>
      <c r="L226" s="32">
        <f t="shared" si="63"/>
        <v>65291</v>
      </c>
      <c r="M226" s="32">
        <f>IF(AND(AND(T225="",A226&lt;=S225),A226=入力!$B$15),ROUND(MIN(入力!$B$16,MAX(0,C226-L226)),0),0)</f>
        <v>0</v>
      </c>
      <c r="N226" s="32">
        <f t="shared" si="64"/>
        <v>16113525</v>
      </c>
      <c r="O226" s="32">
        <f t="shared" si="65"/>
        <v>8799822</v>
      </c>
      <c r="P226" s="34" t="str">
        <f>IF(NOT(AND(T225="",A226&lt;=S225)),"",IF(A226=入力!$B$15+1,"繰上返済後再計算","")&amp;IF(AND(入力!$B$13="有効",A226&gt;1,MOD(A226-1,60)=0),IF(A226=入力!$B$15+1,"・","")&amp;"5年見直し","")&amp;IF(AND(A226=入力!$B$11,A226&gt;1),IF(OR(A226=入力!$B$15+1,AND(入力!$B$13="有効",A226&gt;1,MOD(A226-1,60)=0)),"・","")&amp;"金利変更","")&amp;IF(AND(OR(AND(入力!$B$13="有効",A226&gt;1,MOD(A226-1,60)=0),AND(A226=入力!$B$11,A226&gt;1)),入力!$B$14="有効",IF(E226=0,ROUND(C226/MAX(1,S225-A226+1),0),ROUND(-PMT(E226/12,MAX(1,S225-A226+1),C226),0))&gt;ROUND(G225*1.25,0),NOT(A226=入力!$B$15+1)),"・上限適用",""))</f>
        <v/>
      </c>
      <c r="Q226" s="35" t="str">
        <f>IF(AND(T225="",A226&lt;=S225),入力!$B$13,"")</f>
        <v>有効</v>
      </c>
      <c r="R226" s="32" t="str">
        <f>IF(AND(AND(T225="",A226&lt;=S225),OR(AND(入力!$B$13="有効",A226&gt;1,MOD(A226-1,60)=0),AND(A226=入力!$B$11,A226&gt;1)),入力!$B$14="有効"),ROUND(G225*1.25,0),"")</f>
        <v/>
      </c>
      <c r="S226" s="36">
        <f t="shared" si="66"/>
        <v>420</v>
      </c>
      <c r="T226" s="35" t="str">
        <f t="shared" si="67"/>
        <v/>
      </c>
      <c r="U226" s="3">
        <f t="shared" si="51"/>
        <v>0</v>
      </c>
      <c r="V226" s="3">
        <f t="shared" si="52"/>
        <v>0</v>
      </c>
      <c r="W226" s="3">
        <f t="shared" si="53"/>
        <v>0</v>
      </c>
      <c r="X226" s="3">
        <f t="shared" si="54"/>
        <v>0</v>
      </c>
      <c r="Y226" s="3">
        <f>0</f>
        <v>0</v>
      </c>
      <c r="Z226" s="3">
        <f t="shared" si="55"/>
        <v>0</v>
      </c>
      <c r="AA226">
        <f>ROUND(IF(A226=入力!$B$15+1,IF(E226=0,ROUND(C226/MAX(1,S225-A226+1),0),ROUND(-PMT(E226/12,MAX(1,S225-A226+1)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,0)</f>
        <v>98997</v>
      </c>
    </row>
    <row r="227" spans="1:27">
      <c r="A227" s="30">
        <f>222</f>
        <v>222</v>
      </c>
      <c r="B227" s="31">
        <f>EDATE(入力!$B$6,A227-1)</f>
        <v>52963</v>
      </c>
      <c r="C227" s="32">
        <f t="shared" si="56"/>
        <v>16113525</v>
      </c>
      <c r="D227" s="32">
        <f t="shared" si="57"/>
        <v>0</v>
      </c>
      <c r="E227" s="33">
        <f>IF(AND(T226="",A227&lt;=S226),IF(A227&lt;入力!$B$11,入力!$B$10,入力!$B$12),0)</f>
        <v>2.5000000000000001E-2</v>
      </c>
      <c r="F227" s="32">
        <f t="shared" si="58"/>
        <v>33570</v>
      </c>
      <c r="G227" s="32">
        <f>ROUND(IF(NOT(AND(T226="",A227&lt;=S226)),0,IF(A227=入力!$B$15+1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),0)</f>
        <v>98997</v>
      </c>
      <c r="H227" s="32">
        <f t="shared" si="59"/>
        <v>98997</v>
      </c>
      <c r="I227" s="32">
        <f t="shared" si="60"/>
        <v>33570</v>
      </c>
      <c r="J227" s="32">
        <f t="shared" si="61"/>
        <v>0</v>
      </c>
      <c r="K227" s="32">
        <f t="shared" si="62"/>
        <v>0</v>
      </c>
      <c r="L227" s="32">
        <f t="shared" si="63"/>
        <v>65427</v>
      </c>
      <c r="M227" s="32">
        <f>IF(AND(AND(T226="",A227&lt;=S226),A227=入力!$B$15),ROUND(MIN(入力!$B$16,MAX(0,C227-L227)),0),0)</f>
        <v>0</v>
      </c>
      <c r="N227" s="32">
        <f t="shared" si="64"/>
        <v>16048098</v>
      </c>
      <c r="O227" s="32">
        <f t="shared" si="65"/>
        <v>8833392</v>
      </c>
      <c r="P227" s="34" t="str">
        <f>IF(NOT(AND(T226="",A227&lt;=S226)),"",IF(A227=入力!$B$15+1,"繰上返済後再計算","")&amp;IF(AND(入力!$B$13="有効",A227&gt;1,MOD(A227-1,60)=0),IF(A227=入力!$B$15+1,"・","")&amp;"5年見直し","")&amp;IF(AND(A227=入力!$B$11,A227&gt;1),IF(OR(A227=入力!$B$15+1,AND(入力!$B$13="有効",A227&gt;1,MOD(A227-1,60)=0)),"・","")&amp;"金利変更","")&amp;IF(AND(OR(AND(入力!$B$13="有効",A227&gt;1,MOD(A227-1,60)=0),AND(A227=入力!$B$11,A227&gt;1)),入力!$B$14="有効",IF(E227=0,ROUND(C227/MAX(1,S226-A227+1),0),ROUND(-PMT(E227/12,MAX(1,S226-A227+1),C227),0))&gt;ROUND(G226*1.25,0),NOT(A227=入力!$B$15+1)),"・上限適用",""))</f>
        <v/>
      </c>
      <c r="Q227" s="35" t="str">
        <f>IF(AND(T226="",A227&lt;=S226),入力!$B$13,"")</f>
        <v>有効</v>
      </c>
      <c r="R227" s="32" t="str">
        <f>IF(AND(AND(T226="",A227&lt;=S226),OR(AND(入力!$B$13="有効",A227&gt;1,MOD(A227-1,60)=0),AND(A227=入力!$B$11,A227&gt;1)),入力!$B$14="有効"),ROUND(G226*1.25,0),"")</f>
        <v/>
      </c>
      <c r="S227" s="36">
        <f t="shared" si="66"/>
        <v>420</v>
      </c>
      <c r="T227" s="35" t="str">
        <f t="shared" si="67"/>
        <v/>
      </c>
      <c r="U227" s="3">
        <f t="shared" si="51"/>
        <v>0</v>
      </c>
      <c r="V227" s="3">
        <f t="shared" si="52"/>
        <v>0</v>
      </c>
      <c r="W227" s="3">
        <f t="shared" si="53"/>
        <v>0</v>
      </c>
      <c r="X227" s="3">
        <f t="shared" si="54"/>
        <v>0</v>
      </c>
      <c r="Y227" s="3">
        <f>0</f>
        <v>0</v>
      </c>
      <c r="Z227" s="3">
        <f t="shared" si="55"/>
        <v>0</v>
      </c>
      <c r="AA227">
        <f>ROUND(IF(A227=入力!$B$15+1,IF(E227=0,ROUND(C227/MAX(1,S226-A227+1),0),ROUND(-PMT(E227/12,MAX(1,S226-A227+1)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,0)</f>
        <v>98997</v>
      </c>
    </row>
    <row r="228" spans="1:27">
      <c r="A228" s="30">
        <f>223</f>
        <v>223</v>
      </c>
      <c r="B228" s="31">
        <f>EDATE(入力!$B$6,A228-1)</f>
        <v>52994</v>
      </c>
      <c r="C228" s="32">
        <f t="shared" si="56"/>
        <v>16048098</v>
      </c>
      <c r="D228" s="32">
        <f t="shared" si="57"/>
        <v>0</v>
      </c>
      <c r="E228" s="33">
        <f>IF(AND(T227="",A228&lt;=S227),IF(A228&lt;入力!$B$11,入力!$B$10,入力!$B$12),0)</f>
        <v>2.5000000000000001E-2</v>
      </c>
      <c r="F228" s="32">
        <f t="shared" si="58"/>
        <v>33434</v>
      </c>
      <c r="G228" s="32">
        <f>ROUND(IF(NOT(AND(T227="",A228&lt;=S227)),0,IF(A228=入力!$B$15+1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),0)</f>
        <v>98997</v>
      </c>
      <c r="H228" s="32">
        <f t="shared" si="59"/>
        <v>98997</v>
      </c>
      <c r="I228" s="32">
        <f t="shared" si="60"/>
        <v>33434</v>
      </c>
      <c r="J228" s="32">
        <f t="shared" si="61"/>
        <v>0</v>
      </c>
      <c r="K228" s="32">
        <f t="shared" si="62"/>
        <v>0</v>
      </c>
      <c r="L228" s="32">
        <f t="shared" si="63"/>
        <v>65563</v>
      </c>
      <c r="M228" s="32">
        <f>IF(AND(AND(T227="",A228&lt;=S227),A228=入力!$B$15),ROUND(MIN(入力!$B$16,MAX(0,C228-L228)),0),0)</f>
        <v>0</v>
      </c>
      <c r="N228" s="32">
        <f t="shared" si="64"/>
        <v>15982535</v>
      </c>
      <c r="O228" s="32">
        <f t="shared" si="65"/>
        <v>8866826</v>
      </c>
      <c r="P228" s="34" t="str">
        <f>IF(NOT(AND(T227="",A228&lt;=S227)),"",IF(A228=入力!$B$15+1,"繰上返済後再計算","")&amp;IF(AND(入力!$B$13="有効",A228&gt;1,MOD(A228-1,60)=0),IF(A228=入力!$B$15+1,"・","")&amp;"5年見直し","")&amp;IF(AND(A228=入力!$B$11,A228&gt;1),IF(OR(A228=入力!$B$15+1,AND(入力!$B$13="有効",A228&gt;1,MOD(A228-1,60)=0)),"・","")&amp;"金利変更","")&amp;IF(AND(OR(AND(入力!$B$13="有効",A228&gt;1,MOD(A228-1,60)=0),AND(A228=入力!$B$11,A228&gt;1)),入力!$B$14="有効",IF(E228=0,ROUND(C228/MAX(1,S227-A228+1),0),ROUND(-PMT(E228/12,MAX(1,S227-A228+1),C228),0))&gt;ROUND(G227*1.25,0),NOT(A228=入力!$B$15+1)),"・上限適用",""))</f>
        <v/>
      </c>
      <c r="Q228" s="35" t="str">
        <f>IF(AND(T227="",A228&lt;=S227),入力!$B$13,"")</f>
        <v>有効</v>
      </c>
      <c r="R228" s="32" t="str">
        <f>IF(AND(AND(T227="",A228&lt;=S227),OR(AND(入力!$B$13="有効",A228&gt;1,MOD(A228-1,60)=0),AND(A228=入力!$B$11,A228&gt;1)),入力!$B$14="有効"),ROUND(G227*1.25,0),"")</f>
        <v/>
      </c>
      <c r="S228" s="36">
        <f t="shared" si="66"/>
        <v>420</v>
      </c>
      <c r="T228" s="35" t="str">
        <f t="shared" si="67"/>
        <v/>
      </c>
      <c r="U228" s="3">
        <f t="shared" si="51"/>
        <v>0</v>
      </c>
      <c r="V228" s="3">
        <f t="shared" si="52"/>
        <v>0</v>
      </c>
      <c r="W228" s="3">
        <f t="shared" si="53"/>
        <v>0</v>
      </c>
      <c r="X228" s="3">
        <f t="shared" si="54"/>
        <v>0</v>
      </c>
      <c r="Y228" s="3">
        <f>0</f>
        <v>0</v>
      </c>
      <c r="Z228" s="3">
        <f t="shared" si="55"/>
        <v>0</v>
      </c>
      <c r="AA228">
        <f>ROUND(IF(A228=入力!$B$15+1,IF(E228=0,ROUND(C228/MAX(1,S227-A228+1),0),ROUND(-PMT(E228/12,MAX(1,S227-A228+1)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,0)</f>
        <v>98997</v>
      </c>
    </row>
    <row r="229" spans="1:27">
      <c r="A229" s="30">
        <f>224</f>
        <v>224</v>
      </c>
      <c r="B229" s="31">
        <f>EDATE(入力!$B$6,A229-1)</f>
        <v>53022</v>
      </c>
      <c r="C229" s="32">
        <f t="shared" si="56"/>
        <v>15982535</v>
      </c>
      <c r="D229" s="32">
        <f t="shared" si="57"/>
        <v>0</v>
      </c>
      <c r="E229" s="33">
        <f>IF(AND(T228="",A229&lt;=S228),IF(A229&lt;入力!$B$11,入力!$B$10,入力!$B$12),0)</f>
        <v>2.5000000000000001E-2</v>
      </c>
      <c r="F229" s="32">
        <f t="shared" si="58"/>
        <v>33297</v>
      </c>
      <c r="G229" s="32">
        <f>ROUND(IF(NOT(AND(T228="",A229&lt;=S228)),0,IF(A229=入力!$B$15+1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),0)</f>
        <v>98997</v>
      </c>
      <c r="H229" s="32">
        <f t="shared" si="59"/>
        <v>98997</v>
      </c>
      <c r="I229" s="32">
        <f t="shared" si="60"/>
        <v>33297</v>
      </c>
      <c r="J229" s="32">
        <f t="shared" si="61"/>
        <v>0</v>
      </c>
      <c r="K229" s="32">
        <f t="shared" si="62"/>
        <v>0</v>
      </c>
      <c r="L229" s="32">
        <f t="shared" si="63"/>
        <v>65700</v>
      </c>
      <c r="M229" s="32">
        <f>IF(AND(AND(T228="",A229&lt;=S228),A229=入力!$B$15),ROUND(MIN(入力!$B$16,MAX(0,C229-L229)),0),0)</f>
        <v>0</v>
      </c>
      <c r="N229" s="32">
        <f t="shared" si="64"/>
        <v>15916835</v>
      </c>
      <c r="O229" s="32">
        <f t="shared" si="65"/>
        <v>8900123</v>
      </c>
      <c r="P229" s="34" t="str">
        <f>IF(NOT(AND(T228="",A229&lt;=S228)),"",IF(A229=入力!$B$15+1,"繰上返済後再計算","")&amp;IF(AND(入力!$B$13="有効",A229&gt;1,MOD(A229-1,60)=0),IF(A229=入力!$B$15+1,"・","")&amp;"5年見直し","")&amp;IF(AND(A229=入力!$B$11,A229&gt;1),IF(OR(A229=入力!$B$15+1,AND(入力!$B$13="有効",A229&gt;1,MOD(A229-1,60)=0)),"・","")&amp;"金利変更","")&amp;IF(AND(OR(AND(入力!$B$13="有効",A229&gt;1,MOD(A229-1,60)=0),AND(A229=入力!$B$11,A229&gt;1)),入力!$B$14="有効",IF(E229=0,ROUND(C229/MAX(1,S228-A229+1),0),ROUND(-PMT(E229/12,MAX(1,S228-A229+1),C229),0))&gt;ROUND(G228*1.25,0),NOT(A229=入力!$B$15+1)),"・上限適用",""))</f>
        <v/>
      </c>
      <c r="Q229" s="35" t="str">
        <f>IF(AND(T228="",A229&lt;=S228),入力!$B$13,"")</f>
        <v>有効</v>
      </c>
      <c r="R229" s="32" t="str">
        <f>IF(AND(AND(T228="",A229&lt;=S228),OR(AND(入力!$B$13="有効",A229&gt;1,MOD(A229-1,60)=0),AND(A229=入力!$B$11,A229&gt;1)),入力!$B$14="有効"),ROUND(G228*1.25,0),"")</f>
        <v/>
      </c>
      <c r="S229" s="36">
        <f t="shared" si="66"/>
        <v>420</v>
      </c>
      <c r="T229" s="35" t="str">
        <f t="shared" si="67"/>
        <v/>
      </c>
      <c r="U229" s="3">
        <f t="shared" si="51"/>
        <v>0</v>
      </c>
      <c r="V229" s="3">
        <f t="shared" si="52"/>
        <v>0</v>
      </c>
      <c r="W229" s="3">
        <f t="shared" si="53"/>
        <v>0</v>
      </c>
      <c r="X229" s="3">
        <f t="shared" si="54"/>
        <v>0</v>
      </c>
      <c r="Y229" s="3">
        <f>0</f>
        <v>0</v>
      </c>
      <c r="Z229" s="3">
        <f t="shared" si="55"/>
        <v>0</v>
      </c>
      <c r="AA229">
        <f>ROUND(IF(A229=入力!$B$15+1,IF(E229=0,ROUND(C229/MAX(1,S228-A229+1),0),ROUND(-PMT(E229/12,MAX(1,S228-A229+1)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,0)</f>
        <v>98997</v>
      </c>
    </row>
    <row r="230" spans="1:27">
      <c r="A230" s="30">
        <f>225</f>
        <v>225</v>
      </c>
      <c r="B230" s="31">
        <f>EDATE(入力!$B$6,A230-1)</f>
        <v>53053</v>
      </c>
      <c r="C230" s="32">
        <f t="shared" si="56"/>
        <v>15916835</v>
      </c>
      <c r="D230" s="32">
        <f t="shared" si="57"/>
        <v>0</v>
      </c>
      <c r="E230" s="33">
        <f>IF(AND(T229="",A230&lt;=S229),IF(A230&lt;入力!$B$11,入力!$B$10,入力!$B$12),0)</f>
        <v>2.5000000000000001E-2</v>
      </c>
      <c r="F230" s="32">
        <f t="shared" si="58"/>
        <v>33160</v>
      </c>
      <c r="G230" s="32">
        <f>ROUND(IF(NOT(AND(T229="",A230&lt;=S229)),0,IF(A230=入力!$B$15+1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),0)</f>
        <v>98997</v>
      </c>
      <c r="H230" s="32">
        <f t="shared" si="59"/>
        <v>98997</v>
      </c>
      <c r="I230" s="32">
        <f t="shared" si="60"/>
        <v>33160</v>
      </c>
      <c r="J230" s="32">
        <f t="shared" si="61"/>
        <v>0</v>
      </c>
      <c r="K230" s="32">
        <f t="shared" si="62"/>
        <v>0</v>
      </c>
      <c r="L230" s="32">
        <f t="shared" si="63"/>
        <v>65837</v>
      </c>
      <c r="M230" s="32">
        <f>IF(AND(AND(T229="",A230&lt;=S229),A230=入力!$B$15),ROUND(MIN(入力!$B$16,MAX(0,C230-L230)),0),0)</f>
        <v>0</v>
      </c>
      <c r="N230" s="32">
        <f t="shared" si="64"/>
        <v>15850998</v>
      </c>
      <c r="O230" s="32">
        <f t="shared" si="65"/>
        <v>8933283</v>
      </c>
      <c r="P230" s="34" t="str">
        <f>IF(NOT(AND(T229="",A230&lt;=S229)),"",IF(A230=入力!$B$15+1,"繰上返済後再計算","")&amp;IF(AND(入力!$B$13="有効",A230&gt;1,MOD(A230-1,60)=0),IF(A230=入力!$B$15+1,"・","")&amp;"5年見直し","")&amp;IF(AND(A230=入力!$B$11,A230&gt;1),IF(OR(A230=入力!$B$15+1,AND(入力!$B$13="有効",A230&gt;1,MOD(A230-1,60)=0)),"・","")&amp;"金利変更","")&amp;IF(AND(OR(AND(入力!$B$13="有効",A230&gt;1,MOD(A230-1,60)=0),AND(A230=入力!$B$11,A230&gt;1)),入力!$B$14="有効",IF(E230=0,ROUND(C230/MAX(1,S229-A230+1),0),ROUND(-PMT(E230/12,MAX(1,S229-A230+1),C230),0))&gt;ROUND(G229*1.25,0),NOT(A230=入力!$B$15+1)),"・上限適用",""))</f>
        <v/>
      </c>
      <c r="Q230" s="35" t="str">
        <f>IF(AND(T229="",A230&lt;=S229),入力!$B$13,"")</f>
        <v>有効</v>
      </c>
      <c r="R230" s="32" t="str">
        <f>IF(AND(AND(T229="",A230&lt;=S229),OR(AND(入力!$B$13="有効",A230&gt;1,MOD(A230-1,60)=0),AND(A230=入力!$B$11,A230&gt;1)),入力!$B$14="有効"),ROUND(G229*1.25,0),"")</f>
        <v/>
      </c>
      <c r="S230" s="36">
        <f t="shared" si="66"/>
        <v>420</v>
      </c>
      <c r="T230" s="35" t="str">
        <f t="shared" si="67"/>
        <v/>
      </c>
      <c r="U230" s="3">
        <f t="shared" si="51"/>
        <v>0</v>
      </c>
      <c r="V230" s="3">
        <f t="shared" si="52"/>
        <v>0</v>
      </c>
      <c r="W230" s="3">
        <f t="shared" si="53"/>
        <v>0</v>
      </c>
      <c r="X230" s="3">
        <f t="shared" si="54"/>
        <v>0</v>
      </c>
      <c r="Y230" s="3">
        <f>0</f>
        <v>0</v>
      </c>
      <c r="Z230" s="3">
        <f t="shared" si="55"/>
        <v>0</v>
      </c>
      <c r="AA230">
        <f>ROUND(IF(A230=入力!$B$15+1,IF(E230=0,ROUND(C230/MAX(1,S229-A230+1),0),ROUND(-PMT(E230/12,MAX(1,S229-A230+1)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,0)</f>
        <v>98997</v>
      </c>
    </row>
    <row r="231" spans="1:27">
      <c r="A231" s="30">
        <f>226</f>
        <v>226</v>
      </c>
      <c r="B231" s="31">
        <f>EDATE(入力!$B$6,A231-1)</f>
        <v>53083</v>
      </c>
      <c r="C231" s="32">
        <f t="shared" si="56"/>
        <v>15850998</v>
      </c>
      <c r="D231" s="32">
        <f t="shared" si="57"/>
        <v>0</v>
      </c>
      <c r="E231" s="33">
        <f>IF(AND(T230="",A231&lt;=S230),IF(A231&lt;入力!$B$11,入力!$B$10,入力!$B$12),0)</f>
        <v>2.5000000000000001E-2</v>
      </c>
      <c r="F231" s="32">
        <f t="shared" si="58"/>
        <v>33023</v>
      </c>
      <c r="G231" s="32">
        <f>ROUND(IF(NOT(AND(T230="",A231&lt;=S230)),0,IF(A231=入力!$B$15+1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),0)</f>
        <v>98997</v>
      </c>
      <c r="H231" s="32">
        <f t="shared" si="59"/>
        <v>98997</v>
      </c>
      <c r="I231" s="32">
        <f t="shared" si="60"/>
        <v>33023</v>
      </c>
      <c r="J231" s="32">
        <f t="shared" si="61"/>
        <v>0</v>
      </c>
      <c r="K231" s="32">
        <f t="shared" si="62"/>
        <v>0</v>
      </c>
      <c r="L231" s="32">
        <f t="shared" si="63"/>
        <v>65974</v>
      </c>
      <c r="M231" s="32">
        <f>IF(AND(AND(T230="",A231&lt;=S230),A231=入力!$B$15),ROUND(MIN(入力!$B$16,MAX(0,C231-L231)),0),0)</f>
        <v>0</v>
      </c>
      <c r="N231" s="32">
        <f t="shared" si="64"/>
        <v>15785024</v>
      </c>
      <c r="O231" s="32">
        <f t="shared" si="65"/>
        <v>8966306</v>
      </c>
      <c r="P231" s="34" t="str">
        <f>IF(NOT(AND(T230="",A231&lt;=S230)),"",IF(A231=入力!$B$15+1,"繰上返済後再計算","")&amp;IF(AND(入力!$B$13="有効",A231&gt;1,MOD(A231-1,60)=0),IF(A231=入力!$B$15+1,"・","")&amp;"5年見直し","")&amp;IF(AND(A231=入力!$B$11,A231&gt;1),IF(OR(A231=入力!$B$15+1,AND(入力!$B$13="有効",A231&gt;1,MOD(A231-1,60)=0)),"・","")&amp;"金利変更","")&amp;IF(AND(OR(AND(入力!$B$13="有効",A231&gt;1,MOD(A231-1,60)=0),AND(A231=入力!$B$11,A231&gt;1)),入力!$B$14="有効",IF(E231=0,ROUND(C231/MAX(1,S230-A231+1),0),ROUND(-PMT(E231/12,MAX(1,S230-A231+1),C231),0))&gt;ROUND(G230*1.25,0),NOT(A231=入力!$B$15+1)),"・上限適用",""))</f>
        <v/>
      </c>
      <c r="Q231" s="35" t="str">
        <f>IF(AND(T230="",A231&lt;=S230),入力!$B$13,"")</f>
        <v>有効</v>
      </c>
      <c r="R231" s="32" t="str">
        <f>IF(AND(AND(T230="",A231&lt;=S230),OR(AND(入力!$B$13="有効",A231&gt;1,MOD(A231-1,60)=0),AND(A231=入力!$B$11,A231&gt;1)),入力!$B$14="有効"),ROUND(G230*1.25,0),"")</f>
        <v/>
      </c>
      <c r="S231" s="36">
        <f t="shared" si="66"/>
        <v>420</v>
      </c>
      <c r="T231" s="35" t="str">
        <f t="shared" si="67"/>
        <v/>
      </c>
      <c r="U231" s="3">
        <f t="shared" si="51"/>
        <v>0</v>
      </c>
      <c r="V231" s="3">
        <f t="shared" si="52"/>
        <v>0</v>
      </c>
      <c r="W231" s="3">
        <f t="shared" si="53"/>
        <v>0</v>
      </c>
      <c r="X231" s="3">
        <f t="shared" si="54"/>
        <v>0</v>
      </c>
      <c r="Y231" s="3">
        <f>0</f>
        <v>0</v>
      </c>
      <c r="Z231" s="3">
        <f t="shared" si="55"/>
        <v>0</v>
      </c>
      <c r="AA231">
        <f>ROUND(IF(A231=入力!$B$15+1,IF(E231=0,ROUND(C231/MAX(1,S230-A231+1),0),ROUND(-PMT(E231/12,MAX(1,S230-A231+1)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,0)</f>
        <v>98997</v>
      </c>
    </row>
    <row r="232" spans="1:27">
      <c r="A232" s="30">
        <f>227</f>
        <v>227</v>
      </c>
      <c r="B232" s="31">
        <f>EDATE(入力!$B$6,A232-1)</f>
        <v>53114</v>
      </c>
      <c r="C232" s="32">
        <f t="shared" si="56"/>
        <v>15785024</v>
      </c>
      <c r="D232" s="32">
        <f t="shared" si="57"/>
        <v>0</v>
      </c>
      <c r="E232" s="33">
        <f>IF(AND(T231="",A232&lt;=S231),IF(A232&lt;入力!$B$11,入力!$B$10,入力!$B$12),0)</f>
        <v>2.5000000000000001E-2</v>
      </c>
      <c r="F232" s="32">
        <f t="shared" si="58"/>
        <v>32885</v>
      </c>
      <c r="G232" s="32">
        <f>ROUND(IF(NOT(AND(T231="",A232&lt;=S231)),0,IF(A232=入力!$B$15+1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),0)</f>
        <v>98997</v>
      </c>
      <c r="H232" s="32">
        <f t="shared" si="59"/>
        <v>98997</v>
      </c>
      <c r="I232" s="32">
        <f t="shared" si="60"/>
        <v>32885</v>
      </c>
      <c r="J232" s="32">
        <f t="shared" si="61"/>
        <v>0</v>
      </c>
      <c r="K232" s="32">
        <f t="shared" si="62"/>
        <v>0</v>
      </c>
      <c r="L232" s="32">
        <f t="shared" si="63"/>
        <v>66112</v>
      </c>
      <c r="M232" s="32">
        <f>IF(AND(AND(T231="",A232&lt;=S231),A232=入力!$B$15),ROUND(MIN(入力!$B$16,MAX(0,C232-L232)),0),0)</f>
        <v>0</v>
      </c>
      <c r="N232" s="32">
        <f t="shared" si="64"/>
        <v>15718912</v>
      </c>
      <c r="O232" s="32">
        <f t="shared" si="65"/>
        <v>8999191</v>
      </c>
      <c r="P232" s="34" t="str">
        <f>IF(NOT(AND(T231="",A232&lt;=S231)),"",IF(A232=入力!$B$15+1,"繰上返済後再計算","")&amp;IF(AND(入力!$B$13="有効",A232&gt;1,MOD(A232-1,60)=0),IF(A232=入力!$B$15+1,"・","")&amp;"5年見直し","")&amp;IF(AND(A232=入力!$B$11,A232&gt;1),IF(OR(A232=入力!$B$15+1,AND(入力!$B$13="有効",A232&gt;1,MOD(A232-1,60)=0)),"・","")&amp;"金利変更","")&amp;IF(AND(OR(AND(入力!$B$13="有効",A232&gt;1,MOD(A232-1,60)=0),AND(A232=入力!$B$11,A232&gt;1)),入力!$B$14="有効",IF(E232=0,ROUND(C232/MAX(1,S231-A232+1),0),ROUND(-PMT(E232/12,MAX(1,S231-A232+1),C232),0))&gt;ROUND(G231*1.25,0),NOT(A232=入力!$B$15+1)),"・上限適用",""))</f>
        <v/>
      </c>
      <c r="Q232" s="35" t="str">
        <f>IF(AND(T231="",A232&lt;=S231),入力!$B$13,"")</f>
        <v>有効</v>
      </c>
      <c r="R232" s="32" t="str">
        <f>IF(AND(AND(T231="",A232&lt;=S231),OR(AND(入力!$B$13="有効",A232&gt;1,MOD(A232-1,60)=0),AND(A232=入力!$B$11,A232&gt;1)),入力!$B$14="有効"),ROUND(G231*1.25,0),"")</f>
        <v/>
      </c>
      <c r="S232" s="36">
        <f t="shared" si="66"/>
        <v>420</v>
      </c>
      <c r="T232" s="35" t="str">
        <f t="shared" si="67"/>
        <v/>
      </c>
      <c r="U232" s="3">
        <f t="shared" si="51"/>
        <v>0</v>
      </c>
      <c r="V232" s="3">
        <f t="shared" si="52"/>
        <v>0</v>
      </c>
      <c r="W232" s="3">
        <f t="shared" si="53"/>
        <v>0</v>
      </c>
      <c r="X232" s="3">
        <f t="shared" si="54"/>
        <v>0</v>
      </c>
      <c r="Y232" s="3">
        <f>0</f>
        <v>0</v>
      </c>
      <c r="Z232" s="3">
        <f t="shared" si="55"/>
        <v>0</v>
      </c>
      <c r="AA232">
        <f>ROUND(IF(A232=入力!$B$15+1,IF(E232=0,ROUND(C232/MAX(1,S231-A232+1),0),ROUND(-PMT(E232/12,MAX(1,S231-A232+1)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,0)</f>
        <v>98997</v>
      </c>
    </row>
    <row r="233" spans="1:27">
      <c r="A233" s="30">
        <f>228</f>
        <v>228</v>
      </c>
      <c r="B233" s="31">
        <f>EDATE(入力!$B$6,A233-1)</f>
        <v>53144</v>
      </c>
      <c r="C233" s="32">
        <f t="shared" si="56"/>
        <v>15718912</v>
      </c>
      <c r="D233" s="32">
        <f t="shared" si="57"/>
        <v>0</v>
      </c>
      <c r="E233" s="33">
        <f>IF(AND(T232="",A233&lt;=S232),IF(A233&lt;入力!$B$11,入力!$B$10,入力!$B$12),0)</f>
        <v>2.5000000000000001E-2</v>
      </c>
      <c r="F233" s="32">
        <f t="shared" si="58"/>
        <v>32748</v>
      </c>
      <c r="G233" s="32">
        <f>ROUND(IF(NOT(AND(T232="",A233&lt;=S232)),0,IF(A233=入力!$B$15+1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),0)</f>
        <v>98997</v>
      </c>
      <c r="H233" s="32">
        <f t="shared" si="59"/>
        <v>98997</v>
      </c>
      <c r="I233" s="32">
        <f t="shared" si="60"/>
        <v>32748</v>
      </c>
      <c r="J233" s="32">
        <f t="shared" si="61"/>
        <v>0</v>
      </c>
      <c r="K233" s="32">
        <f t="shared" si="62"/>
        <v>0</v>
      </c>
      <c r="L233" s="32">
        <f t="shared" si="63"/>
        <v>66249</v>
      </c>
      <c r="M233" s="32">
        <f>IF(AND(AND(T232="",A233&lt;=S232),A233=入力!$B$15),ROUND(MIN(入力!$B$16,MAX(0,C233-L233)),0),0)</f>
        <v>0</v>
      </c>
      <c r="N233" s="32">
        <f t="shared" si="64"/>
        <v>15652663</v>
      </c>
      <c r="O233" s="32">
        <f t="shared" si="65"/>
        <v>9031939</v>
      </c>
      <c r="P233" s="34" t="str">
        <f>IF(NOT(AND(T232="",A233&lt;=S232)),"",IF(A233=入力!$B$15+1,"繰上返済後再計算","")&amp;IF(AND(入力!$B$13="有効",A233&gt;1,MOD(A233-1,60)=0),IF(A233=入力!$B$15+1,"・","")&amp;"5年見直し","")&amp;IF(AND(A233=入力!$B$11,A233&gt;1),IF(OR(A233=入力!$B$15+1,AND(入力!$B$13="有効",A233&gt;1,MOD(A233-1,60)=0)),"・","")&amp;"金利変更","")&amp;IF(AND(OR(AND(入力!$B$13="有効",A233&gt;1,MOD(A233-1,60)=0),AND(A233=入力!$B$11,A233&gt;1)),入力!$B$14="有効",IF(E233=0,ROUND(C233/MAX(1,S232-A233+1),0),ROUND(-PMT(E233/12,MAX(1,S232-A233+1),C233),0))&gt;ROUND(G232*1.25,0),NOT(A233=入力!$B$15+1)),"・上限適用",""))</f>
        <v/>
      </c>
      <c r="Q233" s="35" t="str">
        <f>IF(AND(T232="",A233&lt;=S232),入力!$B$13,"")</f>
        <v>有効</v>
      </c>
      <c r="R233" s="32" t="str">
        <f>IF(AND(AND(T232="",A233&lt;=S232),OR(AND(入力!$B$13="有効",A233&gt;1,MOD(A233-1,60)=0),AND(A233=入力!$B$11,A233&gt;1)),入力!$B$14="有効"),ROUND(G232*1.25,0),"")</f>
        <v/>
      </c>
      <c r="S233" s="36">
        <f t="shared" si="66"/>
        <v>420</v>
      </c>
      <c r="T233" s="35" t="str">
        <f t="shared" si="67"/>
        <v/>
      </c>
      <c r="U233" s="3">
        <f t="shared" si="51"/>
        <v>0</v>
      </c>
      <c r="V233" s="3">
        <f t="shared" si="52"/>
        <v>0</v>
      </c>
      <c r="W233" s="3">
        <f t="shared" si="53"/>
        <v>0</v>
      </c>
      <c r="X233" s="3">
        <f t="shared" si="54"/>
        <v>0</v>
      </c>
      <c r="Y233" s="3">
        <f>0</f>
        <v>0</v>
      </c>
      <c r="Z233" s="3">
        <f t="shared" si="55"/>
        <v>0</v>
      </c>
      <c r="AA233">
        <f>ROUND(IF(A233=入力!$B$15+1,IF(E233=0,ROUND(C233/MAX(1,S232-A233+1),0),ROUND(-PMT(E233/12,MAX(1,S232-A233+1)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,0)</f>
        <v>98997</v>
      </c>
    </row>
    <row r="234" spans="1:27">
      <c r="A234" s="30">
        <f>229</f>
        <v>229</v>
      </c>
      <c r="B234" s="31">
        <f>EDATE(入力!$B$6,A234-1)</f>
        <v>53175</v>
      </c>
      <c r="C234" s="32">
        <f t="shared" si="56"/>
        <v>15652663</v>
      </c>
      <c r="D234" s="32">
        <f t="shared" si="57"/>
        <v>0</v>
      </c>
      <c r="E234" s="33">
        <f>IF(AND(T233="",A234&lt;=S233),IF(A234&lt;入力!$B$11,入力!$B$10,入力!$B$12),0)</f>
        <v>2.5000000000000001E-2</v>
      </c>
      <c r="F234" s="32">
        <f t="shared" si="58"/>
        <v>32610</v>
      </c>
      <c r="G234" s="32">
        <f>ROUND(IF(NOT(AND(T233="",A234&lt;=S233)),0,IF(A234=入力!$B$15+1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),0)</f>
        <v>98997</v>
      </c>
      <c r="H234" s="32">
        <f t="shared" si="59"/>
        <v>98997</v>
      </c>
      <c r="I234" s="32">
        <f t="shared" si="60"/>
        <v>32610</v>
      </c>
      <c r="J234" s="32">
        <f t="shared" si="61"/>
        <v>0</v>
      </c>
      <c r="K234" s="32">
        <f t="shared" si="62"/>
        <v>0</v>
      </c>
      <c r="L234" s="32">
        <f t="shared" si="63"/>
        <v>66387</v>
      </c>
      <c r="M234" s="32">
        <f>IF(AND(AND(T233="",A234&lt;=S233),A234=入力!$B$15),ROUND(MIN(入力!$B$16,MAX(0,C234-L234)),0),0)</f>
        <v>0</v>
      </c>
      <c r="N234" s="32">
        <f t="shared" si="64"/>
        <v>15586276</v>
      </c>
      <c r="O234" s="32">
        <f t="shared" si="65"/>
        <v>9064549</v>
      </c>
      <c r="P234" s="34" t="str">
        <f>IF(NOT(AND(T233="",A234&lt;=S233)),"",IF(A234=入力!$B$15+1,"繰上返済後再計算","")&amp;IF(AND(入力!$B$13="有効",A234&gt;1,MOD(A234-1,60)=0),IF(A234=入力!$B$15+1,"・","")&amp;"5年見直し","")&amp;IF(AND(A234=入力!$B$11,A234&gt;1),IF(OR(A234=入力!$B$15+1,AND(入力!$B$13="有効",A234&gt;1,MOD(A234-1,60)=0)),"・","")&amp;"金利変更","")&amp;IF(AND(OR(AND(入力!$B$13="有効",A234&gt;1,MOD(A234-1,60)=0),AND(A234=入力!$B$11,A234&gt;1)),入力!$B$14="有効",IF(E234=0,ROUND(C234/MAX(1,S233-A234+1),0),ROUND(-PMT(E234/12,MAX(1,S233-A234+1),C234),0))&gt;ROUND(G233*1.25,0),NOT(A234=入力!$B$15+1)),"・上限適用",""))</f>
        <v/>
      </c>
      <c r="Q234" s="35" t="str">
        <f>IF(AND(T233="",A234&lt;=S233),入力!$B$13,"")</f>
        <v>有効</v>
      </c>
      <c r="R234" s="32" t="str">
        <f>IF(AND(AND(T233="",A234&lt;=S233),OR(AND(入力!$B$13="有効",A234&gt;1,MOD(A234-1,60)=0),AND(A234=入力!$B$11,A234&gt;1)),入力!$B$14="有効"),ROUND(G233*1.25,0),"")</f>
        <v/>
      </c>
      <c r="S234" s="36">
        <f t="shared" si="66"/>
        <v>420</v>
      </c>
      <c r="T234" s="35" t="str">
        <f t="shared" si="67"/>
        <v/>
      </c>
      <c r="U234" s="3">
        <f t="shared" si="51"/>
        <v>0</v>
      </c>
      <c r="V234" s="3">
        <f t="shared" si="52"/>
        <v>0</v>
      </c>
      <c r="W234" s="3">
        <f t="shared" si="53"/>
        <v>0</v>
      </c>
      <c r="X234" s="3">
        <f t="shared" si="54"/>
        <v>0</v>
      </c>
      <c r="Y234" s="3">
        <f>0</f>
        <v>0</v>
      </c>
      <c r="Z234" s="3">
        <f t="shared" si="55"/>
        <v>0</v>
      </c>
      <c r="AA234">
        <f>ROUND(IF(A234=入力!$B$15+1,IF(E234=0,ROUND(C234/MAX(1,S233-A234+1),0),ROUND(-PMT(E234/12,MAX(1,S233-A234+1)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,0)</f>
        <v>98997</v>
      </c>
    </row>
    <row r="235" spans="1:27">
      <c r="A235" s="30">
        <f>230</f>
        <v>230</v>
      </c>
      <c r="B235" s="31">
        <f>EDATE(入力!$B$6,A235-1)</f>
        <v>53206</v>
      </c>
      <c r="C235" s="32">
        <f t="shared" si="56"/>
        <v>15586276</v>
      </c>
      <c r="D235" s="32">
        <f t="shared" si="57"/>
        <v>0</v>
      </c>
      <c r="E235" s="33">
        <f>IF(AND(T234="",A235&lt;=S234),IF(A235&lt;入力!$B$11,入力!$B$10,入力!$B$12),0)</f>
        <v>2.5000000000000001E-2</v>
      </c>
      <c r="F235" s="32">
        <f t="shared" si="58"/>
        <v>32471</v>
      </c>
      <c r="G235" s="32">
        <f>ROUND(IF(NOT(AND(T234="",A235&lt;=S234)),0,IF(A235=入力!$B$15+1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),0)</f>
        <v>98997</v>
      </c>
      <c r="H235" s="32">
        <f t="shared" si="59"/>
        <v>98997</v>
      </c>
      <c r="I235" s="32">
        <f t="shared" si="60"/>
        <v>32471</v>
      </c>
      <c r="J235" s="32">
        <f t="shared" si="61"/>
        <v>0</v>
      </c>
      <c r="K235" s="32">
        <f t="shared" si="62"/>
        <v>0</v>
      </c>
      <c r="L235" s="32">
        <f t="shared" si="63"/>
        <v>66526</v>
      </c>
      <c r="M235" s="32">
        <f>IF(AND(AND(T234="",A235&lt;=S234),A235=入力!$B$15),ROUND(MIN(入力!$B$16,MAX(0,C235-L235)),0),0)</f>
        <v>0</v>
      </c>
      <c r="N235" s="32">
        <f t="shared" si="64"/>
        <v>15519750</v>
      </c>
      <c r="O235" s="32">
        <f t="shared" si="65"/>
        <v>9097020</v>
      </c>
      <c r="P235" s="34" t="str">
        <f>IF(NOT(AND(T234="",A235&lt;=S234)),"",IF(A235=入力!$B$15+1,"繰上返済後再計算","")&amp;IF(AND(入力!$B$13="有効",A235&gt;1,MOD(A235-1,60)=0),IF(A235=入力!$B$15+1,"・","")&amp;"5年見直し","")&amp;IF(AND(A235=入力!$B$11,A235&gt;1),IF(OR(A235=入力!$B$15+1,AND(入力!$B$13="有効",A235&gt;1,MOD(A235-1,60)=0)),"・","")&amp;"金利変更","")&amp;IF(AND(OR(AND(入力!$B$13="有効",A235&gt;1,MOD(A235-1,60)=0),AND(A235=入力!$B$11,A235&gt;1)),入力!$B$14="有効",IF(E235=0,ROUND(C235/MAX(1,S234-A235+1),0),ROUND(-PMT(E235/12,MAX(1,S234-A235+1),C235),0))&gt;ROUND(G234*1.25,0),NOT(A235=入力!$B$15+1)),"・上限適用",""))</f>
        <v/>
      </c>
      <c r="Q235" s="35" t="str">
        <f>IF(AND(T234="",A235&lt;=S234),入力!$B$13,"")</f>
        <v>有効</v>
      </c>
      <c r="R235" s="32" t="str">
        <f>IF(AND(AND(T234="",A235&lt;=S234),OR(AND(入力!$B$13="有効",A235&gt;1,MOD(A235-1,60)=0),AND(A235=入力!$B$11,A235&gt;1)),入力!$B$14="有効"),ROUND(G234*1.25,0),"")</f>
        <v/>
      </c>
      <c r="S235" s="36">
        <f t="shared" si="66"/>
        <v>420</v>
      </c>
      <c r="T235" s="35" t="str">
        <f t="shared" si="67"/>
        <v/>
      </c>
      <c r="U235" s="3">
        <f t="shared" si="51"/>
        <v>0</v>
      </c>
      <c r="V235" s="3">
        <f t="shared" si="52"/>
        <v>0</v>
      </c>
      <c r="W235" s="3">
        <f t="shared" si="53"/>
        <v>0</v>
      </c>
      <c r="X235" s="3">
        <f t="shared" si="54"/>
        <v>0</v>
      </c>
      <c r="Y235" s="3">
        <f>0</f>
        <v>0</v>
      </c>
      <c r="Z235" s="3">
        <f t="shared" si="55"/>
        <v>0</v>
      </c>
      <c r="AA235">
        <f>ROUND(IF(A235=入力!$B$15+1,IF(E235=0,ROUND(C235/MAX(1,S234-A235+1),0),ROUND(-PMT(E235/12,MAX(1,S234-A235+1)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,0)</f>
        <v>98997</v>
      </c>
    </row>
    <row r="236" spans="1:27">
      <c r="A236" s="30">
        <f>231</f>
        <v>231</v>
      </c>
      <c r="B236" s="31">
        <f>EDATE(入力!$B$6,A236-1)</f>
        <v>53236</v>
      </c>
      <c r="C236" s="32">
        <f t="shared" si="56"/>
        <v>15519750</v>
      </c>
      <c r="D236" s="32">
        <f t="shared" si="57"/>
        <v>0</v>
      </c>
      <c r="E236" s="33">
        <f>IF(AND(T235="",A236&lt;=S235),IF(A236&lt;入力!$B$11,入力!$B$10,入力!$B$12),0)</f>
        <v>2.5000000000000001E-2</v>
      </c>
      <c r="F236" s="32">
        <f t="shared" si="58"/>
        <v>32333</v>
      </c>
      <c r="G236" s="32">
        <f>ROUND(IF(NOT(AND(T235="",A236&lt;=S235)),0,IF(A236=入力!$B$15+1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),0)</f>
        <v>98997</v>
      </c>
      <c r="H236" s="32">
        <f t="shared" si="59"/>
        <v>98997</v>
      </c>
      <c r="I236" s="32">
        <f t="shared" si="60"/>
        <v>32333</v>
      </c>
      <c r="J236" s="32">
        <f t="shared" si="61"/>
        <v>0</v>
      </c>
      <c r="K236" s="32">
        <f t="shared" si="62"/>
        <v>0</v>
      </c>
      <c r="L236" s="32">
        <f t="shared" si="63"/>
        <v>66664</v>
      </c>
      <c r="M236" s="32">
        <f>IF(AND(AND(T235="",A236&lt;=S235),A236=入力!$B$15),ROUND(MIN(入力!$B$16,MAX(0,C236-L236)),0),0)</f>
        <v>0</v>
      </c>
      <c r="N236" s="32">
        <f t="shared" si="64"/>
        <v>15453086</v>
      </c>
      <c r="O236" s="32">
        <f t="shared" si="65"/>
        <v>9129353</v>
      </c>
      <c r="P236" s="34" t="str">
        <f>IF(NOT(AND(T235="",A236&lt;=S235)),"",IF(A236=入力!$B$15+1,"繰上返済後再計算","")&amp;IF(AND(入力!$B$13="有効",A236&gt;1,MOD(A236-1,60)=0),IF(A236=入力!$B$15+1,"・","")&amp;"5年見直し","")&amp;IF(AND(A236=入力!$B$11,A236&gt;1),IF(OR(A236=入力!$B$15+1,AND(入力!$B$13="有効",A236&gt;1,MOD(A236-1,60)=0)),"・","")&amp;"金利変更","")&amp;IF(AND(OR(AND(入力!$B$13="有効",A236&gt;1,MOD(A236-1,60)=0),AND(A236=入力!$B$11,A236&gt;1)),入力!$B$14="有効",IF(E236=0,ROUND(C236/MAX(1,S235-A236+1),0),ROUND(-PMT(E236/12,MAX(1,S235-A236+1),C236),0))&gt;ROUND(G235*1.25,0),NOT(A236=入力!$B$15+1)),"・上限適用",""))</f>
        <v/>
      </c>
      <c r="Q236" s="35" t="str">
        <f>IF(AND(T235="",A236&lt;=S235),入力!$B$13,"")</f>
        <v>有効</v>
      </c>
      <c r="R236" s="32" t="str">
        <f>IF(AND(AND(T235="",A236&lt;=S235),OR(AND(入力!$B$13="有効",A236&gt;1,MOD(A236-1,60)=0),AND(A236=入力!$B$11,A236&gt;1)),入力!$B$14="有効"),ROUND(G235*1.25,0),"")</f>
        <v/>
      </c>
      <c r="S236" s="36">
        <f t="shared" si="66"/>
        <v>420</v>
      </c>
      <c r="T236" s="35" t="str">
        <f t="shared" si="67"/>
        <v/>
      </c>
      <c r="U236" s="3">
        <f t="shared" si="51"/>
        <v>0</v>
      </c>
      <c r="V236" s="3">
        <f t="shared" si="52"/>
        <v>0</v>
      </c>
      <c r="W236" s="3">
        <f t="shared" si="53"/>
        <v>0</v>
      </c>
      <c r="X236" s="3">
        <f t="shared" si="54"/>
        <v>0</v>
      </c>
      <c r="Y236" s="3">
        <f>0</f>
        <v>0</v>
      </c>
      <c r="Z236" s="3">
        <f t="shared" si="55"/>
        <v>0</v>
      </c>
      <c r="AA236">
        <f>ROUND(IF(A236=入力!$B$15+1,IF(E236=0,ROUND(C236/MAX(1,S235-A236+1),0),ROUND(-PMT(E236/12,MAX(1,S235-A236+1)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,0)</f>
        <v>98997</v>
      </c>
    </row>
    <row r="237" spans="1:27">
      <c r="A237" s="30">
        <f>232</f>
        <v>232</v>
      </c>
      <c r="B237" s="31">
        <f>EDATE(入力!$B$6,A237-1)</f>
        <v>53267</v>
      </c>
      <c r="C237" s="32">
        <f t="shared" si="56"/>
        <v>15453086</v>
      </c>
      <c r="D237" s="32">
        <f t="shared" si="57"/>
        <v>0</v>
      </c>
      <c r="E237" s="33">
        <f>IF(AND(T236="",A237&lt;=S236),IF(A237&lt;入力!$B$11,入力!$B$10,入力!$B$12),0)</f>
        <v>2.5000000000000001E-2</v>
      </c>
      <c r="F237" s="32">
        <f t="shared" si="58"/>
        <v>32194</v>
      </c>
      <c r="G237" s="32">
        <f>ROUND(IF(NOT(AND(T236="",A237&lt;=S236)),0,IF(A237=入力!$B$15+1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),0)</f>
        <v>98997</v>
      </c>
      <c r="H237" s="32">
        <f t="shared" si="59"/>
        <v>98997</v>
      </c>
      <c r="I237" s="32">
        <f t="shared" si="60"/>
        <v>32194</v>
      </c>
      <c r="J237" s="32">
        <f t="shared" si="61"/>
        <v>0</v>
      </c>
      <c r="K237" s="32">
        <f t="shared" si="62"/>
        <v>0</v>
      </c>
      <c r="L237" s="32">
        <f t="shared" si="63"/>
        <v>66803</v>
      </c>
      <c r="M237" s="32">
        <f>IF(AND(AND(T236="",A237&lt;=S236),A237=入力!$B$15),ROUND(MIN(入力!$B$16,MAX(0,C237-L237)),0),0)</f>
        <v>0</v>
      </c>
      <c r="N237" s="32">
        <f t="shared" si="64"/>
        <v>15386283</v>
      </c>
      <c r="O237" s="32">
        <f t="shared" si="65"/>
        <v>9161547</v>
      </c>
      <c r="P237" s="34" t="str">
        <f>IF(NOT(AND(T236="",A237&lt;=S236)),"",IF(A237=入力!$B$15+1,"繰上返済後再計算","")&amp;IF(AND(入力!$B$13="有効",A237&gt;1,MOD(A237-1,60)=0),IF(A237=入力!$B$15+1,"・","")&amp;"5年見直し","")&amp;IF(AND(A237=入力!$B$11,A237&gt;1),IF(OR(A237=入力!$B$15+1,AND(入力!$B$13="有効",A237&gt;1,MOD(A237-1,60)=0)),"・","")&amp;"金利変更","")&amp;IF(AND(OR(AND(入力!$B$13="有効",A237&gt;1,MOD(A237-1,60)=0),AND(A237=入力!$B$11,A237&gt;1)),入力!$B$14="有効",IF(E237=0,ROUND(C237/MAX(1,S236-A237+1),0),ROUND(-PMT(E237/12,MAX(1,S236-A237+1),C237),0))&gt;ROUND(G236*1.25,0),NOT(A237=入力!$B$15+1)),"・上限適用",""))</f>
        <v/>
      </c>
      <c r="Q237" s="35" t="str">
        <f>IF(AND(T236="",A237&lt;=S236),入力!$B$13,"")</f>
        <v>有効</v>
      </c>
      <c r="R237" s="32" t="str">
        <f>IF(AND(AND(T236="",A237&lt;=S236),OR(AND(入力!$B$13="有効",A237&gt;1,MOD(A237-1,60)=0),AND(A237=入力!$B$11,A237&gt;1)),入力!$B$14="有効"),ROUND(G236*1.25,0),"")</f>
        <v/>
      </c>
      <c r="S237" s="36">
        <f t="shared" si="66"/>
        <v>420</v>
      </c>
      <c r="T237" s="35" t="str">
        <f t="shared" si="67"/>
        <v/>
      </c>
      <c r="U237" s="3">
        <f t="shared" si="51"/>
        <v>0</v>
      </c>
      <c r="V237" s="3">
        <f t="shared" si="52"/>
        <v>0</v>
      </c>
      <c r="W237" s="3">
        <f t="shared" si="53"/>
        <v>0</v>
      </c>
      <c r="X237" s="3">
        <f t="shared" si="54"/>
        <v>0</v>
      </c>
      <c r="Y237" s="3">
        <f>0</f>
        <v>0</v>
      </c>
      <c r="Z237" s="3">
        <f t="shared" si="55"/>
        <v>0</v>
      </c>
      <c r="AA237">
        <f>ROUND(IF(A237=入力!$B$15+1,IF(E237=0,ROUND(C237/MAX(1,S236-A237+1),0),ROUND(-PMT(E237/12,MAX(1,S236-A237+1)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,0)</f>
        <v>98997</v>
      </c>
    </row>
    <row r="238" spans="1:27">
      <c r="A238" s="30">
        <f>233</f>
        <v>233</v>
      </c>
      <c r="B238" s="31">
        <f>EDATE(入力!$B$6,A238-1)</f>
        <v>53297</v>
      </c>
      <c r="C238" s="32">
        <f t="shared" si="56"/>
        <v>15386283</v>
      </c>
      <c r="D238" s="32">
        <f t="shared" si="57"/>
        <v>0</v>
      </c>
      <c r="E238" s="33">
        <f>IF(AND(T237="",A238&lt;=S237),IF(A238&lt;入力!$B$11,入力!$B$10,入力!$B$12),0)</f>
        <v>2.5000000000000001E-2</v>
      </c>
      <c r="F238" s="32">
        <f t="shared" si="58"/>
        <v>32055</v>
      </c>
      <c r="G238" s="32">
        <f>ROUND(IF(NOT(AND(T237="",A238&lt;=S237)),0,IF(A238=入力!$B$15+1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),0)</f>
        <v>98997</v>
      </c>
      <c r="H238" s="32">
        <f t="shared" si="59"/>
        <v>98997</v>
      </c>
      <c r="I238" s="32">
        <f t="shared" si="60"/>
        <v>32055</v>
      </c>
      <c r="J238" s="32">
        <f t="shared" si="61"/>
        <v>0</v>
      </c>
      <c r="K238" s="32">
        <f t="shared" si="62"/>
        <v>0</v>
      </c>
      <c r="L238" s="32">
        <f t="shared" si="63"/>
        <v>66942</v>
      </c>
      <c r="M238" s="32">
        <f>IF(AND(AND(T237="",A238&lt;=S237),A238=入力!$B$15),ROUND(MIN(入力!$B$16,MAX(0,C238-L238)),0),0)</f>
        <v>0</v>
      </c>
      <c r="N238" s="32">
        <f t="shared" si="64"/>
        <v>15319341</v>
      </c>
      <c r="O238" s="32">
        <f t="shared" si="65"/>
        <v>9193602</v>
      </c>
      <c r="P238" s="34" t="str">
        <f>IF(NOT(AND(T237="",A238&lt;=S237)),"",IF(A238=入力!$B$15+1,"繰上返済後再計算","")&amp;IF(AND(入力!$B$13="有効",A238&gt;1,MOD(A238-1,60)=0),IF(A238=入力!$B$15+1,"・","")&amp;"5年見直し","")&amp;IF(AND(A238=入力!$B$11,A238&gt;1),IF(OR(A238=入力!$B$15+1,AND(入力!$B$13="有効",A238&gt;1,MOD(A238-1,60)=0)),"・","")&amp;"金利変更","")&amp;IF(AND(OR(AND(入力!$B$13="有効",A238&gt;1,MOD(A238-1,60)=0),AND(A238=入力!$B$11,A238&gt;1)),入力!$B$14="有効",IF(E238=0,ROUND(C238/MAX(1,S237-A238+1),0),ROUND(-PMT(E238/12,MAX(1,S237-A238+1),C238),0))&gt;ROUND(G237*1.25,0),NOT(A238=入力!$B$15+1)),"・上限適用",""))</f>
        <v/>
      </c>
      <c r="Q238" s="35" t="str">
        <f>IF(AND(T237="",A238&lt;=S237),入力!$B$13,"")</f>
        <v>有効</v>
      </c>
      <c r="R238" s="32" t="str">
        <f>IF(AND(AND(T237="",A238&lt;=S237),OR(AND(入力!$B$13="有効",A238&gt;1,MOD(A238-1,60)=0),AND(A238=入力!$B$11,A238&gt;1)),入力!$B$14="有効"),ROUND(G237*1.25,0),"")</f>
        <v/>
      </c>
      <c r="S238" s="36">
        <f t="shared" si="66"/>
        <v>420</v>
      </c>
      <c r="T238" s="35" t="str">
        <f t="shared" si="67"/>
        <v/>
      </c>
      <c r="U238" s="3">
        <f t="shared" si="51"/>
        <v>0</v>
      </c>
      <c r="V238" s="3">
        <f t="shared" si="52"/>
        <v>0</v>
      </c>
      <c r="W238" s="3">
        <f t="shared" si="53"/>
        <v>0</v>
      </c>
      <c r="X238" s="3">
        <f t="shared" si="54"/>
        <v>0</v>
      </c>
      <c r="Y238" s="3">
        <f>0</f>
        <v>0</v>
      </c>
      <c r="Z238" s="3">
        <f t="shared" si="55"/>
        <v>0</v>
      </c>
      <c r="AA238">
        <f>ROUND(IF(A238=入力!$B$15+1,IF(E238=0,ROUND(C238/MAX(1,S237-A238+1),0),ROUND(-PMT(E238/12,MAX(1,S237-A238+1)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,0)</f>
        <v>98997</v>
      </c>
    </row>
    <row r="239" spans="1:27">
      <c r="A239" s="30">
        <f>234</f>
        <v>234</v>
      </c>
      <c r="B239" s="31">
        <f>EDATE(入力!$B$6,A239-1)</f>
        <v>53328</v>
      </c>
      <c r="C239" s="32">
        <f t="shared" si="56"/>
        <v>15319341</v>
      </c>
      <c r="D239" s="32">
        <f t="shared" si="57"/>
        <v>0</v>
      </c>
      <c r="E239" s="33">
        <f>IF(AND(T238="",A239&lt;=S238),IF(A239&lt;入力!$B$11,入力!$B$10,入力!$B$12),0)</f>
        <v>2.5000000000000001E-2</v>
      </c>
      <c r="F239" s="32">
        <f t="shared" si="58"/>
        <v>31915</v>
      </c>
      <c r="G239" s="32">
        <f>ROUND(IF(NOT(AND(T238="",A239&lt;=S238)),0,IF(A239=入力!$B$15+1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),0)</f>
        <v>98997</v>
      </c>
      <c r="H239" s="32">
        <f t="shared" si="59"/>
        <v>98997</v>
      </c>
      <c r="I239" s="32">
        <f t="shared" si="60"/>
        <v>31915</v>
      </c>
      <c r="J239" s="32">
        <f t="shared" si="61"/>
        <v>0</v>
      </c>
      <c r="K239" s="32">
        <f t="shared" si="62"/>
        <v>0</v>
      </c>
      <c r="L239" s="32">
        <f t="shared" si="63"/>
        <v>67082</v>
      </c>
      <c r="M239" s="32">
        <f>IF(AND(AND(T238="",A239&lt;=S238),A239=入力!$B$15),ROUND(MIN(入力!$B$16,MAX(0,C239-L239)),0),0)</f>
        <v>0</v>
      </c>
      <c r="N239" s="32">
        <f t="shared" si="64"/>
        <v>15252259</v>
      </c>
      <c r="O239" s="32">
        <f t="shared" si="65"/>
        <v>9225517</v>
      </c>
      <c r="P239" s="34" t="str">
        <f>IF(NOT(AND(T238="",A239&lt;=S238)),"",IF(A239=入力!$B$15+1,"繰上返済後再計算","")&amp;IF(AND(入力!$B$13="有効",A239&gt;1,MOD(A239-1,60)=0),IF(A239=入力!$B$15+1,"・","")&amp;"5年見直し","")&amp;IF(AND(A239=入力!$B$11,A239&gt;1),IF(OR(A239=入力!$B$15+1,AND(入力!$B$13="有効",A239&gt;1,MOD(A239-1,60)=0)),"・","")&amp;"金利変更","")&amp;IF(AND(OR(AND(入力!$B$13="有効",A239&gt;1,MOD(A239-1,60)=0),AND(A239=入力!$B$11,A239&gt;1)),入力!$B$14="有効",IF(E239=0,ROUND(C239/MAX(1,S238-A239+1),0),ROUND(-PMT(E239/12,MAX(1,S238-A239+1),C239),0))&gt;ROUND(G238*1.25,0),NOT(A239=入力!$B$15+1)),"・上限適用",""))</f>
        <v/>
      </c>
      <c r="Q239" s="35" t="str">
        <f>IF(AND(T238="",A239&lt;=S238),入力!$B$13,"")</f>
        <v>有効</v>
      </c>
      <c r="R239" s="32" t="str">
        <f>IF(AND(AND(T238="",A239&lt;=S238),OR(AND(入力!$B$13="有効",A239&gt;1,MOD(A239-1,60)=0),AND(A239=入力!$B$11,A239&gt;1)),入力!$B$14="有効"),ROUND(G238*1.25,0),"")</f>
        <v/>
      </c>
      <c r="S239" s="36">
        <f t="shared" si="66"/>
        <v>420</v>
      </c>
      <c r="T239" s="35" t="str">
        <f t="shared" si="67"/>
        <v/>
      </c>
      <c r="U239" s="3">
        <f t="shared" si="51"/>
        <v>0</v>
      </c>
      <c r="V239" s="3">
        <f t="shared" si="52"/>
        <v>0</v>
      </c>
      <c r="W239" s="3">
        <f t="shared" si="53"/>
        <v>0</v>
      </c>
      <c r="X239" s="3">
        <f t="shared" si="54"/>
        <v>0</v>
      </c>
      <c r="Y239" s="3">
        <f>0</f>
        <v>0</v>
      </c>
      <c r="Z239" s="3">
        <f t="shared" si="55"/>
        <v>0</v>
      </c>
      <c r="AA239">
        <f>ROUND(IF(A239=入力!$B$15+1,IF(E239=0,ROUND(C239/MAX(1,S238-A239+1),0),ROUND(-PMT(E239/12,MAX(1,S238-A239+1)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,0)</f>
        <v>98997</v>
      </c>
    </row>
    <row r="240" spans="1:27">
      <c r="A240" s="30">
        <f>235</f>
        <v>235</v>
      </c>
      <c r="B240" s="31">
        <f>EDATE(入力!$B$6,A240-1)</f>
        <v>53359</v>
      </c>
      <c r="C240" s="32">
        <f t="shared" si="56"/>
        <v>15252259</v>
      </c>
      <c r="D240" s="32">
        <f t="shared" si="57"/>
        <v>0</v>
      </c>
      <c r="E240" s="33">
        <f>IF(AND(T239="",A240&lt;=S239),IF(A240&lt;入力!$B$11,入力!$B$10,入力!$B$12),0)</f>
        <v>2.5000000000000001E-2</v>
      </c>
      <c r="F240" s="32">
        <f t="shared" si="58"/>
        <v>31776</v>
      </c>
      <c r="G240" s="32">
        <f>ROUND(IF(NOT(AND(T239="",A240&lt;=S239)),0,IF(A240=入力!$B$15+1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),0)</f>
        <v>98997</v>
      </c>
      <c r="H240" s="32">
        <f t="shared" si="59"/>
        <v>98997</v>
      </c>
      <c r="I240" s="32">
        <f t="shared" si="60"/>
        <v>31776</v>
      </c>
      <c r="J240" s="32">
        <f t="shared" si="61"/>
        <v>0</v>
      </c>
      <c r="K240" s="32">
        <f t="shared" si="62"/>
        <v>0</v>
      </c>
      <c r="L240" s="32">
        <f t="shared" si="63"/>
        <v>67221</v>
      </c>
      <c r="M240" s="32">
        <f>IF(AND(AND(T239="",A240&lt;=S239),A240=入力!$B$15),ROUND(MIN(入力!$B$16,MAX(0,C240-L240)),0),0)</f>
        <v>0</v>
      </c>
      <c r="N240" s="32">
        <f t="shared" si="64"/>
        <v>15185038</v>
      </c>
      <c r="O240" s="32">
        <f t="shared" si="65"/>
        <v>9257293</v>
      </c>
      <c r="P240" s="34" t="str">
        <f>IF(NOT(AND(T239="",A240&lt;=S239)),"",IF(A240=入力!$B$15+1,"繰上返済後再計算","")&amp;IF(AND(入力!$B$13="有効",A240&gt;1,MOD(A240-1,60)=0),IF(A240=入力!$B$15+1,"・","")&amp;"5年見直し","")&amp;IF(AND(A240=入力!$B$11,A240&gt;1),IF(OR(A240=入力!$B$15+1,AND(入力!$B$13="有効",A240&gt;1,MOD(A240-1,60)=0)),"・","")&amp;"金利変更","")&amp;IF(AND(OR(AND(入力!$B$13="有効",A240&gt;1,MOD(A240-1,60)=0),AND(A240=入力!$B$11,A240&gt;1)),入力!$B$14="有効",IF(E240=0,ROUND(C240/MAX(1,S239-A240+1),0),ROUND(-PMT(E240/12,MAX(1,S239-A240+1),C240),0))&gt;ROUND(G239*1.25,0),NOT(A240=入力!$B$15+1)),"・上限適用",""))</f>
        <v/>
      </c>
      <c r="Q240" s="35" t="str">
        <f>IF(AND(T239="",A240&lt;=S239),入力!$B$13,"")</f>
        <v>有効</v>
      </c>
      <c r="R240" s="32" t="str">
        <f>IF(AND(AND(T239="",A240&lt;=S239),OR(AND(入力!$B$13="有効",A240&gt;1,MOD(A240-1,60)=0),AND(A240=入力!$B$11,A240&gt;1)),入力!$B$14="有効"),ROUND(G239*1.25,0),"")</f>
        <v/>
      </c>
      <c r="S240" s="36">
        <f t="shared" si="66"/>
        <v>420</v>
      </c>
      <c r="T240" s="35" t="str">
        <f t="shared" si="67"/>
        <v/>
      </c>
      <c r="U240" s="3">
        <f t="shared" si="51"/>
        <v>0</v>
      </c>
      <c r="V240" s="3">
        <f t="shared" si="52"/>
        <v>0</v>
      </c>
      <c r="W240" s="3">
        <f t="shared" si="53"/>
        <v>0</v>
      </c>
      <c r="X240" s="3">
        <f t="shared" si="54"/>
        <v>0</v>
      </c>
      <c r="Y240" s="3">
        <f>0</f>
        <v>0</v>
      </c>
      <c r="Z240" s="3">
        <f t="shared" si="55"/>
        <v>0</v>
      </c>
      <c r="AA240">
        <f>ROUND(IF(A240=入力!$B$15+1,IF(E240=0,ROUND(C240/MAX(1,S239-A240+1),0),ROUND(-PMT(E240/12,MAX(1,S239-A240+1)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,0)</f>
        <v>98997</v>
      </c>
    </row>
    <row r="241" spans="1:27">
      <c r="A241" s="30">
        <f>236</f>
        <v>236</v>
      </c>
      <c r="B241" s="31">
        <f>EDATE(入力!$B$6,A241-1)</f>
        <v>53387</v>
      </c>
      <c r="C241" s="32">
        <f t="shared" si="56"/>
        <v>15185038</v>
      </c>
      <c r="D241" s="32">
        <f t="shared" si="57"/>
        <v>0</v>
      </c>
      <c r="E241" s="33">
        <f>IF(AND(T240="",A241&lt;=S240),IF(A241&lt;入力!$B$11,入力!$B$10,入力!$B$12),0)</f>
        <v>2.5000000000000001E-2</v>
      </c>
      <c r="F241" s="32">
        <f t="shared" si="58"/>
        <v>31635</v>
      </c>
      <c r="G241" s="32">
        <f>ROUND(IF(NOT(AND(T240="",A241&lt;=S240)),0,IF(A241=入力!$B$15+1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),0)</f>
        <v>98997</v>
      </c>
      <c r="H241" s="32">
        <f t="shared" si="59"/>
        <v>98997</v>
      </c>
      <c r="I241" s="32">
        <f t="shared" si="60"/>
        <v>31635</v>
      </c>
      <c r="J241" s="32">
        <f t="shared" si="61"/>
        <v>0</v>
      </c>
      <c r="K241" s="32">
        <f t="shared" si="62"/>
        <v>0</v>
      </c>
      <c r="L241" s="32">
        <f t="shared" si="63"/>
        <v>67362</v>
      </c>
      <c r="M241" s="32">
        <f>IF(AND(AND(T240="",A241&lt;=S240),A241=入力!$B$15),ROUND(MIN(入力!$B$16,MAX(0,C241-L241)),0),0)</f>
        <v>0</v>
      </c>
      <c r="N241" s="32">
        <f t="shared" si="64"/>
        <v>15117676</v>
      </c>
      <c r="O241" s="32">
        <f t="shared" si="65"/>
        <v>9288928</v>
      </c>
      <c r="P241" s="34" t="str">
        <f>IF(NOT(AND(T240="",A241&lt;=S240)),"",IF(A241=入力!$B$15+1,"繰上返済後再計算","")&amp;IF(AND(入力!$B$13="有効",A241&gt;1,MOD(A241-1,60)=0),IF(A241=入力!$B$15+1,"・","")&amp;"5年見直し","")&amp;IF(AND(A241=入力!$B$11,A241&gt;1),IF(OR(A241=入力!$B$15+1,AND(入力!$B$13="有効",A241&gt;1,MOD(A241-1,60)=0)),"・","")&amp;"金利変更","")&amp;IF(AND(OR(AND(入力!$B$13="有効",A241&gt;1,MOD(A241-1,60)=0),AND(A241=入力!$B$11,A241&gt;1)),入力!$B$14="有効",IF(E241=0,ROUND(C241/MAX(1,S240-A241+1),0),ROUND(-PMT(E241/12,MAX(1,S240-A241+1),C241),0))&gt;ROUND(G240*1.25,0),NOT(A241=入力!$B$15+1)),"・上限適用",""))</f>
        <v/>
      </c>
      <c r="Q241" s="35" t="str">
        <f>IF(AND(T240="",A241&lt;=S240),入力!$B$13,"")</f>
        <v>有効</v>
      </c>
      <c r="R241" s="32" t="str">
        <f>IF(AND(AND(T240="",A241&lt;=S240),OR(AND(入力!$B$13="有効",A241&gt;1,MOD(A241-1,60)=0),AND(A241=入力!$B$11,A241&gt;1)),入力!$B$14="有効"),ROUND(G240*1.25,0),"")</f>
        <v/>
      </c>
      <c r="S241" s="36">
        <f t="shared" si="66"/>
        <v>420</v>
      </c>
      <c r="T241" s="35" t="str">
        <f t="shared" si="67"/>
        <v/>
      </c>
      <c r="U241" s="3">
        <f t="shared" si="51"/>
        <v>0</v>
      </c>
      <c r="V241" s="3">
        <f t="shared" si="52"/>
        <v>0</v>
      </c>
      <c r="W241" s="3">
        <f t="shared" si="53"/>
        <v>0</v>
      </c>
      <c r="X241" s="3">
        <f t="shared" si="54"/>
        <v>0</v>
      </c>
      <c r="Y241" s="3">
        <f>0</f>
        <v>0</v>
      </c>
      <c r="Z241" s="3">
        <f t="shared" si="55"/>
        <v>0</v>
      </c>
      <c r="AA241">
        <f>ROUND(IF(A241=入力!$B$15+1,IF(E241=0,ROUND(C241/MAX(1,S240-A241+1),0),ROUND(-PMT(E241/12,MAX(1,S240-A241+1)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,0)</f>
        <v>98997</v>
      </c>
    </row>
    <row r="242" spans="1:27">
      <c r="A242" s="30">
        <f>237</f>
        <v>237</v>
      </c>
      <c r="B242" s="31">
        <f>EDATE(入力!$B$6,A242-1)</f>
        <v>53418</v>
      </c>
      <c r="C242" s="32">
        <f t="shared" si="56"/>
        <v>15117676</v>
      </c>
      <c r="D242" s="32">
        <f t="shared" si="57"/>
        <v>0</v>
      </c>
      <c r="E242" s="33">
        <f>IF(AND(T241="",A242&lt;=S241),IF(A242&lt;入力!$B$11,入力!$B$10,入力!$B$12),0)</f>
        <v>2.5000000000000001E-2</v>
      </c>
      <c r="F242" s="32">
        <f t="shared" si="58"/>
        <v>31495</v>
      </c>
      <c r="G242" s="32">
        <f>ROUND(IF(NOT(AND(T241="",A242&lt;=S241)),0,IF(A242=入力!$B$15+1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),0)</f>
        <v>98997</v>
      </c>
      <c r="H242" s="32">
        <f t="shared" si="59"/>
        <v>98997</v>
      </c>
      <c r="I242" s="32">
        <f t="shared" si="60"/>
        <v>31495</v>
      </c>
      <c r="J242" s="32">
        <f t="shared" si="61"/>
        <v>0</v>
      </c>
      <c r="K242" s="32">
        <f t="shared" si="62"/>
        <v>0</v>
      </c>
      <c r="L242" s="32">
        <f t="shared" si="63"/>
        <v>67502</v>
      </c>
      <c r="M242" s="32">
        <f>IF(AND(AND(T241="",A242&lt;=S241),A242=入力!$B$15),ROUND(MIN(入力!$B$16,MAX(0,C242-L242)),0),0)</f>
        <v>0</v>
      </c>
      <c r="N242" s="32">
        <f t="shared" si="64"/>
        <v>15050174</v>
      </c>
      <c r="O242" s="32">
        <f t="shared" si="65"/>
        <v>9320423</v>
      </c>
      <c r="P242" s="34" t="str">
        <f>IF(NOT(AND(T241="",A242&lt;=S241)),"",IF(A242=入力!$B$15+1,"繰上返済後再計算","")&amp;IF(AND(入力!$B$13="有効",A242&gt;1,MOD(A242-1,60)=0),IF(A242=入力!$B$15+1,"・","")&amp;"5年見直し","")&amp;IF(AND(A242=入力!$B$11,A242&gt;1),IF(OR(A242=入力!$B$15+1,AND(入力!$B$13="有効",A242&gt;1,MOD(A242-1,60)=0)),"・","")&amp;"金利変更","")&amp;IF(AND(OR(AND(入力!$B$13="有効",A242&gt;1,MOD(A242-1,60)=0),AND(A242=入力!$B$11,A242&gt;1)),入力!$B$14="有効",IF(E242=0,ROUND(C242/MAX(1,S241-A242+1),0),ROUND(-PMT(E242/12,MAX(1,S241-A242+1),C242),0))&gt;ROUND(G241*1.25,0),NOT(A242=入力!$B$15+1)),"・上限適用",""))</f>
        <v/>
      </c>
      <c r="Q242" s="35" t="str">
        <f>IF(AND(T241="",A242&lt;=S241),入力!$B$13,"")</f>
        <v>有効</v>
      </c>
      <c r="R242" s="32" t="str">
        <f>IF(AND(AND(T241="",A242&lt;=S241),OR(AND(入力!$B$13="有効",A242&gt;1,MOD(A242-1,60)=0),AND(A242=入力!$B$11,A242&gt;1)),入力!$B$14="有効"),ROUND(G241*1.25,0),"")</f>
        <v/>
      </c>
      <c r="S242" s="36">
        <f t="shared" si="66"/>
        <v>420</v>
      </c>
      <c r="T242" s="35" t="str">
        <f t="shared" si="67"/>
        <v/>
      </c>
      <c r="U242" s="3">
        <f t="shared" si="51"/>
        <v>0</v>
      </c>
      <c r="V242" s="3">
        <f t="shared" si="52"/>
        <v>0</v>
      </c>
      <c r="W242" s="3">
        <f t="shared" si="53"/>
        <v>0</v>
      </c>
      <c r="X242" s="3">
        <f t="shared" si="54"/>
        <v>0</v>
      </c>
      <c r="Y242" s="3">
        <f>0</f>
        <v>0</v>
      </c>
      <c r="Z242" s="3">
        <f t="shared" si="55"/>
        <v>0</v>
      </c>
      <c r="AA242">
        <f>ROUND(IF(A242=入力!$B$15+1,IF(E242=0,ROUND(C242/MAX(1,S241-A242+1),0),ROUND(-PMT(E242/12,MAX(1,S241-A242+1)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,0)</f>
        <v>98997</v>
      </c>
    </row>
    <row r="243" spans="1:27">
      <c r="A243" s="30">
        <f>238</f>
        <v>238</v>
      </c>
      <c r="B243" s="31">
        <f>EDATE(入力!$B$6,A243-1)</f>
        <v>53448</v>
      </c>
      <c r="C243" s="32">
        <f t="shared" si="56"/>
        <v>15050174</v>
      </c>
      <c r="D243" s="32">
        <f t="shared" si="57"/>
        <v>0</v>
      </c>
      <c r="E243" s="33">
        <f>IF(AND(T242="",A243&lt;=S242),IF(A243&lt;入力!$B$11,入力!$B$10,入力!$B$12),0)</f>
        <v>2.5000000000000001E-2</v>
      </c>
      <c r="F243" s="32">
        <f t="shared" si="58"/>
        <v>31355</v>
      </c>
      <c r="G243" s="32">
        <f>ROUND(IF(NOT(AND(T242="",A243&lt;=S242)),0,IF(A243=入力!$B$15+1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),0)</f>
        <v>98997</v>
      </c>
      <c r="H243" s="32">
        <f t="shared" si="59"/>
        <v>98997</v>
      </c>
      <c r="I243" s="32">
        <f t="shared" si="60"/>
        <v>31355</v>
      </c>
      <c r="J243" s="32">
        <f t="shared" si="61"/>
        <v>0</v>
      </c>
      <c r="K243" s="32">
        <f t="shared" si="62"/>
        <v>0</v>
      </c>
      <c r="L243" s="32">
        <f t="shared" si="63"/>
        <v>67642</v>
      </c>
      <c r="M243" s="32">
        <f>IF(AND(AND(T242="",A243&lt;=S242),A243=入力!$B$15),ROUND(MIN(入力!$B$16,MAX(0,C243-L243)),0),0)</f>
        <v>0</v>
      </c>
      <c r="N243" s="32">
        <f t="shared" si="64"/>
        <v>14982532</v>
      </c>
      <c r="O243" s="32">
        <f t="shared" si="65"/>
        <v>9351778</v>
      </c>
      <c r="P243" s="34" t="str">
        <f>IF(NOT(AND(T242="",A243&lt;=S242)),"",IF(A243=入力!$B$15+1,"繰上返済後再計算","")&amp;IF(AND(入力!$B$13="有効",A243&gt;1,MOD(A243-1,60)=0),IF(A243=入力!$B$15+1,"・","")&amp;"5年見直し","")&amp;IF(AND(A243=入力!$B$11,A243&gt;1),IF(OR(A243=入力!$B$15+1,AND(入力!$B$13="有効",A243&gt;1,MOD(A243-1,60)=0)),"・","")&amp;"金利変更","")&amp;IF(AND(OR(AND(入力!$B$13="有効",A243&gt;1,MOD(A243-1,60)=0),AND(A243=入力!$B$11,A243&gt;1)),入力!$B$14="有効",IF(E243=0,ROUND(C243/MAX(1,S242-A243+1),0),ROUND(-PMT(E243/12,MAX(1,S242-A243+1),C243),0))&gt;ROUND(G242*1.25,0),NOT(A243=入力!$B$15+1)),"・上限適用",""))</f>
        <v/>
      </c>
      <c r="Q243" s="35" t="str">
        <f>IF(AND(T242="",A243&lt;=S242),入力!$B$13,"")</f>
        <v>有効</v>
      </c>
      <c r="R243" s="32" t="str">
        <f>IF(AND(AND(T242="",A243&lt;=S242),OR(AND(入力!$B$13="有効",A243&gt;1,MOD(A243-1,60)=0),AND(A243=入力!$B$11,A243&gt;1)),入力!$B$14="有効"),ROUND(G242*1.25,0),"")</f>
        <v/>
      </c>
      <c r="S243" s="36">
        <f t="shared" si="66"/>
        <v>420</v>
      </c>
      <c r="T243" s="35" t="str">
        <f t="shared" si="67"/>
        <v/>
      </c>
      <c r="U243" s="3">
        <f t="shared" si="51"/>
        <v>0</v>
      </c>
      <c r="V243" s="3">
        <f t="shared" si="52"/>
        <v>0</v>
      </c>
      <c r="W243" s="3">
        <f t="shared" si="53"/>
        <v>0</v>
      </c>
      <c r="X243" s="3">
        <f t="shared" si="54"/>
        <v>0</v>
      </c>
      <c r="Y243" s="3">
        <f>0</f>
        <v>0</v>
      </c>
      <c r="Z243" s="3">
        <f t="shared" si="55"/>
        <v>0</v>
      </c>
      <c r="AA243">
        <f>ROUND(IF(A243=入力!$B$15+1,IF(E243=0,ROUND(C243/MAX(1,S242-A243+1),0),ROUND(-PMT(E243/12,MAX(1,S242-A243+1)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,0)</f>
        <v>98997</v>
      </c>
    </row>
    <row r="244" spans="1:27">
      <c r="A244" s="30">
        <f>239</f>
        <v>239</v>
      </c>
      <c r="B244" s="31">
        <f>EDATE(入力!$B$6,A244-1)</f>
        <v>53479</v>
      </c>
      <c r="C244" s="32">
        <f t="shared" si="56"/>
        <v>14982532</v>
      </c>
      <c r="D244" s="32">
        <f t="shared" si="57"/>
        <v>0</v>
      </c>
      <c r="E244" s="33">
        <f>IF(AND(T243="",A244&lt;=S243),IF(A244&lt;入力!$B$11,入力!$B$10,入力!$B$12),0)</f>
        <v>2.5000000000000001E-2</v>
      </c>
      <c r="F244" s="32">
        <f t="shared" si="58"/>
        <v>31214</v>
      </c>
      <c r="G244" s="32">
        <f>ROUND(IF(NOT(AND(T243="",A244&lt;=S243)),0,IF(A244=入力!$B$15+1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),0)</f>
        <v>98997</v>
      </c>
      <c r="H244" s="32">
        <f t="shared" si="59"/>
        <v>98997</v>
      </c>
      <c r="I244" s="32">
        <f t="shared" si="60"/>
        <v>31214</v>
      </c>
      <c r="J244" s="32">
        <f t="shared" si="61"/>
        <v>0</v>
      </c>
      <c r="K244" s="32">
        <f t="shared" si="62"/>
        <v>0</v>
      </c>
      <c r="L244" s="32">
        <f t="shared" si="63"/>
        <v>67783</v>
      </c>
      <c r="M244" s="32">
        <f>IF(AND(AND(T243="",A244&lt;=S243),A244=入力!$B$15),ROUND(MIN(入力!$B$16,MAX(0,C244-L244)),0),0)</f>
        <v>0</v>
      </c>
      <c r="N244" s="32">
        <f t="shared" si="64"/>
        <v>14914749</v>
      </c>
      <c r="O244" s="32">
        <f t="shared" si="65"/>
        <v>9382992</v>
      </c>
      <c r="P244" s="34" t="str">
        <f>IF(NOT(AND(T243="",A244&lt;=S243)),"",IF(A244=入力!$B$15+1,"繰上返済後再計算","")&amp;IF(AND(入力!$B$13="有効",A244&gt;1,MOD(A244-1,60)=0),IF(A244=入力!$B$15+1,"・","")&amp;"5年見直し","")&amp;IF(AND(A244=入力!$B$11,A244&gt;1),IF(OR(A244=入力!$B$15+1,AND(入力!$B$13="有効",A244&gt;1,MOD(A244-1,60)=0)),"・","")&amp;"金利変更","")&amp;IF(AND(OR(AND(入力!$B$13="有効",A244&gt;1,MOD(A244-1,60)=0),AND(A244=入力!$B$11,A244&gt;1)),入力!$B$14="有効",IF(E244=0,ROUND(C244/MAX(1,S243-A244+1),0),ROUND(-PMT(E244/12,MAX(1,S243-A244+1),C244),0))&gt;ROUND(G243*1.25,0),NOT(A244=入力!$B$15+1)),"・上限適用",""))</f>
        <v/>
      </c>
      <c r="Q244" s="35" t="str">
        <f>IF(AND(T243="",A244&lt;=S243),入力!$B$13,"")</f>
        <v>有効</v>
      </c>
      <c r="R244" s="32" t="str">
        <f>IF(AND(AND(T243="",A244&lt;=S243),OR(AND(入力!$B$13="有効",A244&gt;1,MOD(A244-1,60)=0),AND(A244=入力!$B$11,A244&gt;1)),入力!$B$14="有効"),ROUND(G243*1.25,0),"")</f>
        <v/>
      </c>
      <c r="S244" s="36">
        <f t="shared" si="66"/>
        <v>420</v>
      </c>
      <c r="T244" s="35" t="str">
        <f t="shared" si="67"/>
        <v/>
      </c>
      <c r="U244" s="3">
        <f t="shared" si="51"/>
        <v>0</v>
      </c>
      <c r="V244" s="3">
        <f t="shared" si="52"/>
        <v>0</v>
      </c>
      <c r="W244" s="3">
        <f t="shared" si="53"/>
        <v>0</v>
      </c>
      <c r="X244" s="3">
        <f t="shared" si="54"/>
        <v>0</v>
      </c>
      <c r="Y244" s="3">
        <f>0</f>
        <v>0</v>
      </c>
      <c r="Z244" s="3">
        <f t="shared" si="55"/>
        <v>0</v>
      </c>
      <c r="AA244">
        <f>ROUND(IF(A244=入力!$B$15+1,IF(E244=0,ROUND(C244/MAX(1,S243-A244+1),0),ROUND(-PMT(E244/12,MAX(1,S243-A244+1)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,0)</f>
        <v>98997</v>
      </c>
    </row>
    <row r="245" spans="1:27">
      <c r="A245" s="30">
        <f>240</f>
        <v>240</v>
      </c>
      <c r="B245" s="31">
        <f>EDATE(入力!$B$6,A245-1)</f>
        <v>53509</v>
      </c>
      <c r="C245" s="32">
        <f t="shared" si="56"/>
        <v>14914749</v>
      </c>
      <c r="D245" s="32">
        <f t="shared" si="57"/>
        <v>0</v>
      </c>
      <c r="E245" s="33">
        <f>IF(AND(T244="",A245&lt;=S244),IF(A245&lt;入力!$B$11,入力!$B$10,入力!$B$12),0)</f>
        <v>2.5000000000000001E-2</v>
      </c>
      <c r="F245" s="32">
        <f t="shared" si="58"/>
        <v>31072</v>
      </c>
      <c r="G245" s="32">
        <f>ROUND(IF(NOT(AND(T244="",A245&lt;=S244)),0,IF(A245=入力!$B$15+1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),0)</f>
        <v>98997</v>
      </c>
      <c r="H245" s="32">
        <f t="shared" si="59"/>
        <v>98997</v>
      </c>
      <c r="I245" s="32">
        <f t="shared" si="60"/>
        <v>31072</v>
      </c>
      <c r="J245" s="32">
        <f t="shared" si="61"/>
        <v>0</v>
      </c>
      <c r="K245" s="32">
        <f t="shared" si="62"/>
        <v>0</v>
      </c>
      <c r="L245" s="32">
        <f t="shared" si="63"/>
        <v>67925</v>
      </c>
      <c r="M245" s="32">
        <f>IF(AND(AND(T244="",A245&lt;=S244),A245=入力!$B$15),ROUND(MIN(入力!$B$16,MAX(0,C245-L245)),0),0)</f>
        <v>0</v>
      </c>
      <c r="N245" s="32">
        <f t="shared" si="64"/>
        <v>14846824</v>
      </c>
      <c r="O245" s="32">
        <f t="shared" si="65"/>
        <v>9414064</v>
      </c>
      <c r="P245" s="34" t="str">
        <f>IF(NOT(AND(T244="",A245&lt;=S244)),"",IF(A245=入力!$B$15+1,"繰上返済後再計算","")&amp;IF(AND(入力!$B$13="有効",A245&gt;1,MOD(A245-1,60)=0),IF(A245=入力!$B$15+1,"・","")&amp;"5年見直し","")&amp;IF(AND(A245=入力!$B$11,A245&gt;1),IF(OR(A245=入力!$B$15+1,AND(入力!$B$13="有効",A245&gt;1,MOD(A245-1,60)=0)),"・","")&amp;"金利変更","")&amp;IF(AND(OR(AND(入力!$B$13="有効",A245&gt;1,MOD(A245-1,60)=0),AND(A245=入力!$B$11,A245&gt;1)),入力!$B$14="有効",IF(E245=0,ROUND(C245/MAX(1,S244-A245+1),0),ROUND(-PMT(E245/12,MAX(1,S244-A245+1),C245),0))&gt;ROUND(G244*1.25,0),NOT(A245=入力!$B$15+1)),"・上限適用",""))</f>
        <v/>
      </c>
      <c r="Q245" s="35" t="str">
        <f>IF(AND(T244="",A245&lt;=S244),入力!$B$13,"")</f>
        <v>有効</v>
      </c>
      <c r="R245" s="32" t="str">
        <f>IF(AND(AND(T244="",A245&lt;=S244),OR(AND(入力!$B$13="有効",A245&gt;1,MOD(A245-1,60)=0),AND(A245=入力!$B$11,A245&gt;1)),入力!$B$14="有効"),ROUND(G244*1.25,0),"")</f>
        <v/>
      </c>
      <c r="S245" s="36">
        <f t="shared" si="66"/>
        <v>420</v>
      </c>
      <c r="T245" s="35" t="str">
        <f t="shared" si="67"/>
        <v/>
      </c>
      <c r="U245" s="3">
        <f t="shared" si="51"/>
        <v>0</v>
      </c>
      <c r="V245" s="3">
        <f t="shared" si="52"/>
        <v>0</v>
      </c>
      <c r="W245" s="3">
        <f t="shared" si="53"/>
        <v>0</v>
      </c>
      <c r="X245" s="3">
        <f t="shared" si="54"/>
        <v>0</v>
      </c>
      <c r="Y245" s="3">
        <f>0</f>
        <v>0</v>
      </c>
      <c r="Z245" s="3">
        <f t="shared" si="55"/>
        <v>0</v>
      </c>
      <c r="AA245">
        <f>ROUND(IF(A245=入力!$B$15+1,IF(E245=0,ROUND(C245/MAX(1,S244-A245+1),0),ROUND(-PMT(E245/12,MAX(1,S244-A245+1)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,0)</f>
        <v>98997</v>
      </c>
    </row>
    <row r="246" spans="1:27">
      <c r="A246" s="30">
        <f>241</f>
        <v>241</v>
      </c>
      <c r="B246" s="31">
        <f>EDATE(入力!$B$6,A246-1)</f>
        <v>53540</v>
      </c>
      <c r="C246" s="32">
        <f t="shared" si="56"/>
        <v>14846824</v>
      </c>
      <c r="D246" s="32">
        <f t="shared" si="57"/>
        <v>0</v>
      </c>
      <c r="E246" s="33">
        <f>IF(AND(T245="",A246&lt;=S245),IF(A246&lt;入力!$B$11,入力!$B$10,入力!$B$12),0)</f>
        <v>2.5000000000000001E-2</v>
      </c>
      <c r="F246" s="32">
        <f t="shared" si="58"/>
        <v>30931</v>
      </c>
      <c r="G246" s="32">
        <f>ROUND(IF(NOT(AND(T245="",A246&lt;=S245)),0,IF(A246=入力!$B$15+1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),0)</f>
        <v>98997</v>
      </c>
      <c r="H246" s="32">
        <f t="shared" si="59"/>
        <v>98997</v>
      </c>
      <c r="I246" s="32">
        <f t="shared" si="60"/>
        <v>30931</v>
      </c>
      <c r="J246" s="32">
        <f t="shared" si="61"/>
        <v>0</v>
      </c>
      <c r="K246" s="32">
        <f t="shared" si="62"/>
        <v>0</v>
      </c>
      <c r="L246" s="32">
        <f t="shared" si="63"/>
        <v>68066</v>
      </c>
      <c r="M246" s="32">
        <f>IF(AND(AND(T245="",A246&lt;=S245),A246=入力!$B$15),ROUND(MIN(入力!$B$16,MAX(0,C246-L246)),0),0)</f>
        <v>0</v>
      </c>
      <c r="N246" s="32">
        <f t="shared" si="64"/>
        <v>14778758</v>
      </c>
      <c r="O246" s="32">
        <f t="shared" si="65"/>
        <v>9444995</v>
      </c>
      <c r="P246" s="34" t="str">
        <f>IF(NOT(AND(T245="",A246&lt;=S245)),"",IF(A246=入力!$B$15+1,"繰上返済後再計算","")&amp;IF(AND(入力!$B$13="有効",A246&gt;1,MOD(A246-1,60)=0),IF(A246=入力!$B$15+1,"・","")&amp;"5年見直し","")&amp;IF(AND(A246=入力!$B$11,A246&gt;1),IF(OR(A246=入力!$B$15+1,AND(入力!$B$13="有効",A246&gt;1,MOD(A246-1,60)=0)),"・","")&amp;"金利変更","")&amp;IF(AND(OR(AND(入力!$B$13="有効",A246&gt;1,MOD(A246-1,60)=0),AND(A246=入力!$B$11,A246&gt;1)),入力!$B$14="有効",IF(E246=0,ROUND(C246/MAX(1,S245-A246+1),0),ROUND(-PMT(E246/12,MAX(1,S245-A246+1),C246),0))&gt;ROUND(G245*1.25,0),NOT(A246=入力!$B$15+1)),"・上限適用",""))</f>
        <v>5年見直し</v>
      </c>
      <c r="Q246" s="35" t="str">
        <f>IF(AND(T245="",A246&lt;=S245),入力!$B$13,"")</f>
        <v>有効</v>
      </c>
      <c r="R246" s="32">
        <f>IF(AND(AND(T245="",A246&lt;=S245),OR(AND(入力!$B$13="有効",A246&gt;1,MOD(A246-1,60)=0),AND(A246=入力!$B$11,A246&gt;1)),入力!$B$14="有効"),ROUND(G245*1.25,0),"")</f>
        <v>123746</v>
      </c>
      <c r="S246" s="36">
        <f t="shared" si="66"/>
        <v>420</v>
      </c>
      <c r="T246" s="35" t="str">
        <f t="shared" si="67"/>
        <v/>
      </c>
      <c r="U246" s="3">
        <f t="shared" si="51"/>
        <v>0</v>
      </c>
      <c r="V246" s="3">
        <f t="shared" si="52"/>
        <v>0</v>
      </c>
      <c r="W246" s="3">
        <f t="shared" si="53"/>
        <v>0</v>
      </c>
      <c r="X246" s="3">
        <f t="shared" si="54"/>
        <v>0</v>
      </c>
      <c r="Y246" s="3">
        <f>0</f>
        <v>0</v>
      </c>
      <c r="Z246" s="3">
        <f t="shared" si="55"/>
        <v>0</v>
      </c>
      <c r="AA246">
        <f>ROUND(IF(A246=入力!$B$15+1,IF(E246=0,ROUND(C246/MAX(1,S245-A246+1),0),ROUND(-PMT(E246/12,MAX(1,S245-A246+1)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,0)</f>
        <v>98997</v>
      </c>
    </row>
    <row r="247" spans="1:27">
      <c r="A247" s="30">
        <f>242</f>
        <v>242</v>
      </c>
      <c r="B247" s="31">
        <f>EDATE(入力!$B$6,A247-1)</f>
        <v>53571</v>
      </c>
      <c r="C247" s="32">
        <f t="shared" si="56"/>
        <v>14778758</v>
      </c>
      <c r="D247" s="32">
        <f t="shared" si="57"/>
        <v>0</v>
      </c>
      <c r="E247" s="33">
        <f>IF(AND(T246="",A247&lt;=S246),IF(A247&lt;入力!$B$11,入力!$B$10,入力!$B$12),0)</f>
        <v>2.5000000000000001E-2</v>
      </c>
      <c r="F247" s="32">
        <f t="shared" si="58"/>
        <v>30789</v>
      </c>
      <c r="G247" s="32">
        <f>ROUND(IF(NOT(AND(T246="",A247&lt;=S246)),0,IF(A247=入力!$B$15+1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),0)</f>
        <v>98997</v>
      </c>
      <c r="H247" s="32">
        <f t="shared" si="59"/>
        <v>98997</v>
      </c>
      <c r="I247" s="32">
        <f t="shared" si="60"/>
        <v>30789</v>
      </c>
      <c r="J247" s="32">
        <f t="shared" si="61"/>
        <v>0</v>
      </c>
      <c r="K247" s="32">
        <f t="shared" si="62"/>
        <v>0</v>
      </c>
      <c r="L247" s="32">
        <f t="shared" si="63"/>
        <v>68208</v>
      </c>
      <c r="M247" s="32">
        <f>IF(AND(AND(T246="",A247&lt;=S246),A247=入力!$B$15),ROUND(MIN(入力!$B$16,MAX(0,C247-L247)),0),0)</f>
        <v>0</v>
      </c>
      <c r="N247" s="32">
        <f t="shared" si="64"/>
        <v>14710550</v>
      </c>
      <c r="O247" s="32">
        <f t="shared" si="65"/>
        <v>9475784</v>
      </c>
      <c r="P247" s="34" t="str">
        <f>IF(NOT(AND(T246="",A247&lt;=S246)),"",IF(A247=入力!$B$15+1,"繰上返済後再計算","")&amp;IF(AND(入力!$B$13="有効",A247&gt;1,MOD(A247-1,60)=0),IF(A247=入力!$B$15+1,"・","")&amp;"5年見直し","")&amp;IF(AND(A247=入力!$B$11,A247&gt;1),IF(OR(A247=入力!$B$15+1,AND(入力!$B$13="有効",A247&gt;1,MOD(A247-1,60)=0)),"・","")&amp;"金利変更","")&amp;IF(AND(OR(AND(入力!$B$13="有効",A247&gt;1,MOD(A247-1,60)=0),AND(A247=入力!$B$11,A247&gt;1)),入力!$B$14="有効",IF(E247=0,ROUND(C247/MAX(1,S246-A247+1),0),ROUND(-PMT(E247/12,MAX(1,S246-A247+1),C247),0))&gt;ROUND(G246*1.25,0),NOT(A247=入力!$B$15+1)),"・上限適用",""))</f>
        <v/>
      </c>
      <c r="Q247" s="35" t="str">
        <f>IF(AND(T246="",A247&lt;=S246),入力!$B$13,"")</f>
        <v>有効</v>
      </c>
      <c r="R247" s="32" t="str">
        <f>IF(AND(AND(T246="",A247&lt;=S246),OR(AND(入力!$B$13="有効",A247&gt;1,MOD(A247-1,60)=0),AND(A247=入力!$B$11,A247&gt;1)),入力!$B$14="有効"),ROUND(G246*1.25,0),"")</f>
        <v/>
      </c>
      <c r="S247" s="36">
        <f t="shared" si="66"/>
        <v>420</v>
      </c>
      <c r="T247" s="35" t="str">
        <f t="shared" si="67"/>
        <v/>
      </c>
      <c r="U247" s="3">
        <f t="shared" si="51"/>
        <v>0</v>
      </c>
      <c r="V247" s="3">
        <f t="shared" si="52"/>
        <v>0</v>
      </c>
      <c r="W247" s="3">
        <f t="shared" si="53"/>
        <v>0</v>
      </c>
      <c r="X247" s="3">
        <f t="shared" si="54"/>
        <v>0</v>
      </c>
      <c r="Y247" s="3">
        <f>0</f>
        <v>0</v>
      </c>
      <c r="Z247" s="3">
        <f t="shared" si="55"/>
        <v>0</v>
      </c>
      <c r="AA247">
        <f>ROUND(IF(A247=入力!$B$15+1,IF(E247=0,ROUND(C247/MAX(1,S246-A247+1),0),ROUND(-PMT(E247/12,MAX(1,S246-A247+1)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,0)</f>
        <v>98997</v>
      </c>
    </row>
    <row r="248" spans="1:27">
      <c r="A248" s="30">
        <f>243</f>
        <v>243</v>
      </c>
      <c r="B248" s="31">
        <f>EDATE(入力!$B$6,A248-1)</f>
        <v>53601</v>
      </c>
      <c r="C248" s="32">
        <f t="shared" si="56"/>
        <v>14710550</v>
      </c>
      <c r="D248" s="32">
        <f t="shared" si="57"/>
        <v>0</v>
      </c>
      <c r="E248" s="33">
        <f>IF(AND(T247="",A248&lt;=S247),IF(A248&lt;入力!$B$11,入力!$B$10,入力!$B$12),0)</f>
        <v>2.5000000000000001E-2</v>
      </c>
      <c r="F248" s="32">
        <f t="shared" si="58"/>
        <v>30647</v>
      </c>
      <c r="G248" s="32">
        <f>ROUND(IF(NOT(AND(T247="",A248&lt;=S247)),0,IF(A248=入力!$B$15+1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),0)</f>
        <v>98997</v>
      </c>
      <c r="H248" s="32">
        <f t="shared" si="59"/>
        <v>98997</v>
      </c>
      <c r="I248" s="32">
        <f t="shared" si="60"/>
        <v>30647</v>
      </c>
      <c r="J248" s="32">
        <f t="shared" si="61"/>
        <v>0</v>
      </c>
      <c r="K248" s="32">
        <f t="shared" si="62"/>
        <v>0</v>
      </c>
      <c r="L248" s="32">
        <f t="shared" si="63"/>
        <v>68350</v>
      </c>
      <c r="M248" s="32">
        <f>IF(AND(AND(T247="",A248&lt;=S247),A248=入力!$B$15),ROUND(MIN(入力!$B$16,MAX(0,C248-L248)),0),0)</f>
        <v>0</v>
      </c>
      <c r="N248" s="32">
        <f t="shared" si="64"/>
        <v>14642200</v>
      </c>
      <c r="O248" s="32">
        <f t="shared" si="65"/>
        <v>9506431</v>
      </c>
      <c r="P248" s="34" t="str">
        <f>IF(NOT(AND(T247="",A248&lt;=S247)),"",IF(A248=入力!$B$15+1,"繰上返済後再計算","")&amp;IF(AND(入力!$B$13="有効",A248&gt;1,MOD(A248-1,60)=0),IF(A248=入力!$B$15+1,"・","")&amp;"5年見直し","")&amp;IF(AND(A248=入力!$B$11,A248&gt;1),IF(OR(A248=入力!$B$15+1,AND(入力!$B$13="有効",A248&gt;1,MOD(A248-1,60)=0)),"・","")&amp;"金利変更","")&amp;IF(AND(OR(AND(入力!$B$13="有効",A248&gt;1,MOD(A248-1,60)=0),AND(A248=入力!$B$11,A248&gt;1)),入力!$B$14="有効",IF(E248=0,ROUND(C248/MAX(1,S247-A248+1),0),ROUND(-PMT(E248/12,MAX(1,S247-A248+1),C248),0))&gt;ROUND(G247*1.25,0),NOT(A248=入力!$B$15+1)),"・上限適用",""))</f>
        <v/>
      </c>
      <c r="Q248" s="35" t="str">
        <f>IF(AND(T247="",A248&lt;=S247),入力!$B$13,"")</f>
        <v>有効</v>
      </c>
      <c r="R248" s="32" t="str">
        <f>IF(AND(AND(T247="",A248&lt;=S247),OR(AND(入力!$B$13="有効",A248&gt;1,MOD(A248-1,60)=0),AND(A248=入力!$B$11,A248&gt;1)),入力!$B$14="有効"),ROUND(G247*1.25,0),"")</f>
        <v/>
      </c>
      <c r="S248" s="36">
        <f t="shared" si="66"/>
        <v>420</v>
      </c>
      <c r="T248" s="35" t="str">
        <f t="shared" si="67"/>
        <v/>
      </c>
      <c r="U248" s="3">
        <f t="shared" si="51"/>
        <v>0</v>
      </c>
      <c r="V248" s="3">
        <f t="shared" si="52"/>
        <v>0</v>
      </c>
      <c r="W248" s="3">
        <f t="shared" si="53"/>
        <v>0</v>
      </c>
      <c r="X248" s="3">
        <f t="shared" si="54"/>
        <v>0</v>
      </c>
      <c r="Y248" s="3">
        <f>0</f>
        <v>0</v>
      </c>
      <c r="Z248" s="3">
        <f t="shared" si="55"/>
        <v>0</v>
      </c>
      <c r="AA248">
        <f>ROUND(IF(A248=入力!$B$15+1,IF(E248=0,ROUND(C248/MAX(1,S247-A248+1),0),ROUND(-PMT(E248/12,MAX(1,S247-A248+1)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,0)</f>
        <v>98997</v>
      </c>
    </row>
    <row r="249" spans="1:27">
      <c r="A249" s="30">
        <f>244</f>
        <v>244</v>
      </c>
      <c r="B249" s="31">
        <f>EDATE(入力!$B$6,A249-1)</f>
        <v>53632</v>
      </c>
      <c r="C249" s="32">
        <f t="shared" si="56"/>
        <v>14642200</v>
      </c>
      <c r="D249" s="32">
        <f t="shared" si="57"/>
        <v>0</v>
      </c>
      <c r="E249" s="33">
        <f>IF(AND(T248="",A249&lt;=S248),IF(A249&lt;入力!$B$11,入力!$B$10,入力!$B$12),0)</f>
        <v>2.5000000000000001E-2</v>
      </c>
      <c r="F249" s="32">
        <f t="shared" si="58"/>
        <v>30505</v>
      </c>
      <c r="G249" s="32">
        <f>ROUND(IF(NOT(AND(T248="",A249&lt;=S248)),0,IF(A249=入力!$B$15+1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),0)</f>
        <v>98997</v>
      </c>
      <c r="H249" s="32">
        <f t="shared" si="59"/>
        <v>98997</v>
      </c>
      <c r="I249" s="32">
        <f t="shared" si="60"/>
        <v>30505</v>
      </c>
      <c r="J249" s="32">
        <f t="shared" si="61"/>
        <v>0</v>
      </c>
      <c r="K249" s="32">
        <f t="shared" si="62"/>
        <v>0</v>
      </c>
      <c r="L249" s="32">
        <f t="shared" si="63"/>
        <v>68492</v>
      </c>
      <c r="M249" s="32">
        <f>IF(AND(AND(T248="",A249&lt;=S248),A249=入力!$B$15),ROUND(MIN(入力!$B$16,MAX(0,C249-L249)),0),0)</f>
        <v>0</v>
      </c>
      <c r="N249" s="32">
        <f t="shared" si="64"/>
        <v>14573708</v>
      </c>
      <c r="O249" s="32">
        <f t="shared" si="65"/>
        <v>9536936</v>
      </c>
      <c r="P249" s="34" t="str">
        <f>IF(NOT(AND(T248="",A249&lt;=S248)),"",IF(A249=入力!$B$15+1,"繰上返済後再計算","")&amp;IF(AND(入力!$B$13="有効",A249&gt;1,MOD(A249-1,60)=0),IF(A249=入力!$B$15+1,"・","")&amp;"5年見直し","")&amp;IF(AND(A249=入力!$B$11,A249&gt;1),IF(OR(A249=入力!$B$15+1,AND(入力!$B$13="有効",A249&gt;1,MOD(A249-1,60)=0)),"・","")&amp;"金利変更","")&amp;IF(AND(OR(AND(入力!$B$13="有効",A249&gt;1,MOD(A249-1,60)=0),AND(A249=入力!$B$11,A249&gt;1)),入力!$B$14="有効",IF(E249=0,ROUND(C249/MAX(1,S248-A249+1),0),ROUND(-PMT(E249/12,MAX(1,S248-A249+1),C249),0))&gt;ROUND(G248*1.25,0),NOT(A249=入力!$B$15+1)),"・上限適用",""))</f>
        <v/>
      </c>
      <c r="Q249" s="35" t="str">
        <f>IF(AND(T248="",A249&lt;=S248),入力!$B$13,"")</f>
        <v>有効</v>
      </c>
      <c r="R249" s="32" t="str">
        <f>IF(AND(AND(T248="",A249&lt;=S248),OR(AND(入力!$B$13="有効",A249&gt;1,MOD(A249-1,60)=0),AND(A249=入力!$B$11,A249&gt;1)),入力!$B$14="有効"),ROUND(G248*1.25,0),"")</f>
        <v/>
      </c>
      <c r="S249" s="36">
        <f t="shared" si="66"/>
        <v>420</v>
      </c>
      <c r="T249" s="35" t="str">
        <f t="shared" si="67"/>
        <v/>
      </c>
      <c r="U249" s="3">
        <f t="shared" si="51"/>
        <v>0</v>
      </c>
      <c r="V249" s="3">
        <f t="shared" si="52"/>
        <v>0</v>
      </c>
      <c r="W249" s="3">
        <f t="shared" si="53"/>
        <v>0</v>
      </c>
      <c r="X249" s="3">
        <f t="shared" si="54"/>
        <v>0</v>
      </c>
      <c r="Y249" s="3">
        <f>0</f>
        <v>0</v>
      </c>
      <c r="Z249" s="3">
        <f t="shared" si="55"/>
        <v>0</v>
      </c>
      <c r="AA249">
        <f>ROUND(IF(A249=入力!$B$15+1,IF(E249=0,ROUND(C249/MAX(1,S248-A249+1),0),ROUND(-PMT(E249/12,MAX(1,S248-A249+1)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,0)</f>
        <v>98997</v>
      </c>
    </row>
    <row r="250" spans="1:27">
      <c r="A250" s="30">
        <f>245</f>
        <v>245</v>
      </c>
      <c r="B250" s="31">
        <f>EDATE(入力!$B$6,A250-1)</f>
        <v>53662</v>
      </c>
      <c r="C250" s="32">
        <f t="shared" si="56"/>
        <v>14573708</v>
      </c>
      <c r="D250" s="32">
        <f t="shared" si="57"/>
        <v>0</v>
      </c>
      <c r="E250" s="33">
        <f>IF(AND(T249="",A250&lt;=S249),IF(A250&lt;入力!$B$11,入力!$B$10,入力!$B$12),0)</f>
        <v>2.5000000000000001E-2</v>
      </c>
      <c r="F250" s="32">
        <f t="shared" si="58"/>
        <v>30362</v>
      </c>
      <c r="G250" s="32">
        <f>ROUND(IF(NOT(AND(T249="",A250&lt;=S249)),0,IF(A250=入力!$B$15+1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),0)</f>
        <v>98997</v>
      </c>
      <c r="H250" s="32">
        <f t="shared" si="59"/>
        <v>98997</v>
      </c>
      <c r="I250" s="32">
        <f t="shared" si="60"/>
        <v>30362</v>
      </c>
      <c r="J250" s="32">
        <f t="shared" si="61"/>
        <v>0</v>
      </c>
      <c r="K250" s="32">
        <f t="shared" si="62"/>
        <v>0</v>
      </c>
      <c r="L250" s="32">
        <f t="shared" si="63"/>
        <v>68635</v>
      </c>
      <c r="M250" s="32">
        <f>IF(AND(AND(T249="",A250&lt;=S249),A250=入力!$B$15),ROUND(MIN(入力!$B$16,MAX(0,C250-L250)),0),0)</f>
        <v>0</v>
      </c>
      <c r="N250" s="32">
        <f t="shared" si="64"/>
        <v>14505073</v>
      </c>
      <c r="O250" s="32">
        <f t="shared" si="65"/>
        <v>9567298</v>
      </c>
      <c r="P250" s="34" t="str">
        <f>IF(NOT(AND(T249="",A250&lt;=S249)),"",IF(A250=入力!$B$15+1,"繰上返済後再計算","")&amp;IF(AND(入力!$B$13="有効",A250&gt;1,MOD(A250-1,60)=0),IF(A250=入力!$B$15+1,"・","")&amp;"5年見直し","")&amp;IF(AND(A250=入力!$B$11,A250&gt;1),IF(OR(A250=入力!$B$15+1,AND(入力!$B$13="有効",A250&gt;1,MOD(A250-1,60)=0)),"・","")&amp;"金利変更","")&amp;IF(AND(OR(AND(入力!$B$13="有効",A250&gt;1,MOD(A250-1,60)=0),AND(A250=入力!$B$11,A250&gt;1)),入力!$B$14="有効",IF(E250=0,ROUND(C250/MAX(1,S249-A250+1),0),ROUND(-PMT(E250/12,MAX(1,S249-A250+1),C250),0))&gt;ROUND(G249*1.25,0),NOT(A250=入力!$B$15+1)),"・上限適用",""))</f>
        <v/>
      </c>
      <c r="Q250" s="35" t="str">
        <f>IF(AND(T249="",A250&lt;=S249),入力!$B$13,"")</f>
        <v>有効</v>
      </c>
      <c r="R250" s="32" t="str">
        <f>IF(AND(AND(T249="",A250&lt;=S249),OR(AND(入力!$B$13="有効",A250&gt;1,MOD(A250-1,60)=0),AND(A250=入力!$B$11,A250&gt;1)),入力!$B$14="有効"),ROUND(G249*1.25,0),"")</f>
        <v/>
      </c>
      <c r="S250" s="36">
        <f t="shared" si="66"/>
        <v>420</v>
      </c>
      <c r="T250" s="35" t="str">
        <f t="shared" si="67"/>
        <v/>
      </c>
      <c r="U250" s="3">
        <f t="shared" si="51"/>
        <v>0</v>
      </c>
      <c r="V250" s="3">
        <f t="shared" si="52"/>
        <v>0</v>
      </c>
      <c r="W250" s="3">
        <f t="shared" si="53"/>
        <v>0</v>
      </c>
      <c r="X250" s="3">
        <f t="shared" si="54"/>
        <v>0</v>
      </c>
      <c r="Y250" s="3">
        <f>0</f>
        <v>0</v>
      </c>
      <c r="Z250" s="3">
        <f t="shared" si="55"/>
        <v>0</v>
      </c>
      <c r="AA250">
        <f>ROUND(IF(A250=入力!$B$15+1,IF(E250=0,ROUND(C250/MAX(1,S249-A250+1),0),ROUND(-PMT(E250/12,MAX(1,S249-A250+1)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,0)</f>
        <v>98997</v>
      </c>
    </row>
    <row r="251" spans="1:27">
      <c r="A251" s="30">
        <f>246</f>
        <v>246</v>
      </c>
      <c r="B251" s="31">
        <f>EDATE(入力!$B$6,A251-1)</f>
        <v>53693</v>
      </c>
      <c r="C251" s="32">
        <f t="shared" si="56"/>
        <v>14505073</v>
      </c>
      <c r="D251" s="32">
        <f t="shared" si="57"/>
        <v>0</v>
      </c>
      <c r="E251" s="33">
        <f>IF(AND(T250="",A251&lt;=S250),IF(A251&lt;入力!$B$11,入力!$B$10,入力!$B$12),0)</f>
        <v>2.5000000000000001E-2</v>
      </c>
      <c r="F251" s="32">
        <f t="shared" si="58"/>
        <v>30219</v>
      </c>
      <c r="G251" s="32">
        <f>ROUND(IF(NOT(AND(T250="",A251&lt;=S250)),0,IF(A251=入力!$B$15+1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),0)</f>
        <v>98997</v>
      </c>
      <c r="H251" s="32">
        <f t="shared" si="59"/>
        <v>98997</v>
      </c>
      <c r="I251" s="32">
        <f t="shared" si="60"/>
        <v>30219</v>
      </c>
      <c r="J251" s="32">
        <f t="shared" si="61"/>
        <v>0</v>
      </c>
      <c r="K251" s="32">
        <f t="shared" si="62"/>
        <v>0</v>
      </c>
      <c r="L251" s="32">
        <f t="shared" si="63"/>
        <v>68778</v>
      </c>
      <c r="M251" s="32">
        <f>IF(AND(AND(T250="",A251&lt;=S250),A251=入力!$B$15),ROUND(MIN(入力!$B$16,MAX(0,C251-L251)),0),0)</f>
        <v>0</v>
      </c>
      <c r="N251" s="32">
        <f t="shared" si="64"/>
        <v>14436295</v>
      </c>
      <c r="O251" s="32">
        <f t="shared" si="65"/>
        <v>9597517</v>
      </c>
      <c r="P251" s="34" t="str">
        <f>IF(NOT(AND(T250="",A251&lt;=S250)),"",IF(A251=入力!$B$15+1,"繰上返済後再計算","")&amp;IF(AND(入力!$B$13="有効",A251&gt;1,MOD(A251-1,60)=0),IF(A251=入力!$B$15+1,"・","")&amp;"5年見直し","")&amp;IF(AND(A251=入力!$B$11,A251&gt;1),IF(OR(A251=入力!$B$15+1,AND(入力!$B$13="有効",A251&gt;1,MOD(A251-1,60)=0)),"・","")&amp;"金利変更","")&amp;IF(AND(OR(AND(入力!$B$13="有効",A251&gt;1,MOD(A251-1,60)=0),AND(A251=入力!$B$11,A251&gt;1)),入力!$B$14="有効",IF(E251=0,ROUND(C251/MAX(1,S250-A251+1),0),ROUND(-PMT(E251/12,MAX(1,S250-A251+1),C251),0))&gt;ROUND(G250*1.25,0),NOT(A251=入力!$B$15+1)),"・上限適用",""))</f>
        <v/>
      </c>
      <c r="Q251" s="35" t="str">
        <f>IF(AND(T250="",A251&lt;=S250),入力!$B$13,"")</f>
        <v>有効</v>
      </c>
      <c r="R251" s="32" t="str">
        <f>IF(AND(AND(T250="",A251&lt;=S250),OR(AND(入力!$B$13="有効",A251&gt;1,MOD(A251-1,60)=0),AND(A251=入力!$B$11,A251&gt;1)),入力!$B$14="有効"),ROUND(G250*1.25,0),"")</f>
        <v/>
      </c>
      <c r="S251" s="36">
        <f t="shared" si="66"/>
        <v>420</v>
      </c>
      <c r="T251" s="35" t="str">
        <f t="shared" si="67"/>
        <v/>
      </c>
      <c r="U251" s="3">
        <f t="shared" si="51"/>
        <v>0</v>
      </c>
      <c r="V251" s="3">
        <f t="shared" si="52"/>
        <v>0</v>
      </c>
      <c r="W251" s="3">
        <f t="shared" si="53"/>
        <v>0</v>
      </c>
      <c r="X251" s="3">
        <f t="shared" si="54"/>
        <v>0</v>
      </c>
      <c r="Y251" s="3">
        <f>0</f>
        <v>0</v>
      </c>
      <c r="Z251" s="3">
        <f t="shared" si="55"/>
        <v>0</v>
      </c>
      <c r="AA251">
        <f>ROUND(IF(A251=入力!$B$15+1,IF(E251=0,ROUND(C251/MAX(1,S250-A251+1),0),ROUND(-PMT(E251/12,MAX(1,S250-A251+1)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,0)</f>
        <v>98997</v>
      </c>
    </row>
    <row r="252" spans="1:27">
      <c r="A252" s="30">
        <f>247</f>
        <v>247</v>
      </c>
      <c r="B252" s="31">
        <f>EDATE(入力!$B$6,A252-1)</f>
        <v>53724</v>
      </c>
      <c r="C252" s="32">
        <f t="shared" si="56"/>
        <v>14436295</v>
      </c>
      <c r="D252" s="32">
        <f t="shared" si="57"/>
        <v>0</v>
      </c>
      <c r="E252" s="33">
        <f>IF(AND(T251="",A252&lt;=S251),IF(A252&lt;入力!$B$11,入力!$B$10,入力!$B$12),0)</f>
        <v>2.5000000000000001E-2</v>
      </c>
      <c r="F252" s="32">
        <f t="shared" si="58"/>
        <v>30076</v>
      </c>
      <c r="G252" s="32">
        <f>ROUND(IF(NOT(AND(T251="",A252&lt;=S251)),0,IF(A252=入力!$B$15+1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),0)</f>
        <v>98997</v>
      </c>
      <c r="H252" s="32">
        <f t="shared" si="59"/>
        <v>98997</v>
      </c>
      <c r="I252" s="32">
        <f t="shared" si="60"/>
        <v>30076</v>
      </c>
      <c r="J252" s="32">
        <f t="shared" si="61"/>
        <v>0</v>
      </c>
      <c r="K252" s="32">
        <f t="shared" si="62"/>
        <v>0</v>
      </c>
      <c r="L252" s="32">
        <f t="shared" si="63"/>
        <v>68921</v>
      </c>
      <c r="M252" s="32">
        <f>IF(AND(AND(T251="",A252&lt;=S251),A252=入力!$B$15),ROUND(MIN(入力!$B$16,MAX(0,C252-L252)),0),0)</f>
        <v>0</v>
      </c>
      <c r="N252" s="32">
        <f t="shared" si="64"/>
        <v>14367374</v>
      </c>
      <c r="O252" s="32">
        <f t="shared" si="65"/>
        <v>9627593</v>
      </c>
      <c r="P252" s="34" t="str">
        <f>IF(NOT(AND(T251="",A252&lt;=S251)),"",IF(A252=入力!$B$15+1,"繰上返済後再計算","")&amp;IF(AND(入力!$B$13="有効",A252&gt;1,MOD(A252-1,60)=0),IF(A252=入力!$B$15+1,"・","")&amp;"5年見直し","")&amp;IF(AND(A252=入力!$B$11,A252&gt;1),IF(OR(A252=入力!$B$15+1,AND(入力!$B$13="有効",A252&gt;1,MOD(A252-1,60)=0)),"・","")&amp;"金利変更","")&amp;IF(AND(OR(AND(入力!$B$13="有効",A252&gt;1,MOD(A252-1,60)=0),AND(A252=入力!$B$11,A252&gt;1)),入力!$B$14="有効",IF(E252=0,ROUND(C252/MAX(1,S251-A252+1),0),ROUND(-PMT(E252/12,MAX(1,S251-A252+1),C252),0))&gt;ROUND(G251*1.25,0),NOT(A252=入力!$B$15+1)),"・上限適用",""))</f>
        <v/>
      </c>
      <c r="Q252" s="35" t="str">
        <f>IF(AND(T251="",A252&lt;=S251),入力!$B$13,"")</f>
        <v>有効</v>
      </c>
      <c r="R252" s="32" t="str">
        <f>IF(AND(AND(T251="",A252&lt;=S251),OR(AND(入力!$B$13="有効",A252&gt;1,MOD(A252-1,60)=0),AND(A252=入力!$B$11,A252&gt;1)),入力!$B$14="有効"),ROUND(G251*1.25,0),"")</f>
        <v/>
      </c>
      <c r="S252" s="36">
        <f t="shared" si="66"/>
        <v>420</v>
      </c>
      <c r="T252" s="35" t="str">
        <f t="shared" si="67"/>
        <v/>
      </c>
      <c r="U252" s="3">
        <f t="shared" si="51"/>
        <v>0</v>
      </c>
      <c r="V252" s="3">
        <f t="shared" si="52"/>
        <v>0</v>
      </c>
      <c r="W252" s="3">
        <f t="shared" si="53"/>
        <v>0</v>
      </c>
      <c r="X252" s="3">
        <f t="shared" si="54"/>
        <v>0</v>
      </c>
      <c r="Y252" s="3">
        <f>0</f>
        <v>0</v>
      </c>
      <c r="Z252" s="3">
        <f t="shared" si="55"/>
        <v>0</v>
      </c>
      <c r="AA252">
        <f>ROUND(IF(A252=入力!$B$15+1,IF(E252=0,ROUND(C252/MAX(1,S251-A252+1),0),ROUND(-PMT(E252/12,MAX(1,S251-A252+1)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,0)</f>
        <v>98997</v>
      </c>
    </row>
    <row r="253" spans="1:27">
      <c r="A253" s="30">
        <f>248</f>
        <v>248</v>
      </c>
      <c r="B253" s="31">
        <f>EDATE(入力!$B$6,A253-1)</f>
        <v>53752</v>
      </c>
      <c r="C253" s="32">
        <f t="shared" si="56"/>
        <v>14367374</v>
      </c>
      <c r="D253" s="32">
        <f t="shared" si="57"/>
        <v>0</v>
      </c>
      <c r="E253" s="33">
        <f>IF(AND(T252="",A253&lt;=S252),IF(A253&lt;入力!$B$11,入力!$B$10,入力!$B$12),0)</f>
        <v>2.5000000000000001E-2</v>
      </c>
      <c r="F253" s="32">
        <f t="shared" si="58"/>
        <v>29932</v>
      </c>
      <c r="G253" s="32">
        <f>ROUND(IF(NOT(AND(T252="",A253&lt;=S252)),0,IF(A253=入力!$B$15+1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),0)</f>
        <v>98997</v>
      </c>
      <c r="H253" s="32">
        <f t="shared" si="59"/>
        <v>98997</v>
      </c>
      <c r="I253" s="32">
        <f t="shared" si="60"/>
        <v>29932</v>
      </c>
      <c r="J253" s="32">
        <f t="shared" si="61"/>
        <v>0</v>
      </c>
      <c r="K253" s="32">
        <f t="shared" si="62"/>
        <v>0</v>
      </c>
      <c r="L253" s="32">
        <f t="shared" si="63"/>
        <v>69065</v>
      </c>
      <c r="M253" s="32">
        <f>IF(AND(AND(T252="",A253&lt;=S252),A253=入力!$B$15),ROUND(MIN(入力!$B$16,MAX(0,C253-L253)),0),0)</f>
        <v>0</v>
      </c>
      <c r="N253" s="32">
        <f t="shared" si="64"/>
        <v>14298309</v>
      </c>
      <c r="O253" s="32">
        <f t="shared" si="65"/>
        <v>9657525</v>
      </c>
      <c r="P253" s="34" t="str">
        <f>IF(NOT(AND(T252="",A253&lt;=S252)),"",IF(A253=入力!$B$15+1,"繰上返済後再計算","")&amp;IF(AND(入力!$B$13="有効",A253&gt;1,MOD(A253-1,60)=0),IF(A253=入力!$B$15+1,"・","")&amp;"5年見直し","")&amp;IF(AND(A253=入力!$B$11,A253&gt;1),IF(OR(A253=入力!$B$15+1,AND(入力!$B$13="有効",A253&gt;1,MOD(A253-1,60)=0)),"・","")&amp;"金利変更","")&amp;IF(AND(OR(AND(入力!$B$13="有効",A253&gt;1,MOD(A253-1,60)=0),AND(A253=入力!$B$11,A253&gt;1)),入力!$B$14="有効",IF(E253=0,ROUND(C253/MAX(1,S252-A253+1),0),ROUND(-PMT(E253/12,MAX(1,S252-A253+1),C253),0))&gt;ROUND(G252*1.25,0),NOT(A253=入力!$B$15+1)),"・上限適用",""))</f>
        <v/>
      </c>
      <c r="Q253" s="35" t="str">
        <f>IF(AND(T252="",A253&lt;=S252),入力!$B$13,"")</f>
        <v>有効</v>
      </c>
      <c r="R253" s="32" t="str">
        <f>IF(AND(AND(T252="",A253&lt;=S252),OR(AND(入力!$B$13="有効",A253&gt;1,MOD(A253-1,60)=0),AND(A253=入力!$B$11,A253&gt;1)),入力!$B$14="有効"),ROUND(G252*1.25,0),"")</f>
        <v/>
      </c>
      <c r="S253" s="36">
        <f t="shared" si="66"/>
        <v>420</v>
      </c>
      <c r="T253" s="35" t="str">
        <f t="shared" si="67"/>
        <v/>
      </c>
      <c r="U253" s="3">
        <f t="shared" si="51"/>
        <v>0</v>
      </c>
      <c r="V253" s="3">
        <f t="shared" si="52"/>
        <v>0</v>
      </c>
      <c r="W253" s="3">
        <f t="shared" si="53"/>
        <v>0</v>
      </c>
      <c r="X253" s="3">
        <f t="shared" si="54"/>
        <v>0</v>
      </c>
      <c r="Y253" s="3">
        <f>0</f>
        <v>0</v>
      </c>
      <c r="Z253" s="3">
        <f t="shared" si="55"/>
        <v>0</v>
      </c>
      <c r="AA253">
        <f>ROUND(IF(A253=入力!$B$15+1,IF(E253=0,ROUND(C253/MAX(1,S252-A253+1),0),ROUND(-PMT(E253/12,MAX(1,S252-A253+1)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,0)</f>
        <v>98997</v>
      </c>
    </row>
    <row r="254" spans="1:27">
      <c r="A254" s="30">
        <f>249</f>
        <v>249</v>
      </c>
      <c r="B254" s="31">
        <f>EDATE(入力!$B$6,A254-1)</f>
        <v>53783</v>
      </c>
      <c r="C254" s="32">
        <f t="shared" si="56"/>
        <v>14298309</v>
      </c>
      <c r="D254" s="32">
        <f t="shared" si="57"/>
        <v>0</v>
      </c>
      <c r="E254" s="33">
        <f>IF(AND(T253="",A254&lt;=S253),IF(A254&lt;入力!$B$11,入力!$B$10,入力!$B$12),0)</f>
        <v>2.5000000000000001E-2</v>
      </c>
      <c r="F254" s="32">
        <f t="shared" si="58"/>
        <v>29788</v>
      </c>
      <c r="G254" s="32">
        <f>ROUND(IF(NOT(AND(T253="",A254&lt;=S253)),0,IF(A254=入力!$B$15+1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),0)</f>
        <v>98997</v>
      </c>
      <c r="H254" s="32">
        <f t="shared" si="59"/>
        <v>98997</v>
      </c>
      <c r="I254" s="32">
        <f t="shared" si="60"/>
        <v>29788</v>
      </c>
      <c r="J254" s="32">
        <f t="shared" si="61"/>
        <v>0</v>
      </c>
      <c r="K254" s="32">
        <f t="shared" si="62"/>
        <v>0</v>
      </c>
      <c r="L254" s="32">
        <f t="shared" si="63"/>
        <v>69209</v>
      </c>
      <c r="M254" s="32">
        <f>IF(AND(AND(T253="",A254&lt;=S253),A254=入力!$B$15),ROUND(MIN(入力!$B$16,MAX(0,C254-L254)),0),0)</f>
        <v>0</v>
      </c>
      <c r="N254" s="32">
        <f t="shared" si="64"/>
        <v>14229100</v>
      </c>
      <c r="O254" s="32">
        <f t="shared" si="65"/>
        <v>9687313</v>
      </c>
      <c r="P254" s="34" t="str">
        <f>IF(NOT(AND(T253="",A254&lt;=S253)),"",IF(A254=入力!$B$15+1,"繰上返済後再計算","")&amp;IF(AND(入力!$B$13="有効",A254&gt;1,MOD(A254-1,60)=0),IF(A254=入力!$B$15+1,"・","")&amp;"5年見直し","")&amp;IF(AND(A254=入力!$B$11,A254&gt;1),IF(OR(A254=入力!$B$15+1,AND(入力!$B$13="有効",A254&gt;1,MOD(A254-1,60)=0)),"・","")&amp;"金利変更","")&amp;IF(AND(OR(AND(入力!$B$13="有効",A254&gt;1,MOD(A254-1,60)=0),AND(A254=入力!$B$11,A254&gt;1)),入力!$B$14="有効",IF(E254=0,ROUND(C254/MAX(1,S253-A254+1),0),ROUND(-PMT(E254/12,MAX(1,S253-A254+1),C254),0))&gt;ROUND(G253*1.25,0),NOT(A254=入力!$B$15+1)),"・上限適用",""))</f>
        <v/>
      </c>
      <c r="Q254" s="35" t="str">
        <f>IF(AND(T253="",A254&lt;=S253),入力!$B$13,"")</f>
        <v>有効</v>
      </c>
      <c r="R254" s="32" t="str">
        <f>IF(AND(AND(T253="",A254&lt;=S253),OR(AND(入力!$B$13="有効",A254&gt;1,MOD(A254-1,60)=0),AND(A254=入力!$B$11,A254&gt;1)),入力!$B$14="有効"),ROUND(G253*1.25,0),"")</f>
        <v/>
      </c>
      <c r="S254" s="36">
        <f t="shared" si="66"/>
        <v>420</v>
      </c>
      <c r="T254" s="35" t="str">
        <f t="shared" si="67"/>
        <v/>
      </c>
      <c r="U254" s="3">
        <f t="shared" si="51"/>
        <v>0</v>
      </c>
      <c r="V254" s="3">
        <f t="shared" si="52"/>
        <v>0</v>
      </c>
      <c r="W254" s="3">
        <f t="shared" si="53"/>
        <v>0</v>
      </c>
      <c r="X254" s="3">
        <f t="shared" si="54"/>
        <v>0</v>
      </c>
      <c r="Y254" s="3">
        <f>0</f>
        <v>0</v>
      </c>
      <c r="Z254" s="3">
        <f t="shared" si="55"/>
        <v>0</v>
      </c>
      <c r="AA254">
        <f>ROUND(IF(A254=入力!$B$15+1,IF(E254=0,ROUND(C254/MAX(1,S253-A254+1),0),ROUND(-PMT(E254/12,MAX(1,S253-A254+1)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,0)</f>
        <v>98997</v>
      </c>
    </row>
    <row r="255" spans="1:27">
      <c r="A255" s="30">
        <f>250</f>
        <v>250</v>
      </c>
      <c r="B255" s="31">
        <f>EDATE(入力!$B$6,A255-1)</f>
        <v>53813</v>
      </c>
      <c r="C255" s="32">
        <f t="shared" si="56"/>
        <v>14229100</v>
      </c>
      <c r="D255" s="32">
        <f t="shared" si="57"/>
        <v>0</v>
      </c>
      <c r="E255" s="33">
        <f>IF(AND(T254="",A255&lt;=S254),IF(A255&lt;入力!$B$11,入力!$B$10,入力!$B$12),0)</f>
        <v>2.5000000000000001E-2</v>
      </c>
      <c r="F255" s="32">
        <f t="shared" si="58"/>
        <v>29644</v>
      </c>
      <c r="G255" s="32">
        <f>ROUND(IF(NOT(AND(T254="",A255&lt;=S254)),0,IF(A255=入力!$B$15+1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),0)</f>
        <v>98997</v>
      </c>
      <c r="H255" s="32">
        <f t="shared" si="59"/>
        <v>98997</v>
      </c>
      <c r="I255" s="32">
        <f t="shared" si="60"/>
        <v>29644</v>
      </c>
      <c r="J255" s="32">
        <f t="shared" si="61"/>
        <v>0</v>
      </c>
      <c r="K255" s="32">
        <f t="shared" si="62"/>
        <v>0</v>
      </c>
      <c r="L255" s="32">
        <f t="shared" si="63"/>
        <v>69353</v>
      </c>
      <c r="M255" s="32">
        <f>IF(AND(AND(T254="",A255&lt;=S254),A255=入力!$B$15),ROUND(MIN(入力!$B$16,MAX(0,C255-L255)),0),0)</f>
        <v>0</v>
      </c>
      <c r="N255" s="32">
        <f t="shared" si="64"/>
        <v>14159747</v>
      </c>
      <c r="O255" s="32">
        <f t="shared" si="65"/>
        <v>9716957</v>
      </c>
      <c r="P255" s="34" t="str">
        <f>IF(NOT(AND(T254="",A255&lt;=S254)),"",IF(A255=入力!$B$15+1,"繰上返済後再計算","")&amp;IF(AND(入力!$B$13="有効",A255&gt;1,MOD(A255-1,60)=0),IF(A255=入力!$B$15+1,"・","")&amp;"5年見直し","")&amp;IF(AND(A255=入力!$B$11,A255&gt;1),IF(OR(A255=入力!$B$15+1,AND(入力!$B$13="有効",A255&gt;1,MOD(A255-1,60)=0)),"・","")&amp;"金利変更","")&amp;IF(AND(OR(AND(入力!$B$13="有効",A255&gt;1,MOD(A255-1,60)=0),AND(A255=入力!$B$11,A255&gt;1)),入力!$B$14="有効",IF(E255=0,ROUND(C255/MAX(1,S254-A255+1),0),ROUND(-PMT(E255/12,MAX(1,S254-A255+1),C255),0))&gt;ROUND(G254*1.25,0),NOT(A255=入力!$B$15+1)),"・上限適用",""))</f>
        <v/>
      </c>
      <c r="Q255" s="35" t="str">
        <f>IF(AND(T254="",A255&lt;=S254),入力!$B$13,"")</f>
        <v>有効</v>
      </c>
      <c r="R255" s="32" t="str">
        <f>IF(AND(AND(T254="",A255&lt;=S254),OR(AND(入力!$B$13="有効",A255&gt;1,MOD(A255-1,60)=0),AND(A255=入力!$B$11,A255&gt;1)),入力!$B$14="有効"),ROUND(G254*1.25,0),"")</f>
        <v/>
      </c>
      <c r="S255" s="36">
        <f t="shared" si="66"/>
        <v>420</v>
      </c>
      <c r="T255" s="35" t="str">
        <f t="shared" si="67"/>
        <v/>
      </c>
      <c r="U255" s="3">
        <f t="shared" si="51"/>
        <v>0</v>
      </c>
      <c r="V255" s="3">
        <f t="shared" si="52"/>
        <v>0</v>
      </c>
      <c r="W255" s="3">
        <f t="shared" si="53"/>
        <v>0</v>
      </c>
      <c r="X255" s="3">
        <f t="shared" si="54"/>
        <v>0</v>
      </c>
      <c r="Y255" s="3">
        <f>0</f>
        <v>0</v>
      </c>
      <c r="Z255" s="3">
        <f t="shared" si="55"/>
        <v>0</v>
      </c>
      <c r="AA255">
        <f>ROUND(IF(A255=入力!$B$15+1,IF(E255=0,ROUND(C255/MAX(1,S254-A255+1),0),ROUND(-PMT(E255/12,MAX(1,S254-A255+1)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,0)</f>
        <v>98997</v>
      </c>
    </row>
    <row r="256" spans="1:27">
      <c r="A256" s="30">
        <f>251</f>
        <v>251</v>
      </c>
      <c r="B256" s="31">
        <f>EDATE(入力!$B$6,A256-1)</f>
        <v>53844</v>
      </c>
      <c r="C256" s="32">
        <f t="shared" si="56"/>
        <v>14159747</v>
      </c>
      <c r="D256" s="32">
        <f t="shared" si="57"/>
        <v>0</v>
      </c>
      <c r="E256" s="33">
        <f>IF(AND(T255="",A256&lt;=S255),IF(A256&lt;入力!$B$11,入力!$B$10,入力!$B$12),0)</f>
        <v>2.5000000000000001E-2</v>
      </c>
      <c r="F256" s="32">
        <f t="shared" si="58"/>
        <v>29499</v>
      </c>
      <c r="G256" s="32">
        <f>ROUND(IF(NOT(AND(T255="",A256&lt;=S255)),0,IF(A256=入力!$B$15+1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),0)</f>
        <v>98997</v>
      </c>
      <c r="H256" s="32">
        <f t="shared" si="59"/>
        <v>98997</v>
      </c>
      <c r="I256" s="32">
        <f t="shared" si="60"/>
        <v>29499</v>
      </c>
      <c r="J256" s="32">
        <f t="shared" si="61"/>
        <v>0</v>
      </c>
      <c r="K256" s="32">
        <f t="shared" si="62"/>
        <v>0</v>
      </c>
      <c r="L256" s="32">
        <f t="shared" si="63"/>
        <v>69498</v>
      </c>
      <c r="M256" s="32">
        <f>IF(AND(AND(T255="",A256&lt;=S255),A256=入力!$B$15),ROUND(MIN(入力!$B$16,MAX(0,C256-L256)),0),0)</f>
        <v>0</v>
      </c>
      <c r="N256" s="32">
        <f t="shared" si="64"/>
        <v>14090249</v>
      </c>
      <c r="O256" s="32">
        <f t="shared" si="65"/>
        <v>9746456</v>
      </c>
      <c r="P256" s="34" t="str">
        <f>IF(NOT(AND(T255="",A256&lt;=S255)),"",IF(A256=入力!$B$15+1,"繰上返済後再計算","")&amp;IF(AND(入力!$B$13="有効",A256&gt;1,MOD(A256-1,60)=0),IF(A256=入力!$B$15+1,"・","")&amp;"5年見直し","")&amp;IF(AND(A256=入力!$B$11,A256&gt;1),IF(OR(A256=入力!$B$15+1,AND(入力!$B$13="有効",A256&gt;1,MOD(A256-1,60)=0)),"・","")&amp;"金利変更","")&amp;IF(AND(OR(AND(入力!$B$13="有効",A256&gt;1,MOD(A256-1,60)=0),AND(A256=入力!$B$11,A256&gt;1)),入力!$B$14="有効",IF(E256=0,ROUND(C256/MAX(1,S255-A256+1),0),ROUND(-PMT(E256/12,MAX(1,S255-A256+1),C256),0))&gt;ROUND(G255*1.25,0),NOT(A256=入力!$B$15+1)),"・上限適用",""))</f>
        <v/>
      </c>
      <c r="Q256" s="35" t="str">
        <f>IF(AND(T255="",A256&lt;=S255),入力!$B$13,"")</f>
        <v>有効</v>
      </c>
      <c r="R256" s="32" t="str">
        <f>IF(AND(AND(T255="",A256&lt;=S255),OR(AND(入力!$B$13="有効",A256&gt;1,MOD(A256-1,60)=0),AND(A256=入力!$B$11,A256&gt;1)),入力!$B$14="有効"),ROUND(G255*1.25,0),"")</f>
        <v/>
      </c>
      <c r="S256" s="36">
        <f t="shared" si="66"/>
        <v>420</v>
      </c>
      <c r="T256" s="35" t="str">
        <f t="shared" si="67"/>
        <v/>
      </c>
      <c r="U256" s="3">
        <f t="shared" si="51"/>
        <v>0</v>
      </c>
      <c r="V256" s="3">
        <f t="shared" si="52"/>
        <v>0</v>
      </c>
      <c r="W256" s="3">
        <f t="shared" si="53"/>
        <v>0</v>
      </c>
      <c r="X256" s="3">
        <f t="shared" si="54"/>
        <v>0</v>
      </c>
      <c r="Y256" s="3">
        <f>0</f>
        <v>0</v>
      </c>
      <c r="Z256" s="3">
        <f t="shared" si="55"/>
        <v>0</v>
      </c>
      <c r="AA256">
        <f>ROUND(IF(A256=入力!$B$15+1,IF(E256=0,ROUND(C256/MAX(1,S255-A256+1),0),ROUND(-PMT(E256/12,MAX(1,S255-A256+1)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,0)</f>
        <v>98997</v>
      </c>
    </row>
    <row r="257" spans="1:27">
      <c r="A257" s="30">
        <f>252</f>
        <v>252</v>
      </c>
      <c r="B257" s="31">
        <f>EDATE(入力!$B$6,A257-1)</f>
        <v>53874</v>
      </c>
      <c r="C257" s="32">
        <f t="shared" si="56"/>
        <v>14090249</v>
      </c>
      <c r="D257" s="32">
        <f t="shared" si="57"/>
        <v>0</v>
      </c>
      <c r="E257" s="33">
        <f>IF(AND(T256="",A257&lt;=S256),IF(A257&lt;入力!$B$11,入力!$B$10,入力!$B$12),0)</f>
        <v>2.5000000000000001E-2</v>
      </c>
      <c r="F257" s="32">
        <f t="shared" si="58"/>
        <v>29355</v>
      </c>
      <c r="G257" s="32">
        <f>ROUND(IF(NOT(AND(T256="",A257&lt;=S256)),0,IF(A257=入力!$B$15+1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),0)</f>
        <v>98997</v>
      </c>
      <c r="H257" s="32">
        <f t="shared" si="59"/>
        <v>98997</v>
      </c>
      <c r="I257" s="32">
        <f t="shared" si="60"/>
        <v>29355</v>
      </c>
      <c r="J257" s="32">
        <f t="shared" si="61"/>
        <v>0</v>
      </c>
      <c r="K257" s="32">
        <f t="shared" si="62"/>
        <v>0</v>
      </c>
      <c r="L257" s="32">
        <f t="shared" si="63"/>
        <v>69642</v>
      </c>
      <c r="M257" s="32">
        <f>IF(AND(AND(T256="",A257&lt;=S256),A257=入力!$B$15),ROUND(MIN(入力!$B$16,MAX(0,C257-L257)),0),0)</f>
        <v>0</v>
      </c>
      <c r="N257" s="32">
        <f t="shared" si="64"/>
        <v>14020607</v>
      </c>
      <c r="O257" s="32">
        <f t="shared" si="65"/>
        <v>9775811</v>
      </c>
      <c r="P257" s="34" t="str">
        <f>IF(NOT(AND(T256="",A257&lt;=S256)),"",IF(A257=入力!$B$15+1,"繰上返済後再計算","")&amp;IF(AND(入力!$B$13="有効",A257&gt;1,MOD(A257-1,60)=0),IF(A257=入力!$B$15+1,"・","")&amp;"5年見直し","")&amp;IF(AND(A257=入力!$B$11,A257&gt;1),IF(OR(A257=入力!$B$15+1,AND(入力!$B$13="有効",A257&gt;1,MOD(A257-1,60)=0)),"・","")&amp;"金利変更","")&amp;IF(AND(OR(AND(入力!$B$13="有効",A257&gt;1,MOD(A257-1,60)=0),AND(A257=入力!$B$11,A257&gt;1)),入力!$B$14="有効",IF(E257=0,ROUND(C257/MAX(1,S256-A257+1),0),ROUND(-PMT(E257/12,MAX(1,S256-A257+1),C257),0))&gt;ROUND(G256*1.25,0),NOT(A257=入力!$B$15+1)),"・上限適用",""))</f>
        <v/>
      </c>
      <c r="Q257" s="35" t="str">
        <f>IF(AND(T256="",A257&lt;=S256),入力!$B$13,"")</f>
        <v>有効</v>
      </c>
      <c r="R257" s="32" t="str">
        <f>IF(AND(AND(T256="",A257&lt;=S256),OR(AND(入力!$B$13="有効",A257&gt;1,MOD(A257-1,60)=0),AND(A257=入力!$B$11,A257&gt;1)),入力!$B$14="有効"),ROUND(G256*1.25,0),"")</f>
        <v/>
      </c>
      <c r="S257" s="36">
        <f t="shared" si="66"/>
        <v>420</v>
      </c>
      <c r="T257" s="35" t="str">
        <f t="shared" si="67"/>
        <v/>
      </c>
      <c r="U257" s="3">
        <f t="shared" si="51"/>
        <v>0</v>
      </c>
      <c r="V257" s="3">
        <f t="shared" si="52"/>
        <v>0</v>
      </c>
      <c r="W257" s="3">
        <f t="shared" si="53"/>
        <v>0</v>
      </c>
      <c r="X257" s="3">
        <f t="shared" si="54"/>
        <v>0</v>
      </c>
      <c r="Y257" s="3">
        <f>0</f>
        <v>0</v>
      </c>
      <c r="Z257" s="3">
        <f t="shared" si="55"/>
        <v>0</v>
      </c>
      <c r="AA257">
        <f>ROUND(IF(A257=入力!$B$15+1,IF(E257=0,ROUND(C257/MAX(1,S256-A257+1),0),ROUND(-PMT(E257/12,MAX(1,S256-A257+1)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,0)</f>
        <v>98997</v>
      </c>
    </row>
    <row r="258" spans="1:27">
      <c r="A258" s="30">
        <f>253</f>
        <v>253</v>
      </c>
      <c r="B258" s="31">
        <f>EDATE(入力!$B$6,A258-1)</f>
        <v>53905</v>
      </c>
      <c r="C258" s="32">
        <f t="shared" si="56"/>
        <v>14020607</v>
      </c>
      <c r="D258" s="32">
        <f t="shared" si="57"/>
        <v>0</v>
      </c>
      <c r="E258" s="33">
        <f>IF(AND(T257="",A258&lt;=S257),IF(A258&lt;入力!$B$11,入力!$B$10,入力!$B$12),0)</f>
        <v>2.5000000000000001E-2</v>
      </c>
      <c r="F258" s="32">
        <f t="shared" si="58"/>
        <v>29210</v>
      </c>
      <c r="G258" s="32">
        <f>ROUND(IF(NOT(AND(T257="",A258&lt;=S257)),0,IF(A258=入力!$B$15+1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),0)</f>
        <v>98997</v>
      </c>
      <c r="H258" s="32">
        <f t="shared" si="59"/>
        <v>98997</v>
      </c>
      <c r="I258" s="32">
        <f t="shared" si="60"/>
        <v>29210</v>
      </c>
      <c r="J258" s="32">
        <f t="shared" si="61"/>
        <v>0</v>
      </c>
      <c r="K258" s="32">
        <f t="shared" si="62"/>
        <v>0</v>
      </c>
      <c r="L258" s="32">
        <f t="shared" si="63"/>
        <v>69787</v>
      </c>
      <c r="M258" s="32">
        <f>IF(AND(AND(T257="",A258&lt;=S257),A258=入力!$B$15),ROUND(MIN(入力!$B$16,MAX(0,C258-L258)),0),0)</f>
        <v>0</v>
      </c>
      <c r="N258" s="32">
        <f t="shared" si="64"/>
        <v>13950820</v>
      </c>
      <c r="O258" s="32">
        <f t="shared" si="65"/>
        <v>9805021</v>
      </c>
      <c r="P258" s="34" t="str">
        <f>IF(NOT(AND(T257="",A258&lt;=S257)),"",IF(A258=入力!$B$15+1,"繰上返済後再計算","")&amp;IF(AND(入力!$B$13="有効",A258&gt;1,MOD(A258-1,60)=0),IF(A258=入力!$B$15+1,"・","")&amp;"5年見直し","")&amp;IF(AND(A258=入力!$B$11,A258&gt;1),IF(OR(A258=入力!$B$15+1,AND(入力!$B$13="有効",A258&gt;1,MOD(A258-1,60)=0)),"・","")&amp;"金利変更","")&amp;IF(AND(OR(AND(入力!$B$13="有効",A258&gt;1,MOD(A258-1,60)=0),AND(A258=入力!$B$11,A258&gt;1)),入力!$B$14="有効",IF(E258=0,ROUND(C258/MAX(1,S257-A258+1),0),ROUND(-PMT(E258/12,MAX(1,S257-A258+1),C258),0))&gt;ROUND(G257*1.25,0),NOT(A258=入力!$B$15+1)),"・上限適用",""))</f>
        <v/>
      </c>
      <c r="Q258" s="35" t="str">
        <f>IF(AND(T257="",A258&lt;=S257),入力!$B$13,"")</f>
        <v>有効</v>
      </c>
      <c r="R258" s="32" t="str">
        <f>IF(AND(AND(T257="",A258&lt;=S257),OR(AND(入力!$B$13="有効",A258&gt;1,MOD(A258-1,60)=0),AND(A258=入力!$B$11,A258&gt;1)),入力!$B$14="有効"),ROUND(G257*1.25,0),"")</f>
        <v/>
      </c>
      <c r="S258" s="36">
        <f t="shared" si="66"/>
        <v>420</v>
      </c>
      <c r="T258" s="35" t="str">
        <f t="shared" si="67"/>
        <v/>
      </c>
      <c r="U258" s="3">
        <f t="shared" si="51"/>
        <v>0</v>
      </c>
      <c r="V258" s="3">
        <f t="shared" si="52"/>
        <v>0</v>
      </c>
      <c r="W258" s="3">
        <f t="shared" si="53"/>
        <v>0</v>
      </c>
      <c r="X258" s="3">
        <f t="shared" si="54"/>
        <v>0</v>
      </c>
      <c r="Y258" s="3">
        <f>0</f>
        <v>0</v>
      </c>
      <c r="Z258" s="3">
        <f t="shared" si="55"/>
        <v>0</v>
      </c>
      <c r="AA258">
        <f>ROUND(IF(A258=入力!$B$15+1,IF(E258=0,ROUND(C258/MAX(1,S257-A258+1),0),ROUND(-PMT(E258/12,MAX(1,S257-A258+1)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,0)</f>
        <v>98997</v>
      </c>
    </row>
    <row r="259" spans="1:27">
      <c r="A259" s="30">
        <f>254</f>
        <v>254</v>
      </c>
      <c r="B259" s="31">
        <f>EDATE(入力!$B$6,A259-1)</f>
        <v>53936</v>
      </c>
      <c r="C259" s="32">
        <f t="shared" si="56"/>
        <v>13950820</v>
      </c>
      <c r="D259" s="32">
        <f t="shared" si="57"/>
        <v>0</v>
      </c>
      <c r="E259" s="33">
        <f>IF(AND(T258="",A259&lt;=S258),IF(A259&lt;入力!$B$11,入力!$B$10,入力!$B$12),0)</f>
        <v>2.5000000000000001E-2</v>
      </c>
      <c r="F259" s="32">
        <f t="shared" si="58"/>
        <v>29064</v>
      </c>
      <c r="G259" s="32">
        <f>ROUND(IF(NOT(AND(T258="",A259&lt;=S258)),0,IF(A259=入力!$B$15+1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),0)</f>
        <v>98997</v>
      </c>
      <c r="H259" s="32">
        <f t="shared" si="59"/>
        <v>98997</v>
      </c>
      <c r="I259" s="32">
        <f t="shared" si="60"/>
        <v>29064</v>
      </c>
      <c r="J259" s="32">
        <f t="shared" si="61"/>
        <v>0</v>
      </c>
      <c r="K259" s="32">
        <f t="shared" si="62"/>
        <v>0</v>
      </c>
      <c r="L259" s="32">
        <f t="shared" si="63"/>
        <v>69933</v>
      </c>
      <c r="M259" s="32">
        <f>IF(AND(AND(T258="",A259&lt;=S258),A259=入力!$B$15),ROUND(MIN(入力!$B$16,MAX(0,C259-L259)),0),0)</f>
        <v>0</v>
      </c>
      <c r="N259" s="32">
        <f t="shared" si="64"/>
        <v>13880887</v>
      </c>
      <c r="O259" s="32">
        <f t="shared" si="65"/>
        <v>9834085</v>
      </c>
      <c r="P259" s="34" t="str">
        <f>IF(NOT(AND(T258="",A259&lt;=S258)),"",IF(A259=入力!$B$15+1,"繰上返済後再計算","")&amp;IF(AND(入力!$B$13="有効",A259&gt;1,MOD(A259-1,60)=0),IF(A259=入力!$B$15+1,"・","")&amp;"5年見直し","")&amp;IF(AND(A259=入力!$B$11,A259&gt;1),IF(OR(A259=入力!$B$15+1,AND(入力!$B$13="有効",A259&gt;1,MOD(A259-1,60)=0)),"・","")&amp;"金利変更","")&amp;IF(AND(OR(AND(入力!$B$13="有効",A259&gt;1,MOD(A259-1,60)=0),AND(A259=入力!$B$11,A259&gt;1)),入力!$B$14="有効",IF(E259=0,ROUND(C259/MAX(1,S258-A259+1),0),ROUND(-PMT(E259/12,MAX(1,S258-A259+1),C259),0))&gt;ROUND(G258*1.25,0),NOT(A259=入力!$B$15+1)),"・上限適用",""))</f>
        <v/>
      </c>
      <c r="Q259" s="35" t="str">
        <f>IF(AND(T258="",A259&lt;=S258),入力!$B$13,"")</f>
        <v>有効</v>
      </c>
      <c r="R259" s="32" t="str">
        <f>IF(AND(AND(T258="",A259&lt;=S258),OR(AND(入力!$B$13="有効",A259&gt;1,MOD(A259-1,60)=0),AND(A259=入力!$B$11,A259&gt;1)),入力!$B$14="有効"),ROUND(G258*1.25,0),"")</f>
        <v/>
      </c>
      <c r="S259" s="36">
        <f t="shared" si="66"/>
        <v>420</v>
      </c>
      <c r="T259" s="35" t="str">
        <f t="shared" si="67"/>
        <v/>
      </c>
      <c r="U259" s="3">
        <f t="shared" si="51"/>
        <v>0</v>
      </c>
      <c r="V259" s="3">
        <f t="shared" si="52"/>
        <v>0</v>
      </c>
      <c r="W259" s="3">
        <f t="shared" si="53"/>
        <v>0</v>
      </c>
      <c r="X259" s="3">
        <f t="shared" si="54"/>
        <v>0</v>
      </c>
      <c r="Y259" s="3">
        <f>0</f>
        <v>0</v>
      </c>
      <c r="Z259" s="3">
        <f t="shared" si="55"/>
        <v>0</v>
      </c>
      <c r="AA259">
        <f>ROUND(IF(A259=入力!$B$15+1,IF(E259=0,ROUND(C259/MAX(1,S258-A259+1),0),ROUND(-PMT(E259/12,MAX(1,S258-A259+1)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,0)</f>
        <v>98997</v>
      </c>
    </row>
    <row r="260" spans="1:27">
      <c r="A260" s="30">
        <f>255</f>
        <v>255</v>
      </c>
      <c r="B260" s="31">
        <f>EDATE(入力!$B$6,A260-1)</f>
        <v>53966</v>
      </c>
      <c r="C260" s="32">
        <f t="shared" si="56"/>
        <v>13880887</v>
      </c>
      <c r="D260" s="32">
        <f t="shared" si="57"/>
        <v>0</v>
      </c>
      <c r="E260" s="33">
        <f>IF(AND(T259="",A260&lt;=S259),IF(A260&lt;入力!$B$11,入力!$B$10,入力!$B$12),0)</f>
        <v>2.5000000000000001E-2</v>
      </c>
      <c r="F260" s="32">
        <f t="shared" si="58"/>
        <v>28919</v>
      </c>
      <c r="G260" s="32">
        <f>ROUND(IF(NOT(AND(T259="",A260&lt;=S259)),0,IF(A260=入力!$B$15+1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),0)</f>
        <v>98997</v>
      </c>
      <c r="H260" s="32">
        <f t="shared" si="59"/>
        <v>98997</v>
      </c>
      <c r="I260" s="32">
        <f t="shared" si="60"/>
        <v>28919</v>
      </c>
      <c r="J260" s="32">
        <f t="shared" si="61"/>
        <v>0</v>
      </c>
      <c r="K260" s="32">
        <f t="shared" si="62"/>
        <v>0</v>
      </c>
      <c r="L260" s="32">
        <f t="shared" si="63"/>
        <v>70078</v>
      </c>
      <c r="M260" s="32">
        <f>IF(AND(AND(T259="",A260&lt;=S259),A260=入力!$B$15),ROUND(MIN(入力!$B$16,MAX(0,C260-L260)),0),0)</f>
        <v>0</v>
      </c>
      <c r="N260" s="32">
        <f t="shared" si="64"/>
        <v>13810809</v>
      </c>
      <c r="O260" s="32">
        <f t="shared" si="65"/>
        <v>9863004</v>
      </c>
      <c r="P260" s="34" t="str">
        <f>IF(NOT(AND(T259="",A260&lt;=S259)),"",IF(A260=入力!$B$15+1,"繰上返済後再計算","")&amp;IF(AND(入力!$B$13="有効",A260&gt;1,MOD(A260-1,60)=0),IF(A260=入力!$B$15+1,"・","")&amp;"5年見直し","")&amp;IF(AND(A260=入力!$B$11,A260&gt;1),IF(OR(A260=入力!$B$15+1,AND(入力!$B$13="有効",A260&gt;1,MOD(A260-1,60)=0)),"・","")&amp;"金利変更","")&amp;IF(AND(OR(AND(入力!$B$13="有効",A260&gt;1,MOD(A260-1,60)=0),AND(A260=入力!$B$11,A260&gt;1)),入力!$B$14="有効",IF(E260=0,ROUND(C260/MAX(1,S259-A260+1),0),ROUND(-PMT(E260/12,MAX(1,S259-A260+1),C260),0))&gt;ROUND(G259*1.25,0),NOT(A260=入力!$B$15+1)),"・上限適用",""))</f>
        <v/>
      </c>
      <c r="Q260" s="35" t="str">
        <f>IF(AND(T259="",A260&lt;=S259),入力!$B$13,"")</f>
        <v>有効</v>
      </c>
      <c r="R260" s="32" t="str">
        <f>IF(AND(AND(T259="",A260&lt;=S259),OR(AND(入力!$B$13="有効",A260&gt;1,MOD(A260-1,60)=0),AND(A260=入力!$B$11,A260&gt;1)),入力!$B$14="有効"),ROUND(G259*1.25,0),"")</f>
        <v/>
      </c>
      <c r="S260" s="36">
        <f t="shared" si="66"/>
        <v>420</v>
      </c>
      <c r="T260" s="35" t="str">
        <f t="shared" si="67"/>
        <v/>
      </c>
      <c r="U260" s="3">
        <f t="shared" si="51"/>
        <v>0</v>
      </c>
      <c r="V260" s="3">
        <f t="shared" si="52"/>
        <v>0</v>
      </c>
      <c r="W260" s="3">
        <f t="shared" si="53"/>
        <v>0</v>
      </c>
      <c r="X260" s="3">
        <f t="shared" si="54"/>
        <v>0</v>
      </c>
      <c r="Y260" s="3">
        <f>0</f>
        <v>0</v>
      </c>
      <c r="Z260" s="3">
        <f t="shared" si="55"/>
        <v>0</v>
      </c>
      <c r="AA260">
        <f>ROUND(IF(A260=入力!$B$15+1,IF(E260=0,ROUND(C260/MAX(1,S259-A260+1),0),ROUND(-PMT(E260/12,MAX(1,S259-A260+1)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,0)</f>
        <v>98997</v>
      </c>
    </row>
    <row r="261" spans="1:27">
      <c r="A261" s="30">
        <f>256</f>
        <v>256</v>
      </c>
      <c r="B261" s="31">
        <f>EDATE(入力!$B$6,A261-1)</f>
        <v>53997</v>
      </c>
      <c r="C261" s="32">
        <f t="shared" si="56"/>
        <v>13810809</v>
      </c>
      <c r="D261" s="32">
        <f t="shared" si="57"/>
        <v>0</v>
      </c>
      <c r="E261" s="33">
        <f>IF(AND(T260="",A261&lt;=S260),IF(A261&lt;入力!$B$11,入力!$B$10,入力!$B$12),0)</f>
        <v>2.5000000000000001E-2</v>
      </c>
      <c r="F261" s="32">
        <f t="shared" si="58"/>
        <v>28773</v>
      </c>
      <c r="G261" s="32">
        <f>ROUND(IF(NOT(AND(T260="",A261&lt;=S260)),0,IF(A261=入力!$B$15+1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),0)</f>
        <v>98997</v>
      </c>
      <c r="H261" s="32">
        <f t="shared" si="59"/>
        <v>98997</v>
      </c>
      <c r="I261" s="32">
        <f t="shared" si="60"/>
        <v>28773</v>
      </c>
      <c r="J261" s="32">
        <f t="shared" si="61"/>
        <v>0</v>
      </c>
      <c r="K261" s="32">
        <f t="shared" si="62"/>
        <v>0</v>
      </c>
      <c r="L261" s="32">
        <f t="shared" si="63"/>
        <v>70224</v>
      </c>
      <c r="M261" s="32">
        <f>IF(AND(AND(T260="",A261&lt;=S260),A261=入力!$B$15),ROUND(MIN(入力!$B$16,MAX(0,C261-L261)),0),0)</f>
        <v>0</v>
      </c>
      <c r="N261" s="32">
        <f t="shared" si="64"/>
        <v>13740585</v>
      </c>
      <c r="O261" s="32">
        <f t="shared" si="65"/>
        <v>9891777</v>
      </c>
      <c r="P261" s="34" t="str">
        <f>IF(NOT(AND(T260="",A261&lt;=S260)),"",IF(A261=入力!$B$15+1,"繰上返済後再計算","")&amp;IF(AND(入力!$B$13="有効",A261&gt;1,MOD(A261-1,60)=0),IF(A261=入力!$B$15+1,"・","")&amp;"5年見直し","")&amp;IF(AND(A261=入力!$B$11,A261&gt;1),IF(OR(A261=入力!$B$15+1,AND(入力!$B$13="有効",A261&gt;1,MOD(A261-1,60)=0)),"・","")&amp;"金利変更","")&amp;IF(AND(OR(AND(入力!$B$13="有効",A261&gt;1,MOD(A261-1,60)=0),AND(A261=入力!$B$11,A261&gt;1)),入力!$B$14="有効",IF(E261=0,ROUND(C261/MAX(1,S260-A261+1),0),ROUND(-PMT(E261/12,MAX(1,S260-A261+1),C261),0))&gt;ROUND(G260*1.25,0),NOT(A261=入力!$B$15+1)),"・上限適用",""))</f>
        <v/>
      </c>
      <c r="Q261" s="35" t="str">
        <f>IF(AND(T260="",A261&lt;=S260),入力!$B$13,"")</f>
        <v>有効</v>
      </c>
      <c r="R261" s="32" t="str">
        <f>IF(AND(AND(T260="",A261&lt;=S260),OR(AND(入力!$B$13="有効",A261&gt;1,MOD(A261-1,60)=0),AND(A261=入力!$B$11,A261&gt;1)),入力!$B$14="有効"),ROUND(G260*1.25,0),"")</f>
        <v/>
      </c>
      <c r="S261" s="36">
        <f t="shared" si="66"/>
        <v>420</v>
      </c>
      <c r="T261" s="35" t="str">
        <f t="shared" si="67"/>
        <v/>
      </c>
      <c r="U261" s="3">
        <f t="shared" si="51"/>
        <v>0</v>
      </c>
      <c r="V261" s="3">
        <f t="shared" si="52"/>
        <v>0</v>
      </c>
      <c r="W261" s="3">
        <f t="shared" si="53"/>
        <v>0</v>
      </c>
      <c r="X261" s="3">
        <f t="shared" si="54"/>
        <v>0</v>
      </c>
      <c r="Y261" s="3">
        <f>0</f>
        <v>0</v>
      </c>
      <c r="Z261" s="3">
        <f t="shared" si="55"/>
        <v>0</v>
      </c>
      <c r="AA261">
        <f>ROUND(IF(A261=入力!$B$15+1,IF(E261=0,ROUND(C261/MAX(1,S260-A261+1),0),ROUND(-PMT(E261/12,MAX(1,S260-A261+1)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,0)</f>
        <v>98997</v>
      </c>
    </row>
    <row r="262" spans="1:27">
      <c r="A262" s="30">
        <f>257</f>
        <v>257</v>
      </c>
      <c r="B262" s="31">
        <f>EDATE(入力!$B$6,A262-1)</f>
        <v>54027</v>
      </c>
      <c r="C262" s="32">
        <f t="shared" si="56"/>
        <v>13740585</v>
      </c>
      <c r="D262" s="32">
        <f t="shared" si="57"/>
        <v>0</v>
      </c>
      <c r="E262" s="33">
        <f>IF(AND(T261="",A262&lt;=S261),IF(A262&lt;入力!$B$11,入力!$B$10,入力!$B$12),0)</f>
        <v>2.5000000000000001E-2</v>
      </c>
      <c r="F262" s="32">
        <f t="shared" si="58"/>
        <v>28626</v>
      </c>
      <c r="G262" s="32">
        <f>ROUND(IF(NOT(AND(T261="",A262&lt;=S261)),0,IF(A262=入力!$B$15+1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),0)</f>
        <v>98997</v>
      </c>
      <c r="H262" s="32">
        <f t="shared" si="59"/>
        <v>98997</v>
      </c>
      <c r="I262" s="32">
        <f t="shared" si="60"/>
        <v>28626</v>
      </c>
      <c r="J262" s="32">
        <f t="shared" si="61"/>
        <v>0</v>
      </c>
      <c r="K262" s="32">
        <f t="shared" si="62"/>
        <v>0</v>
      </c>
      <c r="L262" s="32">
        <f t="shared" si="63"/>
        <v>70371</v>
      </c>
      <c r="M262" s="32">
        <f>IF(AND(AND(T261="",A262&lt;=S261),A262=入力!$B$15),ROUND(MIN(入力!$B$16,MAX(0,C262-L262)),0),0)</f>
        <v>0</v>
      </c>
      <c r="N262" s="32">
        <f t="shared" si="64"/>
        <v>13670214</v>
      </c>
      <c r="O262" s="32">
        <f t="shared" si="65"/>
        <v>9920403</v>
      </c>
      <c r="P262" s="34" t="str">
        <f>IF(NOT(AND(T261="",A262&lt;=S261)),"",IF(A262=入力!$B$15+1,"繰上返済後再計算","")&amp;IF(AND(入力!$B$13="有効",A262&gt;1,MOD(A262-1,60)=0),IF(A262=入力!$B$15+1,"・","")&amp;"5年見直し","")&amp;IF(AND(A262=入力!$B$11,A262&gt;1),IF(OR(A262=入力!$B$15+1,AND(入力!$B$13="有効",A262&gt;1,MOD(A262-1,60)=0)),"・","")&amp;"金利変更","")&amp;IF(AND(OR(AND(入力!$B$13="有効",A262&gt;1,MOD(A262-1,60)=0),AND(A262=入力!$B$11,A262&gt;1)),入力!$B$14="有効",IF(E262=0,ROUND(C262/MAX(1,S261-A262+1),0),ROUND(-PMT(E262/12,MAX(1,S261-A262+1),C262),0))&gt;ROUND(G261*1.25,0),NOT(A262=入力!$B$15+1)),"・上限適用",""))</f>
        <v/>
      </c>
      <c r="Q262" s="35" t="str">
        <f>IF(AND(T261="",A262&lt;=S261),入力!$B$13,"")</f>
        <v>有効</v>
      </c>
      <c r="R262" s="32" t="str">
        <f>IF(AND(AND(T261="",A262&lt;=S261),OR(AND(入力!$B$13="有効",A262&gt;1,MOD(A262-1,60)=0),AND(A262=入力!$B$11,A262&gt;1)),入力!$B$14="有効"),ROUND(G261*1.25,0),"")</f>
        <v/>
      </c>
      <c r="S262" s="36">
        <f t="shared" si="66"/>
        <v>420</v>
      </c>
      <c r="T262" s="35" t="str">
        <f t="shared" si="67"/>
        <v/>
      </c>
      <c r="U262" s="3">
        <f t="shared" ref="U262:U325" si="68">ABS(I262-MIN(H262,D262+F262))</f>
        <v>0</v>
      </c>
      <c r="V262" s="3">
        <f t="shared" ref="V262:V325" si="69">ABS(L262-(H262-I262))</f>
        <v>0</v>
      </c>
      <c r="W262" s="3">
        <f t="shared" ref="W262:W325" si="70">ABS(K262-(D262+J262))</f>
        <v>0</v>
      </c>
      <c r="X262" s="3">
        <f t="shared" ref="X262:X325" si="71">ABS(F262-ROUND(F262,0))+ABS(G262-ROUND(G262,0))+ABS(H262-ROUND(H262,0))+ABS(I262-ROUND(I262,0))+ABS(J262-ROUND(J262,0))+ABS(K262-ROUND(K262,0))+ABS(L262-ROUND(L262,0))+ABS(M262-ROUND(M262,0))+ABS(N262-ROUND(N262,0))+ABS(O262-ROUND(O262,0))</f>
        <v>0</v>
      </c>
      <c r="Y262" s="3">
        <f>0</f>
        <v>0</v>
      </c>
      <c r="Z262" s="3">
        <f t="shared" ref="Z262:Z325" si="72">SUM(--ISERROR(A262),--ISERROR(B262),--ISERROR(C262),--ISERROR(D262),--ISERROR(E262),--ISERROR(F262),--ISERROR(G262),--ISERROR(H262),--ISERROR(I262),--ISERROR(J262),--ISERROR(K262),--ISERROR(L262),--ISERROR(M262),--ISERROR(N262),--ISERROR(O262),--ISERROR(P262),--ISERROR(Q262),--ISERROR(R262),--ISERROR(S262),--ISERROR(T262))</f>
        <v>0</v>
      </c>
      <c r="AA262">
        <f>ROUND(IF(A262=入力!$B$15+1,IF(E262=0,ROUND(C262/MAX(1,S261-A262+1),0),ROUND(-PMT(E262/12,MAX(1,S261-A262+1)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,0)</f>
        <v>98997</v>
      </c>
    </row>
    <row r="263" spans="1:27">
      <c r="A263" s="30">
        <f>258</f>
        <v>258</v>
      </c>
      <c r="B263" s="31">
        <f>EDATE(入力!$B$6,A263-1)</f>
        <v>54058</v>
      </c>
      <c r="C263" s="32">
        <f t="shared" ref="C263:C326" si="73">IF(AND(T262="",A263&lt;=S262),N262,0)</f>
        <v>13670214</v>
      </c>
      <c r="D263" s="32">
        <f t="shared" ref="D263:D326" si="74">IF(AND(T262="",A263&lt;=S262),K262,0)</f>
        <v>0</v>
      </c>
      <c r="E263" s="33">
        <f>IF(AND(T262="",A263&lt;=S262),IF(A263&lt;入力!$B$11,入力!$B$10,入力!$B$12),0)</f>
        <v>2.5000000000000001E-2</v>
      </c>
      <c r="F263" s="32">
        <f t="shared" ref="F263:F326" si="75">IF(AND(T262="",A263&lt;=S262),ROUND(C263*E263/12,0),0)</f>
        <v>28480</v>
      </c>
      <c r="G263" s="32">
        <f>ROUND(IF(NOT(AND(T262="",A263&lt;=S262)),0,IF(A263=入力!$B$15+1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),0)</f>
        <v>98997</v>
      </c>
      <c r="H263" s="32">
        <f t="shared" ref="H263:H326" si="76">IF(AND(T262="",A263&lt;=S262),ROUND(MIN(G263,C263+D263+F263),0),0)</f>
        <v>98997</v>
      </c>
      <c r="I263" s="32">
        <f t="shared" ref="I263:I326" si="77">IF(AND(T262="",A263&lt;=S262),ROUND(MIN(H263,D263+F263),0),0)</f>
        <v>28480</v>
      </c>
      <c r="J263" s="32">
        <f t="shared" ref="J263:J326" si="78">IF(AND(T262="",A263&lt;=S262),ROUND(F263-I263,0),0)</f>
        <v>0</v>
      </c>
      <c r="K263" s="32">
        <f t="shared" ref="K263:K326" si="79">IF(AND(T262="",A263&lt;=S262),ROUND(D263+J263,0),0)</f>
        <v>0</v>
      </c>
      <c r="L263" s="32">
        <f t="shared" ref="L263:L326" si="80">IF(AND(T262="",A263&lt;=S262),ROUND(H263-I263,0),0)</f>
        <v>70517</v>
      </c>
      <c r="M263" s="32">
        <f>IF(AND(AND(T262="",A263&lt;=S262),A263=入力!$B$15),ROUND(MIN(入力!$B$16,MAX(0,C263-L263)),0),0)</f>
        <v>0</v>
      </c>
      <c r="N263" s="32">
        <f t="shared" ref="N263:N326" si="81">IF(AND(T262="",A263&lt;=S262),ROUND(MAX(0,C263-L263-M263),0),0)</f>
        <v>13599697</v>
      </c>
      <c r="O263" s="32">
        <f t="shared" ref="O263:O326" si="82">IF(AND(T262="",A263&lt;=S262),ROUND(O262+F263,0),O262)</f>
        <v>9948883</v>
      </c>
      <c r="P263" s="34" t="str">
        <f>IF(NOT(AND(T262="",A263&lt;=S262)),"",IF(A263=入力!$B$15+1,"繰上返済後再計算","")&amp;IF(AND(入力!$B$13="有効",A263&gt;1,MOD(A263-1,60)=0),IF(A263=入力!$B$15+1,"・","")&amp;"5年見直し","")&amp;IF(AND(A263=入力!$B$11,A263&gt;1),IF(OR(A263=入力!$B$15+1,AND(入力!$B$13="有効",A263&gt;1,MOD(A263-1,60)=0)),"・","")&amp;"金利変更","")&amp;IF(AND(OR(AND(入力!$B$13="有効",A263&gt;1,MOD(A263-1,60)=0),AND(A263=入力!$B$11,A263&gt;1)),入力!$B$14="有効",IF(E263=0,ROUND(C263/MAX(1,S262-A263+1),0),ROUND(-PMT(E263/12,MAX(1,S262-A263+1),C263),0))&gt;ROUND(G262*1.25,0),NOT(A263=入力!$B$15+1)),"・上限適用",""))</f>
        <v/>
      </c>
      <c r="Q263" s="35" t="str">
        <f>IF(AND(T262="",A263&lt;=S262),入力!$B$13,"")</f>
        <v>有効</v>
      </c>
      <c r="R263" s="32" t="str">
        <f>IF(AND(AND(T262="",A263&lt;=S262),OR(AND(入力!$B$13="有効",A263&gt;1,MOD(A263-1,60)=0),AND(A263=入力!$B$11,A263&gt;1)),入力!$B$14="有効"),ROUND(G262*1.25,0),"")</f>
        <v/>
      </c>
      <c r="S263" s="36">
        <f t="shared" ref="S263:S326" si="83">S262</f>
        <v>420</v>
      </c>
      <c r="T263" s="35" t="str">
        <f t="shared" ref="T263:T326" si="84">IF(NOT(AND(T262="",A263&lt;=S262)),"",IF(AND(N263=0,K263=0),"完済",IF(A263=S263,"最終回清算","")))</f>
        <v/>
      </c>
      <c r="U263" s="3">
        <f t="shared" si="68"/>
        <v>0</v>
      </c>
      <c r="V263" s="3">
        <f t="shared" si="69"/>
        <v>0</v>
      </c>
      <c r="W263" s="3">
        <f t="shared" si="70"/>
        <v>0</v>
      </c>
      <c r="X263" s="3">
        <f t="shared" si="71"/>
        <v>0</v>
      </c>
      <c r="Y263" s="3">
        <f>0</f>
        <v>0</v>
      </c>
      <c r="Z263" s="3">
        <f t="shared" si="72"/>
        <v>0</v>
      </c>
      <c r="AA263">
        <f>ROUND(IF(A263=入力!$B$15+1,IF(E263=0,ROUND(C263/MAX(1,S262-A263+1),0),ROUND(-PMT(E263/12,MAX(1,S262-A263+1)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,0)</f>
        <v>98997</v>
      </c>
    </row>
    <row r="264" spans="1:27">
      <c r="A264" s="30">
        <f>259</f>
        <v>259</v>
      </c>
      <c r="B264" s="31">
        <f>EDATE(入力!$B$6,A264-1)</f>
        <v>54089</v>
      </c>
      <c r="C264" s="32">
        <f t="shared" si="73"/>
        <v>13599697</v>
      </c>
      <c r="D264" s="32">
        <f t="shared" si="74"/>
        <v>0</v>
      </c>
      <c r="E264" s="33">
        <f>IF(AND(T263="",A264&lt;=S263),IF(A264&lt;入力!$B$11,入力!$B$10,入力!$B$12),0)</f>
        <v>2.5000000000000001E-2</v>
      </c>
      <c r="F264" s="32">
        <f t="shared" si="75"/>
        <v>28333</v>
      </c>
      <c r="G264" s="32">
        <f>ROUND(IF(NOT(AND(T263="",A264&lt;=S263)),0,IF(A264=入力!$B$15+1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),0)</f>
        <v>98997</v>
      </c>
      <c r="H264" s="32">
        <f t="shared" si="76"/>
        <v>98997</v>
      </c>
      <c r="I264" s="32">
        <f t="shared" si="77"/>
        <v>28333</v>
      </c>
      <c r="J264" s="32">
        <f t="shared" si="78"/>
        <v>0</v>
      </c>
      <c r="K264" s="32">
        <f t="shared" si="79"/>
        <v>0</v>
      </c>
      <c r="L264" s="32">
        <f t="shared" si="80"/>
        <v>70664</v>
      </c>
      <c r="M264" s="32">
        <f>IF(AND(AND(T263="",A264&lt;=S263),A264=入力!$B$15),ROUND(MIN(入力!$B$16,MAX(0,C264-L264)),0),0)</f>
        <v>0</v>
      </c>
      <c r="N264" s="32">
        <f t="shared" si="81"/>
        <v>13529033</v>
      </c>
      <c r="O264" s="32">
        <f t="shared" si="82"/>
        <v>9977216</v>
      </c>
      <c r="P264" s="34" t="str">
        <f>IF(NOT(AND(T263="",A264&lt;=S263)),"",IF(A264=入力!$B$15+1,"繰上返済後再計算","")&amp;IF(AND(入力!$B$13="有効",A264&gt;1,MOD(A264-1,60)=0),IF(A264=入力!$B$15+1,"・","")&amp;"5年見直し","")&amp;IF(AND(A264=入力!$B$11,A264&gt;1),IF(OR(A264=入力!$B$15+1,AND(入力!$B$13="有効",A264&gt;1,MOD(A264-1,60)=0)),"・","")&amp;"金利変更","")&amp;IF(AND(OR(AND(入力!$B$13="有効",A264&gt;1,MOD(A264-1,60)=0),AND(A264=入力!$B$11,A264&gt;1)),入力!$B$14="有効",IF(E264=0,ROUND(C264/MAX(1,S263-A264+1),0),ROUND(-PMT(E264/12,MAX(1,S263-A264+1),C264),0))&gt;ROUND(G263*1.25,0),NOT(A264=入力!$B$15+1)),"・上限適用",""))</f>
        <v/>
      </c>
      <c r="Q264" s="35" t="str">
        <f>IF(AND(T263="",A264&lt;=S263),入力!$B$13,"")</f>
        <v>有効</v>
      </c>
      <c r="R264" s="32" t="str">
        <f>IF(AND(AND(T263="",A264&lt;=S263),OR(AND(入力!$B$13="有効",A264&gt;1,MOD(A264-1,60)=0),AND(A264=入力!$B$11,A264&gt;1)),入力!$B$14="有効"),ROUND(G263*1.25,0),"")</f>
        <v/>
      </c>
      <c r="S264" s="36">
        <f t="shared" si="83"/>
        <v>420</v>
      </c>
      <c r="T264" s="35" t="str">
        <f t="shared" si="84"/>
        <v/>
      </c>
      <c r="U264" s="3">
        <f t="shared" si="68"/>
        <v>0</v>
      </c>
      <c r="V264" s="3">
        <f t="shared" si="69"/>
        <v>0</v>
      </c>
      <c r="W264" s="3">
        <f t="shared" si="70"/>
        <v>0</v>
      </c>
      <c r="X264" s="3">
        <f t="shared" si="71"/>
        <v>0</v>
      </c>
      <c r="Y264" s="3">
        <f>0</f>
        <v>0</v>
      </c>
      <c r="Z264" s="3">
        <f t="shared" si="72"/>
        <v>0</v>
      </c>
      <c r="AA264">
        <f>ROUND(IF(A264=入力!$B$15+1,IF(E264=0,ROUND(C264/MAX(1,S263-A264+1),0),ROUND(-PMT(E264/12,MAX(1,S263-A264+1)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,0)</f>
        <v>98997</v>
      </c>
    </row>
    <row r="265" spans="1:27">
      <c r="A265" s="30">
        <f>260</f>
        <v>260</v>
      </c>
      <c r="B265" s="31">
        <f>EDATE(入力!$B$6,A265-1)</f>
        <v>54118</v>
      </c>
      <c r="C265" s="32">
        <f t="shared" si="73"/>
        <v>13529033</v>
      </c>
      <c r="D265" s="32">
        <f t="shared" si="74"/>
        <v>0</v>
      </c>
      <c r="E265" s="33">
        <f>IF(AND(T264="",A265&lt;=S264),IF(A265&lt;入力!$B$11,入力!$B$10,入力!$B$12),0)</f>
        <v>2.5000000000000001E-2</v>
      </c>
      <c r="F265" s="32">
        <f t="shared" si="75"/>
        <v>28185</v>
      </c>
      <c r="G265" s="32">
        <f>ROUND(IF(NOT(AND(T264="",A265&lt;=S264)),0,IF(A265=入力!$B$15+1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),0)</f>
        <v>98997</v>
      </c>
      <c r="H265" s="32">
        <f t="shared" si="76"/>
        <v>98997</v>
      </c>
      <c r="I265" s="32">
        <f t="shared" si="77"/>
        <v>28185</v>
      </c>
      <c r="J265" s="32">
        <f t="shared" si="78"/>
        <v>0</v>
      </c>
      <c r="K265" s="32">
        <f t="shared" si="79"/>
        <v>0</v>
      </c>
      <c r="L265" s="32">
        <f t="shared" si="80"/>
        <v>70812</v>
      </c>
      <c r="M265" s="32">
        <f>IF(AND(AND(T264="",A265&lt;=S264),A265=入力!$B$15),ROUND(MIN(入力!$B$16,MAX(0,C265-L265)),0),0)</f>
        <v>0</v>
      </c>
      <c r="N265" s="32">
        <f t="shared" si="81"/>
        <v>13458221</v>
      </c>
      <c r="O265" s="32">
        <f t="shared" si="82"/>
        <v>10005401</v>
      </c>
      <c r="P265" s="34" t="str">
        <f>IF(NOT(AND(T264="",A265&lt;=S264)),"",IF(A265=入力!$B$15+1,"繰上返済後再計算","")&amp;IF(AND(入力!$B$13="有効",A265&gt;1,MOD(A265-1,60)=0),IF(A265=入力!$B$15+1,"・","")&amp;"5年見直し","")&amp;IF(AND(A265=入力!$B$11,A265&gt;1),IF(OR(A265=入力!$B$15+1,AND(入力!$B$13="有効",A265&gt;1,MOD(A265-1,60)=0)),"・","")&amp;"金利変更","")&amp;IF(AND(OR(AND(入力!$B$13="有効",A265&gt;1,MOD(A265-1,60)=0),AND(A265=入力!$B$11,A265&gt;1)),入力!$B$14="有効",IF(E265=0,ROUND(C265/MAX(1,S264-A265+1),0),ROUND(-PMT(E265/12,MAX(1,S264-A265+1),C265),0))&gt;ROUND(G264*1.25,0),NOT(A265=入力!$B$15+1)),"・上限適用",""))</f>
        <v/>
      </c>
      <c r="Q265" s="35" t="str">
        <f>IF(AND(T264="",A265&lt;=S264),入力!$B$13,"")</f>
        <v>有効</v>
      </c>
      <c r="R265" s="32" t="str">
        <f>IF(AND(AND(T264="",A265&lt;=S264),OR(AND(入力!$B$13="有効",A265&gt;1,MOD(A265-1,60)=0),AND(A265=入力!$B$11,A265&gt;1)),入力!$B$14="有効"),ROUND(G264*1.25,0),"")</f>
        <v/>
      </c>
      <c r="S265" s="36">
        <f t="shared" si="83"/>
        <v>420</v>
      </c>
      <c r="T265" s="35" t="str">
        <f t="shared" si="84"/>
        <v/>
      </c>
      <c r="U265" s="3">
        <f t="shared" si="68"/>
        <v>0</v>
      </c>
      <c r="V265" s="3">
        <f t="shared" si="69"/>
        <v>0</v>
      </c>
      <c r="W265" s="3">
        <f t="shared" si="70"/>
        <v>0</v>
      </c>
      <c r="X265" s="3">
        <f t="shared" si="71"/>
        <v>0</v>
      </c>
      <c r="Y265" s="3">
        <f>0</f>
        <v>0</v>
      </c>
      <c r="Z265" s="3">
        <f t="shared" si="72"/>
        <v>0</v>
      </c>
      <c r="AA265">
        <f>ROUND(IF(A265=入力!$B$15+1,IF(E265=0,ROUND(C265/MAX(1,S264-A265+1),0),ROUND(-PMT(E265/12,MAX(1,S264-A265+1)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,0)</f>
        <v>98997</v>
      </c>
    </row>
    <row r="266" spans="1:27">
      <c r="A266" s="30">
        <f>261</f>
        <v>261</v>
      </c>
      <c r="B266" s="31">
        <f>EDATE(入力!$B$6,A266-1)</f>
        <v>54149</v>
      </c>
      <c r="C266" s="32">
        <f t="shared" si="73"/>
        <v>13458221</v>
      </c>
      <c r="D266" s="32">
        <f t="shared" si="74"/>
        <v>0</v>
      </c>
      <c r="E266" s="33">
        <f>IF(AND(T265="",A266&lt;=S265),IF(A266&lt;入力!$B$11,入力!$B$10,入力!$B$12),0)</f>
        <v>2.5000000000000001E-2</v>
      </c>
      <c r="F266" s="32">
        <f t="shared" si="75"/>
        <v>28038</v>
      </c>
      <c r="G266" s="32">
        <f>ROUND(IF(NOT(AND(T265="",A266&lt;=S265)),0,IF(A266=入力!$B$15+1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),0)</f>
        <v>98997</v>
      </c>
      <c r="H266" s="32">
        <f t="shared" si="76"/>
        <v>98997</v>
      </c>
      <c r="I266" s="32">
        <f t="shared" si="77"/>
        <v>28038</v>
      </c>
      <c r="J266" s="32">
        <f t="shared" si="78"/>
        <v>0</v>
      </c>
      <c r="K266" s="32">
        <f t="shared" si="79"/>
        <v>0</v>
      </c>
      <c r="L266" s="32">
        <f t="shared" si="80"/>
        <v>70959</v>
      </c>
      <c r="M266" s="32">
        <f>IF(AND(AND(T265="",A266&lt;=S265),A266=入力!$B$15),ROUND(MIN(入力!$B$16,MAX(0,C266-L266)),0),0)</f>
        <v>0</v>
      </c>
      <c r="N266" s="32">
        <f t="shared" si="81"/>
        <v>13387262</v>
      </c>
      <c r="O266" s="32">
        <f t="shared" si="82"/>
        <v>10033439</v>
      </c>
      <c r="P266" s="34" t="str">
        <f>IF(NOT(AND(T265="",A266&lt;=S265)),"",IF(A266=入力!$B$15+1,"繰上返済後再計算","")&amp;IF(AND(入力!$B$13="有効",A266&gt;1,MOD(A266-1,60)=0),IF(A266=入力!$B$15+1,"・","")&amp;"5年見直し","")&amp;IF(AND(A266=入力!$B$11,A266&gt;1),IF(OR(A266=入力!$B$15+1,AND(入力!$B$13="有効",A266&gt;1,MOD(A266-1,60)=0)),"・","")&amp;"金利変更","")&amp;IF(AND(OR(AND(入力!$B$13="有効",A266&gt;1,MOD(A266-1,60)=0),AND(A266=入力!$B$11,A266&gt;1)),入力!$B$14="有効",IF(E266=0,ROUND(C266/MAX(1,S265-A266+1),0),ROUND(-PMT(E266/12,MAX(1,S265-A266+1),C266),0))&gt;ROUND(G265*1.25,0),NOT(A266=入力!$B$15+1)),"・上限適用",""))</f>
        <v/>
      </c>
      <c r="Q266" s="35" t="str">
        <f>IF(AND(T265="",A266&lt;=S265),入力!$B$13,"")</f>
        <v>有効</v>
      </c>
      <c r="R266" s="32" t="str">
        <f>IF(AND(AND(T265="",A266&lt;=S265),OR(AND(入力!$B$13="有効",A266&gt;1,MOD(A266-1,60)=0),AND(A266=入力!$B$11,A266&gt;1)),入力!$B$14="有効"),ROUND(G265*1.25,0),"")</f>
        <v/>
      </c>
      <c r="S266" s="36">
        <f t="shared" si="83"/>
        <v>420</v>
      </c>
      <c r="T266" s="35" t="str">
        <f t="shared" si="84"/>
        <v/>
      </c>
      <c r="U266" s="3">
        <f t="shared" si="68"/>
        <v>0</v>
      </c>
      <c r="V266" s="3">
        <f t="shared" si="69"/>
        <v>0</v>
      </c>
      <c r="W266" s="3">
        <f t="shared" si="70"/>
        <v>0</v>
      </c>
      <c r="X266" s="3">
        <f t="shared" si="71"/>
        <v>0</v>
      </c>
      <c r="Y266" s="3">
        <f>0</f>
        <v>0</v>
      </c>
      <c r="Z266" s="3">
        <f t="shared" si="72"/>
        <v>0</v>
      </c>
      <c r="AA266">
        <f>ROUND(IF(A266=入力!$B$15+1,IF(E266=0,ROUND(C266/MAX(1,S265-A266+1),0),ROUND(-PMT(E266/12,MAX(1,S265-A266+1)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,0)</f>
        <v>98997</v>
      </c>
    </row>
    <row r="267" spans="1:27">
      <c r="A267" s="30">
        <f>262</f>
        <v>262</v>
      </c>
      <c r="B267" s="31">
        <f>EDATE(入力!$B$6,A267-1)</f>
        <v>54179</v>
      </c>
      <c r="C267" s="32">
        <f t="shared" si="73"/>
        <v>13387262</v>
      </c>
      <c r="D267" s="32">
        <f t="shared" si="74"/>
        <v>0</v>
      </c>
      <c r="E267" s="33">
        <f>IF(AND(T266="",A267&lt;=S266),IF(A267&lt;入力!$B$11,入力!$B$10,入力!$B$12),0)</f>
        <v>2.5000000000000001E-2</v>
      </c>
      <c r="F267" s="32">
        <f t="shared" si="75"/>
        <v>27890</v>
      </c>
      <c r="G267" s="32">
        <f>ROUND(IF(NOT(AND(T266="",A267&lt;=S266)),0,IF(A267=入力!$B$15+1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),0)</f>
        <v>98997</v>
      </c>
      <c r="H267" s="32">
        <f t="shared" si="76"/>
        <v>98997</v>
      </c>
      <c r="I267" s="32">
        <f t="shared" si="77"/>
        <v>27890</v>
      </c>
      <c r="J267" s="32">
        <f t="shared" si="78"/>
        <v>0</v>
      </c>
      <c r="K267" s="32">
        <f t="shared" si="79"/>
        <v>0</v>
      </c>
      <c r="L267" s="32">
        <f t="shared" si="80"/>
        <v>71107</v>
      </c>
      <c r="M267" s="32">
        <f>IF(AND(AND(T266="",A267&lt;=S266),A267=入力!$B$15),ROUND(MIN(入力!$B$16,MAX(0,C267-L267)),0),0)</f>
        <v>0</v>
      </c>
      <c r="N267" s="32">
        <f t="shared" si="81"/>
        <v>13316155</v>
      </c>
      <c r="O267" s="32">
        <f t="shared" si="82"/>
        <v>10061329</v>
      </c>
      <c r="P267" s="34" t="str">
        <f>IF(NOT(AND(T266="",A267&lt;=S266)),"",IF(A267=入力!$B$15+1,"繰上返済後再計算","")&amp;IF(AND(入力!$B$13="有効",A267&gt;1,MOD(A267-1,60)=0),IF(A267=入力!$B$15+1,"・","")&amp;"5年見直し","")&amp;IF(AND(A267=入力!$B$11,A267&gt;1),IF(OR(A267=入力!$B$15+1,AND(入力!$B$13="有効",A267&gt;1,MOD(A267-1,60)=0)),"・","")&amp;"金利変更","")&amp;IF(AND(OR(AND(入力!$B$13="有効",A267&gt;1,MOD(A267-1,60)=0),AND(A267=入力!$B$11,A267&gt;1)),入力!$B$14="有効",IF(E267=0,ROUND(C267/MAX(1,S266-A267+1),0),ROUND(-PMT(E267/12,MAX(1,S266-A267+1),C267),0))&gt;ROUND(G266*1.25,0),NOT(A267=入力!$B$15+1)),"・上限適用",""))</f>
        <v/>
      </c>
      <c r="Q267" s="35" t="str">
        <f>IF(AND(T266="",A267&lt;=S266),入力!$B$13,"")</f>
        <v>有効</v>
      </c>
      <c r="R267" s="32" t="str">
        <f>IF(AND(AND(T266="",A267&lt;=S266),OR(AND(入力!$B$13="有効",A267&gt;1,MOD(A267-1,60)=0),AND(A267=入力!$B$11,A267&gt;1)),入力!$B$14="有効"),ROUND(G266*1.25,0),"")</f>
        <v/>
      </c>
      <c r="S267" s="36">
        <f t="shared" si="83"/>
        <v>420</v>
      </c>
      <c r="T267" s="35" t="str">
        <f t="shared" si="84"/>
        <v/>
      </c>
      <c r="U267" s="3">
        <f t="shared" si="68"/>
        <v>0</v>
      </c>
      <c r="V267" s="3">
        <f t="shared" si="69"/>
        <v>0</v>
      </c>
      <c r="W267" s="3">
        <f t="shared" si="70"/>
        <v>0</v>
      </c>
      <c r="X267" s="3">
        <f t="shared" si="71"/>
        <v>0</v>
      </c>
      <c r="Y267" s="3">
        <f>0</f>
        <v>0</v>
      </c>
      <c r="Z267" s="3">
        <f t="shared" si="72"/>
        <v>0</v>
      </c>
      <c r="AA267">
        <f>ROUND(IF(A267=入力!$B$15+1,IF(E267=0,ROUND(C267/MAX(1,S266-A267+1),0),ROUND(-PMT(E267/12,MAX(1,S266-A267+1)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,0)</f>
        <v>98997</v>
      </c>
    </row>
    <row r="268" spans="1:27">
      <c r="A268" s="30">
        <f>263</f>
        <v>263</v>
      </c>
      <c r="B268" s="31">
        <f>EDATE(入力!$B$6,A268-1)</f>
        <v>54210</v>
      </c>
      <c r="C268" s="32">
        <f t="shared" si="73"/>
        <v>13316155</v>
      </c>
      <c r="D268" s="32">
        <f t="shared" si="74"/>
        <v>0</v>
      </c>
      <c r="E268" s="33">
        <f>IF(AND(T267="",A268&lt;=S267),IF(A268&lt;入力!$B$11,入力!$B$10,入力!$B$12),0)</f>
        <v>2.5000000000000001E-2</v>
      </c>
      <c r="F268" s="32">
        <f t="shared" si="75"/>
        <v>27742</v>
      </c>
      <c r="G268" s="32">
        <f>ROUND(IF(NOT(AND(T267="",A268&lt;=S267)),0,IF(A268=入力!$B$15+1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),0)</f>
        <v>98997</v>
      </c>
      <c r="H268" s="32">
        <f t="shared" si="76"/>
        <v>98997</v>
      </c>
      <c r="I268" s="32">
        <f t="shared" si="77"/>
        <v>27742</v>
      </c>
      <c r="J268" s="32">
        <f t="shared" si="78"/>
        <v>0</v>
      </c>
      <c r="K268" s="32">
        <f t="shared" si="79"/>
        <v>0</v>
      </c>
      <c r="L268" s="32">
        <f t="shared" si="80"/>
        <v>71255</v>
      </c>
      <c r="M268" s="32">
        <f>IF(AND(AND(T267="",A268&lt;=S267),A268=入力!$B$15),ROUND(MIN(入力!$B$16,MAX(0,C268-L268)),0),0)</f>
        <v>0</v>
      </c>
      <c r="N268" s="32">
        <f t="shared" si="81"/>
        <v>13244900</v>
      </c>
      <c r="O268" s="32">
        <f t="shared" si="82"/>
        <v>10089071</v>
      </c>
      <c r="P268" s="34" t="str">
        <f>IF(NOT(AND(T267="",A268&lt;=S267)),"",IF(A268=入力!$B$15+1,"繰上返済後再計算","")&amp;IF(AND(入力!$B$13="有効",A268&gt;1,MOD(A268-1,60)=0),IF(A268=入力!$B$15+1,"・","")&amp;"5年見直し","")&amp;IF(AND(A268=入力!$B$11,A268&gt;1),IF(OR(A268=入力!$B$15+1,AND(入力!$B$13="有効",A268&gt;1,MOD(A268-1,60)=0)),"・","")&amp;"金利変更","")&amp;IF(AND(OR(AND(入力!$B$13="有効",A268&gt;1,MOD(A268-1,60)=0),AND(A268=入力!$B$11,A268&gt;1)),入力!$B$14="有効",IF(E268=0,ROUND(C268/MAX(1,S267-A268+1),0),ROUND(-PMT(E268/12,MAX(1,S267-A268+1),C268),0))&gt;ROUND(G267*1.25,0),NOT(A268=入力!$B$15+1)),"・上限適用",""))</f>
        <v/>
      </c>
      <c r="Q268" s="35" t="str">
        <f>IF(AND(T267="",A268&lt;=S267),入力!$B$13,"")</f>
        <v>有効</v>
      </c>
      <c r="R268" s="32" t="str">
        <f>IF(AND(AND(T267="",A268&lt;=S267),OR(AND(入力!$B$13="有効",A268&gt;1,MOD(A268-1,60)=0),AND(A268=入力!$B$11,A268&gt;1)),入力!$B$14="有効"),ROUND(G267*1.25,0),"")</f>
        <v/>
      </c>
      <c r="S268" s="36">
        <f t="shared" si="83"/>
        <v>420</v>
      </c>
      <c r="T268" s="35" t="str">
        <f t="shared" si="84"/>
        <v/>
      </c>
      <c r="U268" s="3">
        <f t="shared" si="68"/>
        <v>0</v>
      </c>
      <c r="V268" s="3">
        <f t="shared" si="69"/>
        <v>0</v>
      </c>
      <c r="W268" s="3">
        <f t="shared" si="70"/>
        <v>0</v>
      </c>
      <c r="X268" s="3">
        <f t="shared" si="71"/>
        <v>0</v>
      </c>
      <c r="Y268" s="3">
        <f>0</f>
        <v>0</v>
      </c>
      <c r="Z268" s="3">
        <f t="shared" si="72"/>
        <v>0</v>
      </c>
      <c r="AA268">
        <f>ROUND(IF(A268=入力!$B$15+1,IF(E268=0,ROUND(C268/MAX(1,S267-A268+1),0),ROUND(-PMT(E268/12,MAX(1,S267-A268+1)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,0)</f>
        <v>98997</v>
      </c>
    </row>
    <row r="269" spans="1:27">
      <c r="A269" s="30">
        <f>264</f>
        <v>264</v>
      </c>
      <c r="B269" s="31">
        <f>EDATE(入力!$B$6,A269-1)</f>
        <v>54240</v>
      </c>
      <c r="C269" s="32">
        <f t="shared" si="73"/>
        <v>13244900</v>
      </c>
      <c r="D269" s="32">
        <f t="shared" si="74"/>
        <v>0</v>
      </c>
      <c r="E269" s="33">
        <f>IF(AND(T268="",A269&lt;=S268),IF(A269&lt;入力!$B$11,入力!$B$10,入力!$B$12),0)</f>
        <v>2.5000000000000001E-2</v>
      </c>
      <c r="F269" s="32">
        <f t="shared" si="75"/>
        <v>27594</v>
      </c>
      <c r="G269" s="32">
        <f>ROUND(IF(NOT(AND(T268="",A269&lt;=S268)),0,IF(A269=入力!$B$15+1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),0)</f>
        <v>98997</v>
      </c>
      <c r="H269" s="32">
        <f t="shared" si="76"/>
        <v>98997</v>
      </c>
      <c r="I269" s="32">
        <f t="shared" si="77"/>
        <v>27594</v>
      </c>
      <c r="J269" s="32">
        <f t="shared" si="78"/>
        <v>0</v>
      </c>
      <c r="K269" s="32">
        <f t="shared" si="79"/>
        <v>0</v>
      </c>
      <c r="L269" s="32">
        <f t="shared" si="80"/>
        <v>71403</v>
      </c>
      <c r="M269" s="32">
        <f>IF(AND(AND(T268="",A269&lt;=S268),A269=入力!$B$15),ROUND(MIN(入力!$B$16,MAX(0,C269-L269)),0),0)</f>
        <v>0</v>
      </c>
      <c r="N269" s="32">
        <f t="shared" si="81"/>
        <v>13173497</v>
      </c>
      <c r="O269" s="32">
        <f t="shared" si="82"/>
        <v>10116665</v>
      </c>
      <c r="P269" s="34" t="str">
        <f>IF(NOT(AND(T268="",A269&lt;=S268)),"",IF(A269=入力!$B$15+1,"繰上返済後再計算","")&amp;IF(AND(入力!$B$13="有効",A269&gt;1,MOD(A269-1,60)=0),IF(A269=入力!$B$15+1,"・","")&amp;"5年見直し","")&amp;IF(AND(A269=入力!$B$11,A269&gt;1),IF(OR(A269=入力!$B$15+1,AND(入力!$B$13="有効",A269&gt;1,MOD(A269-1,60)=0)),"・","")&amp;"金利変更","")&amp;IF(AND(OR(AND(入力!$B$13="有効",A269&gt;1,MOD(A269-1,60)=0),AND(A269=入力!$B$11,A269&gt;1)),入力!$B$14="有効",IF(E269=0,ROUND(C269/MAX(1,S268-A269+1),0),ROUND(-PMT(E269/12,MAX(1,S268-A269+1),C269),0))&gt;ROUND(G268*1.25,0),NOT(A269=入力!$B$15+1)),"・上限適用",""))</f>
        <v/>
      </c>
      <c r="Q269" s="35" t="str">
        <f>IF(AND(T268="",A269&lt;=S268),入力!$B$13,"")</f>
        <v>有効</v>
      </c>
      <c r="R269" s="32" t="str">
        <f>IF(AND(AND(T268="",A269&lt;=S268),OR(AND(入力!$B$13="有効",A269&gt;1,MOD(A269-1,60)=0),AND(A269=入力!$B$11,A269&gt;1)),入力!$B$14="有効"),ROUND(G268*1.25,0),"")</f>
        <v/>
      </c>
      <c r="S269" s="36">
        <f t="shared" si="83"/>
        <v>420</v>
      </c>
      <c r="T269" s="35" t="str">
        <f t="shared" si="84"/>
        <v/>
      </c>
      <c r="U269" s="3">
        <f t="shared" si="68"/>
        <v>0</v>
      </c>
      <c r="V269" s="3">
        <f t="shared" si="69"/>
        <v>0</v>
      </c>
      <c r="W269" s="3">
        <f t="shared" si="70"/>
        <v>0</v>
      </c>
      <c r="X269" s="3">
        <f t="shared" si="71"/>
        <v>0</v>
      </c>
      <c r="Y269" s="3">
        <f>0</f>
        <v>0</v>
      </c>
      <c r="Z269" s="3">
        <f t="shared" si="72"/>
        <v>0</v>
      </c>
      <c r="AA269">
        <f>ROUND(IF(A269=入力!$B$15+1,IF(E269=0,ROUND(C269/MAX(1,S268-A269+1),0),ROUND(-PMT(E269/12,MAX(1,S268-A269+1)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,0)</f>
        <v>98997</v>
      </c>
    </row>
    <row r="270" spans="1:27">
      <c r="A270" s="30">
        <f>265</f>
        <v>265</v>
      </c>
      <c r="B270" s="31">
        <f>EDATE(入力!$B$6,A270-1)</f>
        <v>54271</v>
      </c>
      <c r="C270" s="32">
        <f t="shared" si="73"/>
        <v>13173497</v>
      </c>
      <c r="D270" s="32">
        <f t="shared" si="74"/>
        <v>0</v>
      </c>
      <c r="E270" s="33">
        <f>IF(AND(T269="",A270&lt;=S269),IF(A270&lt;入力!$B$11,入力!$B$10,入力!$B$12),0)</f>
        <v>2.5000000000000001E-2</v>
      </c>
      <c r="F270" s="32">
        <f t="shared" si="75"/>
        <v>27445</v>
      </c>
      <c r="G270" s="32">
        <f>ROUND(IF(NOT(AND(T269="",A270&lt;=S269)),0,IF(A270=入力!$B$15+1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),0)</f>
        <v>98997</v>
      </c>
      <c r="H270" s="32">
        <f t="shared" si="76"/>
        <v>98997</v>
      </c>
      <c r="I270" s="32">
        <f t="shared" si="77"/>
        <v>27445</v>
      </c>
      <c r="J270" s="32">
        <f t="shared" si="78"/>
        <v>0</v>
      </c>
      <c r="K270" s="32">
        <f t="shared" si="79"/>
        <v>0</v>
      </c>
      <c r="L270" s="32">
        <f t="shared" si="80"/>
        <v>71552</v>
      </c>
      <c r="M270" s="32">
        <f>IF(AND(AND(T269="",A270&lt;=S269),A270=入力!$B$15),ROUND(MIN(入力!$B$16,MAX(0,C270-L270)),0),0)</f>
        <v>0</v>
      </c>
      <c r="N270" s="32">
        <f t="shared" si="81"/>
        <v>13101945</v>
      </c>
      <c r="O270" s="32">
        <f t="shared" si="82"/>
        <v>10144110</v>
      </c>
      <c r="P270" s="34" t="str">
        <f>IF(NOT(AND(T269="",A270&lt;=S269)),"",IF(A270=入力!$B$15+1,"繰上返済後再計算","")&amp;IF(AND(入力!$B$13="有効",A270&gt;1,MOD(A270-1,60)=0),IF(A270=入力!$B$15+1,"・","")&amp;"5年見直し","")&amp;IF(AND(A270=入力!$B$11,A270&gt;1),IF(OR(A270=入力!$B$15+1,AND(入力!$B$13="有効",A270&gt;1,MOD(A270-1,60)=0)),"・","")&amp;"金利変更","")&amp;IF(AND(OR(AND(入力!$B$13="有効",A270&gt;1,MOD(A270-1,60)=0),AND(A270=入力!$B$11,A270&gt;1)),入力!$B$14="有効",IF(E270=0,ROUND(C270/MAX(1,S269-A270+1),0),ROUND(-PMT(E270/12,MAX(1,S269-A270+1),C270),0))&gt;ROUND(G269*1.25,0),NOT(A270=入力!$B$15+1)),"・上限適用",""))</f>
        <v/>
      </c>
      <c r="Q270" s="35" t="str">
        <f>IF(AND(T269="",A270&lt;=S269),入力!$B$13,"")</f>
        <v>有効</v>
      </c>
      <c r="R270" s="32" t="str">
        <f>IF(AND(AND(T269="",A270&lt;=S269),OR(AND(入力!$B$13="有効",A270&gt;1,MOD(A270-1,60)=0),AND(A270=入力!$B$11,A270&gt;1)),入力!$B$14="有効"),ROUND(G269*1.25,0),"")</f>
        <v/>
      </c>
      <c r="S270" s="36">
        <f t="shared" si="83"/>
        <v>420</v>
      </c>
      <c r="T270" s="35" t="str">
        <f t="shared" si="84"/>
        <v/>
      </c>
      <c r="U270" s="3">
        <f t="shared" si="68"/>
        <v>0</v>
      </c>
      <c r="V270" s="3">
        <f t="shared" si="69"/>
        <v>0</v>
      </c>
      <c r="W270" s="3">
        <f t="shared" si="70"/>
        <v>0</v>
      </c>
      <c r="X270" s="3">
        <f t="shared" si="71"/>
        <v>0</v>
      </c>
      <c r="Y270" s="3">
        <f>0</f>
        <v>0</v>
      </c>
      <c r="Z270" s="3">
        <f t="shared" si="72"/>
        <v>0</v>
      </c>
      <c r="AA270">
        <f>ROUND(IF(A270=入力!$B$15+1,IF(E270=0,ROUND(C270/MAX(1,S269-A270+1),0),ROUND(-PMT(E270/12,MAX(1,S269-A270+1)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,0)</f>
        <v>98997</v>
      </c>
    </row>
    <row r="271" spans="1:27">
      <c r="A271" s="30">
        <f>266</f>
        <v>266</v>
      </c>
      <c r="B271" s="31">
        <f>EDATE(入力!$B$6,A271-1)</f>
        <v>54302</v>
      </c>
      <c r="C271" s="32">
        <f t="shared" si="73"/>
        <v>13101945</v>
      </c>
      <c r="D271" s="32">
        <f t="shared" si="74"/>
        <v>0</v>
      </c>
      <c r="E271" s="33">
        <f>IF(AND(T270="",A271&lt;=S270),IF(A271&lt;入力!$B$11,入力!$B$10,入力!$B$12),0)</f>
        <v>2.5000000000000001E-2</v>
      </c>
      <c r="F271" s="32">
        <f t="shared" si="75"/>
        <v>27296</v>
      </c>
      <c r="G271" s="32">
        <f>ROUND(IF(NOT(AND(T270="",A271&lt;=S270)),0,IF(A271=入力!$B$15+1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),0)</f>
        <v>98997</v>
      </c>
      <c r="H271" s="32">
        <f t="shared" si="76"/>
        <v>98997</v>
      </c>
      <c r="I271" s="32">
        <f t="shared" si="77"/>
        <v>27296</v>
      </c>
      <c r="J271" s="32">
        <f t="shared" si="78"/>
        <v>0</v>
      </c>
      <c r="K271" s="32">
        <f t="shared" si="79"/>
        <v>0</v>
      </c>
      <c r="L271" s="32">
        <f t="shared" si="80"/>
        <v>71701</v>
      </c>
      <c r="M271" s="32">
        <f>IF(AND(AND(T270="",A271&lt;=S270),A271=入力!$B$15),ROUND(MIN(入力!$B$16,MAX(0,C271-L271)),0),0)</f>
        <v>0</v>
      </c>
      <c r="N271" s="32">
        <f t="shared" si="81"/>
        <v>13030244</v>
      </c>
      <c r="O271" s="32">
        <f t="shared" si="82"/>
        <v>10171406</v>
      </c>
      <c r="P271" s="34" t="str">
        <f>IF(NOT(AND(T270="",A271&lt;=S270)),"",IF(A271=入力!$B$15+1,"繰上返済後再計算","")&amp;IF(AND(入力!$B$13="有効",A271&gt;1,MOD(A271-1,60)=0),IF(A271=入力!$B$15+1,"・","")&amp;"5年見直し","")&amp;IF(AND(A271=入力!$B$11,A271&gt;1),IF(OR(A271=入力!$B$15+1,AND(入力!$B$13="有効",A271&gt;1,MOD(A271-1,60)=0)),"・","")&amp;"金利変更","")&amp;IF(AND(OR(AND(入力!$B$13="有効",A271&gt;1,MOD(A271-1,60)=0),AND(A271=入力!$B$11,A271&gt;1)),入力!$B$14="有効",IF(E271=0,ROUND(C271/MAX(1,S270-A271+1),0),ROUND(-PMT(E271/12,MAX(1,S270-A271+1),C271),0))&gt;ROUND(G270*1.25,0),NOT(A271=入力!$B$15+1)),"・上限適用",""))</f>
        <v/>
      </c>
      <c r="Q271" s="35" t="str">
        <f>IF(AND(T270="",A271&lt;=S270),入力!$B$13,"")</f>
        <v>有効</v>
      </c>
      <c r="R271" s="32" t="str">
        <f>IF(AND(AND(T270="",A271&lt;=S270),OR(AND(入力!$B$13="有効",A271&gt;1,MOD(A271-1,60)=0),AND(A271=入力!$B$11,A271&gt;1)),入力!$B$14="有効"),ROUND(G270*1.25,0),"")</f>
        <v/>
      </c>
      <c r="S271" s="36">
        <f t="shared" si="83"/>
        <v>420</v>
      </c>
      <c r="T271" s="35" t="str">
        <f t="shared" si="84"/>
        <v/>
      </c>
      <c r="U271" s="3">
        <f t="shared" si="68"/>
        <v>0</v>
      </c>
      <c r="V271" s="3">
        <f t="shared" si="69"/>
        <v>0</v>
      </c>
      <c r="W271" s="3">
        <f t="shared" si="70"/>
        <v>0</v>
      </c>
      <c r="X271" s="3">
        <f t="shared" si="71"/>
        <v>0</v>
      </c>
      <c r="Y271" s="3">
        <f>0</f>
        <v>0</v>
      </c>
      <c r="Z271" s="3">
        <f t="shared" si="72"/>
        <v>0</v>
      </c>
      <c r="AA271">
        <f>ROUND(IF(A271=入力!$B$15+1,IF(E271=0,ROUND(C271/MAX(1,S270-A271+1),0),ROUND(-PMT(E271/12,MAX(1,S270-A271+1)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,0)</f>
        <v>98997</v>
      </c>
    </row>
    <row r="272" spans="1:27">
      <c r="A272" s="30">
        <f>267</f>
        <v>267</v>
      </c>
      <c r="B272" s="31">
        <f>EDATE(入力!$B$6,A272-1)</f>
        <v>54332</v>
      </c>
      <c r="C272" s="32">
        <f t="shared" si="73"/>
        <v>13030244</v>
      </c>
      <c r="D272" s="32">
        <f t="shared" si="74"/>
        <v>0</v>
      </c>
      <c r="E272" s="33">
        <f>IF(AND(T271="",A272&lt;=S271),IF(A272&lt;入力!$B$11,入力!$B$10,入力!$B$12),0)</f>
        <v>2.5000000000000001E-2</v>
      </c>
      <c r="F272" s="32">
        <f t="shared" si="75"/>
        <v>27146</v>
      </c>
      <c r="G272" s="32">
        <f>ROUND(IF(NOT(AND(T271="",A272&lt;=S271)),0,IF(A272=入力!$B$15+1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),0)</f>
        <v>98997</v>
      </c>
      <c r="H272" s="32">
        <f t="shared" si="76"/>
        <v>98997</v>
      </c>
      <c r="I272" s="32">
        <f t="shared" si="77"/>
        <v>27146</v>
      </c>
      <c r="J272" s="32">
        <f t="shared" si="78"/>
        <v>0</v>
      </c>
      <c r="K272" s="32">
        <f t="shared" si="79"/>
        <v>0</v>
      </c>
      <c r="L272" s="32">
        <f t="shared" si="80"/>
        <v>71851</v>
      </c>
      <c r="M272" s="32">
        <f>IF(AND(AND(T271="",A272&lt;=S271),A272=入力!$B$15),ROUND(MIN(入力!$B$16,MAX(0,C272-L272)),0),0)</f>
        <v>0</v>
      </c>
      <c r="N272" s="32">
        <f t="shared" si="81"/>
        <v>12958393</v>
      </c>
      <c r="O272" s="32">
        <f t="shared" si="82"/>
        <v>10198552</v>
      </c>
      <c r="P272" s="34" t="str">
        <f>IF(NOT(AND(T271="",A272&lt;=S271)),"",IF(A272=入力!$B$15+1,"繰上返済後再計算","")&amp;IF(AND(入力!$B$13="有効",A272&gt;1,MOD(A272-1,60)=0),IF(A272=入力!$B$15+1,"・","")&amp;"5年見直し","")&amp;IF(AND(A272=入力!$B$11,A272&gt;1),IF(OR(A272=入力!$B$15+1,AND(入力!$B$13="有効",A272&gt;1,MOD(A272-1,60)=0)),"・","")&amp;"金利変更","")&amp;IF(AND(OR(AND(入力!$B$13="有効",A272&gt;1,MOD(A272-1,60)=0),AND(A272=入力!$B$11,A272&gt;1)),入力!$B$14="有効",IF(E272=0,ROUND(C272/MAX(1,S271-A272+1),0),ROUND(-PMT(E272/12,MAX(1,S271-A272+1),C272),0))&gt;ROUND(G271*1.25,0),NOT(A272=入力!$B$15+1)),"・上限適用",""))</f>
        <v/>
      </c>
      <c r="Q272" s="35" t="str">
        <f>IF(AND(T271="",A272&lt;=S271),入力!$B$13,"")</f>
        <v>有効</v>
      </c>
      <c r="R272" s="32" t="str">
        <f>IF(AND(AND(T271="",A272&lt;=S271),OR(AND(入力!$B$13="有効",A272&gt;1,MOD(A272-1,60)=0),AND(A272=入力!$B$11,A272&gt;1)),入力!$B$14="有効"),ROUND(G271*1.25,0),"")</f>
        <v/>
      </c>
      <c r="S272" s="36">
        <f t="shared" si="83"/>
        <v>420</v>
      </c>
      <c r="T272" s="35" t="str">
        <f t="shared" si="84"/>
        <v/>
      </c>
      <c r="U272" s="3">
        <f t="shared" si="68"/>
        <v>0</v>
      </c>
      <c r="V272" s="3">
        <f t="shared" si="69"/>
        <v>0</v>
      </c>
      <c r="W272" s="3">
        <f t="shared" si="70"/>
        <v>0</v>
      </c>
      <c r="X272" s="3">
        <f t="shared" si="71"/>
        <v>0</v>
      </c>
      <c r="Y272" s="3">
        <f>0</f>
        <v>0</v>
      </c>
      <c r="Z272" s="3">
        <f t="shared" si="72"/>
        <v>0</v>
      </c>
      <c r="AA272">
        <f>ROUND(IF(A272=入力!$B$15+1,IF(E272=0,ROUND(C272/MAX(1,S271-A272+1),0),ROUND(-PMT(E272/12,MAX(1,S271-A272+1)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,0)</f>
        <v>98997</v>
      </c>
    </row>
    <row r="273" spans="1:27">
      <c r="A273" s="30">
        <f>268</f>
        <v>268</v>
      </c>
      <c r="B273" s="31">
        <f>EDATE(入力!$B$6,A273-1)</f>
        <v>54363</v>
      </c>
      <c r="C273" s="32">
        <f t="shared" si="73"/>
        <v>12958393</v>
      </c>
      <c r="D273" s="32">
        <f t="shared" si="74"/>
        <v>0</v>
      </c>
      <c r="E273" s="33">
        <f>IF(AND(T272="",A273&lt;=S272),IF(A273&lt;入力!$B$11,入力!$B$10,入力!$B$12),0)</f>
        <v>2.5000000000000001E-2</v>
      </c>
      <c r="F273" s="32">
        <f t="shared" si="75"/>
        <v>26997</v>
      </c>
      <c r="G273" s="32">
        <f>ROUND(IF(NOT(AND(T272="",A273&lt;=S272)),0,IF(A273=入力!$B$15+1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),0)</f>
        <v>98997</v>
      </c>
      <c r="H273" s="32">
        <f t="shared" si="76"/>
        <v>98997</v>
      </c>
      <c r="I273" s="32">
        <f t="shared" si="77"/>
        <v>26997</v>
      </c>
      <c r="J273" s="32">
        <f t="shared" si="78"/>
        <v>0</v>
      </c>
      <c r="K273" s="32">
        <f t="shared" si="79"/>
        <v>0</v>
      </c>
      <c r="L273" s="32">
        <f t="shared" si="80"/>
        <v>72000</v>
      </c>
      <c r="M273" s="32">
        <f>IF(AND(AND(T272="",A273&lt;=S272),A273=入力!$B$15),ROUND(MIN(入力!$B$16,MAX(0,C273-L273)),0),0)</f>
        <v>0</v>
      </c>
      <c r="N273" s="32">
        <f t="shared" si="81"/>
        <v>12886393</v>
      </c>
      <c r="O273" s="32">
        <f t="shared" si="82"/>
        <v>10225549</v>
      </c>
      <c r="P273" s="34" t="str">
        <f>IF(NOT(AND(T272="",A273&lt;=S272)),"",IF(A273=入力!$B$15+1,"繰上返済後再計算","")&amp;IF(AND(入力!$B$13="有効",A273&gt;1,MOD(A273-1,60)=0),IF(A273=入力!$B$15+1,"・","")&amp;"5年見直し","")&amp;IF(AND(A273=入力!$B$11,A273&gt;1),IF(OR(A273=入力!$B$15+1,AND(入力!$B$13="有効",A273&gt;1,MOD(A273-1,60)=0)),"・","")&amp;"金利変更","")&amp;IF(AND(OR(AND(入力!$B$13="有効",A273&gt;1,MOD(A273-1,60)=0),AND(A273=入力!$B$11,A273&gt;1)),入力!$B$14="有効",IF(E273=0,ROUND(C273/MAX(1,S272-A273+1),0),ROUND(-PMT(E273/12,MAX(1,S272-A273+1),C273),0))&gt;ROUND(G272*1.25,0),NOT(A273=入力!$B$15+1)),"・上限適用",""))</f>
        <v/>
      </c>
      <c r="Q273" s="35" t="str">
        <f>IF(AND(T272="",A273&lt;=S272),入力!$B$13,"")</f>
        <v>有効</v>
      </c>
      <c r="R273" s="32" t="str">
        <f>IF(AND(AND(T272="",A273&lt;=S272),OR(AND(入力!$B$13="有効",A273&gt;1,MOD(A273-1,60)=0),AND(A273=入力!$B$11,A273&gt;1)),入力!$B$14="有効"),ROUND(G272*1.25,0),"")</f>
        <v/>
      </c>
      <c r="S273" s="36">
        <f t="shared" si="83"/>
        <v>420</v>
      </c>
      <c r="T273" s="35" t="str">
        <f t="shared" si="84"/>
        <v/>
      </c>
      <c r="U273" s="3">
        <f t="shared" si="68"/>
        <v>0</v>
      </c>
      <c r="V273" s="3">
        <f t="shared" si="69"/>
        <v>0</v>
      </c>
      <c r="W273" s="3">
        <f t="shared" si="70"/>
        <v>0</v>
      </c>
      <c r="X273" s="3">
        <f t="shared" si="71"/>
        <v>0</v>
      </c>
      <c r="Y273" s="3">
        <f>0</f>
        <v>0</v>
      </c>
      <c r="Z273" s="3">
        <f t="shared" si="72"/>
        <v>0</v>
      </c>
      <c r="AA273">
        <f>ROUND(IF(A273=入力!$B$15+1,IF(E273=0,ROUND(C273/MAX(1,S272-A273+1),0),ROUND(-PMT(E273/12,MAX(1,S272-A273+1)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,0)</f>
        <v>98997</v>
      </c>
    </row>
    <row r="274" spans="1:27">
      <c r="A274" s="30">
        <f>269</f>
        <v>269</v>
      </c>
      <c r="B274" s="31">
        <f>EDATE(入力!$B$6,A274-1)</f>
        <v>54393</v>
      </c>
      <c r="C274" s="32">
        <f t="shared" si="73"/>
        <v>12886393</v>
      </c>
      <c r="D274" s="32">
        <f t="shared" si="74"/>
        <v>0</v>
      </c>
      <c r="E274" s="33">
        <f>IF(AND(T273="",A274&lt;=S273),IF(A274&lt;入力!$B$11,入力!$B$10,入力!$B$12),0)</f>
        <v>2.5000000000000001E-2</v>
      </c>
      <c r="F274" s="32">
        <f t="shared" si="75"/>
        <v>26847</v>
      </c>
      <c r="G274" s="32">
        <f>ROUND(IF(NOT(AND(T273="",A274&lt;=S273)),0,IF(A274=入力!$B$15+1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),0)</f>
        <v>98997</v>
      </c>
      <c r="H274" s="32">
        <f t="shared" si="76"/>
        <v>98997</v>
      </c>
      <c r="I274" s="32">
        <f t="shared" si="77"/>
        <v>26847</v>
      </c>
      <c r="J274" s="32">
        <f t="shared" si="78"/>
        <v>0</v>
      </c>
      <c r="K274" s="32">
        <f t="shared" si="79"/>
        <v>0</v>
      </c>
      <c r="L274" s="32">
        <f t="shared" si="80"/>
        <v>72150</v>
      </c>
      <c r="M274" s="32">
        <f>IF(AND(AND(T273="",A274&lt;=S273),A274=入力!$B$15),ROUND(MIN(入力!$B$16,MAX(0,C274-L274)),0),0)</f>
        <v>0</v>
      </c>
      <c r="N274" s="32">
        <f t="shared" si="81"/>
        <v>12814243</v>
      </c>
      <c r="O274" s="32">
        <f t="shared" si="82"/>
        <v>10252396</v>
      </c>
      <c r="P274" s="34" t="str">
        <f>IF(NOT(AND(T273="",A274&lt;=S273)),"",IF(A274=入力!$B$15+1,"繰上返済後再計算","")&amp;IF(AND(入力!$B$13="有効",A274&gt;1,MOD(A274-1,60)=0),IF(A274=入力!$B$15+1,"・","")&amp;"5年見直し","")&amp;IF(AND(A274=入力!$B$11,A274&gt;1),IF(OR(A274=入力!$B$15+1,AND(入力!$B$13="有効",A274&gt;1,MOD(A274-1,60)=0)),"・","")&amp;"金利変更","")&amp;IF(AND(OR(AND(入力!$B$13="有効",A274&gt;1,MOD(A274-1,60)=0),AND(A274=入力!$B$11,A274&gt;1)),入力!$B$14="有効",IF(E274=0,ROUND(C274/MAX(1,S273-A274+1),0),ROUND(-PMT(E274/12,MAX(1,S273-A274+1),C274),0))&gt;ROUND(G273*1.25,0),NOT(A274=入力!$B$15+1)),"・上限適用",""))</f>
        <v/>
      </c>
      <c r="Q274" s="35" t="str">
        <f>IF(AND(T273="",A274&lt;=S273),入力!$B$13,"")</f>
        <v>有効</v>
      </c>
      <c r="R274" s="32" t="str">
        <f>IF(AND(AND(T273="",A274&lt;=S273),OR(AND(入力!$B$13="有効",A274&gt;1,MOD(A274-1,60)=0),AND(A274=入力!$B$11,A274&gt;1)),入力!$B$14="有効"),ROUND(G273*1.25,0),"")</f>
        <v/>
      </c>
      <c r="S274" s="36">
        <f t="shared" si="83"/>
        <v>420</v>
      </c>
      <c r="T274" s="35" t="str">
        <f t="shared" si="84"/>
        <v/>
      </c>
      <c r="U274" s="3">
        <f t="shared" si="68"/>
        <v>0</v>
      </c>
      <c r="V274" s="3">
        <f t="shared" si="69"/>
        <v>0</v>
      </c>
      <c r="W274" s="3">
        <f t="shared" si="70"/>
        <v>0</v>
      </c>
      <c r="X274" s="3">
        <f t="shared" si="71"/>
        <v>0</v>
      </c>
      <c r="Y274" s="3">
        <f>0</f>
        <v>0</v>
      </c>
      <c r="Z274" s="3">
        <f t="shared" si="72"/>
        <v>0</v>
      </c>
      <c r="AA274">
        <f>ROUND(IF(A274=入力!$B$15+1,IF(E274=0,ROUND(C274/MAX(1,S273-A274+1),0),ROUND(-PMT(E274/12,MAX(1,S273-A274+1)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,0)</f>
        <v>98997</v>
      </c>
    </row>
    <row r="275" spans="1:27">
      <c r="A275" s="30">
        <f>270</f>
        <v>270</v>
      </c>
      <c r="B275" s="31">
        <f>EDATE(入力!$B$6,A275-1)</f>
        <v>54424</v>
      </c>
      <c r="C275" s="32">
        <f t="shared" si="73"/>
        <v>12814243</v>
      </c>
      <c r="D275" s="32">
        <f t="shared" si="74"/>
        <v>0</v>
      </c>
      <c r="E275" s="33">
        <f>IF(AND(T274="",A275&lt;=S274),IF(A275&lt;入力!$B$11,入力!$B$10,入力!$B$12),0)</f>
        <v>2.5000000000000001E-2</v>
      </c>
      <c r="F275" s="32">
        <f t="shared" si="75"/>
        <v>26696</v>
      </c>
      <c r="G275" s="32">
        <f>ROUND(IF(NOT(AND(T274="",A275&lt;=S274)),0,IF(A275=入力!$B$15+1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),0)</f>
        <v>98997</v>
      </c>
      <c r="H275" s="32">
        <f t="shared" si="76"/>
        <v>98997</v>
      </c>
      <c r="I275" s="32">
        <f t="shared" si="77"/>
        <v>26696</v>
      </c>
      <c r="J275" s="32">
        <f t="shared" si="78"/>
        <v>0</v>
      </c>
      <c r="K275" s="32">
        <f t="shared" si="79"/>
        <v>0</v>
      </c>
      <c r="L275" s="32">
        <f t="shared" si="80"/>
        <v>72301</v>
      </c>
      <c r="M275" s="32">
        <f>IF(AND(AND(T274="",A275&lt;=S274),A275=入力!$B$15),ROUND(MIN(入力!$B$16,MAX(0,C275-L275)),0),0)</f>
        <v>0</v>
      </c>
      <c r="N275" s="32">
        <f t="shared" si="81"/>
        <v>12741942</v>
      </c>
      <c r="O275" s="32">
        <f t="shared" si="82"/>
        <v>10279092</v>
      </c>
      <c r="P275" s="34" t="str">
        <f>IF(NOT(AND(T274="",A275&lt;=S274)),"",IF(A275=入力!$B$15+1,"繰上返済後再計算","")&amp;IF(AND(入力!$B$13="有効",A275&gt;1,MOD(A275-1,60)=0),IF(A275=入力!$B$15+1,"・","")&amp;"5年見直し","")&amp;IF(AND(A275=入力!$B$11,A275&gt;1),IF(OR(A275=入力!$B$15+1,AND(入力!$B$13="有効",A275&gt;1,MOD(A275-1,60)=0)),"・","")&amp;"金利変更","")&amp;IF(AND(OR(AND(入力!$B$13="有効",A275&gt;1,MOD(A275-1,60)=0),AND(A275=入力!$B$11,A275&gt;1)),入力!$B$14="有効",IF(E275=0,ROUND(C275/MAX(1,S274-A275+1),0),ROUND(-PMT(E275/12,MAX(1,S274-A275+1),C275),0))&gt;ROUND(G274*1.25,0),NOT(A275=入力!$B$15+1)),"・上限適用",""))</f>
        <v/>
      </c>
      <c r="Q275" s="35" t="str">
        <f>IF(AND(T274="",A275&lt;=S274),入力!$B$13,"")</f>
        <v>有効</v>
      </c>
      <c r="R275" s="32" t="str">
        <f>IF(AND(AND(T274="",A275&lt;=S274),OR(AND(入力!$B$13="有効",A275&gt;1,MOD(A275-1,60)=0),AND(A275=入力!$B$11,A275&gt;1)),入力!$B$14="有効"),ROUND(G274*1.25,0),"")</f>
        <v/>
      </c>
      <c r="S275" s="36">
        <f t="shared" si="83"/>
        <v>420</v>
      </c>
      <c r="T275" s="35" t="str">
        <f t="shared" si="84"/>
        <v/>
      </c>
      <c r="U275" s="3">
        <f t="shared" si="68"/>
        <v>0</v>
      </c>
      <c r="V275" s="3">
        <f t="shared" si="69"/>
        <v>0</v>
      </c>
      <c r="W275" s="3">
        <f t="shared" si="70"/>
        <v>0</v>
      </c>
      <c r="X275" s="3">
        <f t="shared" si="71"/>
        <v>0</v>
      </c>
      <c r="Y275" s="3">
        <f>0</f>
        <v>0</v>
      </c>
      <c r="Z275" s="3">
        <f t="shared" si="72"/>
        <v>0</v>
      </c>
      <c r="AA275">
        <f>ROUND(IF(A275=入力!$B$15+1,IF(E275=0,ROUND(C275/MAX(1,S274-A275+1),0),ROUND(-PMT(E275/12,MAX(1,S274-A275+1)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,0)</f>
        <v>98997</v>
      </c>
    </row>
    <row r="276" spans="1:27">
      <c r="A276" s="30">
        <f>271</f>
        <v>271</v>
      </c>
      <c r="B276" s="31">
        <f>EDATE(入力!$B$6,A276-1)</f>
        <v>54455</v>
      </c>
      <c r="C276" s="32">
        <f t="shared" si="73"/>
        <v>12741942</v>
      </c>
      <c r="D276" s="32">
        <f t="shared" si="74"/>
        <v>0</v>
      </c>
      <c r="E276" s="33">
        <f>IF(AND(T275="",A276&lt;=S275),IF(A276&lt;入力!$B$11,入力!$B$10,入力!$B$12),0)</f>
        <v>2.5000000000000001E-2</v>
      </c>
      <c r="F276" s="32">
        <f t="shared" si="75"/>
        <v>26546</v>
      </c>
      <c r="G276" s="32">
        <f>ROUND(IF(NOT(AND(T275="",A276&lt;=S275)),0,IF(A276=入力!$B$15+1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),0)</f>
        <v>98997</v>
      </c>
      <c r="H276" s="32">
        <f t="shared" si="76"/>
        <v>98997</v>
      </c>
      <c r="I276" s="32">
        <f t="shared" si="77"/>
        <v>26546</v>
      </c>
      <c r="J276" s="32">
        <f t="shared" si="78"/>
        <v>0</v>
      </c>
      <c r="K276" s="32">
        <f t="shared" si="79"/>
        <v>0</v>
      </c>
      <c r="L276" s="32">
        <f t="shared" si="80"/>
        <v>72451</v>
      </c>
      <c r="M276" s="32">
        <f>IF(AND(AND(T275="",A276&lt;=S275),A276=入力!$B$15),ROUND(MIN(入力!$B$16,MAX(0,C276-L276)),0),0)</f>
        <v>0</v>
      </c>
      <c r="N276" s="32">
        <f t="shared" si="81"/>
        <v>12669491</v>
      </c>
      <c r="O276" s="32">
        <f t="shared" si="82"/>
        <v>10305638</v>
      </c>
      <c r="P276" s="34" t="str">
        <f>IF(NOT(AND(T275="",A276&lt;=S275)),"",IF(A276=入力!$B$15+1,"繰上返済後再計算","")&amp;IF(AND(入力!$B$13="有効",A276&gt;1,MOD(A276-1,60)=0),IF(A276=入力!$B$15+1,"・","")&amp;"5年見直し","")&amp;IF(AND(A276=入力!$B$11,A276&gt;1),IF(OR(A276=入力!$B$15+1,AND(入力!$B$13="有効",A276&gt;1,MOD(A276-1,60)=0)),"・","")&amp;"金利変更","")&amp;IF(AND(OR(AND(入力!$B$13="有効",A276&gt;1,MOD(A276-1,60)=0),AND(A276=入力!$B$11,A276&gt;1)),入力!$B$14="有効",IF(E276=0,ROUND(C276/MAX(1,S275-A276+1),0),ROUND(-PMT(E276/12,MAX(1,S275-A276+1),C276),0))&gt;ROUND(G275*1.25,0),NOT(A276=入力!$B$15+1)),"・上限適用",""))</f>
        <v/>
      </c>
      <c r="Q276" s="35" t="str">
        <f>IF(AND(T275="",A276&lt;=S275),入力!$B$13,"")</f>
        <v>有効</v>
      </c>
      <c r="R276" s="32" t="str">
        <f>IF(AND(AND(T275="",A276&lt;=S275),OR(AND(入力!$B$13="有効",A276&gt;1,MOD(A276-1,60)=0),AND(A276=入力!$B$11,A276&gt;1)),入力!$B$14="有効"),ROUND(G275*1.25,0),"")</f>
        <v/>
      </c>
      <c r="S276" s="36">
        <f t="shared" si="83"/>
        <v>420</v>
      </c>
      <c r="T276" s="35" t="str">
        <f t="shared" si="84"/>
        <v/>
      </c>
      <c r="U276" s="3">
        <f t="shared" si="68"/>
        <v>0</v>
      </c>
      <c r="V276" s="3">
        <f t="shared" si="69"/>
        <v>0</v>
      </c>
      <c r="W276" s="3">
        <f t="shared" si="70"/>
        <v>0</v>
      </c>
      <c r="X276" s="3">
        <f t="shared" si="71"/>
        <v>0</v>
      </c>
      <c r="Y276" s="3">
        <f>0</f>
        <v>0</v>
      </c>
      <c r="Z276" s="3">
        <f t="shared" si="72"/>
        <v>0</v>
      </c>
      <c r="AA276">
        <f>ROUND(IF(A276=入力!$B$15+1,IF(E276=0,ROUND(C276/MAX(1,S275-A276+1),0),ROUND(-PMT(E276/12,MAX(1,S275-A276+1)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,0)</f>
        <v>98997</v>
      </c>
    </row>
    <row r="277" spans="1:27">
      <c r="A277" s="30">
        <f>272</f>
        <v>272</v>
      </c>
      <c r="B277" s="31">
        <f>EDATE(入力!$B$6,A277-1)</f>
        <v>54483</v>
      </c>
      <c r="C277" s="32">
        <f t="shared" si="73"/>
        <v>12669491</v>
      </c>
      <c r="D277" s="32">
        <f t="shared" si="74"/>
        <v>0</v>
      </c>
      <c r="E277" s="33">
        <f>IF(AND(T276="",A277&lt;=S276),IF(A277&lt;入力!$B$11,入力!$B$10,入力!$B$12),0)</f>
        <v>2.5000000000000001E-2</v>
      </c>
      <c r="F277" s="32">
        <f t="shared" si="75"/>
        <v>26395</v>
      </c>
      <c r="G277" s="32">
        <f>ROUND(IF(NOT(AND(T276="",A277&lt;=S276)),0,IF(A277=入力!$B$15+1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),0)</f>
        <v>98997</v>
      </c>
      <c r="H277" s="32">
        <f t="shared" si="76"/>
        <v>98997</v>
      </c>
      <c r="I277" s="32">
        <f t="shared" si="77"/>
        <v>26395</v>
      </c>
      <c r="J277" s="32">
        <f t="shared" si="78"/>
        <v>0</v>
      </c>
      <c r="K277" s="32">
        <f t="shared" si="79"/>
        <v>0</v>
      </c>
      <c r="L277" s="32">
        <f t="shared" si="80"/>
        <v>72602</v>
      </c>
      <c r="M277" s="32">
        <f>IF(AND(AND(T276="",A277&lt;=S276),A277=入力!$B$15),ROUND(MIN(入力!$B$16,MAX(0,C277-L277)),0),0)</f>
        <v>0</v>
      </c>
      <c r="N277" s="32">
        <f t="shared" si="81"/>
        <v>12596889</v>
      </c>
      <c r="O277" s="32">
        <f t="shared" si="82"/>
        <v>10332033</v>
      </c>
      <c r="P277" s="34" t="str">
        <f>IF(NOT(AND(T276="",A277&lt;=S276)),"",IF(A277=入力!$B$15+1,"繰上返済後再計算","")&amp;IF(AND(入力!$B$13="有効",A277&gt;1,MOD(A277-1,60)=0),IF(A277=入力!$B$15+1,"・","")&amp;"5年見直し","")&amp;IF(AND(A277=入力!$B$11,A277&gt;1),IF(OR(A277=入力!$B$15+1,AND(入力!$B$13="有効",A277&gt;1,MOD(A277-1,60)=0)),"・","")&amp;"金利変更","")&amp;IF(AND(OR(AND(入力!$B$13="有効",A277&gt;1,MOD(A277-1,60)=0),AND(A277=入力!$B$11,A277&gt;1)),入力!$B$14="有効",IF(E277=0,ROUND(C277/MAX(1,S276-A277+1),0),ROUND(-PMT(E277/12,MAX(1,S276-A277+1),C277),0))&gt;ROUND(G276*1.25,0),NOT(A277=入力!$B$15+1)),"・上限適用",""))</f>
        <v/>
      </c>
      <c r="Q277" s="35" t="str">
        <f>IF(AND(T276="",A277&lt;=S276),入力!$B$13,"")</f>
        <v>有効</v>
      </c>
      <c r="R277" s="32" t="str">
        <f>IF(AND(AND(T276="",A277&lt;=S276),OR(AND(入力!$B$13="有効",A277&gt;1,MOD(A277-1,60)=0),AND(A277=入力!$B$11,A277&gt;1)),入力!$B$14="有効"),ROUND(G276*1.25,0),"")</f>
        <v/>
      </c>
      <c r="S277" s="36">
        <f t="shared" si="83"/>
        <v>420</v>
      </c>
      <c r="T277" s="35" t="str">
        <f t="shared" si="84"/>
        <v/>
      </c>
      <c r="U277" s="3">
        <f t="shared" si="68"/>
        <v>0</v>
      </c>
      <c r="V277" s="3">
        <f t="shared" si="69"/>
        <v>0</v>
      </c>
      <c r="W277" s="3">
        <f t="shared" si="70"/>
        <v>0</v>
      </c>
      <c r="X277" s="3">
        <f t="shared" si="71"/>
        <v>0</v>
      </c>
      <c r="Y277" s="3">
        <f>0</f>
        <v>0</v>
      </c>
      <c r="Z277" s="3">
        <f t="shared" si="72"/>
        <v>0</v>
      </c>
      <c r="AA277">
        <f>ROUND(IF(A277=入力!$B$15+1,IF(E277=0,ROUND(C277/MAX(1,S276-A277+1),0),ROUND(-PMT(E277/12,MAX(1,S276-A277+1)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,0)</f>
        <v>98997</v>
      </c>
    </row>
    <row r="278" spans="1:27">
      <c r="A278" s="30">
        <f>273</f>
        <v>273</v>
      </c>
      <c r="B278" s="31">
        <f>EDATE(入力!$B$6,A278-1)</f>
        <v>54514</v>
      </c>
      <c r="C278" s="32">
        <f t="shared" si="73"/>
        <v>12596889</v>
      </c>
      <c r="D278" s="32">
        <f t="shared" si="74"/>
        <v>0</v>
      </c>
      <c r="E278" s="33">
        <f>IF(AND(T277="",A278&lt;=S277),IF(A278&lt;入力!$B$11,入力!$B$10,入力!$B$12),0)</f>
        <v>2.5000000000000001E-2</v>
      </c>
      <c r="F278" s="32">
        <f t="shared" si="75"/>
        <v>26244</v>
      </c>
      <c r="G278" s="32">
        <f>ROUND(IF(NOT(AND(T277="",A278&lt;=S277)),0,IF(A278=入力!$B$15+1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),0)</f>
        <v>98997</v>
      </c>
      <c r="H278" s="32">
        <f t="shared" si="76"/>
        <v>98997</v>
      </c>
      <c r="I278" s="32">
        <f t="shared" si="77"/>
        <v>26244</v>
      </c>
      <c r="J278" s="32">
        <f t="shared" si="78"/>
        <v>0</v>
      </c>
      <c r="K278" s="32">
        <f t="shared" si="79"/>
        <v>0</v>
      </c>
      <c r="L278" s="32">
        <f t="shared" si="80"/>
        <v>72753</v>
      </c>
      <c r="M278" s="32">
        <f>IF(AND(AND(T277="",A278&lt;=S277),A278=入力!$B$15),ROUND(MIN(入力!$B$16,MAX(0,C278-L278)),0),0)</f>
        <v>0</v>
      </c>
      <c r="N278" s="32">
        <f t="shared" si="81"/>
        <v>12524136</v>
      </c>
      <c r="O278" s="32">
        <f t="shared" si="82"/>
        <v>10358277</v>
      </c>
      <c r="P278" s="34" t="str">
        <f>IF(NOT(AND(T277="",A278&lt;=S277)),"",IF(A278=入力!$B$15+1,"繰上返済後再計算","")&amp;IF(AND(入力!$B$13="有効",A278&gt;1,MOD(A278-1,60)=0),IF(A278=入力!$B$15+1,"・","")&amp;"5年見直し","")&amp;IF(AND(A278=入力!$B$11,A278&gt;1),IF(OR(A278=入力!$B$15+1,AND(入力!$B$13="有効",A278&gt;1,MOD(A278-1,60)=0)),"・","")&amp;"金利変更","")&amp;IF(AND(OR(AND(入力!$B$13="有効",A278&gt;1,MOD(A278-1,60)=0),AND(A278=入力!$B$11,A278&gt;1)),入力!$B$14="有効",IF(E278=0,ROUND(C278/MAX(1,S277-A278+1),0),ROUND(-PMT(E278/12,MAX(1,S277-A278+1),C278),0))&gt;ROUND(G277*1.25,0),NOT(A278=入力!$B$15+1)),"・上限適用",""))</f>
        <v/>
      </c>
      <c r="Q278" s="35" t="str">
        <f>IF(AND(T277="",A278&lt;=S277),入力!$B$13,"")</f>
        <v>有効</v>
      </c>
      <c r="R278" s="32" t="str">
        <f>IF(AND(AND(T277="",A278&lt;=S277),OR(AND(入力!$B$13="有効",A278&gt;1,MOD(A278-1,60)=0),AND(A278=入力!$B$11,A278&gt;1)),入力!$B$14="有効"),ROUND(G277*1.25,0),"")</f>
        <v/>
      </c>
      <c r="S278" s="36">
        <f t="shared" si="83"/>
        <v>420</v>
      </c>
      <c r="T278" s="35" t="str">
        <f t="shared" si="84"/>
        <v/>
      </c>
      <c r="U278" s="3">
        <f t="shared" si="68"/>
        <v>0</v>
      </c>
      <c r="V278" s="3">
        <f t="shared" si="69"/>
        <v>0</v>
      </c>
      <c r="W278" s="3">
        <f t="shared" si="70"/>
        <v>0</v>
      </c>
      <c r="X278" s="3">
        <f t="shared" si="71"/>
        <v>0</v>
      </c>
      <c r="Y278" s="3">
        <f>0</f>
        <v>0</v>
      </c>
      <c r="Z278" s="3">
        <f t="shared" si="72"/>
        <v>0</v>
      </c>
      <c r="AA278">
        <f>ROUND(IF(A278=入力!$B$15+1,IF(E278=0,ROUND(C278/MAX(1,S277-A278+1),0),ROUND(-PMT(E278/12,MAX(1,S277-A278+1)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,0)</f>
        <v>98997</v>
      </c>
    </row>
    <row r="279" spans="1:27">
      <c r="A279" s="30">
        <f>274</f>
        <v>274</v>
      </c>
      <c r="B279" s="31">
        <f>EDATE(入力!$B$6,A279-1)</f>
        <v>54544</v>
      </c>
      <c r="C279" s="32">
        <f t="shared" si="73"/>
        <v>12524136</v>
      </c>
      <c r="D279" s="32">
        <f t="shared" si="74"/>
        <v>0</v>
      </c>
      <c r="E279" s="33">
        <f>IF(AND(T278="",A279&lt;=S278),IF(A279&lt;入力!$B$11,入力!$B$10,入力!$B$12),0)</f>
        <v>2.5000000000000001E-2</v>
      </c>
      <c r="F279" s="32">
        <f t="shared" si="75"/>
        <v>26092</v>
      </c>
      <c r="G279" s="32">
        <f>ROUND(IF(NOT(AND(T278="",A279&lt;=S278)),0,IF(A279=入力!$B$15+1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),0)</f>
        <v>98997</v>
      </c>
      <c r="H279" s="32">
        <f t="shared" si="76"/>
        <v>98997</v>
      </c>
      <c r="I279" s="32">
        <f t="shared" si="77"/>
        <v>26092</v>
      </c>
      <c r="J279" s="32">
        <f t="shared" si="78"/>
        <v>0</v>
      </c>
      <c r="K279" s="32">
        <f t="shared" si="79"/>
        <v>0</v>
      </c>
      <c r="L279" s="32">
        <f t="shared" si="80"/>
        <v>72905</v>
      </c>
      <c r="M279" s="32">
        <f>IF(AND(AND(T278="",A279&lt;=S278),A279=入力!$B$15),ROUND(MIN(入力!$B$16,MAX(0,C279-L279)),0),0)</f>
        <v>0</v>
      </c>
      <c r="N279" s="32">
        <f t="shared" si="81"/>
        <v>12451231</v>
      </c>
      <c r="O279" s="32">
        <f t="shared" si="82"/>
        <v>10384369</v>
      </c>
      <c r="P279" s="34" t="str">
        <f>IF(NOT(AND(T278="",A279&lt;=S278)),"",IF(A279=入力!$B$15+1,"繰上返済後再計算","")&amp;IF(AND(入力!$B$13="有効",A279&gt;1,MOD(A279-1,60)=0),IF(A279=入力!$B$15+1,"・","")&amp;"5年見直し","")&amp;IF(AND(A279=入力!$B$11,A279&gt;1),IF(OR(A279=入力!$B$15+1,AND(入力!$B$13="有効",A279&gt;1,MOD(A279-1,60)=0)),"・","")&amp;"金利変更","")&amp;IF(AND(OR(AND(入力!$B$13="有効",A279&gt;1,MOD(A279-1,60)=0),AND(A279=入力!$B$11,A279&gt;1)),入力!$B$14="有効",IF(E279=0,ROUND(C279/MAX(1,S278-A279+1),0),ROUND(-PMT(E279/12,MAX(1,S278-A279+1),C279),0))&gt;ROUND(G278*1.25,0),NOT(A279=入力!$B$15+1)),"・上限適用",""))</f>
        <v/>
      </c>
      <c r="Q279" s="35" t="str">
        <f>IF(AND(T278="",A279&lt;=S278),入力!$B$13,"")</f>
        <v>有効</v>
      </c>
      <c r="R279" s="32" t="str">
        <f>IF(AND(AND(T278="",A279&lt;=S278),OR(AND(入力!$B$13="有効",A279&gt;1,MOD(A279-1,60)=0),AND(A279=入力!$B$11,A279&gt;1)),入力!$B$14="有効"),ROUND(G278*1.25,0),"")</f>
        <v/>
      </c>
      <c r="S279" s="36">
        <f t="shared" si="83"/>
        <v>420</v>
      </c>
      <c r="T279" s="35" t="str">
        <f t="shared" si="84"/>
        <v/>
      </c>
      <c r="U279" s="3">
        <f t="shared" si="68"/>
        <v>0</v>
      </c>
      <c r="V279" s="3">
        <f t="shared" si="69"/>
        <v>0</v>
      </c>
      <c r="W279" s="3">
        <f t="shared" si="70"/>
        <v>0</v>
      </c>
      <c r="X279" s="3">
        <f t="shared" si="71"/>
        <v>0</v>
      </c>
      <c r="Y279" s="3">
        <f>0</f>
        <v>0</v>
      </c>
      <c r="Z279" s="3">
        <f t="shared" si="72"/>
        <v>0</v>
      </c>
      <c r="AA279">
        <f>ROUND(IF(A279=入力!$B$15+1,IF(E279=0,ROUND(C279/MAX(1,S278-A279+1),0),ROUND(-PMT(E279/12,MAX(1,S278-A279+1)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,0)</f>
        <v>98997</v>
      </c>
    </row>
    <row r="280" spans="1:27">
      <c r="A280" s="30">
        <f>275</f>
        <v>275</v>
      </c>
      <c r="B280" s="31">
        <f>EDATE(入力!$B$6,A280-1)</f>
        <v>54575</v>
      </c>
      <c r="C280" s="32">
        <f t="shared" si="73"/>
        <v>12451231</v>
      </c>
      <c r="D280" s="32">
        <f t="shared" si="74"/>
        <v>0</v>
      </c>
      <c r="E280" s="33">
        <f>IF(AND(T279="",A280&lt;=S279),IF(A280&lt;入力!$B$11,入力!$B$10,入力!$B$12),0)</f>
        <v>2.5000000000000001E-2</v>
      </c>
      <c r="F280" s="32">
        <f t="shared" si="75"/>
        <v>25940</v>
      </c>
      <c r="G280" s="32">
        <f>ROUND(IF(NOT(AND(T279="",A280&lt;=S279)),0,IF(A280=入力!$B$15+1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),0)</f>
        <v>98997</v>
      </c>
      <c r="H280" s="32">
        <f t="shared" si="76"/>
        <v>98997</v>
      </c>
      <c r="I280" s="32">
        <f t="shared" si="77"/>
        <v>25940</v>
      </c>
      <c r="J280" s="32">
        <f t="shared" si="78"/>
        <v>0</v>
      </c>
      <c r="K280" s="32">
        <f t="shared" si="79"/>
        <v>0</v>
      </c>
      <c r="L280" s="32">
        <f t="shared" si="80"/>
        <v>73057</v>
      </c>
      <c r="M280" s="32">
        <f>IF(AND(AND(T279="",A280&lt;=S279),A280=入力!$B$15),ROUND(MIN(入力!$B$16,MAX(0,C280-L280)),0),0)</f>
        <v>0</v>
      </c>
      <c r="N280" s="32">
        <f t="shared" si="81"/>
        <v>12378174</v>
      </c>
      <c r="O280" s="32">
        <f t="shared" si="82"/>
        <v>10410309</v>
      </c>
      <c r="P280" s="34" t="str">
        <f>IF(NOT(AND(T279="",A280&lt;=S279)),"",IF(A280=入力!$B$15+1,"繰上返済後再計算","")&amp;IF(AND(入力!$B$13="有効",A280&gt;1,MOD(A280-1,60)=0),IF(A280=入力!$B$15+1,"・","")&amp;"5年見直し","")&amp;IF(AND(A280=入力!$B$11,A280&gt;1),IF(OR(A280=入力!$B$15+1,AND(入力!$B$13="有効",A280&gt;1,MOD(A280-1,60)=0)),"・","")&amp;"金利変更","")&amp;IF(AND(OR(AND(入力!$B$13="有効",A280&gt;1,MOD(A280-1,60)=0),AND(A280=入力!$B$11,A280&gt;1)),入力!$B$14="有効",IF(E280=0,ROUND(C280/MAX(1,S279-A280+1),0),ROUND(-PMT(E280/12,MAX(1,S279-A280+1),C280),0))&gt;ROUND(G279*1.25,0),NOT(A280=入力!$B$15+1)),"・上限適用",""))</f>
        <v/>
      </c>
      <c r="Q280" s="35" t="str">
        <f>IF(AND(T279="",A280&lt;=S279),入力!$B$13,"")</f>
        <v>有効</v>
      </c>
      <c r="R280" s="32" t="str">
        <f>IF(AND(AND(T279="",A280&lt;=S279),OR(AND(入力!$B$13="有効",A280&gt;1,MOD(A280-1,60)=0),AND(A280=入力!$B$11,A280&gt;1)),入力!$B$14="有効"),ROUND(G279*1.25,0),"")</f>
        <v/>
      </c>
      <c r="S280" s="36">
        <f t="shared" si="83"/>
        <v>420</v>
      </c>
      <c r="T280" s="35" t="str">
        <f t="shared" si="84"/>
        <v/>
      </c>
      <c r="U280" s="3">
        <f t="shared" si="68"/>
        <v>0</v>
      </c>
      <c r="V280" s="3">
        <f t="shared" si="69"/>
        <v>0</v>
      </c>
      <c r="W280" s="3">
        <f t="shared" si="70"/>
        <v>0</v>
      </c>
      <c r="X280" s="3">
        <f t="shared" si="71"/>
        <v>0</v>
      </c>
      <c r="Y280" s="3">
        <f>0</f>
        <v>0</v>
      </c>
      <c r="Z280" s="3">
        <f t="shared" si="72"/>
        <v>0</v>
      </c>
      <c r="AA280">
        <f>ROUND(IF(A280=入力!$B$15+1,IF(E280=0,ROUND(C280/MAX(1,S279-A280+1),0),ROUND(-PMT(E280/12,MAX(1,S279-A280+1)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,0)</f>
        <v>98997</v>
      </c>
    </row>
    <row r="281" spans="1:27">
      <c r="A281" s="30">
        <f>276</f>
        <v>276</v>
      </c>
      <c r="B281" s="31">
        <f>EDATE(入力!$B$6,A281-1)</f>
        <v>54605</v>
      </c>
      <c r="C281" s="32">
        <f t="shared" si="73"/>
        <v>12378174</v>
      </c>
      <c r="D281" s="32">
        <f t="shared" si="74"/>
        <v>0</v>
      </c>
      <c r="E281" s="33">
        <f>IF(AND(T280="",A281&lt;=S280),IF(A281&lt;入力!$B$11,入力!$B$10,入力!$B$12),0)</f>
        <v>2.5000000000000001E-2</v>
      </c>
      <c r="F281" s="32">
        <f t="shared" si="75"/>
        <v>25788</v>
      </c>
      <c r="G281" s="32">
        <f>ROUND(IF(NOT(AND(T280="",A281&lt;=S280)),0,IF(A281=入力!$B$15+1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),0)</f>
        <v>98997</v>
      </c>
      <c r="H281" s="32">
        <f t="shared" si="76"/>
        <v>98997</v>
      </c>
      <c r="I281" s="32">
        <f t="shared" si="77"/>
        <v>25788</v>
      </c>
      <c r="J281" s="32">
        <f t="shared" si="78"/>
        <v>0</v>
      </c>
      <c r="K281" s="32">
        <f t="shared" si="79"/>
        <v>0</v>
      </c>
      <c r="L281" s="32">
        <f t="shared" si="80"/>
        <v>73209</v>
      </c>
      <c r="M281" s="32">
        <f>IF(AND(AND(T280="",A281&lt;=S280),A281=入力!$B$15),ROUND(MIN(入力!$B$16,MAX(0,C281-L281)),0),0)</f>
        <v>0</v>
      </c>
      <c r="N281" s="32">
        <f t="shared" si="81"/>
        <v>12304965</v>
      </c>
      <c r="O281" s="32">
        <f t="shared" si="82"/>
        <v>10436097</v>
      </c>
      <c r="P281" s="34" t="str">
        <f>IF(NOT(AND(T280="",A281&lt;=S280)),"",IF(A281=入力!$B$15+1,"繰上返済後再計算","")&amp;IF(AND(入力!$B$13="有効",A281&gt;1,MOD(A281-1,60)=0),IF(A281=入力!$B$15+1,"・","")&amp;"5年見直し","")&amp;IF(AND(A281=入力!$B$11,A281&gt;1),IF(OR(A281=入力!$B$15+1,AND(入力!$B$13="有効",A281&gt;1,MOD(A281-1,60)=0)),"・","")&amp;"金利変更","")&amp;IF(AND(OR(AND(入力!$B$13="有効",A281&gt;1,MOD(A281-1,60)=0),AND(A281=入力!$B$11,A281&gt;1)),入力!$B$14="有効",IF(E281=0,ROUND(C281/MAX(1,S280-A281+1),0),ROUND(-PMT(E281/12,MAX(1,S280-A281+1),C281),0))&gt;ROUND(G280*1.25,0),NOT(A281=入力!$B$15+1)),"・上限適用",""))</f>
        <v/>
      </c>
      <c r="Q281" s="35" t="str">
        <f>IF(AND(T280="",A281&lt;=S280),入力!$B$13,"")</f>
        <v>有効</v>
      </c>
      <c r="R281" s="32" t="str">
        <f>IF(AND(AND(T280="",A281&lt;=S280),OR(AND(入力!$B$13="有効",A281&gt;1,MOD(A281-1,60)=0),AND(A281=入力!$B$11,A281&gt;1)),入力!$B$14="有効"),ROUND(G280*1.25,0),"")</f>
        <v/>
      </c>
      <c r="S281" s="36">
        <f t="shared" si="83"/>
        <v>420</v>
      </c>
      <c r="T281" s="35" t="str">
        <f t="shared" si="84"/>
        <v/>
      </c>
      <c r="U281" s="3">
        <f t="shared" si="68"/>
        <v>0</v>
      </c>
      <c r="V281" s="3">
        <f t="shared" si="69"/>
        <v>0</v>
      </c>
      <c r="W281" s="3">
        <f t="shared" si="70"/>
        <v>0</v>
      </c>
      <c r="X281" s="3">
        <f t="shared" si="71"/>
        <v>0</v>
      </c>
      <c r="Y281" s="3">
        <f>0</f>
        <v>0</v>
      </c>
      <c r="Z281" s="3">
        <f t="shared" si="72"/>
        <v>0</v>
      </c>
      <c r="AA281">
        <f>ROUND(IF(A281=入力!$B$15+1,IF(E281=0,ROUND(C281/MAX(1,S280-A281+1),0),ROUND(-PMT(E281/12,MAX(1,S280-A281+1)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,0)</f>
        <v>98997</v>
      </c>
    </row>
    <row r="282" spans="1:27">
      <c r="A282" s="30">
        <f>277</f>
        <v>277</v>
      </c>
      <c r="B282" s="31">
        <f>EDATE(入力!$B$6,A282-1)</f>
        <v>54636</v>
      </c>
      <c r="C282" s="32">
        <f t="shared" si="73"/>
        <v>12304965</v>
      </c>
      <c r="D282" s="32">
        <f t="shared" si="74"/>
        <v>0</v>
      </c>
      <c r="E282" s="33">
        <f>IF(AND(T281="",A282&lt;=S281),IF(A282&lt;入力!$B$11,入力!$B$10,入力!$B$12),0)</f>
        <v>2.5000000000000001E-2</v>
      </c>
      <c r="F282" s="32">
        <f t="shared" si="75"/>
        <v>25635</v>
      </c>
      <c r="G282" s="32">
        <f>ROUND(IF(NOT(AND(T281="",A282&lt;=S281)),0,IF(A282=入力!$B$15+1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),0)</f>
        <v>98997</v>
      </c>
      <c r="H282" s="32">
        <f t="shared" si="76"/>
        <v>98997</v>
      </c>
      <c r="I282" s="32">
        <f t="shared" si="77"/>
        <v>25635</v>
      </c>
      <c r="J282" s="32">
        <f t="shared" si="78"/>
        <v>0</v>
      </c>
      <c r="K282" s="32">
        <f t="shared" si="79"/>
        <v>0</v>
      </c>
      <c r="L282" s="32">
        <f t="shared" si="80"/>
        <v>73362</v>
      </c>
      <c r="M282" s="32">
        <f>IF(AND(AND(T281="",A282&lt;=S281),A282=入力!$B$15),ROUND(MIN(入力!$B$16,MAX(0,C282-L282)),0),0)</f>
        <v>0</v>
      </c>
      <c r="N282" s="32">
        <f t="shared" si="81"/>
        <v>12231603</v>
      </c>
      <c r="O282" s="32">
        <f t="shared" si="82"/>
        <v>10461732</v>
      </c>
      <c r="P282" s="34" t="str">
        <f>IF(NOT(AND(T281="",A282&lt;=S281)),"",IF(A282=入力!$B$15+1,"繰上返済後再計算","")&amp;IF(AND(入力!$B$13="有効",A282&gt;1,MOD(A282-1,60)=0),IF(A282=入力!$B$15+1,"・","")&amp;"5年見直し","")&amp;IF(AND(A282=入力!$B$11,A282&gt;1),IF(OR(A282=入力!$B$15+1,AND(入力!$B$13="有効",A282&gt;1,MOD(A282-1,60)=0)),"・","")&amp;"金利変更","")&amp;IF(AND(OR(AND(入力!$B$13="有効",A282&gt;1,MOD(A282-1,60)=0),AND(A282=入力!$B$11,A282&gt;1)),入力!$B$14="有効",IF(E282=0,ROUND(C282/MAX(1,S281-A282+1),0),ROUND(-PMT(E282/12,MAX(1,S281-A282+1),C282),0))&gt;ROUND(G281*1.25,0),NOT(A282=入力!$B$15+1)),"・上限適用",""))</f>
        <v/>
      </c>
      <c r="Q282" s="35" t="str">
        <f>IF(AND(T281="",A282&lt;=S281),入力!$B$13,"")</f>
        <v>有効</v>
      </c>
      <c r="R282" s="32" t="str">
        <f>IF(AND(AND(T281="",A282&lt;=S281),OR(AND(入力!$B$13="有効",A282&gt;1,MOD(A282-1,60)=0),AND(A282=入力!$B$11,A282&gt;1)),入力!$B$14="有効"),ROUND(G281*1.25,0),"")</f>
        <v/>
      </c>
      <c r="S282" s="36">
        <f t="shared" si="83"/>
        <v>420</v>
      </c>
      <c r="T282" s="35" t="str">
        <f t="shared" si="84"/>
        <v/>
      </c>
      <c r="U282" s="3">
        <f t="shared" si="68"/>
        <v>0</v>
      </c>
      <c r="V282" s="3">
        <f t="shared" si="69"/>
        <v>0</v>
      </c>
      <c r="W282" s="3">
        <f t="shared" si="70"/>
        <v>0</v>
      </c>
      <c r="X282" s="3">
        <f t="shared" si="71"/>
        <v>0</v>
      </c>
      <c r="Y282" s="3">
        <f>0</f>
        <v>0</v>
      </c>
      <c r="Z282" s="3">
        <f t="shared" si="72"/>
        <v>0</v>
      </c>
      <c r="AA282">
        <f>ROUND(IF(A282=入力!$B$15+1,IF(E282=0,ROUND(C282/MAX(1,S281-A282+1),0),ROUND(-PMT(E282/12,MAX(1,S281-A282+1)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,0)</f>
        <v>98997</v>
      </c>
    </row>
    <row r="283" spans="1:27">
      <c r="A283" s="30">
        <f>278</f>
        <v>278</v>
      </c>
      <c r="B283" s="31">
        <f>EDATE(入力!$B$6,A283-1)</f>
        <v>54667</v>
      </c>
      <c r="C283" s="32">
        <f t="shared" si="73"/>
        <v>12231603</v>
      </c>
      <c r="D283" s="32">
        <f t="shared" si="74"/>
        <v>0</v>
      </c>
      <c r="E283" s="33">
        <f>IF(AND(T282="",A283&lt;=S282),IF(A283&lt;入力!$B$11,入力!$B$10,入力!$B$12),0)</f>
        <v>2.5000000000000001E-2</v>
      </c>
      <c r="F283" s="32">
        <f t="shared" si="75"/>
        <v>25483</v>
      </c>
      <c r="G283" s="32">
        <f>ROUND(IF(NOT(AND(T282="",A283&lt;=S282)),0,IF(A283=入力!$B$15+1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),0)</f>
        <v>98997</v>
      </c>
      <c r="H283" s="32">
        <f t="shared" si="76"/>
        <v>98997</v>
      </c>
      <c r="I283" s="32">
        <f t="shared" si="77"/>
        <v>25483</v>
      </c>
      <c r="J283" s="32">
        <f t="shared" si="78"/>
        <v>0</v>
      </c>
      <c r="K283" s="32">
        <f t="shared" si="79"/>
        <v>0</v>
      </c>
      <c r="L283" s="32">
        <f t="shared" si="80"/>
        <v>73514</v>
      </c>
      <c r="M283" s="32">
        <f>IF(AND(AND(T282="",A283&lt;=S282),A283=入力!$B$15),ROUND(MIN(入力!$B$16,MAX(0,C283-L283)),0),0)</f>
        <v>0</v>
      </c>
      <c r="N283" s="32">
        <f t="shared" si="81"/>
        <v>12158089</v>
      </c>
      <c r="O283" s="32">
        <f t="shared" si="82"/>
        <v>10487215</v>
      </c>
      <c r="P283" s="34" t="str">
        <f>IF(NOT(AND(T282="",A283&lt;=S282)),"",IF(A283=入力!$B$15+1,"繰上返済後再計算","")&amp;IF(AND(入力!$B$13="有効",A283&gt;1,MOD(A283-1,60)=0),IF(A283=入力!$B$15+1,"・","")&amp;"5年見直し","")&amp;IF(AND(A283=入力!$B$11,A283&gt;1),IF(OR(A283=入力!$B$15+1,AND(入力!$B$13="有効",A283&gt;1,MOD(A283-1,60)=0)),"・","")&amp;"金利変更","")&amp;IF(AND(OR(AND(入力!$B$13="有効",A283&gt;1,MOD(A283-1,60)=0),AND(A283=入力!$B$11,A283&gt;1)),入力!$B$14="有効",IF(E283=0,ROUND(C283/MAX(1,S282-A283+1),0),ROUND(-PMT(E283/12,MAX(1,S282-A283+1),C283),0))&gt;ROUND(G282*1.25,0),NOT(A283=入力!$B$15+1)),"・上限適用",""))</f>
        <v/>
      </c>
      <c r="Q283" s="35" t="str">
        <f>IF(AND(T282="",A283&lt;=S282),入力!$B$13,"")</f>
        <v>有効</v>
      </c>
      <c r="R283" s="32" t="str">
        <f>IF(AND(AND(T282="",A283&lt;=S282),OR(AND(入力!$B$13="有効",A283&gt;1,MOD(A283-1,60)=0),AND(A283=入力!$B$11,A283&gt;1)),入力!$B$14="有効"),ROUND(G282*1.25,0),"")</f>
        <v/>
      </c>
      <c r="S283" s="36">
        <f t="shared" si="83"/>
        <v>420</v>
      </c>
      <c r="T283" s="35" t="str">
        <f t="shared" si="84"/>
        <v/>
      </c>
      <c r="U283" s="3">
        <f t="shared" si="68"/>
        <v>0</v>
      </c>
      <c r="V283" s="3">
        <f t="shared" si="69"/>
        <v>0</v>
      </c>
      <c r="W283" s="3">
        <f t="shared" si="70"/>
        <v>0</v>
      </c>
      <c r="X283" s="3">
        <f t="shared" si="71"/>
        <v>0</v>
      </c>
      <c r="Y283" s="3">
        <f>0</f>
        <v>0</v>
      </c>
      <c r="Z283" s="3">
        <f t="shared" si="72"/>
        <v>0</v>
      </c>
      <c r="AA283">
        <f>ROUND(IF(A283=入力!$B$15+1,IF(E283=0,ROUND(C283/MAX(1,S282-A283+1),0),ROUND(-PMT(E283/12,MAX(1,S282-A283+1)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,0)</f>
        <v>98997</v>
      </c>
    </row>
    <row r="284" spans="1:27">
      <c r="A284" s="30">
        <f>279</f>
        <v>279</v>
      </c>
      <c r="B284" s="31">
        <f>EDATE(入力!$B$6,A284-1)</f>
        <v>54697</v>
      </c>
      <c r="C284" s="32">
        <f t="shared" si="73"/>
        <v>12158089</v>
      </c>
      <c r="D284" s="32">
        <f t="shared" si="74"/>
        <v>0</v>
      </c>
      <c r="E284" s="33">
        <f>IF(AND(T283="",A284&lt;=S283),IF(A284&lt;入力!$B$11,入力!$B$10,入力!$B$12),0)</f>
        <v>2.5000000000000001E-2</v>
      </c>
      <c r="F284" s="32">
        <f t="shared" si="75"/>
        <v>25329</v>
      </c>
      <c r="G284" s="32">
        <f>ROUND(IF(NOT(AND(T283="",A284&lt;=S283)),0,IF(A284=入力!$B$15+1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),0)</f>
        <v>98997</v>
      </c>
      <c r="H284" s="32">
        <f t="shared" si="76"/>
        <v>98997</v>
      </c>
      <c r="I284" s="32">
        <f t="shared" si="77"/>
        <v>25329</v>
      </c>
      <c r="J284" s="32">
        <f t="shared" si="78"/>
        <v>0</v>
      </c>
      <c r="K284" s="32">
        <f t="shared" si="79"/>
        <v>0</v>
      </c>
      <c r="L284" s="32">
        <f t="shared" si="80"/>
        <v>73668</v>
      </c>
      <c r="M284" s="32">
        <f>IF(AND(AND(T283="",A284&lt;=S283),A284=入力!$B$15),ROUND(MIN(入力!$B$16,MAX(0,C284-L284)),0),0)</f>
        <v>0</v>
      </c>
      <c r="N284" s="32">
        <f t="shared" si="81"/>
        <v>12084421</v>
      </c>
      <c r="O284" s="32">
        <f t="shared" si="82"/>
        <v>10512544</v>
      </c>
      <c r="P284" s="34" t="str">
        <f>IF(NOT(AND(T283="",A284&lt;=S283)),"",IF(A284=入力!$B$15+1,"繰上返済後再計算","")&amp;IF(AND(入力!$B$13="有効",A284&gt;1,MOD(A284-1,60)=0),IF(A284=入力!$B$15+1,"・","")&amp;"5年見直し","")&amp;IF(AND(A284=入力!$B$11,A284&gt;1),IF(OR(A284=入力!$B$15+1,AND(入力!$B$13="有効",A284&gt;1,MOD(A284-1,60)=0)),"・","")&amp;"金利変更","")&amp;IF(AND(OR(AND(入力!$B$13="有効",A284&gt;1,MOD(A284-1,60)=0),AND(A284=入力!$B$11,A284&gt;1)),入力!$B$14="有効",IF(E284=0,ROUND(C284/MAX(1,S283-A284+1),0),ROUND(-PMT(E284/12,MAX(1,S283-A284+1),C284),0))&gt;ROUND(G283*1.25,0),NOT(A284=入力!$B$15+1)),"・上限適用",""))</f>
        <v/>
      </c>
      <c r="Q284" s="35" t="str">
        <f>IF(AND(T283="",A284&lt;=S283),入力!$B$13,"")</f>
        <v>有効</v>
      </c>
      <c r="R284" s="32" t="str">
        <f>IF(AND(AND(T283="",A284&lt;=S283),OR(AND(入力!$B$13="有効",A284&gt;1,MOD(A284-1,60)=0),AND(A284=入力!$B$11,A284&gt;1)),入力!$B$14="有効"),ROUND(G283*1.25,0),"")</f>
        <v/>
      </c>
      <c r="S284" s="36">
        <f t="shared" si="83"/>
        <v>420</v>
      </c>
      <c r="T284" s="35" t="str">
        <f t="shared" si="84"/>
        <v/>
      </c>
      <c r="U284" s="3">
        <f t="shared" si="68"/>
        <v>0</v>
      </c>
      <c r="V284" s="3">
        <f t="shared" si="69"/>
        <v>0</v>
      </c>
      <c r="W284" s="3">
        <f t="shared" si="70"/>
        <v>0</v>
      </c>
      <c r="X284" s="3">
        <f t="shared" si="71"/>
        <v>0</v>
      </c>
      <c r="Y284" s="3">
        <f>0</f>
        <v>0</v>
      </c>
      <c r="Z284" s="3">
        <f t="shared" si="72"/>
        <v>0</v>
      </c>
      <c r="AA284">
        <f>ROUND(IF(A284=入力!$B$15+1,IF(E284=0,ROUND(C284/MAX(1,S283-A284+1),0),ROUND(-PMT(E284/12,MAX(1,S283-A284+1)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,0)</f>
        <v>98997</v>
      </c>
    </row>
    <row r="285" spans="1:27">
      <c r="A285" s="30">
        <f>280</f>
        <v>280</v>
      </c>
      <c r="B285" s="31">
        <f>EDATE(入力!$B$6,A285-1)</f>
        <v>54728</v>
      </c>
      <c r="C285" s="32">
        <f t="shared" si="73"/>
        <v>12084421</v>
      </c>
      <c r="D285" s="32">
        <f t="shared" si="74"/>
        <v>0</v>
      </c>
      <c r="E285" s="33">
        <f>IF(AND(T284="",A285&lt;=S284),IF(A285&lt;入力!$B$11,入力!$B$10,入力!$B$12),0)</f>
        <v>2.5000000000000001E-2</v>
      </c>
      <c r="F285" s="32">
        <f t="shared" si="75"/>
        <v>25176</v>
      </c>
      <c r="G285" s="32">
        <f>ROUND(IF(NOT(AND(T284="",A285&lt;=S284)),0,IF(A285=入力!$B$15+1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),0)</f>
        <v>98997</v>
      </c>
      <c r="H285" s="32">
        <f t="shared" si="76"/>
        <v>98997</v>
      </c>
      <c r="I285" s="32">
        <f t="shared" si="77"/>
        <v>25176</v>
      </c>
      <c r="J285" s="32">
        <f t="shared" si="78"/>
        <v>0</v>
      </c>
      <c r="K285" s="32">
        <f t="shared" si="79"/>
        <v>0</v>
      </c>
      <c r="L285" s="32">
        <f t="shared" si="80"/>
        <v>73821</v>
      </c>
      <c r="M285" s="32">
        <f>IF(AND(AND(T284="",A285&lt;=S284),A285=入力!$B$15),ROUND(MIN(入力!$B$16,MAX(0,C285-L285)),0),0)</f>
        <v>0</v>
      </c>
      <c r="N285" s="32">
        <f t="shared" si="81"/>
        <v>12010600</v>
      </c>
      <c r="O285" s="32">
        <f t="shared" si="82"/>
        <v>10537720</v>
      </c>
      <c r="P285" s="34" t="str">
        <f>IF(NOT(AND(T284="",A285&lt;=S284)),"",IF(A285=入力!$B$15+1,"繰上返済後再計算","")&amp;IF(AND(入力!$B$13="有効",A285&gt;1,MOD(A285-1,60)=0),IF(A285=入力!$B$15+1,"・","")&amp;"5年見直し","")&amp;IF(AND(A285=入力!$B$11,A285&gt;1),IF(OR(A285=入力!$B$15+1,AND(入力!$B$13="有効",A285&gt;1,MOD(A285-1,60)=0)),"・","")&amp;"金利変更","")&amp;IF(AND(OR(AND(入力!$B$13="有効",A285&gt;1,MOD(A285-1,60)=0),AND(A285=入力!$B$11,A285&gt;1)),入力!$B$14="有効",IF(E285=0,ROUND(C285/MAX(1,S284-A285+1),0),ROUND(-PMT(E285/12,MAX(1,S284-A285+1),C285),0))&gt;ROUND(G284*1.25,0),NOT(A285=入力!$B$15+1)),"・上限適用",""))</f>
        <v/>
      </c>
      <c r="Q285" s="35" t="str">
        <f>IF(AND(T284="",A285&lt;=S284),入力!$B$13,"")</f>
        <v>有効</v>
      </c>
      <c r="R285" s="32" t="str">
        <f>IF(AND(AND(T284="",A285&lt;=S284),OR(AND(入力!$B$13="有効",A285&gt;1,MOD(A285-1,60)=0),AND(A285=入力!$B$11,A285&gt;1)),入力!$B$14="有効"),ROUND(G284*1.25,0),"")</f>
        <v/>
      </c>
      <c r="S285" s="36">
        <f t="shared" si="83"/>
        <v>420</v>
      </c>
      <c r="T285" s="35" t="str">
        <f t="shared" si="84"/>
        <v/>
      </c>
      <c r="U285" s="3">
        <f t="shared" si="68"/>
        <v>0</v>
      </c>
      <c r="V285" s="3">
        <f t="shared" si="69"/>
        <v>0</v>
      </c>
      <c r="W285" s="3">
        <f t="shared" si="70"/>
        <v>0</v>
      </c>
      <c r="X285" s="3">
        <f t="shared" si="71"/>
        <v>0</v>
      </c>
      <c r="Y285" s="3">
        <f>0</f>
        <v>0</v>
      </c>
      <c r="Z285" s="3">
        <f t="shared" si="72"/>
        <v>0</v>
      </c>
      <c r="AA285">
        <f>ROUND(IF(A285=入力!$B$15+1,IF(E285=0,ROUND(C285/MAX(1,S284-A285+1),0),ROUND(-PMT(E285/12,MAX(1,S284-A285+1)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,0)</f>
        <v>98997</v>
      </c>
    </row>
    <row r="286" spans="1:27">
      <c r="A286" s="30">
        <f>281</f>
        <v>281</v>
      </c>
      <c r="B286" s="31">
        <f>EDATE(入力!$B$6,A286-1)</f>
        <v>54758</v>
      </c>
      <c r="C286" s="32">
        <f t="shared" si="73"/>
        <v>12010600</v>
      </c>
      <c r="D286" s="32">
        <f t="shared" si="74"/>
        <v>0</v>
      </c>
      <c r="E286" s="33">
        <f>IF(AND(T285="",A286&lt;=S285),IF(A286&lt;入力!$B$11,入力!$B$10,入力!$B$12),0)</f>
        <v>2.5000000000000001E-2</v>
      </c>
      <c r="F286" s="32">
        <f t="shared" si="75"/>
        <v>25022</v>
      </c>
      <c r="G286" s="32">
        <f>ROUND(IF(NOT(AND(T285="",A286&lt;=S285)),0,IF(A286=入力!$B$15+1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),0)</f>
        <v>98997</v>
      </c>
      <c r="H286" s="32">
        <f t="shared" si="76"/>
        <v>98997</v>
      </c>
      <c r="I286" s="32">
        <f t="shared" si="77"/>
        <v>25022</v>
      </c>
      <c r="J286" s="32">
        <f t="shared" si="78"/>
        <v>0</v>
      </c>
      <c r="K286" s="32">
        <f t="shared" si="79"/>
        <v>0</v>
      </c>
      <c r="L286" s="32">
        <f t="shared" si="80"/>
        <v>73975</v>
      </c>
      <c r="M286" s="32">
        <f>IF(AND(AND(T285="",A286&lt;=S285),A286=入力!$B$15),ROUND(MIN(入力!$B$16,MAX(0,C286-L286)),0),0)</f>
        <v>0</v>
      </c>
      <c r="N286" s="32">
        <f t="shared" si="81"/>
        <v>11936625</v>
      </c>
      <c r="O286" s="32">
        <f t="shared" si="82"/>
        <v>10562742</v>
      </c>
      <c r="P286" s="34" t="str">
        <f>IF(NOT(AND(T285="",A286&lt;=S285)),"",IF(A286=入力!$B$15+1,"繰上返済後再計算","")&amp;IF(AND(入力!$B$13="有効",A286&gt;1,MOD(A286-1,60)=0),IF(A286=入力!$B$15+1,"・","")&amp;"5年見直し","")&amp;IF(AND(A286=入力!$B$11,A286&gt;1),IF(OR(A286=入力!$B$15+1,AND(入力!$B$13="有効",A286&gt;1,MOD(A286-1,60)=0)),"・","")&amp;"金利変更","")&amp;IF(AND(OR(AND(入力!$B$13="有効",A286&gt;1,MOD(A286-1,60)=0),AND(A286=入力!$B$11,A286&gt;1)),入力!$B$14="有効",IF(E286=0,ROUND(C286/MAX(1,S285-A286+1),0),ROUND(-PMT(E286/12,MAX(1,S285-A286+1),C286),0))&gt;ROUND(G285*1.25,0),NOT(A286=入力!$B$15+1)),"・上限適用",""))</f>
        <v/>
      </c>
      <c r="Q286" s="35" t="str">
        <f>IF(AND(T285="",A286&lt;=S285),入力!$B$13,"")</f>
        <v>有効</v>
      </c>
      <c r="R286" s="32" t="str">
        <f>IF(AND(AND(T285="",A286&lt;=S285),OR(AND(入力!$B$13="有効",A286&gt;1,MOD(A286-1,60)=0),AND(A286=入力!$B$11,A286&gt;1)),入力!$B$14="有効"),ROUND(G285*1.25,0),"")</f>
        <v/>
      </c>
      <c r="S286" s="36">
        <f t="shared" si="83"/>
        <v>420</v>
      </c>
      <c r="T286" s="35" t="str">
        <f t="shared" si="84"/>
        <v/>
      </c>
      <c r="U286" s="3">
        <f t="shared" si="68"/>
        <v>0</v>
      </c>
      <c r="V286" s="3">
        <f t="shared" si="69"/>
        <v>0</v>
      </c>
      <c r="W286" s="3">
        <f t="shared" si="70"/>
        <v>0</v>
      </c>
      <c r="X286" s="3">
        <f t="shared" si="71"/>
        <v>0</v>
      </c>
      <c r="Y286" s="3">
        <f>0</f>
        <v>0</v>
      </c>
      <c r="Z286" s="3">
        <f t="shared" si="72"/>
        <v>0</v>
      </c>
      <c r="AA286">
        <f>ROUND(IF(A286=入力!$B$15+1,IF(E286=0,ROUND(C286/MAX(1,S285-A286+1),0),ROUND(-PMT(E286/12,MAX(1,S285-A286+1)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,0)</f>
        <v>98997</v>
      </c>
    </row>
    <row r="287" spans="1:27">
      <c r="A287" s="30">
        <f>282</f>
        <v>282</v>
      </c>
      <c r="B287" s="31">
        <f>EDATE(入力!$B$6,A287-1)</f>
        <v>54789</v>
      </c>
      <c r="C287" s="32">
        <f t="shared" si="73"/>
        <v>11936625</v>
      </c>
      <c r="D287" s="32">
        <f t="shared" si="74"/>
        <v>0</v>
      </c>
      <c r="E287" s="33">
        <f>IF(AND(T286="",A287&lt;=S286),IF(A287&lt;入力!$B$11,入力!$B$10,入力!$B$12),0)</f>
        <v>2.5000000000000001E-2</v>
      </c>
      <c r="F287" s="32">
        <f t="shared" si="75"/>
        <v>24868</v>
      </c>
      <c r="G287" s="32">
        <f>ROUND(IF(NOT(AND(T286="",A287&lt;=S286)),0,IF(A287=入力!$B$15+1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),0)</f>
        <v>98997</v>
      </c>
      <c r="H287" s="32">
        <f t="shared" si="76"/>
        <v>98997</v>
      </c>
      <c r="I287" s="32">
        <f t="shared" si="77"/>
        <v>24868</v>
      </c>
      <c r="J287" s="32">
        <f t="shared" si="78"/>
        <v>0</v>
      </c>
      <c r="K287" s="32">
        <f t="shared" si="79"/>
        <v>0</v>
      </c>
      <c r="L287" s="32">
        <f t="shared" si="80"/>
        <v>74129</v>
      </c>
      <c r="M287" s="32">
        <f>IF(AND(AND(T286="",A287&lt;=S286),A287=入力!$B$15),ROUND(MIN(入力!$B$16,MAX(0,C287-L287)),0),0)</f>
        <v>0</v>
      </c>
      <c r="N287" s="32">
        <f t="shared" si="81"/>
        <v>11862496</v>
      </c>
      <c r="O287" s="32">
        <f t="shared" si="82"/>
        <v>10587610</v>
      </c>
      <c r="P287" s="34" t="str">
        <f>IF(NOT(AND(T286="",A287&lt;=S286)),"",IF(A287=入力!$B$15+1,"繰上返済後再計算","")&amp;IF(AND(入力!$B$13="有効",A287&gt;1,MOD(A287-1,60)=0),IF(A287=入力!$B$15+1,"・","")&amp;"5年見直し","")&amp;IF(AND(A287=入力!$B$11,A287&gt;1),IF(OR(A287=入力!$B$15+1,AND(入力!$B$13="有効",A287&gt;1,MOD(A287-1,60)=0)),"・","")&amp;"金利変更","")&amp;IF(AND(OR(AND(入力!$B$13="有効",A287&gt;1,MOD(A287-1,60)=0),AND(A287=入力!$B$11,A287&gt;1)),入力!$B$14="有効",IF(E287=0,ROUND(C287/MAX(1,S286-A287+1),0),ROUND(-PMT(E287/12,MAX(1,S286-A287+1),C287),0))&gt;ROUND(G286*1.25,0),NOT(A287=入力!$B$15+1)),"・上限適用",""))</f>
        <v/>
      </c>
      <c r="Q287" s="35" t="str">
        <f>IF(AND(T286="",A287&lt;=S286),入力!$B$13,"")</f>
        <v>有効</v>
      </c>
      <c r="R287" s="32" t="str">
        <f>IF(AND(AND(T286="",A287&lt;=S286),OR(AND(入力!$B$13="有効",A287&gt;1,MOD(A287-1,60)=0),AND(A287=入力!$B$11,A287&gt;1)),入力!$B$14="有効"),ROUND(G286*1.25,0),"")</f>
        <v/>
      </c>
      <c r="S287" s="36">
        <f t="shared" si="83"/>
        <v>420</v>
      </c>
      <c r="T287" s="35" t="str">
        <f t="shared" si="84"/>
        <v/>
      </c>
      <c r="U287" s="3">
        <f t="shared" si="68"/>
        <v>0</v>
      </c>
      <c r="V287" s="3">
        <f t="shared" si="69"/>
        <v>0</v>
      </c>
      <c r="W287" s="3">
        <f t="shared" si="70"/>
        <v>0</v>
      </c>
      <c r="X287" s="3">
        <f t="shared" si="71"/>
        <v>0</v>
      </c>
      <c r="Y287" s="3">
        <f>0</f>
        <v>0</v>
      </c>
      <c r="Z287" s="3">
        <f t="shared" si="72"/>
        <v>0</v>
      </c>
      <c r="AA287">
        <f>ROUND(IF(A287=入力!$B$15+1,IF(E287=0,ROUND(C287/MAX(1,S286-A287+1),0),ROUND(-PMT(E287/12,MAX(1,S286-A287+1)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,0)</f>
        <v>98997</v>
      </c>
    </row>
    <row r="288" spans="1:27">
      <c r="A288" s="30">
        <f>283</f>
        <v>283</v>
      </c>
      <c r="B288" s="31">
        <f>EDATE(入力!$B$6,A288-1)</f>
        <v>54820</v>
      </c>
      <c r="C288" s="32">
        <f t="shared" si="73"/>
        <v>11862496</v>
      </c>
      <c r="D288" s="32">
        <f t="shared" si="74"/>
        <v>0</v>
      </c>
      <c r="E288" s="33">
        <f>IF(AND(T287="",A288&lt;=S287),IF(A288&lt;入力!$B$11,入力!$B$10,入力!$B$12),0)</f>
        <v>2.5000000000000001E-2</v>
      </c>
      <c r="F288" s="32">
        <f t="shared" si="75"/>
        <v>24714</v>
      </c>
      <c r="G288" s="32">
        <f>ROUND(IF(NOT(AND(T287="",A288&lt;=S287)),0,IF(A288=入力!$B$15+1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),0)</f>
        <v>98997</v>
      </c>
      <c r="H288" s="32">
        <f t="shared" si="76"/>
        <v>98997</v>
      </c>
      <c r="I288" s="32">
        <f t="shared" si="77"/>
        <v>24714</v>
      </c>
      <c r="J288" s="32">
        <f t="shared" si="78"/>
        <v>0</v>
      </c>
      <c r="K288" s="32">
        <f t="shared" si="79"/>
        <v>0</v>
      </c>
      <c r="L288" s="32">
        <f t="shared" si="80"/>
        <v>74283</v>
      </c>
      <c r="M288" s="32">
        <f>IF(AND(AND(T287="",A288&lt;=S287),A288=入力!$B$15),ROUND(MIN(入力!$B$16,MAX(0,C288-L288)),0),0)</f>
        <v>0</v>
      </c>
      <c r="N288" s="32">
        <f t="shared" si="81"/>
        <v>11788213</v>
      </c>
      <c r="O288" s="32">
        <f t="shared" si="82"/>
        <v>10612324</v>
      </c>
      <c r="P288" s="34" t="str">
        <f>IF(NOT(AND(T287="",A288&lt;=S287)),"",IF(A288=入力!$B$15+1,"繰上返済後再計算","")&amp;IF(AND(入力!$B$13="有効",A288&gt;1,MOD(A288-1,60)=0),IF(A288=入力!$B$15+1,"・","")&amp;"5年見直し","")&amp;IF(AND(A288=入力!$B$11,A288&gt;1),IF(OR(A288=入力!$B$15+1,AND(入力!$B$13="有効",A288&gt;1,MOD(A288-1,60)=0)),"・","")&amp;"金利変更","")&amp;IF(AND(OR(AND(入力!$B$13="有効",A288&gt;1,MOD(A288-1,60)=0),AND(A288=入力!$B$11,A288&gt;1)),入力!$B$14="有効",IF(E288=0,ROUND(C288/MAX(1,S287-A288+1),0),ROUND(-PMT(E288/12,MAX(1,S287-A288+1),C288),0))&gt;ROUND(G287*1.25,0),NOT(A288=入力!$B$15+1)),"・上限適用",""))</f>
        <v/>
      </c>
      <c r="Q288" s="35" t="str">
        <f>IF(AND(T287="",A288&lt;=S287),入力!$B$13,"")</f>
        <v>有効</v>
      </c>
      <c r="R288" s="32" t="str">
        <f>IF(AND(AND(T287="",A288&lt;=S287),OR(AND(入力!$B$13="有効",A288&gt;1,MOD(A288-1,60)=0),AND(A288=入力!$B$11,A288&gt;1)),入力!$B$14="有効"),ROUND(G287*1.25,0),"")</f>
        <v/>
      </c>
      <c r="S288" s="36">
        <f t="shared" si="83"/>
        <v>420</v>
      </c>
      <c r="T288" s="35" t="str">
        <f t="shared" si="84"/>
        <v/>
      </c>
      <c r="U288" s="3">
        <f t="shared" si="68"/>
        <v>0</v>
      </c>
      <c r="V288" s="3">
        <f t="shared" si="69"/>
        <v>0</v>
      </c>
      <c r="W288" s="3">
        <f t="shared" si="70"/>
        <v>0</v>
      </c>
      <c r="X288" s="3">
        <f t="shared" si="71"/>
        <v>0</v>
      </c>
      <c r="Y288" s="3">
        <f>0</f>
        <v>0</v>
      </c>
      <c r="Z288" s="3">
        <f t="shared" si="72"/>
        <v>0</v>
      </c>
      <c r="AA288">
        <f>ROUND(IF(A288=入力!$B$15+1,IF(E288=0,ROUND(C288/MAX(1,S287-A288+1),0),ROUND(-PMT(E288/12,MAX(1,S287-A288+1)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,0)</f>
        <v>98997</v>
      </c>
    </row>
    <row r="289" spans="1:27">
      <c r="A289" s="30">
        <f>284</f>
        <v>284</v>
      </c>
      <c r="B289" s="31">
        <f>EDATE(入力!$B$6,A289-1)</f>
        <v>54848</v>
      </c>
      <c r="C289" s="32">
        <f t="shared" si="73"/>
        <v>11788213</v>
      </c>
      <c r="D289" s="32">
        <f t="shared" si="74"/>
        <v>0</v>
      </c>
      <c r="E289" s="33">
        <f>IF(AND(T288="",A289&lt;=S288),IF(A289&lt;入力!$B$11,入力!$B$10,入力!$B$12),0)</f>
        <v>2.5000000000000001E-2</v>
      </c>
      <c r="F289" s="32">
        <f t="shared" si="75"/>
        <v>24559</v>
      </c>
      <c r="G289" s="32">
        <f>ROUND(IF(NOT(AND(T288="",A289&lt;=S288)),0,IF(A289=入力!$B$15+1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),0)</f>
        <v>98997</v>
      </c>
      <c r="H289" s="32">
        <f t="shared" si="76"/>
        <v>98997</v>
      </c>
      <c r="I289" s="32">
        <f t="shared" si="77"/>
        <v>24559</v>
      </c>
      <c r="J289" s="32">
        <f t="shared" si="78"/>
        <v>0</v>
      </c>
      <c r="K289" s="32">
        <f t="shared" si="79"/>
        <v>0</v>
      </c>
      <c r="L289" s="32">
        <f t="shared" si="80"/>
        <v>74438</v>
      </c>
      <c r="M289" s="32">
        <f>IF(AND(AND(T288="",A289&lt;=S288),A289=入力!$B$15),ROUND(MIN(入力!$B$16,MAX(0,C289-L289)),0),0)</f>
        <v>0</v>
      </c>
      <c r="N289" s="32">
        <f t="shared" si="81"/>
        <v>11713775</v>
      </c>
      <c r="O289" s="32">
        <f t="shared" si="82"/>
        <v>10636883</v>
      </c>
      <c r="P289" s="34" t="str">
        <f>IF(NOT(AND(T288="",A289&lt;=S288)),"",IF(A289=入力!$B$15+1,"繰上返済後再計算","")&amp;IF(AND(入力!$B$13="有効",A289&gt;1,MOD(A289-1,60)=0),IF(A289=入力!$B$15+1,"・","")&amp;"5年見直し","")&amp;IF(AND(A289=入力!$B$11,A289&gt;1),IF(OR(A289=入力!$B$15+1,AND(入力!$B$13="有効",A289&gt;1,MOD(A289-1,60)=0)),"・","")&amp;"金利変更","")&amp;IF(AND(OR(AND(入力!$B$13="有効",A289&gt;1,MOD(A289-1,60)=0),AND(A289=入力!$B$11,A289&gt;1)),入力!$B$14="有効",IF(E289=0,ROUND(C289/MAX(1,S288-A289+1),0),ROUND(-PMT(E289/12,MAX(1,S288-A289+1),C289),0))&gt;ROUND(G288*1.25,0),NOT(A289=入力!$B$15+1)),"・上限適用",""))</f>
        <v/>
      </c>
      <c r="Q289" s="35" t="str">
        <f>IF(AND(T288="",A289&lt;=S288),入力!$B$13,"")</f>
        <v>有効</v>
      </c>
      <c r="R289" s="32" t="str">
        <f>IF(AND(AND(T288="",A289&lt;=S288),OR(AND(入力!$B$13="有効",A289&gt;1,MOD(A289-1,60)=0),AND(A289=入力!$B$11,A289&gt;1)),入力!$B$14="有効"),ROUND(G288*1.25,0),"")</f>
        <v/>
      </c>
      <c r="S289" s="36">
        <f t="shared" si="83"/>
        <v>420</v>
      </c>
      <c r="T289" s="35" t="str">
        <f t="shared" si="84"/>
        <v/>
      </c>
      <c r="U289" s="3">
        <f t="shared" si="68"/>
        <v>0</v>
      </c>
      <c r="V289" s="3">
        <f t="shared" si="69"/>
        <v>0</v>
      </c>
      <c r="W289" s="3">
        <f t="shared" si="70"/>
        <v>0</v>
      </c>
      <c r="X289" s="3">
        <f t="shared" si="71"/>
        <v>0</v>
      </c>
      <c r="Y289" s="3">
        <f>0</f>
        <v>0</v>
      </c>
      <c r="Z289" s="3">
        <f t="shared" si="72"/>
        <v>0</v>
      </c>
      <c r="AA289">
        <f>ROUND(IF(A289=入力!$B$15+1,IF(E289=0,ROUND(C289/MAX(1,S288-A289+1),0),ROUND(-PMT(E289/12,MAX(1,S288-A289+1)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,0)</f>
        <v>98997</v>
      </c>
    </row>
    <row r="290" spans="1:27">
      <c r="A290" s="30">
        <f>285</f>
        <v>285</v>
      </c>
      <c r="B290" s="31">
        <f>EDATE(入力!$B$6,A290-1)</f>
        <v>54879</v>
      </c>
      <c r="C290" s="32">
        <f t="shared" si="73"/>
        <v>11713775</v>
      </c>
      <c r="D290" s="32">
        <f t="shared" si="74"/>
        <v>0</v>
      </c>
      <c r="E290" s="33">
        <f>IF(AND(T289="",A290&lt;=S289),IF(A290&lt;入力!$B$11,入力!$B$10,入力!$B$12),0)</f>
        <v>2.5000000000000001E-2</v>
      </c>
      <c r="F290" s="32">
        <f t="shared" si="75"/>
        <v>24404</v>
      </c>
      <c r="G290" s="32">
        <f>ROUND(IF(NOT(AND(T289="",A290&lt;=S289)),0,IF(A290=入力!$B$15+1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),0)</f>
        <v>98997</v>
      </c>
      <c r="H290" s="32">
        <f t="shared" si="76"/>
        <v>98997</v>
      </c>
      <c r="I290" s="32">
        <f t="shared" si="77"/>
        <v>24404</v>
      </c>
      <c r="J290" s="32">
        <f t="shared" si="78"/>
        <v>0</v>
      </c>
      <c r="K290" s="32">
        <f t="shared" si="79"/>
        <v>0</v>
      </c>
      <c r="L290" s="32">
        <f t="shared" si="80"/>
        <v>74593</v>
      </c>
      <c r="M290" s="32">
        <f>IF(AND(AND(T289="",A290&lt;=S289),A290=入力!$B$15),ROUND(MIN(入力!$B$16,MAX(0,C290-L290)),0),0)</f>
        <v>0</v>
      </c>
      <c r="N290" s="32">
        <f t="shared" si="81"/>
        <v>11639182</v>
      </c>
      <c r="O290" s="32">
        <f t="shared" si="82"/>
        <v>10661287</v>
      </c>
      <c r="P290" s="34" t="str">
        <f>IF(NOT(AND(T289="",A290&lt;=S289)),"",IF(A290=入力!$B$15+1,"繰上返済後再計算","")&amp;IF(AND(入力!$B$13="有効",A290&gt;1,MOD(A290-1,60)=0),IF(A290=入力!$B$15+1,"・","")&amp;"5年見直し","")&amp;IF(AND(A290=入力!$B$11,A290&gt;1),IF(OR(A290=入力!$B$15+1,AND(入力!$B$13="有効",A290&gt;1,MOD(A290-1,60)=0)),"・","")&amp;"金利変更","")&amp;IF(AND(OR(AND(入力!$B$13="有効",A290&gt;1,MOD(A290-1,60)=0),AND(A290=入力!$B$11,A290&gt;1)),入力!$B$14="有効",IF(E290=0,ROUND(C290/MAX(1,S289-A290+1),0),ROUND(-PMT(E290/12,MAX(1,S289-A290+1),C290),0))&gt;ROUND(G289*1.25,0),NOT(A290=入力!$B$15+1)),"・上限適用",""))</f>
        <v/>
      </c>
      <c r="Q290" s="35" t="str">
        <f>IF(AND(T289="",A290&lt;=S289),入力!$B$13,"")</f>
        <v>有効</v>
      </c>
      <c r="R290" s="32" t="str">
        <f>IF(AND(AND(T289="",A290&lt;=S289),OR(AND(入力!$B$13="有効",A290&gt;1,MOD(A290-1,60)=0),AND(A290=入力!$B$11,A290&gt;1)),入力!$B$14="有効"),ROUND(G289*1.25,0),"")</f>
        <v/>
      </c>
      <c r="S290" s="36">
        <f t="shared" si="83"/>
        <v>420</v>
      </c>
      <c r="T290" s="35" t="str">
        <f t="shared" si="84"/>
        <v/>
      </c>
      <c r="U290" s="3">
        <f t="shared" si="68"/>
        <v>0</v>
      </c>
      <c r="V290" s="3">
        <f t="shared" si="69"/>
        <v>0</v>
      </c>
      <c r="W290" s="3">
        <f t="shared" si="70"/>
        <v>0</v>
      </c>
      <c r="X290" s="3">
        <f t="shared" si="71"/>
        <v>0</v>
      </c>
      <c r="Y290" s="3">
        <f>0</f>
        <v>0</v>
      </c>
      <c r="Z290" s="3">
        <f t="shared" si="72"/>
        <v>0</v>
      </c>
      <c r="AA290">
        <f>ROUND(IF(A290=入力!$B$15+1,IF(E290=0,ROUND(C290/MAX(1,S289-A290+1),0),ROUND(-PMT(E290/12,MAX(1,S289-A290+1)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,0)</f>
        <v>98997</v>
      </c>
    </row>
    <row r="291" spans="1:27">
      <c r="A291" s="30">
        <f>286</f>
        <v>286</v>
      </c>
      <c r="B291" s="31">
        <f>EDATE(入力!$B$6,A291-1)</f>
        <v>54909</v>
      </c>
      <c r="C291" s="32">
        <f t="shared" si="73"/>
        <v>11639182</v>
      </c>
      <c r="D291" s="32">
        <f t="shared" si="74"/>
        <v>0</v>
      </c>
      <c r="E291" s="33">
        <f>IF(AND(T290="",A291&lt;=S290),IF(A291&lt;入力!$B$11,入力!$B$10,入力!$B$12),0)</f>
        <v>2.5000000000000001E-2</v>
      </c>
      <c r="F291" s="32">
        <f t="shared" si="75"/>
        <v>24248</v>
      </c>
      <c r="G291" s="32">
        <f>ROUND(IF(NOT(AND(T290="",A291&lt;=S290)),0,IF(A291=入力!$B$15+1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),0)</f>
        <v>98997</v>
      </c>
      <c r="H291" s="32">
        <f t="shared" si="76"/>
        <v>98997</v>
      </c>
      <c r="I291" s="32">
        <f t="shared" si="77"/>
        <v>24248</v>
      </c>
      <c r="J291" s="32">
        <f t="shared" si="78"/>
        <v>0</v>
      </c>
      <c r="K291" s="32">
        <f t="shared" si="79"/>
        <v>0</v>
      </c>
      <c r="L291" s="32">
        <f t="shared" si="80"/>
        <v>74749</v>
      </c>
      <c r="M291" s="32">
        <f>IF(AND(AND(T290="",A291&lt;=S290),A291=入力!$B$15),ROUND(MIN(入力!$B$16,MAX(0,C291-L291)),0),0)</f>
        <v>0</v>
      </c>
      <c r="N291" s="32">
        <f t="shared" si="81"/>
        <v>11564433</v>
      </c>
      <c r="O291" s="32">
        <f t="shared" si="82"/>
        <v>10685535</v>
      </c>
      <c r="P291" s="34" t="str">
        <f>IF(NOT(AND(T290="",A291&lt;=S290)),"",IF(A291=入力!$B$15+1,"繰上返済後再計算","")&amp;IF(AND(入力!$B$13="有効",A291&gt;1,MOD(A291-1,60)=0),IF(A291=入力!$B$15+1,"・","")&amp;"5年見直し","")&amp;IF(AND(A291=入力!$B$11,A291&gt;1),IF(OR(A291=入力!$B$15+1,AND(入力!$B$13="有効",A291&gt;1,MOD(A291-1,60)=0)),"・","")&amp;"金利変更","")&amp;IF(AND(OR(AND(入力!$B$13="有効",A291&gt;1,MOD(A291-1,60)=0),AND(A291=入力!$B$11,A291&gt;1)),入力!$B$14="有効",IF(E291=0,ROUND(C291/MAX(1,S290-A291+1),0),ROUND(-PMT(E291/12,MAX(1,S290-A291+1),C291),0))&gt;ROUND(G290*1.25,0),NOT(A291=入力!$B$15+1)),"・上限適用",""))</f>
        <v/>
      </c>
      <c r="Q291" s="35" t="str">
        <f>IF(AND(T290="",A291&lt;=S290),入力!$B$13,"")</f>
        <v>有効</v>
      </c>
      <c r="R291" s="32" t="str">
        <f>IF(AND(AND(T290="",A291&lt;=S290),OR(AND(入力!$B$13="有効",A291&gt;1,MOD(A291-1,60)=0),AND(A291=入力!$B$11,A291&gt;1)),入力!$B$14="有効"),ROUND(G290*1.25,0),"")</f>
        <v/>
      </c>
      <c r="S291" s="36">
        <f t="shared" si="83"/>
        <v>420</v>
      </c>
      <c r="T291" s="35" t="str">
        <f t="shared" si="84"/>
        <v/>
      </c>
      <c r="U291" s="3">
        <f t="shared" si="68"/>
        <v>0</v>
      </c>
      <c r="V291" s="3">
        <f t="shared" si="69"/>
        <v>0</v>
      </c>
      <c r="W291" s="3">
        <f t="shared" si="70"/>
        <v>0</v>
      </c>
      <c r="X291" s="3">
        <f t="shared" si="71"/>
        <v>0</v>
      </c>
      <c r="Y291" s="3">
        <f>0</f>
        <v>0</v>
      </c>
      <c r="Z291" s="3">
        <f t="shared" si="72"/>
        <v>0</v>
      </c>
      <c r="AA291">
        <f>ROUND(IF(A291=入力!$B$15+1,IF(E291=0,ROUND(C291/MAX(1,S290-A291+1),0),ROUND(-PMT(E291/12,MAX(1,S290-A291+1)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,0)</f>
        <v>98997</v>
      </c>
    </row>
    <row r="292" spans="1:27">
      <c r="A292" s="30">
        <f>287</f>
        <v>287</v>
      </c>
      <c r="B292" s="31">
        <f>EDATE(入力!$B$6,A292-1)</f>
        <v>54940</v>
      </c>
      <c r="C292" s="32">
        <f t="shared" si="73"/>
        <v>11564433</v>
      </c>
      <c r="D292" s="32">
        <f t="shared" si="74"/>
        <v>0</v>
      </c>
      <c r="E292" s="33">
        <f>IF(AND(T291="",A292&lt;=S291),IF(A292&lt;入力!$B$11,入力!$B$10,入力!$B$12),0)</f>
        <v>2.5000000000000001E-2</v>
      </c>
      <c r="F292" s="32">
        <f t="shared" si="75"/>
        <v>24093</v>
      </c>
      <c r="G292" s="32">
        <f>ROUND(IF(NOT(AND(T291="",A292&lt;=S291)),0,IF(A292=入力!$B$15+1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),0)</f>
        <v>98997</v>
      </c>
      <c r="H292" s="32">
        <f t="shared" si="76"/>
        <v>98997</v>
      </c>
      <c r="I292" s="32">
        <f t="shared" si="77"/>
        <v>24093</v>
      </c>
      <c r="J292" s="32">
        <f t="shared" si="78"/>
        <v>0</v>
      </c>
      <c r="K292" s="32">
        <f t="shared" si="79"/>
        <v>0</v>
      </c>
      <c r="L292" s="32">
        <f t="shared" si="80"/>
        <v>74904</v>
      </c>
      <c r="M292" s="32">
        <f>IF(AND(AND(T291="",A292&lt;=S291),A292=入力!$B$15),ROUND(MIN(入力!$B$16,MAX(0,C292-L292)),0),0)</f>
        <v>0</v>
      </c>
      <c r="N292" s="32">
        <f t="shared" si="81"/>
        <v>11489529</v>
      </c>
      <c r="O292" s="32">
        <f t="shared" si="82"/>
        <v>10709628</v>
      </c>
      <c r="P292" s="34" t="str">
        <f>IF(NOT(AND(T291="",A292&lt;=S291)),"",IF(A292=入力!$B$15+1,"繰上返済後再計算","")&amp;IF(AND(入力!$B$13="有効",A292&gt;1,MOD(A292-1,60)=0),IF(A292=入力!$B$15+1,"・","")&amp;"5年見直し","")&amp;IF(AND(A292=入力!$B$11,A292&gt;1),IF(OR(A292=入力!$B$15+1,AND(入力!$B$13="有効",A292&gt;1,MOD(A292-1,60)=0)),"・","")&amp;"金利変更","")&amp;IF(AND(OR(AND(入力!$B$13="有効",A292&gt;1,MOD(A292-1,60)=0),AND(A292=入力!$B$11,A292&gt;1)),入力!$B$14="有効",IF(E292=0,ROUND(C292/MAX(1,S291-A292+1),0),ROUND(-PMT(E292/12,MAX(1,S291-A292+1),C292),0))&gt;ROUND(G291*1.25,0),NOT(A292=入力!$B$15+1)),"・上限適用",""))</f>
        <v/>
      </c>
      <c r="Q292" s="35" t="str">
        <f>IF(AND(T291="",A292&lt;=S291),入力!$B$13,"")</f>
        <v>有効</v>
      </c>
      <c r="R292" s="32" t="str">
        <f>IF(AND(AND(T291="",A292&lt;=S291),OR(AND(入力!$B$13="有効",A292&gt;1,MOD(A292-1,60)=0),AND(A292=入力!$B$11,A292&gt;1)),入力!$B$14="有効"),ROUND(G291*1.25,0),"")</f>
        <v/>
      </c>
      <c r="S292" s="36">
        <f t="shared" si="83"/>
        <v>420</v>
      </c>
      <c r="T292" s="35" t="str">
        <f t="shared" si="84"/>
        <v/>
      </c>
      <c r="U292" s="3">
        <f t="shared" si="68"/>
        <v>0</v>
      </c>
      <c r="V292" s="3">
        <f t="shared" si="69"/>
        <v>0</v>
      </c>
      <c r="W292" s="3">
        <f t="shared" si="70"/>
        <v>0</v>
      </c>
      <c r="X292" s="3">
        <f t="shared" si="71"/>
        <v>0</v>
      </c>
      <c r="Y292" s="3">
        <f>0</f>
        <v>0</v>
      </c>
      <c r="Z292" s="3">
        <f t="shared" si="72"/>
        <v>0</v>
      </c>
      <c r="AA292">
        <f>ROUND(IF(A292=入力!$B$15+1,IF(E292=0,ROUND(C292/MAX(1,S291-A292+1),0),ROUND(-PMT(E292/12,MAX(1,S291-A292+1)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,0)</f>
        <v>98997</v>
      </c>
    </row>
    <row r="293" spans="1:27">
      <c r="A293" s="30">
        <f>288</f>
        <v>288</v>
      </c>
      <c r="B293" s="31">
        <f>EDATE(入力!$B$6,A293-1)</f>
        <v>54970</v>
      </c>
      <c r="C293" s="32">
        <f t="shared" si="73"/>
        <v>11489529</v>
      </c>
      <c r="D293" s="32">
        <f t="shared" si="74"/>
        <v>0</v>
      </c>
      <c r="E293" s="33">
        <f>IF(AND(T292="",A293&lt;=S292),IF(A293&lt;入力!$B$11,入力!$B$10,入力!$B$12),0)</f>
        <v>2.5000000000000001E-2</v>
      </c>
      <c r="F293" s="32">
        <f t="shared" si="75"/>
        <v>23937</v>
      </c>
      <c r="G293" s="32">
        <f>ROUND(IF(NOT(AND(T292="",A293&lt;=S292)),0,IF(A293=入力!$B$15+1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),0)</f>
        <v>98997</v>
      </c>
      <c r="H293" s="32">
        <f t="shared" si="76"/>
        <v>98997</v>
      </c>
      <c r="I293" s="32">
        <f t="shared" si="77"/>
        <v>23937</v>
      </c>
      <c r="J293" s="32">
        <f t="shared" si="78"/>
        <v>0</v>
      </c>
      <c r="K293" s="32">
        <f t="shared" si="79"/>
        <v>0</v>
      </c>
      <c r="L293" s="32">
        <f t="shared" si="80"/>
        <v>75060</v>
      </c>
      <c r="M293" s="32">
        <f>IF(AND(AND(T292="",A293&lt;=S292),A293=入力!$B$15),ROUND(MIN(入力!$B$16,MAX(0,C293-L293)),0),0)</f>
        <v>0</v>
      </c>
      <c r="N293" s="32">
        <f t="shared" si="81"/>
        <v>11414469</v>
      </c>
      <c r="O293" s="32">
        <f t="shared" si="82"/>
        <v>10733565</v>
      </c>
      <c r="P293" s="34" t="str">
        <f>IF(NOT(AND(T292="",A293&lt;=S292)),"",IF(A293=入力!$B$15+1,"繰上返済後再計算","")&amp;IF(AND(入力!$B$13="有効",A293&gt;1,MOD(A293-1,60)=0),IF(A293=入力!$B$15+1,"・","")&amp;"5年見直し","")&amp;IF(AND(A293=入力!$B$11,A293&gt;1),IF(OR(A293=入力!$B$15+1,AND(入力!$B$13="有効",A293&gt;1,MOD(A293-1,60)=0)),"・","")&amp;"金利変更","")&amp;IF(AND(OR(AND(入力!$B$13="有効",A293&gt;1,MOD(A293-1,60)=0),AND(A293=入力!$B$11,A293&gt;1)),入力!$B$14="有効",IF(E293=0,ROUND(C293/MAX(1,S292-A293+1),0),ROUND(-PMT(E293/12,MAX(1,S292-A293+1),C293),0))&gt;ROUND(G292*1.25,0),NOT(A293=入力!$B$15+1)),"・上限適用",""))</f>
        <v/>
      </c>
      <c r="Q293" s="35" t="str">
        <f>IF(AND(T292="",A293&lt;=S292),入力!$B$13,"")</f>
        <v>有効</v>
      </c>
      <c r="R293" s="32" t="str">
        <f>IF(AND(AND(T292="",A293&lt;=S292),OR(AND(入力!$B$13="有効",A293&gt;1,MOD(A293-1,60)=0),AND(A293=入力!$B$11,A293&gt;1)),入力!$B$14="有効"),ROUND(G292*1.25,0),"")</f>
        <v/>
      </c>
      <c r="S293" s="36">
        <f t="shared" si="83"/>
        <v>420</v>
      </c>
      <c r="T293" s="35" t="str">
        <f t="shared" si="84"/>
        <v/>
      </c>
      <c r="U293" s="3">
        <f t="shared" si="68"/>
        <v>0</v>
      </c>
      <c r="V293" s="3">
        <f t="shared" si="69"/>
        <v>0</v>
      </c>
      <c r="W293" s="3">
        <f t="shared" si="70"/>
        <v>0</v>
      </c>
      <c r="X293" s="3">
        <f t="shared" si="71"/>
        <v>0</v>
      </c>
      <c r="Y293" s="3">
        <f>0</f>
        <v>0</v>
      </c>
      <c r="Z293" s="3">
        <f t="shared" si="72"/>
        <v>0</v>
      </c>
      <c r="AA293">
        <f>ROUND(IF(A293=入力!$B$15+1,IF(E293=0,ROUND(C293/MAX(1,S292-A293+1),0),ROUND(-PMT(E293/12,MAX(1,S292-A293+1)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,0)</f>
        <v>98997</v>
      </c>
    </row>
    <row r="294" spans="1:27">
      <c r="A294" s="30">
        <f>289</f>
        <v>289</v>
      </c>
      <c r="B294" s="31">
        <f>EDATE(入力!$B$6,A294-1)</f>
        <v>55001</v>
      </c>
      <c r="C294" s="32">
        <f t="shared" si="73"/>
        <v>11414469</v>
      </c>
      <c r="D294" s="32">
        <f t="shared" si="74"/>
        <v>0</v>
      </c>
      <c r="E294" s="33">
        <f>IF(AND(T293="",A294&lt;=S293),IF(A294&lt;入力!$B$11,入力!$B$10,入力!$B$12),0)</f>
        <v>2.5000000000000001E-2</v>
      </c>
      <c r="F294" s="32">
        <f t="shared" si="75"/>
        <v>23780</v>
      </c>
      <c r="G294" s="32">
        <f>ROUND(IF(NOT(AND(T293="",A294&lt;=S293)),0,IF(A294=入力!$B$15+1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),0)</f>
        <v>98997</v>
      </c>
      <c r="H294" s="32">
        <f t="shared" si="76"/>
        <v>98997</v>
      </c>
      <c r="I294" s="32">
        <f t="shared" si="77"/>
        <v>23780</v>
      </c>
      <c r="J294" s="32">
        <f t="shared" si="78"/>
        <v>0</v>
      </c>
      <c r="K294" s="32">
        <f t="shared" si="79"/>
        <v>0</v>
      </c>
      <c r="L294" s="32">
        <f t="shared" si="80"/>
        <v>75217</v>
      </c>
      <c r="M294" s="32">
        <f>IF(AND(AND(T293="",A294&lt;=S293),A294=入力!$B$15),ROUND(MIN(入力!$B$16,MAX(0,C294-L294)),0),0)</f>
        <v>0</v>
      </c>
      <c r="N294" s="32">
        <f t="shared" si="81"/>
        <v>11339252</v>
      </c>
      <c r="O294" s="32">
        <f t="shared" si="82"/>
        <v>10757345</v>
      </c>
      <c r="P294" s="34" t="str">
        <f>IF(NOT(AND(T293="",A294&lt;=S293)),"",IF(A294=入力!$B$15+1,"繰上返済後再計算","")&amp;IF(AND(入力!$B$13="有効",A294&gt;1,MOD(A294-1,60)=0),IF(A294=入力!$B$15+1,"・","")&amp;"5年見直し","")&amp;IF(AND(A294=入力!$B$11,A294&gt;1),IF(OR(A294=入力!$B$15+1,AND(入力!$B$13="有効",A294&gt;1,MOD(A294-1,60)=0)),"・","")&amp;"金利変更","")&amp;IF(AND(OR(AND(入力!$B$13="有効",A294&gt;1,MOD(A294-1,60)=0),AND(A294=入力!$B$11,A294&gt;1)),入力!$B$14="有効",IF(E294=0,ROUND(C294/MAX(1,S293-A294+1),0),ROUND(-PMT(E294/12,MAX(1,S293-A294+1),C294),0))&gt;ROUND(G293*1.25,0),NOT(A294=入力!$B$15+1)),"・上限適用",""))</f>
        <v/>
      </c>
      <c r="Q294" s="35" t="str">
        <f>IF(AND(T293="",A294&lt;=S293),入力!$B$13,"")</f>
        <v>有効</v>
      </c>
      <c r="R294" s="32" t="str">
        <f>IF(AND(AND(T293="",A294&lt;=S293),OR(AND(入力!$B$13="有効",A294&gt;1,MOD(A294-1,60)=0),AND(A294=入力!$B$11,A294&gt;1)),入力!$B$14="有効"),ROUND(G293*1.25,0),"")</f>
        <v/>
      </c>
      <c r="S294" s="36">
        <f t="shared" si="83"/>
        <v>420</v>
      </c>
      <c r="T294" s="35" t="str">
        <f t="shared" si="84"/>
        <v/>
      </c>
      <c r="U294" s="3">
        <f t="shared" si="68"/>
        <v>0</v>
      </c>
      <c r="V294" s="3">
        <f t="shared" si="69"/>
        <v>0</v>
      </c>
      <c r="W294" s="3">
        <f t="shared" si="70"/>
        <v>0</v>
      </c>
      <c r="X294" s="3">
        <f t="shared" si="71"/>
        <v>0</v>
      </c>
      <c r="Y294" s="3">
        <f>0</f>
        <v>0</v>
      </c>
      <c r="Z294" s="3">
        <f t="shared" si="72"/>
        <v>0</v>
      </c>
      <c r="AA294">
        <f>ROUND(IF(A294=入力!$B$15+1,IF(E294=0,ROUND(C294/MAX(1,S293-A294+1),0),ROUND(-PMT(E294/12,MAX(1,S293-A294+1)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,0)</f>
        <v>98997</v>
      </c>
    </row>
    <row r="295" spans="1:27">
      <c r="A295" s="30">
        <f>290</f>
        <v>290</v>
      </c>
      <c r="B295" s="31">
        <f>EDATE(入力!$B$6,A295-1)</f>
        <v>55032</v>
      </c>
      <c r="C295" s="32">
        <f t="shared" si="73"/>
        <v>11339252</v>
      </c>
      <c r="D295" s="32">
        <f t="shared" si="74"/>
        <v>0</v>
      </c>
      <c r="E295" s="33">
        <f>IF(AND(T294="",A295&lt;=S294),IF(A295&lt;入力!$B$11,入力!$B$10,入力!$B$12),0)</f>
        <v>2.5000000000000001E-2</v>
      </c>
      <c r="F295" s="32">
        <f t="shared" si="75"/>
        <v>23623</v>
      </c>
      <c r="G295" s="32">
        <f>ROUND(IF(NOT(AND(T294="",A295&lt;=S294)),0,IF(A295=入力!$B$15+1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),0)</f>
        <v>98997</v>
      </c>
      <c r="H295" s="32">
        <f t="shared" si="76"/>
        <v>98997</v>
      </c>
      <c r="I295" s="32">
        <f t="shared" si="77"/>
        <v>23623</v>
      </c>
      <c r="J295" s="32">
        <f t="shared" si="78"/>
        <v>0</v>
      </c>
      <c r="K295" s="32">
        <f t="shared" si="79"/>
        <v>0</v>
      </c>
      <c r="L295" s="32">
        <f t="shared" si="80"/>
        <v>75374</v>
      </c>
      <c r="M295" s="32">
        <f>IF(AND(AND(T294="",A295&lt;=S294),A295=入力!$B$15),ROUND(MIN(入力!$B$16,MAX(0,C295-L295)),0),0)</f>
        <v>0</v>
      </c>
      <c r="N295" s="32">
        <f t="shared" si="81"/>
        <v>11263878</v>
      </c>
      <c r="O295" s="32">
        <f t="shared" si="82"/>
        <v>10780968</v>
      </c>
      <c r="P295" s="34" t="str">
        <f>IF(NOT(AND(T294="",A295&lt;=S294)),"",IF(A295=入力!$B$15+1,"繰上返済後再計算","")&amp;IF(AND(入力!$B$13="有効",A295&gt;1,MOD(A295-1,60)=0),IF(A295=入力!$B$15+1,"・","")&amp;"5年見直し","")&amp;IF(AND(A295=入力!$B$11,A295&gt;1),IF(OR(A295=入力!$B$15+1,AND(入力!$B$13="有効",A295&gt;1,MOD(A295-1,60)=0)),"・","")&amp;"金利変更","")&amp;IF(AND(OR(AND(入力!$B$13="有効",A295&gt;1,MOD(A295-1,60)=0),AND(A295=入力!$B$11,A295&gt;1)),入力!$B$14="有効",IF(E295=0,ROUND(C295/MAX(1,S294-A295+1),0),ROUND(-PMT(E295/12,MAX(1,S294-A295+1),C295),0))&gt;ROUND(G294*1.25,0),NOT(A295=入力!$B$15+1)),"・上限適用",""))</f>
        <v/>
      </c>
      <c r="Q295" s="35" t="str">
        <f>IF(AND(T294="",A295&lt;=S294),入力!$B$13,"")</f>
        <v>有効</v>
      </c>
      <c r="R295" s="32" t="str">
        <f>IF(AND(AND(T294="",A295&lt;=S294),OR(AND(入力!$B$13="有効",A295&gt;1,MOD(A295-1,60)=0),AND(A295=入力!$B$11,A295&gt;1)),入力!$B$14="有効"),ROUND(G294*1.25,0),"")</f>
        <v/>
      </c>
      <c r="S295" s="36">
        <f t="shared" si="83"/>
        <v>420</v>
      </c>
      <c r="T295" s="35" t="str">
        <f t="shared" si="84"/>
        <v/>
      </c>
      <c r="U295" s="3">
        <f t="shared" si="68"/>
        <v>0</v>
      </c>
      <c r="V295" s="3">
        <f t="shared" si="69"/>
        <v>0</v>
      </c>
      <c r="W295" s="3">
        <f t="shared" si="70"/>
        <v>0</v>
      </c>
      <c r="X295" s="3">
        <f t="shared" si="71"/>
        <v>0</v>
      </c>
      <c r="Y295" s="3">
        <f>0</f>
        <v>0</v>
      </c>
      <c r="Z295" s="3">
        <f t="shared" si="72"/>
        <v>0</v>
      </c>
      <c r="AA295">
        <f>ROUND(IF(A295=入力!$B$15+1,IF(E295=0,ROUND(C295/MAX(1,S294-A295+1),0),ROUND(-PMT(E295/12,MAX(1,S294-A295+1)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,0)</f>
        <v>98997</v>
      </c>
    </row>
    <row r="296" spans="1:27">
      <c r="A296" s="30">
        <f>291</f>
        <v>291</v>
      </c>
      <c r="B296" s="31">
        <f>EDATE(入力!$B$6,A296-1)</f>
        <v>55062</v>
      </c>
      <c r="C296" s="32">
        <f t="shared" si="73"/>
        <v>11263878</v>
      </c>
      <c r="D296" s="32">
        <f t="shared" si="74"/>
        <v>0</v>
      </c>
      <c r="E296" s="33">
        <f>IF(AND(T295="",A296&lt;=S295),IF(A296&lt;入力!$B$11,入力!$B$10,入力!$B$12),0)</f>
        <v>2.5000000000000001E-2</v>
      </c>
      <c r="F296" s="32">
        <f t="shared" si="75"/>
        <v>23466</v>
      </c>
      <c r="G296" s="32">
        <f>ROUND(IF(NOT(AND(T295="",A296&lt;=S295)),0,IF(A296=入力!$B$15+1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),0)</f>
        <v>98997</v>
      </c>
      <c r="H296" s="32">
        <f t="shared" si="76"/>
        <v>98997</v>
      </c>
      <c r="I296" s="32">
        <f t="shared" si="77"/>
        <v>23466</v>
      </c>
      <c r="J296" s="32">
        <f t="shared" si="78"/>
        <v>0</v>
      </c>
      <c r="K296" s="32">
        <f t="shared" si="79"/>
        <v>0</v>
      </c>
      <c r="L296" s="32">
        <f t="shared" si="80"/>
        <v>75531</v>
      </c>
      <c r="M296" s="32">
        <f>IF(AND(AND(T295="",A296&lt;=S295),A296=入力!$B$15),ROUND(MIN(入力!$B$16,MAX(0,C296-L296)),0),0)</f>
        <v>0</v>
      </c>
      <c r="N296" s="32">
        <f t="shared" si="81"/>
        <v>11188347</v>
      </c>
      <c r="O296" s="32">
        <f t="shared" si="82"/>
        <v>10804434</v>
      </c>
      <c r="P296" s="34" t="str">
        <f>IF(NOT(AND(T295="",A296&lt;=S295)),"",IF(A296=入力!$B$15+1,"繰上返済後再計算","")&amp;IF(AND(入力!$B$13="有効",A296&gt;1,MOD(A296-1,60)=0),IF(A296=入力!$B$15+1,"・","")&amp;"5年見直し","")&amp;IF(AND(A296=入力!$B$11,A296&gt;1),IF(OR(A296=入力!$B$15+1,AND(入力!$B$13="有効",A296&gt;1,MOD(A296-1,60)=0)),"・","")&amp;"金利変更","")&amp;IF(AND(OR(AND(入力!$B$13="有効",A296&gt;1,MOD(A296-1,60)=0),AND(A296=入力!$B$11,A296&gt;1)),入力!$B$14="有効",IF(E296=0,ROUND(C296/MAX(1,S295-A296+1),0),ROUND(-PMT(E296/12,MAX(1,S295-A296+1),C296),0))&gt;ROUND(G295*1.25,0),NOT(A296=入力!$B$15+1)),"・上限適用",""))</f>
        <v/>
      </c>
      <c r="Q296" s="35" t="str">
        <f>IF(AND(T295="",A296&lt;=S295),入力!$B$13,"")</f>
        <v>有効</v>
      </c>
      <c r="R296" s="32" t="str">
        <f>IF(AND(AND(T295="",A296&lt;=S295),OR(AND(入力!$B$13="有効",A296&gt;1,MOD(A296-1,60)=0),AND(A296=入力!$B$11,A296&gt;1)),入力!$B$14="有効"),ROUND(G295*1.25,0),"")</f>
        <v/>
      </c>
      <c r="S296" s="36">
        <f t="shared" si="83"/>
        <v>420</v>
      </c>
      <c r="T296" s="35" t="str">
        <f t="shared" si="84"/>
        <v/>
      </c>
      <c r="U296" s="3">
        <f t="shared" si="68"/>
        <v>0</v>
      </c>
      <c r="V296" s="3">
        <f t="shared" si="69"/>
        <v>0</v>
      </c>
      <c r="W296" s="3">
        <f t="shared" si="70"/>
        <v>0</v>
      </c>
      <c r="X296" s="3">
        <f t="shared" si="71"/>
        <v>0</v>
      </c>
      <c r="Y296" s="3">
        <f>0</f>
        <v>0</v>
      </c>
      <c r="Z296" s="3">
        <f t="shared" si="72"/>
        <v>0</v>
      </c>
      <c r="AA296">
        <f>ROUND(IF(A296=入力!$B$15+1,IF(E296=0,ROUND(C296/MAX(1,S295-A296+1),0),ROUND(-PMT(E296/12,MAX(1,S295-A296+1)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,0)</f>
        <v>98997</v>
      </c>
    </row>
    <row r="297" spans="1:27">
      <c r="A297" s="30">
        <f>292</f>
        <v>292</v>
      </c>
      <c r="B297" s="31">
        <f>EDATE(入力!$B$6,A297-1)</f>
        <v>55093</v>
      </c>
      <c r="C297" s="32">
        <f t="shared" si="73"/>
        <v>11188347</v>
      </c>
      <c r="D297" s="32">
        <f t="shared" si="74"/>
        <v>0</v>
      </c>
      <c r="E297" s="33">
        <f>IF(AND(T296="",A297&lt;=S296),IF(A297&lt;入力!$B$11,入力!$B$10,入力!$B$12),0)</f>
        <v>2.5000000000000001E-2</v>
      </c>
      <c r="F297" s="32">
        <f t="shared" si="75"/>
        <v>23309</v>
      </c>
      <c r="G297" s="32">
        <f>ROUND(IF(NOT(AND(T296="",A297&lt;=S296)),0,IF(A297=入力!$B$15+1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),0)</f>
        <v>98997</v>
      </c>
      <c r="H297" s="32">
        <f t="shared" si="76"/>
        <v>98997</v>
      </c>
      <c r="I297" s="32">
        <f t="shared" si="77"/>
        <v>23309</v>
      </c>
      <c r="J297" s="32">
        <f t="shared" si="78"/>
        <v>0</v>
      </c>
      <c r="K297" s="32">
        <f t="shared" si="79"/>
        <v>0</v>
      </c>
      <c r="L297" s="32">
        <f t="shared" si="80"/>
        <v>75688</v>
      </c>
      <c r="M297" s="32">
        <f>IF(AND(AND(T296="",A297&lt;=S296),A297=入力!$B$15),ROUND(MIN(入力!$B$16,MAX(0,C297-L297)),0),0)</f>
        <v>0</v>
      </c>
      <c r="N297" s="32">
        <f t="shared" si="81"/>
        <v>11112659</v>
      </c>
      <c r="O297" s="32">
        <f t="shared" si="82"/>
        <v>10827743</v>
      </c>
      <c r="P297" s="34" t="str">
        <f>IF(NOT(AND(T296="",A297&lt;=S296)),"",IF(A297=入力!$B$15+1,"繰上返済後再計算","")&amp;IF(AND(入力!$B$13="有効",A297&gt;1,MOD(A297-1,60)=0),IF(A297=入力!$B$15+1,"・","")&amp;"5年見直し","")&amp;IF(AND(A297=入力!$B$11,A297&gt;1),IF(OR(A297=入力!$B$15+1,AND(入力!$B$13="有効",A297&gt;1,MOD(A297-1,60)=0)),"・","")&amp;"金利変更","")&amp;IF(AND(OR(AND(入力!$B$13="有効",A297&gt;1,MOD(A297-1,60)=0),AND(A297=入力!$B$11,A297&gt;1)),入力!$B$14="有効",IF(E297=0,ROUND(C297/MAX(1,S296-A297+1),0),ROUND(-PMT(E297/12,MAX(1,S296-A297+1),C297),0))&gt;ROUND(G296*1.25,0),NOT(A297=入力!$B$15+1)),"・上限適用",""))</f>
        <v/>
      </c>
      <c r="Q297" s="35" t="str">
        <f>IF(AND(T296="",A297&lt;=S296),入力!$B$13,"")</f>
        <v>有効</v>
      </c>
      <c r="R297" s="32" t="str">
        <f>IF(AND(AND(T296="",A297&lt;=S296),OR(AND(入力!$B$13="有効",A297&gt;1,MOD(A297-1,60)=0),AND(A297=入力!$B$11,A297&gt;1)),入力!$B$14="有効"),ROUND(G296*1.25,0),"")</f>
        <v/>
      </c>
      <c r="S297" s="36">
        <f t="shared" si="83"/>
        <v>420</v>
      </c>
      <c r="T297" s="35" t="str">
        <f t="shared" si="84"/>
        <v/>
      </c>
      <c r="U297" s="3">
        <f t="shared" si="68"/>
        <v>0</v>
      </c>
      <c r="V297" s="3">
        <f t="shared" si="69"/>
        <v>0</v>
      </c>
      <c r="W297" s="3">
        <f t="shared" si="70"/>
        <v>0</v>
      </c>
      <c r="X297" s="3">
        <f t="shared" si="71"/>
        <v>0</v>
      </c>
      <c r="Y297" s="3">
        <f>0</f>
        <v>0</v>
      </c>
      <c r="Z297" s="3">
        <f t="shared" si="72"/>
        <v>0</v>
      </c>
      <c r="AA297">
        <f>ROUND(IF(A297=入力!$B$15+1,IF(E297=0,ROUND(C297/MAX(1,S296-A297+1),0),ROUND(-PMT(E297/12,MAX(1,S296-A297+1)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,0)</f>
        <v>98997</v>
      </c>
    </row>
    <row r="298" spans="1:27">
      <c r="A298" s="30">
        <f>293</f>
        <v>293</v>
      </c>
      <c r="B298" s="31">
        <f>EDATE(入力!$B$6,A298-1)</f>
        <v>55123</v>
      </c>
      <c r="C298" s="32">
        <f t="shared" si="73"/>
        <v>11112659</v>
      </c>
      <c r="D298" s="32">
        <f t="shared" si="74"/>
        <v>0</v>
      </c>
      <c r="E298" s="33">
        <f>IF(AND(T297="",A298&lt;=S297),IF(A298&lt;入力!$B$11,入力!$B$10,入力!$B$12),0)</f>
        <v>2.5000000000000001E-2</v>
      </c>
      <c r="F298" s="32">
        <f t="shared" si="75"/>
        <v>23151</v>
      </c>
      <c r="G298" s="32">
        <f>ROUND(IF(NOT(AND(T297="",A298&lt;=S297)),0,IF(A298=入力!$B$15+1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),0)</f>
        <v>98997</v>
      </c>
      <c r="H298" s="32">
        <f t="shared" si="76"/>
        <v>98997</v>
      </c>
      <c r="I298" s="32">
        <f t="shared" si="77"/>
        <v>23151</v>
      </c>
      <c r="J298" s="32">
        <f t="shared" si="78"/>
        <v>0</v>
      </c>
      <c r="K298" s="32">
        <f t="shared" si="79"/>
        <v>0</v>
      </c>
      <c r="L298" s="32">
        <f t="shared" si="80"/>
        <v>75846</v>
      </c>
      <c r="M298" s="32">
        <f>IF(AND(AND(T297="",A298&lt;=S297),A298=入力!$B$15),ROUND(MIN(入力!$B$16,MAX(0,C298-L298)),0),0)</f>
        <v>0</v>
      </c>
      <c r="N298" s="32">
        <f t="shared" si="81"/>
        <v>11036813</v>
      </c>
      <c r="O298" s="32">
        <f t="shared" si="82"/>
        <v>10850894</v>
      </c>
      <c r="P298" s="34" t="str">
        <f>IF(NOT(AND(T297="",A298&lt;=S297)),"",IF(A298=入力!$B$15+1,"繰上返済後再計算","")&amp;IF(AND(入力!$B$13="有効",A298&gt;1,MOD(A298-1,60)=0),IF(A298=入力!$B$15+1,"・","")&amp;"5年見直し","")&amp;IF(AND(A298=入力!$B$11,A298&gt;1),IF(OR(A298=入力!$B$15+1,AND(入力!$B$13="有効",A298&gt;1,MOD(A298-1,60)=0)),"・","")&amp;"金利変更","")&amp;IF(AND(OR(AND(入力!$B$13="有効",A298&gt;1,MOD(A298-1,60)=0),AND(A298=入力!$B$11,A298&gt;1)),入力!$B$14="有効",IF(E298=0,ROUND(C298/MAX(1,S297-A298+1),0),ROUND(-PMT(E298/12,MAX(1,S297-A298+1),C298),0))&gt;ROUND(G297*1.25,0),NOT(A298=入力!$B$15+1)),"・上限適用",""))</f>
        <v/>
      </c>
      <c r="Q298" s="35" t="str">
        <f>IF(AND(T297="",A298&lt;=S297),入力!$B$13,"")</f>
        <v>有効</v>
      </c>
      <c r="R298" s="32" t="str">
        <f>IF(AND(AND(T297="",A298&lt;=S297),OR(AND(入力!$B$13="有効",A298&gt;1,MOD(A298-1,60)=0),AND(A298=入力!$B$11,A298&gt;1)),入力!$B$14="有効"),ROUND(G297*1.25,0),"")</f>
        <v/>
      </c>
      <c r="S298" s="36">
        <f t="shared" si="83"/>
        <v>420</v>
      </c>
      <c r="T298" s="35" t="str">
        <f t="shared" si="84"/>
        <v/>
      </c>
      <c r="U298" s="3">
        <f t="shared" si="68"/>
        <v>0</v>
      </c>
      <c r="V298" s="3">
        <f t="shared" si="69"/>
        <v>0</v>
      </c>
      <c r="W298" s="3">
        <f t="shared" si="70"/>
        <v>0</v>
      </c>
      <c r="X298" s="3">
        <f t="shared" si="71"/>
        <v>0</v>
      </c>
      <c r="Y298" s="3">
        <f>0</f>
        <v>0</v>
      </c>
      <c r="Z298" s="3">
        <f t="shared" si="72"/>
        <v>0</v>
      </c>
      <c r="AA298">
        <f>ROUND(IF(A298=入力!$B$15+1,IF(E298=0,ROUND(C298/MAX(1,S297-A298+1),0),ROUND(-PMT(E298/12,MAX(1,S297-A298+1)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,0)</f>
        <v>98997</v>
      </c>
    </row>
    <row r="299" spans="1:27">
      <c r="A299" s="30">
        <f>294</f>
        <v>294</v>
      </c>
      <c r="B299" s="31">
        <f>EDATE(入力!$B$6,A299-1)</f>
        <v>55154</v>
      </c>
      <c r="C299" s="32">
        <f t="shared" si="73"/>
        <v>11036813</v>
      </c>
      <c r="D299" s="32">
        <f t="shared" si="74"/>
        <v>0</v>
      </c>
      <c r="E299" s="33">
        <f>IF(AND(T298="",A299&lt;=S298),IF(A299&lt;入力!$B$11,入力!$B$10,入力!$B$12),0)</f>
        <v>2.5000000000000001E-2</v>
      </c>
      <c r="F299" s="32">
        <f t="shared" si="75"/>
        <v>22993</v>
      </c>
      <c r="G299" s="32">
        <f>ROUND(IF(NOT(AND(T298="",A299&lt;=S298)),0,IF(A299=入力!$B$15+1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),0)</f>
        <v>98997</v>
      </c>
      <c r="H299" s="32">
        <f t="shared" si="76"/>
        <v>98997</v>
      </c>
      <c r="I299" s="32">
        <f t="shared" si="77"/>
        <v>22993</v>
      </c>
      <c r="J299" s="32">
        <f t="shared" si="78"/>
        <v>0</v>
      </c>
      <c r="K299" s="32">
        <f t="shared" si="79"/>
        <v>0</v>
      </c>
      <c r="L299" s="32">
        <f t="shared" si="80"/>
        <v>76004</v>
      </c>
      <c r="M299" s="32">
        <f>IF(AND(AND(T298="",A299&lt;=S298),A299=入力!$B$15),ROUND(MIN(入力!$B$16,MAX(0,C299-L299)),0),0)</f>
        <v>0</v>
      </c>
      <c r="N299" s="32">
        <f t="shared" si="81"/>
        <v>10960809</v>
      </c>
      <c r="O299" s="32">
        <f t="shared" si="82"/>
        <v>10873887</v>
      </c>
      <c r="P299" s="34" t="str">
        <f>IF(NOT(AND(T298="",A299&lt;=S298)),"",IF(A299=入力!$B$15+1,"繰上返済後再計算","")&amp;IF(AND(入力!$B$13="有効",A299&gt;1,MOD(A299-1,60)=0),IF(A299=入力!$B$15+1,"・","")&amp;"5年見直し","")&amp;IF(AND(A299=入力!$B$11,A299&gt;1),IF(OR(A299=入力!$B$15+1,AND(入力!$B$13="有効",A299&gt;1,MOD(A299-1,60)=0)),"・","")&amp;"金利変更","")&amp;IF(AND(OR(AND(入力!$B$13="有効",A299&gt;1,MOD(A299-1,60)=0),AND(A299=入力!$B$11,A299&gt;1)),入力!$B$14="有効",IF(E299=0,ROUND(C299/MAX(1,S298-A299+1),0),ROUND(-PMT(E299/12,MAX(1,S298-A299+1),C299),0))&gt;ROUND(G298*1.25,0),NOT(A299=入力!$B$15+1)),"・上限適用",""))</f>
        <v/>
      </c>
      <c r="Q299" s="35" t="str">
        <f>IF(AND(T298="",A299&lt;=S298),入力!$B$13,"")</f>
        <v>有効</v>
      </c>
      <c r="R299" s="32" t="str">
        <f>IF(AND(AND(T298="",A299&lt;=S298),OR(AND(入力!$B$13="有効",A299&gt;1,MOD(A299-1,60)=0),AND(A299=入力!$B$11,A299&gt;1)),入力!$B$14="有効"),ROUND(G298*1.25,0),"")</f>
        <v/>
      </c>
      <c r="S299" s="36">
        <f t="shared" si="83"/>
        <v>420</v>
      </c>
      <c r="T299" s="35" t="str">
        <f t="shared" si="84"/>
        <v/>
      </c>
      <c r="U299" s="3">
        <f t="shared" si="68"/>
        <v>0</v>
      </c>
      <c r="V299" s="3">
        <f t="shared" si="69"/>
        <v>0</v>
      </c>
      <c r="W299" s="3">
        <f t="shared" si="70"/>
        <v>0</v>
      </c>
      <c r="X299" s="3">
        <f t="shared" si="71"/>
        <v>0</v>
      </c>
      <c r="Y299" s="3">
        <f>0</f>
        <v>0</v>
      </c>
      <c r="Z299" s="3">
        <f t="shared" si="72"/>
        <v>0</v>
      </c>
      <c r="AA299">
        <f>ROUND(IF(A299=入力!$B$15+1,IF(E299=0,ROUND(C299/MAX(1,S298-A299+1),0),ROUND(-PMT(E299/12,MAX(1,S298-A299+1)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,0)</f>
        <v>98997</v>
      </c>
    </row>
    <row r="300" spans="1:27">
      <c r="A300" s="30">
        <f>295</f>
        <v>295</v>
      </c>
      <c r="B300" s="31">
        <f>EDATE(入力!$B$6,A300-1)</f>
        <v>55185</v>
      </c>
      <c r="C300" s="32">
        <f t="shared" si="73"/>
        <v>10960809</v>
      </c>
      <c r="D300" s="32">
        <f t="shared" si="74"/>
        <v>0</v>
      </c>
      <c r="E300" s="33">
        <f>IF(AND(T299="",A300&lt;=S299),IF(A300&lt;入力!$B$11,入力!$B$10,入力!$B$12),0)</f>
        <v>2.5000000000000001E-2</v>
      </c>
      <c r="F300" s="32">
        <f t="shared" si="75"/>
        <v>22835</v>
      </c>
      <c r="G300" s="32">
        <f>ROUND(IF(NOT(AND(T299="",A300&lt;=S299)),0,IF(A300=入力!$B$15+1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),0)</f>
        <v>98997</v>
      </c>
      <c r="H300" s="32">
        <f t="shared" si="76"/>
        <v>98997</v>
      </c>
      <c r="I300" s="32">
        <f t="shared" si="77"/>
        <v>22835</v>
      </c>
      <c r="J300" s="32">
        <f t="shared" si="78"/>
        <v>0</v>
      </c>
      <c r="K300" s="32">
        <f t="shared" si="79"/>
        <v>0</v>
      </c>
      <c r="L300" s="32">
        <f t="shared" si="80"/>
        <v>76162</v>
      </c>
      <c r="M300" s="32">
        <f>IF(AND(AND(T299="",A300&lt;=S299),A300=入力!$B$15),ROUND(MIN(入力!$B$16,MAX(0,C300-L300)),0),0)</f>
        <v>0</v>
      </c>
      <c r="N300" s="32">
        <f t="shared" si="81"/>
        <v>10884647</v>
      </c>
      <c r="O300" s="32">
        <f t="shared" si="82"/>
        <v>10896722</v>
      </c>
      <c r="P300" s="34" t="str">
        <f>IF(NOT(AND(T299="",A300&lt;=S299)),"",IF(A300=入力!$B$15+1,"繰上返済後再計算","")&amp;IF(AND(入力!$B$13="有効",A300&gt;1,MOD(A300-1,60)=0),IF(A300=入力!$B$15+1,"・","")&amp;"5年見直し","")&amp;IF(AND(A300=入力!$B$11,A300&gt;1),IF(OR(A300=入力!$B$15+1,AND(入力!$B$13="有効",A300&gt;1,MOD(A300-1,60)=0)),"・","")&amp;"金利変更","")&amp;IF(AND(OR(AND(入力!$B$13="有効",A300&gt;1,MOD(A300-1,60)=0),AND(A300=入力!$B$11,A300&gt;1)),入力!$B$14="有効",IF(E300=0,ROUND(C300/MAX(1,S299-A300+1),0),ROUND(-PMT(E300/12,MAX(1,S299-A300+1),C300),0))&gt;ROUND(G299*1.25,0),NOT(A300=入力!$B$15+1)),"・上限適用",""))</f>
        <v/>
      </c>
      <c r="Q300" s="35" t="str">
        <f>IF(AND(T299="",A300&lt;=S299),入力!$B$13,"")</f>
        <v>有効</v>
      </c>
      <c r="R300" s="32" t="str">
        <f>IF(AND(AND(T299="",A300&lt;=S299),OR(AND(入力!$B$13="有効",A300&gt;1,MOD(A300-1,60)=0),AND(A300=入力!$B$11,A300&gt;1)),入力!$B$14="有効"),ROUND(G299*1.25,0),"")</f>
        <v/>
      </c>
      <c r="S300" s="36">
        <f t="shared" si="83"/>
        <v>420</v>
      </c>
      <c r="T300" s="35" t="str">
        <f t="shared" si="84"/>
        <v/>
      </c>
      <c r="U300" s="3">
        <f t="shared" si="68"/>
        <v>0</v>
      </c>
      <c r="V300" s="3">
        <f t="shared" si="69"/>
        <v>0</v>
      </c>
      <c r="W300" s="3">
        <f t="shared" si="70"/>
        <v>0</v>
      </c>
      <c r="X300" s="3">
        <f t="shared" si="71"/>
        <v>0</v>
      </c>
      <c r="Y300" s="3">
        <f>0</f>
        <v>0</v>
      </c>
      <c r="Z300" s="3">
        <f t="shared" si="72"/>
        <v>0</v>
      </c>
      <c r="AA300">
        <f>ROUND(IF(A300=入力!$B$15+1,IF(E300=0,ROUND(C300/MAX(1,S299-A300+1),0),ROUND(-PMT(E300/12,MAX(1,S299-A300+1)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,0)</f>
        <v>98997</v>
      </c>
    </row>
    <row r="301" spans="1:27">
      <c r="A301" s="30">
        <f>296</f>
        <v>296</v>
      </c>
      <c r="B301" s="31">
        <f>EDATE(入力!$B$6,A301-1)</f>
        <v>55213</v>
      </c>
      <c r="C301" s="32">
        <f t="shared" si="73"/>
        <v>10884647</v>
      </c>
      <c r="D301" s="32">
        <f t="shared" si="74"/>
        <v>0</v>
      </c>
      <c r="E301" s="33">
        <f>IF(AND(T300="",A301&lt;=S300),IF(A301&lt;入力!$B$11,入力!$B$10,入力!$B$12),0)</f>
        <v>2.5000000000000001E-2</v>
      </c>
      <c r="F301" s="32">
        <f t="shared" si="75"/>
        <v>22676</v>
      </c>
      <c r="G301" s="32">
        <f>ROUND(IF(NOT(AND(T300="",A301&lt;=S300)),0,IF(A301=入力!$B$15+1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),0)</f>
        <v>98997</v>
      </c>
      <c r="H301" s="32">
        <f t="shared" si="76"/>
        <v>98997</v>
      </c>
      <c r="I301" s="32">
        <f t="shared" si="77"/>
        <v>22676</v>
      </c>
      <c r="J301" s="32">
        <f t="shared" si="78"/>
        <v>0</v>
      </c>
      <c r="K301" s="32">
        <f t="shared" si="79"/>
        <v>0</v>
      </c>
      <c r="L301" s="32">
        <f t="shared" si="80"/>
        <v>76321</v>
      </c>
      <c r="M301" s="32">
        <f>IF(AND(AND(T300="",A301&lt;=S300),A301=入力!$B$15),ROUND(MIN(入力!$B$16,MAX(0,C301-L301)),0),0)</f>
        <v>0</v>
      </c>
      <c r="N301" s="32">
        <f t="shared" si="81"/>
        <v>10808326</v>
      </c>
      <c r="O301" s="32">
        <f t="shared" si="82"/>
        <v>10919398</v>
      </c>
      <c r="P301" s="34" t="str">
        <f>IF(NOT(AND(T300="",A301&lt;=S300)),"",IF(A301=入力!$B$15+1,"繰上返済後再計算","")&amp;IF(AND(入力!$B$13="有効",A301&gt;1,MOD(A301-1,60)=0),IF(A301=入力!$B$15+1,"・","")&amp;"5年見直し","")&amp;IF(AND(A301=入力!$B$11,A301&gt;1),IF(OR(A301=入力!$B$15+1,AND(入力!$B$13="有効",A301&gt;1,MOD(A301-1,60)=0)),"・","")&amp;"金利変更","")&amp;IF(AND(OR(AND(入力!$B$13="有効",A301&gt;1,MOD(A301-1,60)=0),AND(A301=入力!$B$11,A301&gt;1)),入力!$B$14="有効",IF(E301=0,ROUND(C301/MAX(1,S300-A301+1),0),ROUND(-PMT(E301/12,MAX(1,S300-A301+1),C301),0))&gt;ROUND(G300*1.25,0),NOT(A301=入力!$B$15+1)),"・上限適用",""))</f>
        <v/>
      </c>
      <c r="Q301" s="35" t="str">
        <f>IF(AND(T300="",A301&lt;=S300),入力!$B$13,"")</f>
        <v>有効</v>
      </c>
      <c r="R301" s="32" t="str">
        <f>IF(AND(AND(T300="",A301&lt;=S300),OR(AND(入力!$B$13="有効",A301&gt;1,MOD(A301-1,60)=0),AND(A301=入力!$B$11,A301&gt;1)),入力!$B$14="有効"),ROUND(G300*1.25,0),"")</f>
        <v/>
      </c>
      <c r="S301" s="36">
        <f t="shared" si="83"/>
        <v>420</v>
      </c>
      <c r="T301" s="35" t="str">
        <f t="shared" si="84"/>
        <v/>
      </c>
      <c r="U301" s="3">
        <f t="shared" si="68"/>
        <v>0</v>
      </c>
      <c r="V301" s="3">
        <f t="shared" si="69"/>
        <v>0</v>
      </c>
      <c r="W301" s="3">
        <f t="shared" si="70"/>
        <v>0</v>
      </c>
      <c r="X301" s="3">
        <f t="shared" si="71"/>
        <v>0</v>
      </c>
      <c r="Y301" s="3">
        <f>0</f>
        <v>0</v>
      </c>
      <c r="Z301" s="3">
        <f t="shared" si="72"/>
        <v>0</v>
      </c>
      <c r="AA301">
        <f>ROUND(IF(A301=入力!$B$15+1,IF(E301=0,ROUND(C301/MAX(1,S300-A301+1),0),ROUND(-PMT(E301/12,MAX(1,S300-A301+1)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,0)</f>
        <v>98997</v>
      </c>
    </row>
    <row r="302" spans="1:27">
      <c r="A302" s="30">
        <f>297</f>
        <v>297</v>
      </c>
      <c r="B302" s="31">
        <f>EDATE(入力!$B$6,A302-1)</f>
        <v>55244</v>
      </c>
      <c r="C302" s="32">
        <f t="shared" si="73"/>
        <v>10808326</v>
      </c>
      <c r="D302" s="32">
        <f t="shared" si="74"/>
        <v>0</v>
      </c>
      <c r="E302" s="33">
        <f>IF(AND(T301="",A302&lt;=S301),IF(A302&lt;入力!$B$11,入力!$B$10,入力!$B$12),0)</f>
        <v>2.5000000000000001E-2</v>
      </c>
      <c r="F302" s="32">
        <f t="shared" si="75"/>
        <v>22517</v>
      </c>
      <c r="G302" s="32">
        <f>ROUND(IF(NOT(AND(T301="",A302&lt;=S301)),0,IF(A302=入力!$B$15+1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),0)</f>
        <v>98997</v>
      </c>
      <c r="H302" s="32">
        <f t="shared" si="76"/>
        <v>98997</v>
      </c>
      <c r="I302" s="32">
        <f t="shared" si="77"/>
        <v>22517</v>
      </c>
      <c r="J302" s="32">
        <f t="shared" si="78"/>
        <v>0</v>
      </c>
      <c r="K302" s="32">
        <f t="shared" si="79"/>
        <v>0</v>
      </c>
      <c r="L302" s="32">
        <f t="shared" si="80"/>
        <v>76480</v>
      </c>
      <c r="M302" s="32">
        <f>IF(AND(AND(T301="",A302&lt;=S301),A302=入力!$B$15),ROUND(MIN(入力!$B$16,MAX(0,C302-L302)),0),0)</f>
        <v>0</v>
      </c>
      <c r="N302" s="32">
        <f t="shared" si="81"/>
        <v>10731846</v>
      </c>
      <c r="O302" s="32">
        <f t="shared" si="82"/>
        <v>10941915</v>
      </c>
      <c r="P302" s="34" t="str">
        <f>IF(NOT(AND(T301="",A302&lt;=S301)),"",IF(A302=入力!$B$15+1,"繰上返済後再計算","")&amp;IF(AND(入力!$B$13="有効",A302&gt;1,MOD(A302-1,60)=0),IF(A302=入力!$B$15+1,"・","")&amp;"5年見直し","")&amp;IF(AND(A302=入力!$B$11,A302&gt;1),IF(OR(A302=入力!$B$15+1,AND(入力!$B$13="有効",A302&gt;1,MOD(A302-1,60)=0)),"・","")&amp;"金利変更","")&amp;IF(AND(OR(AND(入力!$B$13="有効",A302&gt;1,MOD(A302-1,60)=0),AND(A302=入力!$B$11,A302&gt;1)),入力!$B$14="有効",IF(E302=0,ROUND(C302/MAX(1,S301-A302+1),0),ROUND(-PMT(E302/12,MAX(1,S301-A302+1),C302),0))&gt;ROUND(G301*1.25,0),NOT(A302=入力!$B$15+1)),"・上限適用",""))</f>
        <v/>
      </c>
      <c r="Q302" s="35" t="str">
        <f>IF(AND(T301="",A302&lt;=S301),入力!$B$13,"")</f>
        <v>有効</v>
      </c>
      <c r="R302" s="32" t="str">
        <f>IF(AND(AND(T301="",A302&lt;=S301),OR(AND(入力!$B$13="有効",A302&gt;1,MOD(A302-1,60)=0),AND(A302=入力!$B$11,A302&gt;1)),入力!$B$14="有効"),ROUND(G301*1.25,0),"")</f>
        <v/>
      </c>
      <c r="S302" s="36">
        <f t="shared" si="83"/>
        <v>420</v>
      </c>
      <c r="T302" s="35" t="str">
        <f t="shared" si="84"/>
        <v/>
      </c>
      <c r="U302" s="3">
        <f t="shared" si="68"/>
        <v>0</v>
      </c>
      <c r="V302" s="3">
        <f t="shared" si="69"/>
        <v>0</v>
      </c>
      <c r="W302" s="3">
        <f t="shared" si="70"/>
        <v>0</v>
      </c>
      <c r="X302" s="3">
        <f t="shared" si="71"/>
        <v>0</v>
      </c>
      <c r="Y302" s="3">
        <f>0</f>
        <v>0</v>
      </c>
      <c r="Z302" s="3">
        <f t="shared" si="72"/>
        <v>0</v>
      </c>
      <c r="AA302">
        <f>ROUND(IF(A302=入力!$B$15+1,IF(E302=0,ROUND(C302/MAX(1,S301-A302+1),0),ROUND(-PMT(E302/12,MAX(1,S301-A302+1)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,0)</f>
        <v>98997</v>
      </c>
    </row>
    <row r="303" spans="1:27">
      <c r="A303" s="30">
        <f>298</f>
        <v>298</v>
      </c>
      <c r="B303" s="31">
        <f>EDATE(入力!$B$6,A303-1)</f>
        <v>55274</v>
      </c>
      <c r="C303" s="32">
        <f t="shared" si="73"/>
        <v>10731846</v>
      </c>
      <c r="D303" s="32">
        <f t="shared" si="74"/>
        <v>0</v>
      </c>
      <c r="E303" s="33">
        <f>IF(AND(T302="",A303&lt;=S302),IF(A303&lt;入力!$B$11,入力!$B$10,入力!$B$12),0)</f>
        <v>2.5000000000000001E-2</v>
      </c>
      <c r="F303" s="32">
        <f t="shared" si="75"/>
        <v>22358</v>
      </c>
      <c r="G303" s="32">
        <f>ROUND(IF(NOT(AND(T302="",A303&lt;=S302)),0,IF(A303=入力!$B$15+1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),0)</f>
        <v>98997</v>
      </c>
      <c r="H303" s="32">
        <f t="shared" si="76"/>
        <v>98997</v>
      </c>
      <c r="I303" s="32">
        <f t="shared" si="77"/>
        <v>22358</v>
      </c>
      <c r="J303" s="32">
        <f t="shared" si="78"/>
        <v>0</v>
      </c>
      <c r="K303" s="32">
        <f t="shared" si="79"/>
        <v>0</v>
      </c>
      <c r="L303" s="32">
        <f t="shared" si="80"/>
        <v>76639</v>
      </c>
      <c r="M303" s="32">
        <f>IF(AND(AND(T302="",A303&lt;=S302),A303=入力!$B$15),ROUND(MIN(入力!$B$16,MAX(0,C303-L303)),0),0)</f>
        <v>0</v>
      </c>
      <c r="N303" s="32">
        <f t="shared" si="81"/>
        <v>10655207</v>
      </c>
      <c r="O303" s="32">
        <f t="shared" si="82"/>
        <v>10964273</v>
      </c>
      <c r="P303" s="34" t="str">
        <f>IF(NOT(AND(T302="",A303&lt;=S302)),"",IF(A303=入力!$B$15+1,"繰上返済後再計算","")&amp;IF(AND(入力!$B$13="有効",A303&gt;1,MOD(A303-1,60)=0),IF(A303=入力!$B$15+1,"・","")&amp;"5年見直し","")&amp;IF(AND(A303=入力!$B$11,A303&gt;1),IF(OR(A303=入力!$B$15+1,AND(入力!$B$13="有効",A303&gt;1,MOD(A303-1,60)=0)),"・","")&amp;"金利変更","")&amp;IF(AND(OR(AND(入力!$B$13="有効",A303&gt;1,MOD(A303-1,60)=0),AND(A303=入力!$B$11,A303&gt;1)),入力!$B$14="有効",IF(E303=0,ROUND(C303/MAX(1,S302-A303+1),0),ROUND(-PMT(E303/12,MAX(1,S302-A303+1),C303),0))&gt;ROUND(G302*1.25,0),NOT(A303=入力!$B$15+1)),"・上限適用",""))</f>
        <v/>
      </c>
      <c r="Q303" s="35" t="str">
        <f>IF(AND(T302="",A303&lt;=S302),入力!$B$13,"")</f>
        <v>有効</v>
      </c>
      <c r="R303" s="32" t="str">
        <f>IF(AND(AND(T302="",A303&lt;=S302),OR(AND(入力!$B$13="有効",A303&gt;1,MOD(A303-1,60)=0),AND(A303=入力!$B$11,A303&gt;1)),入力!$B$14="有効"),ROUND(G302*1.25,0),"")</f>
        <v/>
      </c>
      <c r="S303" s="36">
        <f t="shared" si="83"/>
        <v>420</v>
      </c>
      <c r="T303" s="35" t="str">
        <f t="shared" si="84"/>
        <v/>
      </c>
      <c r="U303" s="3">
        <f t="shared" si="68"/>
        <v>0</v>
      </c>
      <c r="V303" s="3">
        <f t="shared" si="69"/>
        <v>0</v>
      </c>
      <c r="W303" s="3">
        <f t="shared" si="70"/>
        <v>0</v>
      </c>
      <c r="X303" s="3">
        <f t="shared" si="71"/>
        <v>0</v>
      </c>
      <c r="Y303" s="3">
        <f>0</f>
        <v>0</v>
      </c>
      <c r="Z303" s="3">
        <f t="shared" si="72"/>
        <v>0</v>
      </c>
      <c r="AA303">
        <f>ROUND(IF(A303=入力!$B$15+1,IF(E303=0,ROUND(C303/MAX(1,S302-A303+1),0),ROUND(-PMT(E303/12,MAX(1,S302-A303+1)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,0)</f>
        <v>98997</v>
      </c>
    </row>
    <row r="304" spans="1:27">
      <c r="A304" s="30">
        <f>299</f>
        <v>299</v>
      </c>
      <c r="B304" s="31">
        <f>EDATE(入力!$B$6,A304-1)</f>
        <v>55305</v>
      </c>
      <c r="C304" s="32">
        <f t="shared" si="73"/>
        <v>10655207</v>
      </c>
      <c r="D304" s="32">
        <f t="shared" si="74"/>
        <v>0</v>
      </c>
      <c r="E304" s="33">
        <f>IF(AND(T303="",A304&lt;=S303),IF(A304&lt;入力!$B$11,入力!$B$10,入力!$B$12),0)</f>
        <v>2.5000000000000001E-2</v>
      </c>
      <c r="F304" s="32">
        <f t="shared" si="75"/>
        <v>22198</v>
      </c>
      <c r="G304" s="32">
        <f>ROUND(IF(NOT(AND(T303="",A304&lt;=S303)),0,IF(A304=入力!$B$15+1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),0)</f>
        <v>98997</v>
      </c>
      <c r="H304" s="32">
        <f t="shared" si="76"/>
        <v>98997</v>
      </c>
      <c r="I304" s="32">
        <f t="shared" si="77"/>
        <v>22198</v>
      </c>
      <c r="J304" s="32">
        <f t="shared" si="78"/>
        <v>0</v>
      </c>
      <c r="K304" s="32">
        <f t="shared" si="79"/>
        <v>0</v>
      </c>
      <c r="L304" s="32">
        <f t="shared" si="80"/>
        <v>76799</v>
      </c>
      <c r="M304" s="32">
        <f>IF(AND(AND(T303="",A304&lt;=S303),A304=入力!$B$15),ROUND(MIN(入力!$B$16,MAX(0,C304-L304)),0),0)</f>
        <v>0</v>
      </c>
      <c r="N304" s="32">
        <f t="shared" si="81"/>
        <v>10578408</v>
      </c>
      <c r="O304" s="32">
        <f t="shared" si="82"/>
        <v>10986471</v>
      </c>
      <c r="P304" s="34" t="str">
        <f>IF(NOT(AND(T303="",A304&lt;=S303)),"",IF(A304=入力!$B$15+1,"繰上返済後再計算","")&amp;IF(AND(入力!$B$13="有効",A304&gt;1,MOD(A304-1,60)=0),IF(A304=入力!$B$15+1,"・","")&amp;"5年見直し","")&amp;IF(AND(A304=入力!$B$11,A304&gt;1),IF(OR(A304=入力!$B$15+1,AND(入力!$B$13="有効",A304&gt;1,MOD(A304-1,60)=0)),"・","")&amp;"金利変更","")&amp;IF(AND(OR(AND(入力!$B$13="有効",A304&gt;1,MOD(A304-1,60)=0),AND(A304=入力!$B$11,A304&gt;1)),入力!$B$14="有効",IF(E304=0,ROUND(C304/MAX(1,S303-A304+1),0),ROUND(-PMT(E304/12,MAX(1,S303-A304+1),C304),0))&gt;ROUND(G303*1.25,0),NOT(A304=入力!$B$15+1)),"・上限適用",""))</f>
        <v/>
      </c>
      <c r="Q304" s="35" t="str">
        <f>IF(AND(T303="",A304&lt;=S303),入力!$B$13,"")</f>
        <v>有効</v>
      </c>
      <c r="R304" s="32" t="str">
        <f>IF(AND(AND(T303="",A304&lt;=S303),OR(AND(入力!$B$13="有効",A304&gt;1,MOD(A304-1,60)=0),AND(A304=入力!$B$11,A304&gt;1)),入力!$B$14="有効"),ROUND(G303*1.25,0),"")</f>
        <v/>
      </c>
      <c r="S304" s="36">
        <f t="shared" si="83"/>
        <v>420</v>
      </c>
      <c r="T304" s="35" t="str">
        <f t="shared" si="84"/>
        <v/>
      </c>
      <c r="U304" s="3">
        <f t="shared" si="68"/>
        <v>0</v>
      </c>
      <c r="V304" s="3">
        <f t="shared" si="69"/>
        <v>0</v>
      </c>
      <c r="W304" s="3">
        <f t="shared" si="70"/>
        <v>0</v>
      </c>
      <c r="X304" s="3">
        <f t="shared" si="71"/>
        <v>0</v>
      </c>
      <c r="Y304" s="3">
        <f>0</f>
        <v>0</v>
      </c>
      <c r="Z304" s="3">
        <f t="shared" si="72"/>
        <v>0</v>
      </c>
      <c r="AA304">
        <f>ROUND(IF(A304=入力!$B$15+1,IF(E304=0,ROUND(C304/MAX(1,S303-A304+1),0),ROUND(-PMT(E304/12,MAX(1,S303-A304+1)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,0)</f>
        <v>98997</v>
      </c>
    </row>
    <row r="305" spans="1:27">
      <c r="A305" s="30">
        <f>300</f>
        <v>300</v>
      </c>
      <c r="B305" s="31">
        <f>EDATE(入力!$B$6,A305-1)</f>
        <v>55335</v>
      </c>
      <c r="C305" s="32">
        <f t="shared" si="73"/>
        <v>10578408</v>
      </c>
      <c r="D305" s="32">
        <f t="shared" si="74"/>
        <v>0</v>
      </c>
      <c r="E305" s="33">
        <f>IF(AND(T304="",A305&lt;=S304),IF(A305&lt;入力!$B$11,入力!$B$10,入力!$B$12),0)</f>
        <v>2.5000000000000001E-2</v>
      </c>
      <c r="F305" s="32">
        <f t="shared" si="75"/>
        <v>22038</v>
      </c>
      <c r="G305" s="32">
        <f>ROUND(IF(NOT(AND(T304="",A305&lt;=S304)),0,IF(A305=入力!$B$15+1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),0)</f>
        <v>98997</v>
      </c>
      <c r="H305" s="32">
        <f t="shared" si="76"/>
        <v>98997</v>
      </c>
      <c r="I305" s="32">
        <f t="shared" si="77"/>
        <v>22038</v>
      </c>
      <c r="J305" s="32">
        <f t="shared" si="78"/>
        <v>0</v>
      </c>
      <c r="K305" s="32">
        <f t="shared" si="79"/>
        <v>0</v>
      </c>
      <c r="L305" s="32">
        <f t="shared" si="80"/>
        <v>76959</v>
      </c>
      <c r="M305" s="32">
        <f>IF(AND(AND(T304="",A305&lt;=S304),A305=入力!$B$15),ROUND(MIN(入力!$B$16,MAX(0,C305-L305)),0),0)</f>
        <v>0</v>
      </c>
      <c r="N305" s="32">
        <f t="shared" si="81"/>
        <v>10501449</v>
      </c>
      <c r="O305" s="32">
        <f t="shared" si="82"/>
        <v>11008509</v>
      </c>
      <c r="P305" s="34" t="str">
        <f>IF(NOT(AND(T304="",A305&lt;=S304)),"",IF(A305=入力!$B$15+1,"繰上返済後再計算","")&amp;IF(AND(入力!$B$13="有効",A305&gt;1,MOD(A305-1,60)=0),IF(A305=入力!$B$15+1,"・","")&amp;"5年見直し","")&amp;IF(AND(A305=入力!$B$11,A305&gt;1),IF(OR(A305=入力!$B$15+1,AND(入力!$B$13="有効",A305&gt;1,MOD(A305-1,60)=0)),"・","")&amp;"金利変更","")&amp;IF(AND(OR(AND(入力!$B$13="有効",A305&gt;1,MOD(A305-1,60)=0),AND(A305=入力!$B$11,A305&gt;1)),入力!$B$14="有効",IF(E305=0,ROUND(C305/MAX(1,S304-A305+1),0),ROUND(-PMT(E305/12,MAX(1,S304-A305+1),C305),0))&gt;ROUND(G304*1.25,0),NOT(A305=入力!$B$15+1)),"・上限適用",""))</f>
        <v/>
      </c>
      <c r="Q305" s="35" t="str">
        <f>IF(AND(T304="",A305&lt;=S304),入力!$B$13,"")</f>
        <v>有効</v>
      </c>
      <c r="R305" s="32" t="str">
        <f>IF(AND(AND(T304="",A305&lt;=S304),OR(AND(入力!$B$13="有効",A305&gt;1,MOD(A305-1,60)=0),AND(A305=入力!$B$11,A305&gt;1)),入力!$B$14="有効"),ROUND(G304*1.25,0),"")</f>
        <v/>
      </c>
      <c r="S305" s="36">
        <f t="shared" si="83"/>
        <v>420</v>
      </c>
      <c r="T305" s="35" t="str">
        <f t="shared" si="84"/>
        <v/>
      </c>
      <c r="U305" s="3">
        <f t="shared" si="68"/>
        <v>0</v>
      </c>
      <c r="V305" s="3">
        <f t="shared" si="69"/>
        <v>0</v>
      </c>
      <c r="W305" s="3">
        <f t="shared" si="70"/>
        <v>0</v>
      </c>
      <c r="X305" s="3">
        <f t="shared" si="71"/>
        <v>0</v>
      </c>
      <c r="Y305" s="3">
        <f>0</f>
        <v>0</v>
      </c>
      <c r="Z305" s="3">
        <f t="shared" si="72"/>
        <v>0</v>
      </c>
      <c r="AA305">
        <f>ROUND(IF(A305=入力!$B$15+1,IF(E305=0,ROUND(C305/MAX(1,S304-A305+1),0),ROUND(-PMT(E305/12,MAX(1,S304-A305+1)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,0)</f>
        <v>98997</v>
      </c>
    </row>
    <row r="306" spans="1:27">
      <c r="A306" s="30">
        <f>301</f>
        <v>301</v>
      </c>
      <c r="B306" s="31">
        <f>EDATE(入力!$B$6,A306-1)</f>
        <v>55366</v>
      </c>
      <c r="C306" s="32">
        <f t="shared" si="73"/>
        <v>10501449</v>
      </c>
      <c r="D306" s="32">
        <f t="shared" si="74"/>
        <v>0</v>
      </c>
      <c r="E306" s="33">
        <f>IF(AND(T305="",A306&lt;=S305),IF(A306&lt;入力!$B$11,入力!$B$10,入力!$B$12),0)</f>
        <v>2.5000000000000001E-2</v>
      </c>
      <c r="F306" s="32">
        <f t="shared" si="75"/>
        <v>21878</v>
      </c>
      <c r="G306" s="32">
        <f>ROUND(IF(NOT(AND(T305="",A306&lt;=S305)),0,IF(A306=入力!$B$15+1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),0)</f>
        <v>98997</v>
      </c>
      <c r="H306" s="32">
        <f t="shared" si="76"/>
        <v>98997</v>
      </c>
      <c r="I306" s="32">
        <f t="shared" si="77"/>
        <v>21878</v>
      </c>
      <c r="J306" s="32">
        <f t="shared" si="78"/>
        <v>0</v>
      </c>
      <c r="K306" s="32">
        <f t="shared" si="79"/>
        <v>0</v>
      </c>
      <c r="L306" s="32">
        <f t="shared" si="80"/>
        <v>77119</v>
      </c>
      <c r="M306" s="32">
        <f>IF(AND(AND(T305="",A306&lt;=S305),A306=入力!$B$15),ROUND(MIN(入力!$B$16,MAX(0,C306-L306)),0),0)</f>
        <v>0</v>
      </c>
      <c r="N306" s="32">
        <f t="shared" si="81"/>
        <v>10424330</v>
      </c>
      <c r="O306" s="32">
        <f t="shared" si="82"/>
        <v>11030387</v>
      </c>
      <c r="P306" s="34" t="str">
        <f>IF(NOT(AND(T305="",A306&lt;=S305)),"",IF(A306=入力!$B$15+1,"繰上返済後再計算","")&amp;IF(AND(入力!$B$13="有効",A306&gt;1,MOD(A306-1,60)=0),IF(A306=入力!$B$15+1,"・","")&amp;"5年見直し","")&amp;IF(AND(A306=入力!$B$11,A306&gt;1),IF(OR(A306=入力!$B$15+1,AND(入力!$B$13="有効",A306&gt;1,MOD(A306-1,60)=0)),"・","")&amp;"金利変更","")&amp;IF(AND(OR(AND(入力!$B$13="有効",A306&gt;1,MOD(A306-1,60)=0),AND(A306=入力!$B$11,A306&gt;1)),入力!$B$14="有効",IF(E306=0,ROUND(C306/MAX(1,S305-A306+1),0),ROUND(-PMT(E306/12,MAX(1,S305-A306+1),C306),0))&gt;ROUND(G305*1.25,0),NOT(A306=入力!$B$15+1)),"・上限適用",""))</f>
        <v>5年見直し</v>
      </c>
      <c r="Q306" s="35" t="str">
        <f>IF(AND(T305="",A306&lt;=S305),入力!$B$13,"")</f>
        <v>有効</v>
      </c>
      <c r="R306" s="32">
        <f>IF(AND(AND(T305="",A306&lt;=S305),OR(AND(入力!$B$13="有効",A306&gt;1,MOD(A306-1,60)=0),AND(A306=入力!$B$11,A306&gt;1)),入力!$B$14="有効"),ROUND(G305*1.25,0),"")</f>
        <v>123746</v>
      </c>
      <c r="S306" s="36">
        <f t="shared" si="83"/>
        <v>420</v>
      </c>
      <c r="T306" s="35" t="str">
        <f t="shared" si="84"/>
        <v/>
      </c>
      <c r="U306" s="3">
        <f t="shared" si="68"/>
        <v>0</v>
      </c>
      <c r="V306" s="3">
        <f t="shared" si="69"/>
        <v>0</v>
      </c>
      <c r="W306" s="3">
        <f t="shared" si="70"/>
        <v>0</v>
      </c>
      <c r="X306" s="3">
        <f t="shared" si="71"/>
        <v>0</v>
      </c>
      <c r="Y306" s="3">
        <f>0</f>
        <v>0</v>
      </c>
      <c r="Z306" s="3">
        <f t="shared" si="72"/>
        <v>0</v>
      </c>
      <c r="AA306">
        <f>ROUND(IF(A306=入力!$B$15+1,IF(E306=0,ROUND(C306/MAX(1,S305-A306+1),0),ROUND(-PMT(E306/12,MAX(1,S305-A306+1)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,0)</f>
        <v>98997</v>
      </c>
    </row>
    <row r="307" spans="1:27">
      <c r="A307" s="30">
        <f>302</f>
        <v>302</v>
      </c>
      <c r="B307" s="31">
        <f>EDATE(入力!$B$6,A307-1)</f>
        <v>55397</v>
      </c>
      <c r="C307" s="32">
        <f t="shared" si="73"/>
        <v>10424330</v>
      </c>
      <c r="D307" s="32">
        <f t="shared" si="74"/>
        <v>0</v>
      </c>
      <c r="E307" s="33">
        <f>IF(AND(T306="",A307&lt;=S306),IF(A307&lt;入力!$B$11,入力!$B$10,入力!$B$12),0)</f>
        <v>2.5000000000000001E-2</v>
      </c>
      <c r="F307" s="32">
        <f t="shared" si="75"/>
        <v>21717</v>
      </c>
      <c r="G307" s="32">
        <f>ROUND(IF(NOT(AND(T306="",A307&lt;=S306)),0,IF(A307=入力!$B$15+1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),0)</f>
        <v>98997</v>
      </c>
      <c r="H307" s="32">
        <f t="shared" si="76"/>
        <v>98997</v>
      </c>
      <c r="I307" s="32">
        <f t="shared" si="77"/>
        <v>21717</v>
      </c>
      <c r="J307" s="32">
        <f t="shared" si="78"/>
        <v>0</v>
      </c>
      <c r="K307" s="32">
        <f t="shared" si="79"/>
        <v>0</v>
      </c>
      <c r="L307" s="32">
        <f t="shared" si="80"/>
        <v>77280</v>
      </c>
      <c r="M307" s="32">
        <f>IF(AND(AND(T306="",A307&lt;=S306),A307=入力!$B$15),ROUND(MIN(入力!$B$16,MAX(0,C307-L307)),0),0)</f>
        <v>0</v>
      </c>
      <c r="N307" s="32">
        <f t="shared" si="81"/>
        <v>10347050</v>
      </c>
      <c r="O307" s="32">
        <f t="shared" si="82"/>
        <v>11052104</v>
      </c>
      <c r="P307" s="34" t="str">
        <f>IF(NOT(AND(T306="",A307&lt;=S306)),"",IF(A307=入力!$B$15+1,"繰上返済後再計算","")&amp;IF(AND(入力!$B$13="有効",A307&gt;1,MOD(A307-1,60)=0),IF(A307=入力!$B$15+1,"・","")&amp;"5年見直し","")&amp;IF(AND(A307=入力!$B$11,A307&gt;1),IF(OR(A307=入力!$B$15+1,AND(入力!$B$13="有効",A307&gt;1,MOD(A307-1,60)=0)),"・","")&amp;"金利変更","")&amp;IF(AND(OR(AND(入力!$B$13="有効",A307&gt;1,MOD(A307-1,60)=0),AND(A307=入力!$B$11,A307&gt;1)),入力!$B$14="有効",IF(E307=0,ROUND(C307/MAX(1,S306-A307+1),0),ROUND(-PMT(E307/12,MAX(1,S306-A307+1),C307),0))&gt;ROUND(G306*1.25,0),NOT(A307=入力!$B$15+1)),"・上限適用",""))</f>
        <v/>
      </c>
      <c r="Q307" s="35" t="str">
        <f>IF(AND(T306="",A307&lt;=S306),入力!$B$13,"")</f>
        <v>有効</v>
      </c>
      <c r="R307" s="32" t="str">
        <f>IF(AND(AND(T306="",A307&lt;=S306),OR(AND(入力!$B$13="有効",A307&gt;1,MOD(A307-1,60)=0),AND(A307=入力!$B$11,A307&gt;1)),入力!$B$14="有効"),ROUND(G306*1.25,0),"")</f>
        <v/>
      </c>
      <c r="S307" s="36">
        <f t="shared" si="83"/>
        <v>420</v>
      </c>
      <c r="T307" s="35" t="str">
        <f t="shared" si="84"/>
        <v/>
      </c>
      <c r="U307" s="3">
        <f t="shared" si="68"/>
        <v>0</v>
      </c>
      <c r="V307" s="3">
        <f t="shared" si="69"/>
        <v>0</v>
      </c>
      <c r="W307" s="3">
        <f t="shared" si="70"/>
        <v>0</v>
      </c>
      <c r="X307" s="3">
        <f t="shared" si="71"/>
        <v>0</v>
      </c>
      <c r="Y307" s="3">
        <f>0</f>
        <v>0</v>
      </c>
      <c r="Z307" s="3">
        <f t="shared" si="72"/>
        <v>0</v>
      </c>
      <c r="AA307">
        <f>ROUND(IF(A307=入力!$B$15+1,IF(E307=0,ROUND(C307/MAX(1,S306-A307+1),0),ROUND(-PMT(E307/12,MAX(1,S306-A307+1)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,0)</f>
        <v>98997</v>
      </c>
    </row>
    <row r="308" spans="1:27">
      <c r="A308" s="30">
        <f>303</f>
        <v>303</v>
      </c>
      <c r="B308" s="31">
        <f>EDATE(入力!$B$6,A308-1)</f>
        <v>55427</v>
      </c>
      <c r="C308" s="32">
        <f t="shared" si="73"/>
        <v>10347050</v>
      </c>
      <c r="D308" s="32">
        <f t="shared" si="74"/>
        <v>0</v>
      </c>
      <c r="E308" s="33">
        <f>IF(AND(T307="",A308&lt;=S307),IF(A308&lt;入力!$B$11,入力!$B$10,入力!$B$12),0)</f>
        <v>2.5000000000000001E-2</v>
      </c>
      <c r="F308" s="32">
        <f t="shared" si="75"/>
        <v>21556</v>
      </c>
      <c r="G308" s="32">
        <f>ROUND(IF(NOT(AND(T307="",A308&lt;=S307)),0,IF(A308=入力!$B$15+1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),0)</f>
        <v>98997</v>
      </c>
      <c r="H308" s="32">
        <f t="shared" si="76"/>
        <v>98997</v>
      </c>
      <c r="I308" s="32">
        <f t="shared" si="77"/>
        <v>21556</v>
      </c>
      <c r="J308" s="32">
        <f t="shared" si="78"/>
        <v>0</v>
      </c>
      <c r="K308" s="32">
        <f t="shared" si="79"/>
        <v>0</v>
      </c>
      <c r="L308" s="32">
        <f t="shared" si="80"/>
        <v>77441</v>
      </c>
      <c r="M308" s="32">
        <f>IF(AND(AND(T307="",A308&lt;=S307),A308=入力!$B$15),ROUND(MIN(入力!$B$16,MAX(0,C308-L308)),0),0)</f>
        <v>0</v>
      </c>
      <c r="N308" s="32">
        <f t="shared" si="81"/>
        <v>10269609</v>
      </c>
      <c r="O308" s="32">
        <f t="shared" si="82"/>
        <v>11073660</v>
      </c>
      <c r="P308" s="34" t="str">
        <f>IF(NOT(AND(T307="",A308&lt;=S307)),"",IF(A308=入力!$B$15+1,"繰上返済後再計算","")&amp;IF(AND(入力!$B$13="有効",A308&gt;1,MOD(A308-1,60)=0),IF(A308=入力!$B$15+1,"・","")&amp;"5年見直し","")&amp;IF(AND(A308=入力!$B$11,A308&gt;1),IF(OR(A308=入力!$B$15+1,AND(入力!$B$13="有効",A308&gt;1,MOD(A308-1,60)=0)),"・","")&amp;"金利変更","")&amp;IF(AND(OR(AND(入力!$B$13="有効",A308&gt;1,MOD(A308-1,60)=0),AND(A308=入力!$B$11,A308&gt;1)),入力!$B$14="有効",IF(E308=0,ROUND(C308/MAX(1,S307-A308+1),0),ROUND(-PMT(E308/12,MAX(1,S307-A308+1),C308),0))&gt;ROUND(G307*1.25,0),NOT(A308=入力!$B$15+1)),"・上限適用",""))</f>
        <v/>
      </c>
      <c r="Q308" s="35" t="str">
        <f>IF(AND(T307="",A308&lt;=S307),入力!$B$13,"")</f>
        <v>有効</v>
      </c>
      <c r="R308" s="32" t="str">
        <f>IF(AND(AND(T307="",A308&lt;=S307),OR(AND(入力!$B$13="有効",A308&gt;1,MOD(A308-1,60)=0),AND(A308=入力!$B$11,A308&gt;1)),入力!$B$14="有効"),ROUND(G307*1.25,0),"")</f>
        <v/>
      </c>
      <c r="S308" s="36">
        <f t="shared" si="83"/>
        <v>420</v>
      </c>
      <c r="T308" s="35" t="str">
        <f t="shared" si="84"/>
        <v/>
      </c>
      <c r="U308" s="3">
        <f t="shared" si="68"/>
        <v>0</v>
      </c>
      <c r="V308" s="3">
        <f t="shared" si="69"/>
        <v>0</v>
      </c>
      <c r="W308" s="3">
        <f t="shared" si="70"/>
        <v>0</v>
      </c>
      <c r="X308" s="3">
        <f t="shared" si="71"/>
        <v>0</v>
      </c>
      <c r="Y308" s="3">
        <f>0</f>
        <v>0</v>
      </c>
      <c r="Z308" s="3">
        <f t="shared" si="72"/>
        <v>0</v>
      </c>
      <c r="AA308">
        <f>ROUND(IF(A308=入力!$B$15+1,IF(E308=0,ROUND(C308/MAX(1,S307-A308+1),0),ROUND(-PMT(E308/12,MAX(1,S307-A308+1)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,0)</f>
        <v>98997</v>
      </c>
    </row>
    <row r="309" spans="1:27">
      <c r="A309" s="30">
        <f>304</f>
        <v>304</v>
      </c>
      <c r="B309" s="31">
        <f>EDATE(入力!$B$6,A309-1)</f>
        <v>55458</v>
      </c>
      <c r="C309" s="32">
        <f t="shared" si="73"/>
        <v>10269609</v>
      </c>
      <c r="D309" s="32">
        <f t="shared" si="74"/>
        <v>0</v>
      </c>
      <c r="E309" s="33">
        <f>IF(AND(T308="",A309&lt;=S308),IF(A309&lt;入力!$B$11,入力!$B$10,入力!$B$12),0)</f>
        <v>2.5000000000000001E-2</v>
      </c>
      <c r="F309" s="32">
        <f t="shared" si="75"/>
        <v>21395</v>
      </c>
      <c r="G309" s="32">
        <f>ROUND(IF(NOT(AND(T308="",A309&lt;=S308)),0,IF(A309=入力!$B$15+1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),0)</f>
        <v>98997</v>
      </c>
      <c r="H309" s="32">
        <f t="shared" si="76"/>
        <v>98997</v>
      </c>
      <c r="I309" s="32">
        <f t="shared" si="77"/>
        <v>21395</v>
      </c>
      <c r="J309" s="32">
        <f t="shared" si="78"/>
        <v>0</v>
      </c>
      <c r="K309" s="32">
        <f t="shared" si="79"/>
        <v>0</v>
      </c>
      <c r="L309" s="32">
        <f t="shared" si="80"/>
        <v>77602</v>
      </c>
      <c r="M309" s="32">
        <f>IF(AND(AND(T308="",A309&lt;=S308),A309=入力!$B$15),ROUND(MIN(入力!$B$16,MAX(0,C309-L309)),0),0)</f>
        <v>0</v>
      </c>
      <c r="N309" s="32">
        <f t="shared" si="81"/>
        <v>10192007</v>
      </c>
      <c r="O309" s="32">
        <f t="shared" si="82"/>
        <v>11095055</v>
      </c>
      <c r="P309" s="34" t="str">
        <f>IF(NOT(AND(T308="",A309&lt;=S308)),"",IF(A309=入力!$B$15+1,"繰上返済後再計算","")&amp;IF(AND(入力!$B$13="有効",A309&gt;1,MOD(A309-1,60)=0),IF(A309=入力!$B$15+1,"・","")&amp;"5年見直し","")&amp;IF(AND(A309=入力!$B$11,A309&gt;1),IF(OR(A309=入力!$B$15+1,AND(入力!$B$13="有効",A309&gt;1,MOD(A309-1,60)=0)),"・","")&amp;"金利変更","")&amp;IF(AND(OR(AND(入力!$B$13="有効",A309&gt;1,MOD(A309-1,60)=0),AND(A309=入力!$B$11,A309&gt;1)),入力!$B$14="有効",IF(E309=0,ROUND(C309/MAX(1,S308-A309+1),0),ROUND(-PMT(E309/12,MAX(1,S308-A309+1),C309),0))&gt;ROUND(G308*1.25,0),NOT(A309=入力!$B$15+1)),"・上限適用",""))</f>
        <v/>
      </c>
      <c r="Q309" s="35" t="str">
        <f>IF(AND(T308="",A309&lt;=S308),入力!$B$13,"")</f>
        <v>有効</v>
      </c>
      <c r="R309" s="32" t="str">
        <f>IF(AND(AND(T308="",A309&lt;=S308),OR(AND(入力!$B$13="有効",A309&gt;1,MOD(A309-1,60)=0),AND(A309=入力!$B$11,A309&gt;1)),入力!$B$14="有効"),ROUND(G308*1.25,0),"")</f>
        <v/>
      </c>
      <c r="S309" s="36">
        <f t="shared" si="83"/>
        <v>420</v>
      </c>
      <c r="T309" s="35" t="str">
        <f t="shared" si="84"/>
        <v/>
      </c>
      <c r="U309" s="3">
        <f t="shared" si="68"/>
        <v>0</v>
      </c>
      <c r="V309" s="3">
        <f t="shared" si="69"/>
        <v>0</v>
      </c>
      <c r="W309" s="3">
        <f t="shared" si="70"/>
        <v>0</v>
      </c>
      <c r="X309" s="3">
        <f t="shared" si="71"/>
        <v>0</v>
      </c>
      <c r="Y309" s="3">
        <f>0</f>
        <v>0</v>
      </c>
      <c r="Z309" s="3">
        <f t="shared" si="72"/>
        <v>0</v>
      </c>
      <c r="AA309">
        <f>ROUND(IF(A309=入力!$B$15+1,IF(E309=0,ROUND(C309/MAX(1,S308-A309+1),0),ROUND(-PMT(E309/12,MAX(1,S308-A309+1)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,0)</f>
        <v>98997</v>
      </c>
    </row>
    <row r="310" spans="1:27">
      <c r="A310" s="30">
        <f>305</f>
        <v>305</v>
      </c>
      <c r="B310" s="31">
        <f>EDATE(入力!$B$6,A310-1)</f>
        <v>55488</v>
      </c>
      <c r="C310" s="32">
        <f t="shared" si="73"/>
        <v>10192007</v>
      </c>
      <c r="D310" s="32">
        <f t="shared" si="74"/>
        <v>0</v>
      </c>
      <c r="E310" s="33">
        <f>IF(AND(T309="",A310&lt;=S309),IF(A310&lt;入力!$B$11,入力!$B$10,入力!$B$12),0)</f>
        <v>2.5000000000000001E-2</v>
      </c>
      <c r="F310" s="32">
        <f t="shared" si="75"/>
        <v>21233</v>
      </c>
      <c r="G310" s="32">
        <f>ROUND(IF(NOT(AND(T309="",A310&lt;=S309)),0,IF(A310=入力!$B$15+1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),0)</f>
        <v>98997</v>
      </c>
      <c r="H310" s="32">
        <f t="shared" si="76"/>
        <v>98997</v>
      </c>
      <c r="I310" s="32">
        <f t="shared" si="77"/>
        <v>21233</v>
      </c>
      <c r="J310" s="32">
        <f t="shared" si="78"/>
        <v>0</v>
      </c>
      <c r="K310" s="32">
        <f t="shared" si="79"/>
        <v>0</v>
      </c>
      <c r="L310" s="32">
        <f t="shared" si="80"/>
        <v>77764</v>
      </c>
      <c r="M310" s="32">
        <f>IF(AND(AND(T309="",A310&lt;=S309),A310=入力!$B$15),ROUND(MIN(入力!$B$16,MAX(0,C310-L310)),0),0)</f>
        <v>0</v>
      </c>
      <c r="N310" s="32">
        <f t="shared" si="81"/>
        <v>10114243</v>
      </c>
      <c r="O310" s="32">
        <f t="shared" si="82"/>
        <v>11116288</v>
      </c>
      <c r="P310" s="34" t="str">
        <f>IF(NOT(AND(T309="",A310&lt;=S309)),"",IF(A310=入力!$B$15+1,"繰上返済後再計算","")&amp;IF(AND(入力!$B$13="有効",A310&gt;1,MOD(A310-1,60)=0),IF(A310=入力!$B$15+1,"・","")&amp;"5年見直し","")&amp;IF(AND(A310=入力!$B$11,A310&gt;1),IF(OR(A310=入力!$B$15+1,AND(入力!$B$13="有効",A310&gt;1,MOD(A310-1,60)=0)),"・","")&amp;"金利変更","")&amp;IF(AND(OR(AND(入力!$B$13="有効",A310&gt;1,MOD(A310-1,60)=0),AND(A310=入力!$B$11,A310&gt;1)),入力!$B$14="有効",IF(E310=0,ROUND(C310/MAX(1,S309-A310+1),0),ROUND(-PMT(E310/12,MAX(1,S309-A310+1),C310),0))&gt;ROUND(G309*1.25,0),NOT(A310=入力!$B$15+1)),"・上限適用",""))</f>
        <v/>
      </c>
      <c r="Q310" s="35" t="str">
        <f>IF(AND(T309="",A310&lt;=S309),入力!$B$13,"")</f>
        <v>有効</v>
      </c>
      <c r="R310" s="32" t="str">
        <f>IF(AND(AND(T309="",A310&lt;=S309),OR(AND(入力!$B$13="有効",A310&gt;1,MOD(A310-1,60)=0),AND(A310=入力!$B$11,A310&gt;1)),入力!$B$14="有効"),ROUND(G309*1.25,0),"")</f>
        <v/>
      </c>
      <c r="S310" s="36">
        <f t="shared" si="83"/>
        <v>420</v>
      </c>
      <c r="T310" s="35" t="str">
        <f t="shared" si="84"/>
        <v/>
      </c>
      <c r="U310" s="3">
        <f t="shared" si="68"/>
        <v>0</v>
      </c>
      <c r="V310" s="3">
        <f t="shared" si="69"/>
        <v>0</v>
      </c>
      <c r="W310" s="3">
        <f t="shared" si="70"/>
        <v>0</v>
      </c>
      <c r="X310" s="3">
        <f t="shared" si="71"/>
        <v>0</v>
      </c>
      <c r="Y310" s="3">
        <f>0</f>
        <v>0</v>
      </c>
      <c r="Z310" s="3">
        <f t="shared" si="72"/>
        <v>0</v>
      </c>
      <c r="AA310">
        <f>ROUND(IF(A310=入力!$B$15+1,IF(E310=0,ROUND(C310/MAX(1,S309-A310+1),0),ROUND(-PMT(E310/12,MAX(1,S309-A310+1)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,0)</f>
        <v>98997</v>
      </c>
    </row>
    <row r="311" spans="1:27">
      <c r="A311" s="30">
        <f>306</f>
        <v>306</v>
      </c>
      <c r="B311" s="31">
        <f>EDATE(入力!$B$6,A311-1)</f>
        <v>55519</v>
      </c>
      <c r="C311" s="32">
        <f t="shared" si="73"/>
        <v>10114243</v>
      </c>
      <c r="D311" s="32">
        <f t="shared" si="74"/>
        <v>0</v>
      </c>
      <c r="E311" s="33">
        <f>IF(AND(T310="",A311&lt;=S310),IF(A311&lt;入力!$B$11,入力!$B$10,入力!$B$12),0)</f>
        <v>2.5000000000000001E-2</v>
      </c>
      <c r="F311" s="32">
        <f t="shared" si="75"/>
        <v>21071</v>
      </c>
      <c r="G311" s="32">
        <f>ROUND(IF(NOT(AND(T310="",A311&lt;=S310)),0,IF(A311=入力!$B$15+1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),0)</f>
        <v>98997</v>
      </c>
      <c r="H311" s="32">
        <f t="shared" si="76"/>
        <v>98997</v>
      </c>
      <c r="I311" s="32">
        <f t="shared" si="77"/>
        <v>21071</v>
      </c>
      <c r="J311" s="32">
        <f t="shared" si="78"/>
        <v>0</v>
      </c>
      <c r="K311" s="32">
        <f t="shared" si="79"/>
        <v>0</v>
      </c>
      <c r="L311" s="32">
        <f t="shared" si="80"/>
        <v>77926</v>
      </c>
      <c r="M311" s="32">
        <f>IF(AND(AND(T310="",A311&lt;=S310),A311=入力!$B$15),ROUND(MIN(入力!$B$16,MAX(0,C311-L311)),0),0)</f>
        <v>0</v>
      </c>
      <c r="N311" s="32">
        <f t="shared" si="81"/>
        <v>10036317</v>
      </c>
      <c r="O311" s="32">
        <f t="shared" si="82"/>
        <v>11137359</v>
      </c>
      <c r="P311" s="34" t="str">
        <f>IF(NOT(AND(T310="",A311&lt;=S310)),"",IF(A311=入力!$B$15+1,"繰上返済後再計算","")&amp;IF(AND(入力!$B$13="有効",A311&gt;1,MOD(A311-1,60)=0),IF(A311=入力!$B$15+1,"・","")&amp;"5年見直し","")&amp;IF(AND(A311=入力!$B$11,A311&gt;1),IF(OR(A311=入力!$B$15+1,AND(入力!$B$13="有効",A311&gt;1,MOD(A311-1,60)=0)),"・","")&amp;"金利変更","")&amp;IF(AND(OR(AND(入力!$B$13="有効",A311&gt;1,MOD(A311-1,60)=0),AND(A311=入力!$B$11,A311&gt;1)),入力!$B$14="有効",IF(E311=0,ROUND(C311/MAX(1,S310-A311+1),0),ROUND(-PMT(E311/12,MAX(1,S310-A311+1),C311),0))&gt;ROUND(G310*1.25,0),NOT(A311=入力!$B$15+1)),"・上限適用",""))</f>
        <v/>
      </c>
      <c r="Q311" s="35" t="str">
        <f>IF(AND(T310="",A311&lt;=S310),入力!$B$13,"")</f>
        <v>有効</v>
      </c>
      <c r="R311" s="32" t="str">
        <f>IF(AND(AND(T310="",A311&lt;=S310),OR(AND(入力!$B$13="有効",A311&gt;1,MOD(A311-1,60)=0),AND(A311=入力!$B$11,A311&gt;1)),入力!$B$14="有効"),ROUND(G310*1.25,0),"")</f>
        <v/>
      </c>
      <c r="S311" s="36">
        <f t="shared" si="83"/>
        <v>420</v>
      </c>
      <c r="T311" s="35" t="str">
        <f t="shared" si="84"/>
        <v/>
      </c>
      <c r="U311" s="3">
        <f t="shared" si="68"/>
        <v>0</v>
      </c>
      <c r="V311" s="3">
        <f t="shared" si="69"/>
        <v>0</v>
      </c>
      <c r="W311" s="3">
        <f t="shared" si="70"/>
        <v>0</v>
      </c>
      <c r="X311" s="3">
        <f t="shared" si="71"/>
        <v>0</v>
      </c>
      <c r="Y311" s="3">
        <f>0</f>
        <v>0</v>
      </c>
      <c r="Z311" s="3">
        <f t="shared" si="72"/>
        <v>0</v>
      </c>
      <c r="AA311">
        <f>ROUND(IF(A311=入力!$B$15+1,IF(E311=0,ROUND(C311/MAX(1,S310-A311+1),0),ROUND(-PMT(E311/12,MAX(1,S310-A311+1)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,0)</f>
        <v>98997</v>
      </c>
    </row>
    <row r="312" spans="1:27">
      <c r="A312" s="30">
        <f>307</f>
        <v>307</v>
      </c>
      <c r="B312" s="31">
        <f>EDATE(入力!$B$6,A312-1)</f>
        <v>55550</v>
      </c>
      <c r="C312" s="32">
        <f t="shared" si="73"/>
        <v>10036317</v>
      </c>
      <c r="D312" s="32">
        <f t="shared" si="74"/>
        <v>0</v>
      </c>
      <c r="E312" s="33">
        <f>IF(AND(T311="",A312&lt;=S311),IF(A312&lt;入力!$B$11,入力!$B$10,入力!$B$12),0)</f>
        <v>2.5000000000000001E-2</v>
      </c>
      <c r="F312" s="32">
        <f t="shared" si="75"/>
        <v>20909</v>
      </c>
      <c r="G312" s="32">
        <f>ROUND(IF(NOT(AND(T311="",A312&lt;=S311)),0,IF(A312=入力!$B$15+1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),0)</f>
        <v>98997</v>
      </c>
      <c r="H312" s="32">
        <f t="shared" si="76"/>
        <v>98997</v>
      </c>
      <c r="I312" s="32">
        <f t="shared" si="77"/>
        <v>20909</v>
      </c>
      <c r="J312" s="32">
        <f t="shared" si="78"/>
        <v>0</v>
      </c>
      <c r="K312" s="32">
        <f t="shared" si="79"/>
        <v>0</v>
      </c>
      <c r="L312" s="32">
        <f t="shared" si="80"/>
        <v>78088</v>
      </c>
      <c r="M312" s="32">
        <f>IF(AND(AND(T311="",A312&lt;=S311),A312=入力!$B$15),ROUND(MIN(入力!$B$16,MAX(0,C312-L312)),0),0)</f>
        <v>0</v>
      </c>
      <c r="N312" s="32">
        <f t="shared" si="81"/>
        <v>9958229</v>
      </c>
      <c r="O312" s="32">
        <f t="shared" si="82"/>
        <v>11158268</v>
      </c>
      <c r="P312" s="34" t="str">
        <f>IF(NOT(AND(T311="",A312&lt;=S311)),"",IF(A312=入力!$B$15+1,"繰上返済後再計算","")&amp;IF(AND(入力!$B$13="有効",A312&gt;1,MOD(A312-1,60)=0),IF(A312=入力!$B$15+1,"・","")&amp;"5年見直し","")&amp;IF(AND(A312=入力!$B$11,A312&gt;1),IF(OR(A312=入力!$B$15+1,AND(入力!$B$13="有効",A312&gt;1,MOD(A312-1,60)=0)),"・","")&amp;"金利変更","")&amp;IF(AND(OR(AND(入力!$B$13="有効",A312&gt;1,MOD(A312-1,60)=0),AND(A312=入力!$B$11,A312&gt;1)),入力!$B$14="有効",IF(E312=0,ROUND(C312/MAX(1,S311-A312+1),0),ROUND(-PMT(E312/12,MAX(1,S311-A312+1),C312),0))&gt;ROUND(G311*1.25,0),NOT(A312=入力!$B$15+1)),"・上限適用",""))</f>
        <v/>
      </c>
      <c r="Q312" s="35" t="str">
        <f>IF(AND(T311="",A312&lt;=S311),入力!$B$13,"")</f>
        <v>有効</v>
      </c>
      <c r="R312" s="32" t="str">
        <f>IF(AND(AND(T311="",A312&lt;=S311),OR(AND(入力!$B$13="有効",A312&gt;1,MOD(A312-1,60)=0),AND(A312=入力!$B$11,A312&gt;1)),入力!$B$14="有効"),ROUND(G311*1.25,0),"")</f>
        <v/>
      </c>
      <c r="S312" s="36">
        <f t="shared" si="83"/>
        <v>420</v>
      </c>
      <c r="T312" s="35" t="str">
        <f t="shared" si="84"/>
        <v/>
      </c>
      <c r="U312" s="3">
        <f t="shared" si="68"/>
        <v>0</v>
      </c>
      <c r="V312" s="3">
        <f t="shared" si="69"/>
        <v>0</v>
      </c>
      <c r="W312" s="3">
        <f t="shared" si="70"/>
        <v>0</v>
      </c>
      <c r="X312" s="3">
        <f t="shared" si="71"/>
        <v>0</v>
      </c>
      <c r="Y312" s="3">
        <f>0</f>
        <v>0</v>
      </c>
      <c r="Z312" s="3">
        <f t="shared" si="72"/>
        <v>0</v>
      </c>
      <c r="AA312">
        <f>ROUND(IF(A312=入力!$B$15+1,IF(E312=0,ROUND(C312/MAX(1,S311-A312+1),0),ROUND(-PMT(E312/12,MAX(1,S311-A312+1)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,0)</f>
        <v>98997</v>
      </c>
    </row>
    <row r="313" spans="1:27">
      <c r="A313" s="30">
        <f>308</f>
        <v>308</v>
      </c>
      <c r="B313" s="31">
        <f>EDATE(入力!$B$6,A313-1)</f>
        <v>55579</v>
      </c>
      <c r="C313" s="32">
        <f t="shared" si="73"/>
        <v>9958229</v>
      </c>
      <c r="D313" s="32">
        <f t="shared" si="74"/>
        <v>0</v>
      </c>
      <c r="E313" s="33">
        <f>IF(AND(T312="",A313&lt;=S312),IF(A313&lt;入力!$B$11,入力!$B$10,入力!$B$12),0)</f>
        <v>2.5000000000000001E-2</v>
      </c>
      <c r="F313" s="32">
        <f t="shared" si="75"/>
        <v>20746</v>
      </c>
      <c r="G313" s="32">
        <f>ROUND(IF(NOT(AND(T312="",A313&lt;=S312)),0,IF(A313=入力!$B$15+1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),0)</f>
        <v>98997</v>
      </c>
      <c r="H313" s="32">
        <f t="shared" si="76"/>
        <v>98997</v>
      </c>
      <c r="I313" s="32">
        <f t="shared" si="77"/>
        <v>20746</v>
      </c>
      <c r="J313" s="32">
        <f t="shared" si="78"/>
        <v>0</v>
      </c>
      <c r="K313" s="32">
        <f t="shared" si="79"/>
        <v>0</v>
      </c>
      <c r="L313" s="32">
        <f t="shared" si="80"/>
        <v>78251</v>
      </c>
      <c r="M313" s="32">
        <f>IF(AND(AND(T312="",A313&lt;=S312),A313=入力!$B$15),ROUND(MIN(入力!$B$16,MAX(0,C313-L313)),0),0)</f>
        <v>0</v>
      </c>
      <c r="N313" s="32">
        <f t="shared" si="81"/>
        <v>9879978</v>
      </c>
      <c r="O313" s="32">
        <f t="shared" si="82"/>
        <v>11179014</v>
      </c>
      <c r="P313" s="34" t="str">
        <f>IF(NOT(AND(T312="",A313&lt;=S312)),"",IF(A313=入力!$B$15+1,"繰上返済後再計算","")&amp;IF(AND(入力!$B$13="有効",A313&gt;1,MOD(A313-1,60)=0),IF(A313=入力!$B$15+1,"・","")&amp;"5年見直し","")&amp;IF(AND(A313=入力!$B$11,A313&gt;1),IF(OR(A313=入力!$B$15+1,AND(入力!$B$13="有効",A313&gt;1,MOD(A313-1,60)=0)),"・","")&amp;"金利変更","")&amp;IF(AND(OR(AND(入力!$B$13="有効",A313&gt;1,MOD(A313-1,60)=0),AND(A313=入力!$B$11,A313&gt;1)),入力!$B$14="有効",IF(E313=0,ROUND(C313/MAX(1,S312-A313+1),0),ROUND(-PMT(E313/12,MAX(1,S312-A313+1),C313),0))&gt;ROUND(G312*1.25,0),NOT(A313=入力!$B$15+1)),"・上限適用",""))</f>
        <v/>
      </c>
      <c r="Q313" s="35" t="str">
        <f>IF(AND(T312="",A313&lt;=S312),入力!$B$13,"")</f>
        <v>有効</v>
      </c>
      <c r="R313" s="32" t="str">
        <f>IF(AND(AND(T312="",A313&lt;=S312),OR(AND(入力!$B$13="有効",A313&gt;1,MOD(A313-1,60)=0),AND(A313=入力!$B$11,A313&gt;1)),入力!$B$14="有効"),ROUND(G312*1.25,0),"")</f>
        <v/>
      </c>
      <c r="S313" s="36">
        <f t="shared" si="83"/>
        <v>420</v>
      </c>
      <c r="T313" s="35" t="str">
        <f t="shared" si="84"/>
        <v/>
      </c>
      <c r="U313" s="3">
        <f t="shared" si="68"/>
        <v>0</v>
      </c>
      <c r="V313" s="3">
        <f t="shared" si="69"/>
        <v>0</v>
      </c>
      <c r="W313" s="3">
        <f t="shared" si="70"/>
        <v>0</v>
      </c>
      <c r="X313" s="3">
        <f t="shared" si="71"/>
        <v>0</v>
      </c>
      <c r="Y313" s="3">
        <f>0</f>
        <v>0</v>
      </c>
      <c r="Z313" s="3">
        <f t="shared" si="72"/>
        <v>0</v>
      </c>
      <c r="AA313">
        <f>ROUND(IF(A313=入力!$B$15+1,IF(E313=0,ROUND(C313/MAX(1,S312-A313+1),0),ROUND(-PMT(E313/12,MAX(1,S312-A313+1)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,0)</f>
        <v>98997</v>
      </c>
    </row>
    <row r="314" spans="1:27">
      <c r="A314" s="30">
        <f>309</f>
        <v>309</v>
      </c>
      <c r="B314" s="31">
        <f>EDATE(入力!$B$6,A314-1)</f>
        <v>55610</v>
      </c>
      <c r="C314" s="32">
        <f t="shared" si="73"/>
        <v>9879978</v>
      </c>
      <c r="D314" s="32">
        <f t="shared" si="74"/>
        <v>0</v>
      </c>
      <c r="E314" s="33">
        <f>IF(AND(T313="",A314&lt;=S313),IF(A314&lt;入力!$B$11,入力!$B$10,入力!$B$12),0)</f>
        <v>2.5000000000000001E-2</v>
      </c>
      <c r="F314" s="32">
        <f t="shared" si="75"/>
        <v>20583</v>
      </c>
      <c r="G314" s="32">
        <f>ROUND(IF(NOT(AND(T313="",A314&lt;=S313)),0,IF(A314=入力!$B$15+1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),0)</f>
        <v>98997</v>
      </c>
      <c r="H314" s="32">
        <f t="shared" si="76"/>
        <v>98997</v>
      </c>
      <c r="I314" s="32">
        <f t="shared" si="77"/>
        <v>20583</v>
      </c>
      <c r="J314" s="32">
        <f t="shared" si="78"/>
        <v>0</v>
      </c>
      <c r="K314" s="32">
        <f t="shared" si="79"/>
        <v>0</v>
      </c>
      <c r="L314" s="32">
        <f t="shared" si="80"/>
        <v>78414</v>
      </c>
      <c r="M314" s="32">
        <f>IF(AND(AND(T313="",A314&lt;=S313),A314=入力!$B$15),ROUND(MIN(入力!$B$16,MAX(0,C314-L314)),0),0)</f>
        <v>0</v>
      </c>
      <c r="N314" s="32">
        <f t="shared" si="81"/>
        <v>9801564</v>
      </c>
      <c r="O314" s="32">
        <f t="shared" si="82"/>
        <v>11199597</v>
      </c>
      <c r="P314" s="34" t="str">
        <f>IF(NOT(AND(T313="",A314&lt;=S313)),"",IF(A314=入力!$B$15+1,"繰上返済後再計算","")&amp;IF(AND(入力!$B$13="有効",A314&gt;1,MOD(A314-1,60)=0),IF(A314=入力!$B$15+1,"・","")&amp;"5年見直し","")&amp;IF(AND(A314=入力!$B$11,A314&gt;1),IF(OR(A314=入力!$B$15+1,AND(入力!$B$13="有効",A314&gt;1,MOD(A314-1,60)=0)),"・","")&amp;"金利変更","")&amp;IF(AND(OR(AND(入力!$B$13="有効",A314&gt;1,MOD(A314-1,60)=0),AND(A314=入力!$B$11,A314&gt;1)),入力!$B$14="有効",IF(E314=0,ROUND(C314/MAX(1,S313-A314+1),0),ROUND(-PMT(E314/12,MAX(1,S313-A314+1),C314),0))&gt;ROUND(G313*1.25,0),NOT(A314=入力!$B$15+1)),"・上限適用",""))</f>
        <v/>
      </c>
      <c r="Q314" s="35" t="str">
        <f>IF(AND(T313="",A314&lt;=S313),入力!$B$13,"")</f>
        <v>有効</v>
      </c>
      <c r="R314" s="32" t="str">
        <f>IF(AND(AND(T313="",A314&lt;=S313),OR(AND(入力!$B$13="有効",A314&gt;1,MOD(A314-1,60)=0),AND(A314=入力!$B$11,A314&gt;1)),入力!$B$14="有効"),ROUND(G313*1.25,0),"")</f>
        <v/>
      </c>
      <c r="S314" s="36">
        <f t="shared" si="83"/>
        <v>420</v>
      </c>
      <c r="T314" s="35" t="str">
        <f t="shared" si="84"/>
        <v/>
      </c>
      <c r="U314" s="3">
        <f t="shared" si="68"/>
        <v>0</v>
      </c>
      <c r="V314" s="3">
        <f t="shared" si="69"/>
        <v>0</v>
      </c>
      <c r="W314" s="3">
        <f t="shared" si="70"/>
        <v>0</v>
      </c>
      <c r="X314" s="3">
        <f t="shared" si="71"/>
        <v>0</v>
      </c>
      <c r="Y314" s="3">
        <f>0</f>
        <v>0</v>
      </c>
      <c r="Z314" s="3">
        <f t="shared" si="72"/>
        <v>0</v>
      </c>
      <c r="AA314">
        <f>ROUND(IF(A314=入力!$B$15+1,IF(E314=0,ROUND(C314/MAX(1,S313-A314+1),0),ROUND(-PMT(E314/12,MAX(1,S313-A314+1)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,0)</f>
        <v>98997</v>
      </c>
    </row>
    <row r="315" spans="1:27">
      <c r="A315" s="30">
        <f>310</f>
        <v>310</v>
      </c>
      <c r="B315" s="31">
        <f>EDATE(入力!$B$6,A315-1)</f>
        <v>55640</v>
      </c>
      <c r="C315" s="32">
        <f t="shared" si="73"/>
        <v>9801564</v>
      </c>
      <c r="D315" s="32">
        <f t="shared" si="74"/>
        <v>0</v>
      </c>
      <c r="E315" s="33">
        <f>IF(AND(T314="",A315&lt;=S314),IF(A315&lt;入力!$B$11,入力!$B$10,入力!$B$12),0)</f>
        <v>2.5000000000000001E-2</v>
      </c>
      <c r="F315" s="32">
        <f t="shared" si="75"/>
        <v>20420</v>
      </c>
      <c r="G315" s="32">
        <f>ROUND(IF(NOT(AND(T314="",A315&lt;=S314)),0,IF(A315=入力!$B$15+1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),0)</f>
        <v>98997</v>
      </c>
      <c r="H315" s="32">
        <f t="shared" si="76"/>
        <v>98997</v>
      </c>
      <c r="I315" s="32">
        <f t="shared" si="77"/>
        <v>20420</v>
      </c>
      <c r="J315" s="32">
        <f t="shared" si="78"/>
        <v>0</v>
      </c>
      <c r="K315" s="32">
        <f t="shared" si="79"/>
        <v>0</v>
      </c>
      <c r="L315" s="32">
        <f t="shared" si="80"/>
        <v>78577</v>
      </c>
      <c r="M315" s="32">
        <f>IF(AND(AND(T314="",A315&lt;=S314),A315=入力!$B$15),ROUND(MIN(入力!$B$16,MAX(0,C315-L315)),0),0)</f>
        <v>0</v>
      </c>
      <c r="N315" s="32">
        <f t="shared" si="81"/>
        <v>9722987</v>
      </c>
      <c r="O315" s="32">
        <f t="shared" si="82"/>
        <v>11220017</v>
      </c>
      <c r="P315" s="34" t="str">
        <f>IF(NOT(AND(T314="",A315&lt;=S314)),"",IF(A315=入力!$B$15+1,"繰上返済後再計算","")&amp;IF(AND(入力!$B$13="有効",A315&gt;1,MOD(A315-1,60)=0),IF(A315=入力!$B$15+1,"・","")&amp;"5年見直し","")&amp;IF(AND(A315=入力!$B$11,A315&gt;1),IF(OR(A315=入力!$B$15+1,AND(入力!$B$13="有効",A315&gt;1,MOD(A315-1,60)=0)),"・","")&amp;"金利変更","")&amp;IF(AND(OR(AND(入力!$B$13="有効",A315&gt;1,MOD(A315-1,60)=0),AND(A315=入力!$B$11,A315&gt;1)),入力!$B$14="有効",IF(E315=0,ROUND(C315/MAX(1,S314-A315+1),0),ROUND(-PMT(E315/12,MAX(1,S314-A315+1),C315),0))&gt;ROUND(G314*1.25,0),NOT(A315=入力!$B$15+1)),"・上限適用",""))</f>
        <v/>
      </c>
      <c r="Q315" s="35" t="str">
        <f>IF(AND(T314="",A315&lt;=S314),入力!$B$13,"")</f>
        <v>有効</v>
      </c>
      <c r="R315" s="32" t="str">
        <f>IF(AND(AND(T314="",A315&lt;=S314),OR(AND(入力!$B$13="有効",A315&gt;1,MOD(A315-1,60)=0),AND(A315=入力!$B$11,A315&gt;1)),入力!$B$14="有効"),ROUND(G314*1.25,0),"")</f>
        <v/>
      </c>
      <c r="S315" s="36">
        <f t="shared" si="83"/>
        <v>420</v>
      </c>
      <c r="T315" s="35" t="str">
        <f t="shared" si="84"/>
        <v/>
      </c>
      <c r="U315" s="3">
        <f t="shared" si="68"/>
        <v>0</v>
      </c>
      <c r="V315" s="3">
        <f t="shared" si="69"/>
        <v>0</v>
      </c>
      <c r="W315" s="3">
        <f t="shared" si="70"/>
        <v>0</v>
      </c>
      <c r="X315" s="3">
        <f t="shared" si="71"/>
        <v>0</v>
      </c>
      <c r="Y315" s="3">
        <f>0</f>
        <v>0</v>
      </c>
      <c r="Z315" s="3">
        <f t="shared" si="72"/>
        <v>0</v>
      </c>
      <c r="AA315">
        <f>ROUND(IF(A315=入力!$B$15+1,IF(E315=0,ROUND(C315/MAX(1,S314-A315+1),0),ROUND(-PMT(E315/12,MAX(1,S314-A315+1)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,0)</f>
        <v>98997</v>
      </c>
    </row>
    <row r="316" spans="1:27">
      <c r="A316" s="30">
        <f>311</f>
        <v>311</v>
      </c>
      <c r="B316" s="31">
        <f>EDATE(入力!$B$6,A316-1)</f>
        <v>55671</v>
      </c>
      <c r="C316" s="32">
        <f t="shared" si="73"/>
        <v>9722987</v>
      </c>
      <c r="D316" s="32">
        <f t="shared" si="74"/>
        <v>0</v>
      </c>
      <c r="E316" s="33">
        <f>IF(AND(T315="",A316&lt;=S315),IF(A316&lt;入力!$B$11,入力!$B$10,入力!$B$12),0)</f>
        <v>2.5000000000000001E-2</v>
      </c>
      <c r="F316" s="32">
        <f t="shared" si="75"/>
        <v>20256</v>
      </c>
      <c r="G316" s="32">
        <f>ROUND(IF(NOT(AND(T315="",A316&lt;=S315)),0,IF(A316=入力!$B$15+1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),0)</f>
        <v>98997</v>
      </c>
      <c r="H316" s="32">
        <f t="shared" si="76"/>
        <v>98997</v>
      </c>
      <c r="I316" s="32">
        <f t="shared" si="77"/>
        <v>20256</v>
      </c>
      <c r="J316" s="32">
        <f t="shared" si="78"/>
        <v>0</v>
      </c>
      <c r="K316" s="32">
        <f t="shared" si="79"/>
        <v>0</v>
      </c>
      <c r="L316" s="32">
        <f t="shared" si="80"/>
        <v>78741</v>
      </c>
      <c r="M316" s="32">
        <f>IF(AND(AND(T315="",A316&lt;=S315),A316=入力!$B$15),ROUND(MIN(入力!$B$16,MAX(0,C316-L316)),0),0)</f>
        <v>0</v>
      </c>
      <c r="N316" s="32">
        <f t="shared" si="81"/>
        <v>9644246</v>
      </c>
      <c r="O316" s="32">
        <f t="shared" si="82"/>
        <v>11240273</v>
      </c>
      <c r="P316" s="34" t="str">
        <f>IF(NOT(AND(T315="",A316&lt;=S315)),"",IF(A316=入力!$B$15+1,"繰上返済後再計算","")&amp;IF(AND(入力!$B$13="有効",A316&gt;1,MOD(A316-1,60)=0),IF(A316=入力!$B$15+1,"・","")&amp;"5年見直し","")&amp;IF(AND(A316=入力!$B$11,A316&gt;1),IF(OR(A316=入力!$B$15+1,AND(入力!$B$13="有効",A316&gt;1,MOD(A316-1,60)=0)),"・","")&amp;"金利変更","")&amp;IF(AND(OR(AND(入力!$B$13="有効",A316&gt;1,MOD(A316-1,60)=0),AND(A316=入力!$B$11,A316&gt;1)),入力!$B$14="有効",IF(E316=0,ROUND(C316/MAX(1,S315-A316+1),0),ROUND(-PMT(E316/12,MAX(1,S315-A316+1),C316),0))&gt;ROUND(G315*1.25,0),NOT(A316=入力!$B$15+1)),"・上限適用",""))</f>
        <v/>
      </c>
      <c r="Q316" s="35" t="str">
        <f>IF(AND(T315="",A316&lt;=S315),入力!$B$13,"")</f>
        <v>有効</v>
      </c>
      <c r="R316" s="32" t="str">
        <f>IF(AND(AND(T315="",A316&lt;=S315),OR(AND(入力!$B$13="有効",A316&gt;1,MOD(A316-1,60)=0),AND(A316=入力!$B$11,A316&gt;1)),入力!$B$14="有効"),ROUND(G315*1.25,0),"")</f>
        <v/>
      </c>
      <c r="S316" s="36">
        <f t="shared" si="83"/>
        <v>420</v>
      </c>
      <c r="T316" s="35" t="str">
        <f t="shared" si="84"/>
        <v/>
      </c>
      <c r="U316" s="3">
        <f t="shared" si="68"/>
        <v>0</v>
      </c>
      <c r="V316" s="3">
        <f t="shared" si="69"/>
        <v>0</v>
      </c>
      <c r="W316" s="3">
        <f t="shared" si="70"/>
        <v>0</v>
      </c>
      <c r="X316" s="3">
        <f t="shared" si="71"/>
        <v>0</v>
      </c>
      <c r="Y316" s="3">
        <f>0</f>
        <v>0</v>
      </c>
      <c r="Z316" s="3">
        <f t="shared" si="72"/>
        <v>0</v>
      </c>
      <c r="AA316">
        <f>ROUND(IF(A316=入力!$B$15+1,IF(E316=0,ROUND(C316/MAX(1,S315-A316+1),0),ROUND(-PMT(E316/12,MAX(1,S315-A316+1)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,0)</f>
        <v>98997</v>
      </c>
    </row>
    <row r="317" spans="1:27">
      <c r="A317" s="30">
        <f>312</f>
        <v>312</v>
      </c>
      <c r="B317" s="31">
        <f>EDATE(入力!$B$6,A317-1)</f>
        <v>55701</v>
      </c>
      <c r="C317" s="32">
        <f t="shared" si="73"/>
        <v>9644246</v>
      </c>
      <c r="D317" s="32">
        <f t="shared" si="74"/>
        <v>0</v>
      </c>
      <c r="E317" s="33">
        <f>IF(AND(T316="",A317&lt;=S316),IF(A317&lt;入力!$B$11,入力!$B$10,入力!$B$12),0)</f>
        <v>2.5000000000000001E-2</v>
      </c>
      <c r="F317" s="32">
        <f t="shared" si="75"/>
        <v>20092</v>
      </c>
      <c r="G317" s="32">
        <f>ROUND(IF(NOT(AND(T316="",A317&lt;=S316)),0,IF(A317=入力!$B$15+1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),0)</f>
        <v>98997</v>
      </c>
      <c r="H317" s="32">
        <f t="shared" si="76"/>
        <v>98997</v>
      </c>
      <c r="I317" s="32">
        <f t="shared" si="77"/>
        <v>20092</v>
      </c>
      <c r="J317" s="32">
        <f t="shared" si="78"/>
        <v>0</v>
      </c>
      <c r="K317" s="32">
        <f t="shared" si="79"/>
        <v>0</v>
      </c>
      <c r="L317" s="32">
        <f t="shared" si="80"/>
        <v>78905</v>
      </c>
      <c r="M317" s="32">
        <f>IF(AND(AND(T316="",A317&lt;=S316),A317=入力!$B$15),ROUND(MIN(入力!$B$16,MAX(0,C317-L317)),0),0)</f>
        <v>0</v>
      </c>
      <c r="N317" s="32">
        <f t="shared" si="81"/>
        <v>9565341</v>
      </c>
      <c r="O317" s="32">
        <f t="shared" si="82"/>
        <v>11260365</v>
      </c>
      <c r="P317" s="34" t="str">
        <f>IF(NOT(AND(T316="",A317&lt;=S316)),"",IF(A317=入力!$B$15+1,"繰上返済後再計算","")&amp;IF(AND(入力!$B$13="有効",A317&gt;1,MOD(A317-1,60)=0),IF(A317=入力!$B$15+1,"・","")&amp;"5年見直し","")&amp;IF(AND(A317=入力!$B$11,A317&gt;1),IF(OR(A317=入力!$B$15+1,AND(入力!$B$13="有効",A317&gt;1,MOD(A317-1,60)=0)),"・","")&amp;"金利変更","")&amp;IF(AND(OR(AND(入力!$B$13="有効",A317&gt;1,MOD(A317-1,60)=0),AND(A317=入力!$B$11,A317&gt;1)),入力!$B$14="有効",IF(E317=0,ROUND(C317/MAX(1,S316-A317+1),0),ROUND(-PMT(E317/12,MAX(1,S316-A317+1),C317),0))&gt;ROUND(G316*1.25,0),NOT(A317=入力!$B$15+1)),"・上限適用",""))</f>
        <v/>
      </c>
      <c r="Q317" s="35" t="str">
        <f>IF(AND(T316="",A317&lt;=S316),入力!$B$13,"")</f>
        <v>有効</v>
      </c>
      <c r="R317" s="32" t="str">
        <f>IF(AND(AND(T316="",A317&lt;=S316),OR(AND(入力!$B$13="有効",A317&gt;1,MOD(A317-1,60)=0),AND(A317=入力!$B$11,A317&gt;1)),入力!$B$14="有効"),ROUND(G316*1.25,0),"")</f>
        <v/>
      </c>
      <c r="S317" s="36">
        <f t="shared" si="83"/>
        <v>420</v>
      </c>
      <c r="T317" s="35" t="str">
        <f t="shared" si="84"/>
        <v/>
      </c>
      <c r="U317" s="3">
        <f t="shared" si="68"/>
        <v>0</v>
      </c>
      <c r="V317" s="3">
        <f t="shared" si="69"/>
        <v>0</v>
      </c>
      <c r="W317" s="3">
        <f t="shared" si="70"/>
        <v>0</v>
      </c>
      <c r="X317" s="3">
        <f t="shared" si="71"/>
        <v>0</v>
      </c>
      <c r="Y317" s="3">
        <f>0</f>
        <v>0</v>
      </c>
      <c r="Z317" s="3">
        <f t="shared" si="72"/>
        <v>0</v>
      </c>
      <c r="AA317">
        <f>ROUND(IF(A317=入力!$B$15+1,IF(E317=0,ROUND(C317/MAX(1,S316-A317+1),0),ROUND(-PMT(E317/12,MAX(1,S316-A317+1)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,0)</f>
        <v>98997</v>
      </c>
    </row>
    <row r="318" spans="1:27">
      <c r="A318" s="30">
        <f>313</f>
        <v>313</v>
      </c>
      <c r="B318" s="31">
        <f>EDATE(入力!$B$6,A318-1)</f>
        <v>55732</v>
      </c>
      <c r="C318" s="32">
        <f t="shared" si="73"/>
        <v>9565341</v>
      </c>
      <c r="D318" s="32">
        <f t="shared" si="74"/>
        <v>0</v>
      </c>
      <c r="E318" s="33">
        <f>IF(AND(T317="",A318&lt;=S317),IF(A318&lt;入力!$B$11,入力!$B$10,入力!$B$12),0)</f>
        <v>2.5000000000000001E-2</v>
      </c>
      <c r="F318" s="32">
        <f t="shared" si="75"/>
        <v>19928</v>
      </c>
      <c r="G318" s="32">
        <f>ROUND(IF(NOT(AND(T317="",A318&lt;=S317)),0,IF(A318=入力!$B$15+1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),0)</f>
        <v>98997</v>
      </c>
      <c r="H318" s="32">
        <f t="shared" si="76"/>
        <v>98997</v>
      </c>
      <c r="I318" s="32">
        <f t="shared" si="77"/>
        <v>19928</v>
      </c>
      <c r="J318" s="32">
        <f t="shared" si="78"/>
        <v>0</v>
      </c>
      <c r="K318" s="32">
        <f t="shared" si="79"/>
        <v>0</v>
      </c>
      <c r="L318" s="32">
        <f t="shared" si="80"/>
        <v>79069</v>
      </c>
      <c r="M318" s="32">
        <f>IF(AND(AND(T317="",A318&lt;=S317),A318=入力!$B$15),ROUND(MIN(入力!$B$16,MAX(0,C318-L318)),0),0)</f>
        <v>0</v>
      </c>
      <c r="N318" s="32">
        <f t="shared" si="81"/>
        <v>9486272</v>
      </c>
      <c r="O318" s="32">
        <f t="shared" si="82"/>
        <v>11280293</v>
      </c>
      <c r="P318" s="34" t="str">
        <f>IF(NOT(AND(T317="",A318&lt;=S317)),"",IF(A318=入力!$B$15+1,"繰上返済後再計算","")&amp;IF(AND(入力!$B$13="有効",A318&gt;1,MOD(A318-1,60)=0),IF(A318=入力!$B$15+1,"・","")&amp;"5年見直し","")&amp;IF(AND(A318=入力!$B$11,A318&gt;1),IF(OR(A318=入力!$B$15+1,AND(入力!$B$13="有効",A318&gt;1,MOD(A318-1,60)=0)),"・","")&amp;"金利変更","")&amp;IF(AND(OR(AND(入力!$B$13="有効",A318&gt;1,MOD(A318-1,60)=0),AND(A318=入力!$B$11,A318&gt;1)),入力!$B$14="有効",IF(E318=0,ROUND(C318/MAX(1,S317-A318+1),0),ROUND(-PMT(E318/12,MAX(1,S317-A318+1),C318),0))&gt;ROUND(G317*1.25,0),NOT(A318=入力!$B$15+1)),"・上限適用",""))</f>
        <v/>
      </c>
      <c r="Q318" s="35" t="str">
        <f>IF(AND(T317="",A318&lt;=S317),入力!$B$13,"")</f>
        <v>有効</v>
      </c>
      <c r="R318" s="32" t="str">
        <f>IF(AND(AND(T317="",A318&lt;=S317),OR(AND(入力!$B$13="有効",A318&gt;1,MOD(A318-1,60)=0),AND(A318=入力!$B$11,A318&gt;1)),入力!$B$14="有効"),ROUND(G317*1.25,0),"")</f>
        <v/>
      </c>
      <c r="S318" s="36">
        <f t="shared" si="83"/>
        <v>420</v>
      </c>
      <c r="T318" s="35" t="str">
        <f t="shared" si="84"/>
        <v/>
      </c>
      <c r="U318" s="3">
        <f t="shared" si="68"/>
        <v>0</v>
      </c>
      <c r="V318" s="3">
        <f t="shared" si="69"/>
        <v>0</v>
      </c>
      <c r="W318" s="3">
        <f t="shared" si="70"/>
        <v>0</v>
      </c>
      <c r="X318" s="3">
        <f t="shared" si="71"/>
        <v>0</v>
      </c>
      <c r="Y318" s="3">
        <f>0</f>
        <v>0</v>
      </c>
      <c r="Z318" s="3">
        <f t="shared" si="72"/>
        <v>0</v>
      </c>
      <c r="AA318">
        <f>ROUND(IF(A318=入力!$B$15+1,IF(E318=0,ROUND(C318/MAX(1,S317-A318+1),0),ROUND(-PMT(E318/12,MAX(1,S317-A318+1)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,0)</f>
        <v>98997</v>
      </c>
    </row>
    <row r="319" spans="1:27">
      <c r="A319" s="30">
        <f>314</f>
        <v>314</v>
      </c>
      <c r="B319" s="31">
        <f>EDATE(入力!$B$6,A319-1)</f>
        <v>55763</v>
      </c>
      <c r="C319" s="32">
        <f t="shared" si="73"/>
        <v>9486272</v>
      </c>
      <c r="D319" s="32">
        <f t="shared" si="74"/>
        <v>0</v>
      </c>
      <c r="E319" s="33">
        <f>IF(AND(T318="",A319&lt;=S318),IF(A319&lt;入力!$B$11,入力!$B$10,入力!$B$12),0)</f>
        <v>2.5000000000000001E-2</v>
      </c>
      <c r="F319" s="32">
        <f t="shared" si="75"/>
        <v>19763</v>
      </c>
      <c r="G319" s="32">
        <f>ROUND(IF(NOT(AND(T318="",A319&lt;=S318)),0,IF(A319=入力!$B$15+1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),0)</f>
        <v>98997</v>
      </c>
      <c r="H319" s="32">
        <f t="shared" si="76"/>
        <v>98997</v>
      </c>
      <c r="I319" s="32">
        <f t="shared" si="77"/>
        <v>19763</v>
      </c>
      <c r="J319" s="32">
        <f t="shared" si="78"/>
        <v>0</v>
      </c>
      <c r="K319" s="32">
        <f t="shared" si="79"/>
        <v>0</v>
      </c>
      <c r="L319" s="32">
        <f t="shared" si="80"/>
        <v>79234</v>
      </c>
      <c r="M319" s="32">
        <f>IF(AND(AND(T318="",A319&lt;=S318),A319=入力!$B$15),ROUND(MIN(入力!$B$16,MAX(0,C319-L319)),0),0)</f>
        <v>0</v>
      </c>
      <c r="N319" s="32">
        <f t="shared" si="81"/>
        <v>9407038</v>
      </c>
      <c r="O319" s="32">
        <f t="shared" si="82"/>
        <v>11300056</v>
      </c>
      <c r="P319" s="34" t="str">
        <f>IF(NOT(AND(T318="",A319&lt;=S318)),"",IF(A319=入力!$B$15+1,"繰上返済後再計算","")&amp;IF(AND(入力!$B$13="有効",A319&gt;1,MOD(A319-1,60)=0),IF(A319=入力!$B$15+1,"・","")&amp;"5年見直し","")&amp;IF(AND(A319=入力!$B$11,A319&gt;1),IF(OR(A319=入力!$B$15+1,AND(入力!$B$13="有効",A319&gt;1,MOD(A319-1,60)=0)),"・","")&amp;"金利変更","")&amp;IF(AND(OR(AND(入力!$B$13="有効",A319&gt;1,MOD(A319-1,60)=0),AND(A319=入力!$B$11,A319&gt;1)),入力!$B$14="有効",IF(E319=0,ROUND(C319/MAX(1,S318-A319+1),0),ROUND(-PMT(E319/12,MAX(1,S318-A319+1),C319),0))&gt;ROUND(G318*1.25,0),NOT(A319=入力!$B$15+1)),"・上限適用",""))</f>
        <v/>
      </c>
      <c r="Q319" s="35" t="str">
        <f>IF(AND(T318="",A319&lt;=S318),入力!$B$13,"")</f>
        <v>有効</v>
      </c>
      <c r="R319" s="32" t="str">
        <f>IF(AND(AND(T318="",A319&lt;=S318),OR(AND(入力!$B$13="有効",A319&gt;1,MOD(A319-1,60)=0),AND(A319=入力!$B$11,A319&gt;1)),入力!$B$14="有効"),ROUND(G318*1.25,0),"")</f>
        <v/>
      </c>
      <c r="S319" s="36">
        <f t="shared" si="83"/>
        <v>420</v>
      </c>
      <c r="T319" s="35" t="str">
        <f t="shared" si="84"/>
        <v/>
      </c>
      <c r="U319" s="3">
        <f t="shared" si="68"/>
        <v>0</v>
      </c>
      <c r="V319" s="3">
        <f t="shared" si="69"/>
        <v>0</v>
      </c>
      <c r="W319" s="3">
        <f t="shared" si="70"/>
        <v>0</v>
      </c>
      <c r="X319" s="3">
        <f t="shared" si="71"/>
        <v>0</v>
      </c>
      <c r="Y319" s="3">
        <f>0</f>
        <v>0</v>
      </c>
      <c r="Z319" s="3">
        <f t="shared" si="72"/>
        <v>0</v>
      </c>
      <c r="AA319">
        <f>ROUND(IF(A319=入力!$B$15+1,IF(E319=0,ROUND(C319/MAX(1,S318-A319+1),0),ROUND(-PMT(E319/12,MAX(1,S318-A319+1)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,0)</f>
        <v>98997</v>
      </c>
    </row>
    <row r="320" spans="1:27">
      <c r="A320" s="30">
        <f>315</f>
        <v>315</v>
      </c>
      <c r="B320" s="31">
        <f>EDATE(入力!$B$6,A320-1)</f>
        <v>55793</v>
      </c>
      <c r="C320" s="32">
        <f t="shared" si="73"/>
        <v>9407038</v>
      </c>
      <c r="D320" s="32">
        <f t="shared" si="74"/>
        <v>0</v>
      </c>
      <c r="E320" s="33">
        <f>IF(AND(T319="",A320&lt;=S319),IF(A320&lt;入力!$B$11,入力!$B$10,入力!$B$12),0)</f>
        <v>2.5000000000000001E-2</v>
      </c>
      <c r="F320" s="32">
        <f t="shared" si="75"/>
        <v>19598</v>
      </c>
      <c r="G320" s="32">
        <f>ROUND(IF(NOT(AND(T319="",A320&lt;=S319)),0,IF(A320=入力!$B$15+1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),0)</f>
        <v>98997</v>
      </c>
      <c r="H320" s="32">
        <f t="shared" si="76"/>
        <v>98997</v>
      </c>
      <c r="I320" s="32">
        <f t="shared" si="77"/>
        <v>19598</v>
      </c>
      <c r="J320" s="32">
        <f t="shared" si="78"/>
        <v>0</v>
      </c>
      <c r="K320" s="32">
        <f t="shared" si="79"/>
        <v>0</v>
      </c>
      <c r="L320" s="32">
        <f t="shared" si="80"/>
        <v>79399</v>
      </c>
      <c r="M320" s="32">
        <f>IF(AND(AND(T319="",A320&lt;=S319),A320=入力!$B$15),ROUND(MIN(入力!$B$16,MAX(0,C320-L320)),0),0)</f>
        <v>0</v>
      </c>
      <c r="N320" s="32">
        <f t="shared" si="81"/>
        <v>9327639</v>
      </c>
      <c r="O320" s="32">
        <f t="shared" si="82"/>
        <v>11319654</v>
      </c>
      <c r="P320" s="34" t="str">
        <f>IF(NOT(AND(T319="",A320&lt;=S319)),"",IF(A320=入力!$B$15+1,"繰上返済後再計算","")&amp;IF(AND(入力!$B$13="有効",A320&gt;1,MOD(A320-1,60)=0),IF(A320=入力!$B$15+1,"・","")&amp;"5年見直し","")&amp;IF(AND(A320=入力!$B$11,A320&gt;1),IF(OR(A320=入力!$B$15+1,AND(入力!$B$13="有効",A320&gt;1,MOD(A320-1,60)=0)),"・","")&amp;"金利変更","")&amp;IF(AND(OR(AND(入力!$B$13="有効",A320&gt;1,MOD(A320-1,60)=0),AND(A320=入力!$B$11,A320&gt;1)),入力!$B$14="有効",IF(E320=0,ROUND(C320/MAX(1,S319-A320+1),0),ROUND(-PMT(E320/12,MAX(1,S319-A320+1),C320),0))&gt;ROUND(G319*1.25,0),NOT(A320=入力!$B$15+1)),"・上限適用",""))</f>
        <v/>
      </c>
      <c r="Q320" s="35" t="str">
        <f>IF(AND(T319="",A320&lt;=S319),入力!$B$13,"")</f>
        <v>有効</v>
      </c>
      <c r="R320" s="32" t="str">
        <f>IF(AND(AND(T319="",A320&lt;=S319),OR(AND(入力!$B$13="有効",A320&gt;1,MOD(A320-1,60)=0),AND(A320=入力!$B$11,A320&gt;1)),入力!$B$14="有効"),ROUND(G319*1.25,0),"")</f>
        <v/>
      </c>
      <c r="S320" s="36">
        <f t="shared" si="83"/>
        <v>420</v>
      </c>
      <c r="T320" s="35" t="str">
        <f t="shared" si="84"/>
        <v/>
      </c>
      <c r="U320" s="3">
        <f t="shared" si="68"/>
        <v>0</v>
      </c>
      <c r="V320" s="3">
        <f t="shared" si="69"/>
        <v>0</v>
      </c>
      <c r="W320" s="3">
        <f t="shared" si="70"/>
        <v>0</v>
      </c>
      <c r="X320" s="3">
        <f t="shared" si="71"/>
        <v>0</v>
      </c>
      <c r="Y320" s="3">
        <f>0</f>
        <v>0</v>
      </c>
      <c r="Z320" s="3">
        <f t="shared" si="72"/>
        <v>0</v>
      </c>
      <c r="AA320">
        <f>ROUND(IF(A320=入力!$B$15+1,IF(E320=0,ROUND(C320/MAX(1,S319-A320+1),0),ROUND(-PMT(E320/12,MAX(1,S319-A320+1)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,0)</f>
        <v>98997</v>
      </c>
    </row>
    <row r="321" spans="1:27">
      <c r="A321" s="30">
        <f>316</f>
        <v>316</v>
      </c>
      <c r="B321" s="31">
        <f>EDATE(入力!$B$6,A321-1)</f>
        <v>55824</v>
      </c>
      <c r="C321" s="32">
        <f t="shared" si="73"/>
        <v>9327639</v>
      </c>
      <c r="D321" s="32">
        <f t="shared" si="74"/>
        <v>0</v>
      </c>
      <c r="E321" s="33">
        <f>IF(AND(T320="",A321&lt;=S320),IF(A321&lt;入力!$B$11,入力!$B$10,入力!$B$12),0)</f>
        <v>2.5000000000000001E-2</v>
      </c>
      <c r="F321" s="32">
        <f t="shared" si="75"/>
        <v>19433</v>
      </c>
      <c r="G321" s="32">
        <f>ROUND(IF(NOT(AND(T320="",A321&lt;=S320)),0,IF(A321=入力!$B$15+1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),0)</f>
        <v>98997</v>
      </c>
      <c r="H321" s="32">
        <f t="shared" si="76"/>
        <v>98997</v>
      </c>
      <c r="I321" s="32">
        <f t="shared" si="77"/>
        <v>19433</v>
      </c>
      <c r="J321" s="32">
        <f t="shared" si="78"/>
        <v>0</v>
      </c>
      <c r="K321" s="32">
        <f t="shared" si="79"/>
        <v>0</v>
      </c>
      <c r="L321" s="32">
        <f t="shared" si="80"/>
        <v>79564</v>
      </c>
      <c r="M321" s="32">
        <f>IF(AND(AND(T320="",A321&lt;=S320),A321=入力!$B$15),ROUND(MIN(入力!$B$16,MAX(0,C321-L321)),0),0)</f>
        <v>0</v>
      </c>
      <c r="N321" s="32">
        <f t="shared" si="81"/>
        <v>9248075</v>
      </c>
      <c r="O321" s="32">
        <f t="shared" si="82"/>
        <v>11339087</v>
      </c>
      <c r="P321" s="34" t="str">
        <f>IF(NOT(AND(T320="",A321&lt;=S320)),"",IF(A321=入力!$B$15+1,"繰上返済後再計算","")&amp;IF(AND(入力!$B$13="有効",A321&gt;1,MOD(A321-1,60)=0),IF(A321=入力!$B$15+1,"・","")&amp;"5年見直し","")&amp;IF(AND(A321=入力!$B$11,A321&gt;1),IF(OR(A321=入力!$B$15+1,AND(入力!$B$13="有効",A321&gt;1,MOD(A321-1,60)=0)),"・","")&amp;"金利変更","")&amp;IF(AND(OR(AND(入力!$B$13="有効",A321&gt;1,MOD(A321-1,60)=0),AND(A321=入力!$B$11,A321&gt;1)),入力!$B$14="有効",IF(E321=0,ROUND(C321/MAX(1,S320-A321+1),0),ROUND(-PMT(E321/12,MAX(1,S320-A321+1),C321),0))&gt;ROUND(G320*1.25,0),NOT(A321=入力!$B$15+1)),"・上限適用",""))</f>
        <v/>
      </c>
      <c r="Q321" s="35" t="str">
        <f>IF(AND(T320="",A321&lt;=S320),入力!$B$13,"")</f>
        <v>有効</v>
      </c>
      <c r="R321" s="32" t="str">
        <f>IF(AND(AND(T320="",A321&lt;=S320),OR(AND(入力!$B$13="有効",A321&gt;1,MOD(A321-1,60)=0),AND(A321=入力!$B$11,A321&gt;1)),入力!$B$14="有効"),ROUND(G320*1.25,0),"")</f>
        <v/>
      </c>
      <c r="S321" s="36">
        <f t="shared" si="83"/>
        <v>420</v>
      </c>
      <c r="T321" s="35" t="str">
        <f t="shared" si="84"/>
        <v/>
      </c>
      <c r="U321" s="3">
        <f t="shared" si="68"/>
        <v>0</v>
      </c>
      <c r="V321" s="3">
        <f t="shared" si="69"/>
        <v>0</v>
      </c>
      <c r="W321" s="3">
        <f t="shared" si="70"/>
        <v>0</v>
      </c>
      <c r="X321" s="3">
        <f t="shared" si="71"/>
        <v>0</v>
      </c>
      <c r="Y321" s="3">
        <f>0</f>
        <v>0</v>
      </c>
      <c r="Z321" s="3">
        <f t="shared" si="72"/>
        <v>0</v>
      </c>
      <c r="AA321">
        <f>ROUND(IF(A321=入力!$B$15+1,IF(E321=0,ROUND(C321/MAX(1,S320-A321+1),0),ROUND(-PMT(E321/12,MAX(1,S320-A321+1)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,0)</f>
        <v>98997</v>
      </c>
    </row>
    <row r="322" spans="1:27">
      <c r="A322" s="30">
        <f>317</f>
        <v>317</v>
      </c>
      <c r="B322" s="31">
        <f>EDATE(入力!$B$6,A322-1)</f>
        <v>55854</v>
      </c>
      <c r="C322" s="32">
        <f t="shared" si="73"/>
        <v>9248075</v>
      </c>
      <c r="D322" s="32">
        <f t="shared" si="74"/>
        <v>0</v>
      </c>
      <c r="E322" s="33">
        <f>IF(AND(T321="",A322&lt;=S321),IF(A322&lt;入力!$B$11,入力!$B$10,入力!$B$12),0)</f>
        <v>2.5000000000000001E-2</v>
      </c>
      <c r="F322" s="32">
        <f t="shared" si="75"/>
        <v>19267</v>
      </c>
      <c r="G322" s="32">
        <f>ROUND(IF(NOT(AND(T321="",A322&lt;=S321)),0,IF(A322=入力!$B$15+1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),0)</f>
        <v>98997</v>
      </c>
      <c r="H322" s="32">
        <f t="shared" si="76"/>
        <v>98997</v>
      </c>
      <c r="I322" s="32">
        <f t="shared" si="77"/>
        <v>19267</v>
      </c>
      <c r="J322" s="32">
        <f t="shared" si="78"/>
        <v>0</v>
      </c>
      <c r="K322" s="32">
        <f t="shared" si="79"/>
        <v>0</v>
      </c>
      <c r="L322" s="32">
        <f t="shared" si="80"/>
        <v>79730</v>
      </c>
      <c r="M322" s="32">
        <f>IF(AND(AND(T321="",A322&lt;=S321),A322=入力!$B$15),ROUND(MIN(入力!$B$16,MAX(0,C322-L322)),0),0)</f>
        <v>0</v>
      </c>
      <c r="N322" s="32">
        <f t="shared" si="81"/>
        <v>9168345</v>
      </c>
      <c r="O322" s="32">
        <f t="shared" si="82"/>
        <v>11358354</v>
      </c>
      <c r="P322" s="34" t="str">
        <f>IF(NOT(AND(T321="",A322&lt;=S321)),"",IF(A322=入力!$B$15+1,"繰上返済後再計算","")&amp;IF(AND(入力!$B$13="有効",A322&gt;1,MOD(A322-1,60)=0),IF(A322=入力!$B$15+1,"・","")&amp;"5年見直し","")&amp;IF(AND(A322=入力!$B$11,A322&gt;1),IF(OR(A322=入力!$B$15+1,AND(入力!$B$13="有効",A322&gt;1,MOD(A322-1,60)=0)),"・","")&amp;"金利変更","")&amp;IF(AND(OR(AND(入力!$B$13="有効",A322&gt;1,MOD(A322-1,60)=0),AND(A322=入力!$B$11,A322&gt;1)),入力!$B$14="有効",IF(E322=0,ROUND(C322/MAX(1,S321-A322+1),0),ROUND(-PMT(E322/12,MAX(1,S321-A322+1),C322),0))&gt;ROUND(G321*1.25,0),NOT(A322=入力!$B$15+1)),"・上限適用",""))</f>
        <v/>
      </c>
      <c r="Q322" s="35" t="str">
        <f>IF(AND(T321="",A322&lt;=S321),入力!$B$13,"")</f>
        <v>有効</v>
      </c>
      <c r="R322" s="32" t="str">
        <f>IF(AND(AND(T321="",A322&lt;=S321),OR(AND(入力!$B$13="有効",A322&gt;1,MOD(A322-1,60)=0),AND(A322=入力!$B$11,A322&gt;1)),入力!$B$14="有効"),ROUND(G321*1.25,0),"")</f>
        <v/>
      </c>
      <c r="S322" s="36">
        <f t="shared" si="83"/>
        <v>420</v>
      </c>
      <c r="T322" s="35" t="str">
        <f t="shared" si="84"/>
        <v/>
      </c>
      <c r="U322" s="3">
        <f t="shared" si="68"/>
        <v>0</v>
      </c>
      <c r="V322" s="3">
        <f t="shared" si="69"/>
        <v>0</v>
      </c>
      <c r="W322" s="3">
        <f t="shared" si="70"/>
        <v>0</v>
      </c>
      <c r="X322" s="3">
        <f t="shared" si="71"/>
        <v>0</v>
      </c>
      <c r="Y322" s="3">
        <f>0</f>
        <v>0</v>
      </c>
      <c r="Z322" s="3">
        <f t="shared" si="72"/>
        <v>0</v>
      </c>
      <c r="AA322">
        <f>ROUND(IF(A322=入力!$B$15+1,IF(E322=0,ROUND(C322/MAX(1,S321-A322+1),0),ROUND(-PMT(E322/12,MAX(1,S321-A322+1)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,0)</f>
        <v>98997</v>
      </c>
    </row>
    <row r="323" spans="1:27">
      <c r="A323" s="30">
        <f>318</f>
        <v>318</v>
      </c>
      <c r="B323" s="31">
        <f>EDATE(入力!$B$6,A323-1)</f>
        <v>55885</v>
      </c>
      <c r="C323" s="32">
        <f t="shared" si="73"/>
        <v>9168345</v>
      </c>
      <c r="D323" s="32">
        <f t="shared" si="74"/>
        <v>0</v>
      </c>
      <c r="E323" s="33">
        <f>IF(AND(T322="",A323&lt;=S322),IF(A323&lt;入力!$B$11,入力!$B$10,入力!$B$12),0)</f>
        <v>2.5000000000000001E-2</v>
      </c>
      <c r="F323" s="32">
        <f t="shared" si="75"/>
        <v>19101</v>
      </c>
      <c r="G323" s="32">
        <f>ROUND(IF(NOT(AND(T322="",A323&lt;=S322)),0,IF(A323=入力!$B$15+1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),0)</f>
        <v>98997</v>
      </c>
      <c r="H323" s="32">
        <f t="shared" si="76"/>
        <v>98997</v>
      </c>
      <c r="I323" s="32">
        <f t="shared" si="77"/>
        <v>19101</v>
      </c>
      <c r="J323" s="32">
        <f t="shared" si="78"/>
        <v>0</v>
      </c>
      <c r="K323" s="32">
        <f t="shared" si="79"/>
        <v>0</v>
      </c>
      <c r="L323" s="32">
        <f t="shared" si="80"/>
        <v>79896</v>
      </c>
      <c r="M323" s="32">
        <f>IF(AND(AND(T322="",A323&lt;=S322),A323=入力!$B$15),ROUND(MIN(入力!$B$16,MAX(0,C323-L323)),0),0)</f>
        <v>0</v>
      </c>
      <c r="N323" s="32">
        <f t="shared" si="81"/>
        <v>9088449</v>
      </c>
      <c r="O323" s="32">
        <f t="shared" si="82"/>
        <v>11377455</v>
      </c>
      <c r="P323" s="34" t="str">
        <f>IF(NOT(AND(T322="",A323&lt;=S322)),"",IF(A323=入力!$B$15+1,"繰上返済後再計算","")&amp;IF(AND(入力!$B$13="有効",A323&gt;1,MOD(A323-1,60)=0),IF(A323=入力!$B$15+1,"・","")&amp;"5年見直し","")&amp;IF(AND(A323=入力!$B$11,A323&gt;1),IF(OR(A323=入力!$B$15+1,AND(入力!$B$13="有効",A323&gt;1,MOD(A323-1,60)=0)),"・","")&amp;"金利変更","")&amp;IF(AND(OR(AND(入力!$B$13="有効",A323&gt;1,MOD(A323-1,60)=0),AND(A323=入力!$B$11,A323&gt;1)),入力!$B$14="有効",IF(E323=0,ROUND(C323/MAX(1,S322-A323+1),0),ROUND(-PMT(E323/12,MAX(1,S322-A323+1),C323),0))&gt;ROUND(G322*1.25,0),NOT(A323=入力!$B$15+1)),"・上限適用",""))</f>
        <v/>
      </c>
      <c r="Q323" s="35" t="str">
        <f>IF(AND(T322="",A323&lt;=S322),入力!$B$13,"")</f>
        <v>有効</v>
      </c>
      <c r="R323" s="32" t="str">
        <f>IF(AND(AND(T322="",A323&lt;=S322),OR(AND(入力!$B$13="有効",A323&gt;1,MOD(A323-1,60)=0),AND(A323=入力!$B$11,A323&gt;1)),入力!$B$14="有効"),ROUND(G322*1.25,0),"")</f>
        <v/>
      </c>
      <c r="S323" s="36">
        <f t="shared" si="83"/>
        <v>420</v>
      </c>
      <c r="T323" s="35" t="str">
        <f t="shared" si="84"/>
        <v/>
      </c>
      <c r="U323" s="3">
        <f t="shared" si="68"/>
        <v>0</v>
      </c>
      <c r="V323" s="3">
        <f t="shared" si="69"/>
        <v>0</v>
      </c>
      <c r="W323" s="3">
        <f t="shared" si="70"/>
        <v>0</v>
      </c>
      <c r="X323" s="3">
        <f t="shared" si="71"/>
        <v>0</v>
      </c>
      <c r="Y323" s="3">
        <f>0</f>
        <v>0</v>
      </c>
      <c r="Z323" s="3">
        <f t="shared" si="72"/>
        <v>0</v>
      </c>
      <c r="AA323">
        <f>ROUND(IF(A323=入力!$B$15+1,IF(E323=0,ROUND(C323/MAX(1,S322-A323+1),0),ROUND(-PMT(E323/12,MAX(1,S322-A323+1)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,0)</f>
        <v>98997</v>
      </c>
    </row>
    <row r="324" spans="1:27">
      <c r="A324" s="30">
        <f>319</f>
        <v>319</v>
      </c>
      <c r="B324" s="31">
        <f>EDATE(入力!$B$6,A324-1)</f>
        <v>55916</v>
      </c>
      <c r="C324" s="32">
        <f t="shared" si="73"/>
        <v>9088449</v>
      </c>
      <c r="D324" s="32">
        <f t="shared" si="74"/>
        <v>0</v>
      </c>
      <c r="E324" s="33">
        <f>IF(AND(T323="",A324&lt;=S323),IF(A324&lt;入力!$B$11,入力!$B$10,入力!$B$12),0)</f>
        <v>2.5000000000000001E-2</v>
      </c>
      <c r="F324" s="32">
        <f t="shared" si="75"/>
        <v>18934</v>
      </c>
      <c r="G324" s="32">
        <f>ROUND(IF(NOT(AND(T323="",A324&lt;=S323)),0,IF(A324=入力!$B$15+1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),0)</f>
        <v>98997</v>
      </c>
      <c r="H324" s="32">
        <f t="shared" si="76"/>
        <v>98997</v>
      </c>
      <c r="I324" s="32">
        <f t="shared" si="77"/>
        <v>18934</v>
      </c>
      <c r="J324" s="32">
        <f t="shared" si="78"/>
        <v>0</v>
      </c>
      <c r="K324" s="32">
        <f t="shared" si="79"/>
        <v>0</v>
      </c>
      <c r="L324" s="32">
        <f t="shared" si="80"/>
        <v>80063</v>
      </c>
      <c r="M324" s="32">
        <f>IF(AND(AND(T323="",A324&lt;=S323),A324=入力!$B$15),ROUND(MIN(入力!$B$16,MAX(0,C324-L324)),0),0)</f>
        <v>0</v>
      </c>
      <c r="N324" s="32">
        <f t="shared" si="81"/>
        <v>9008386</v>
      </c>
      <c r="O324" s="32">
        <f t="shared" si="82"/>
        <v>11396389</v>
      </c>
      <c r="P324" s="34" t="str">
        <f>IF(NOT(AND(T323="",A324&lt;=S323)),"",IF(A324=入力!$B$15+1,"繰上返済後再計算","")&amp;IF(AND(入力!$B$13="有効",A324&gt;1,MOD(A324-1,60)=0),IF(A324=入力!$B$15+1,"・","")&amp;"5年見直し","")&amp;IF(AND(A324=入力!$B$11,A324&gt;1),IF(OR(A324=入力!$B$15+1,AND(入力!$B$13="有効",A324&gt;1,MOD(A324-1,60)=0)),"・","")&amp;"金利変更","")&amp;IF(AND(OR(AND(入力!$B$13="有効",A324&gt;1,MOD(A324-1,60)=0),AND(A324=入力!$B$11,A324&gt;1)),入力!$B$14="有効",IF(E324=0,ROUND(C324/MAX(1,S323-A324+1),0),ROUND(-PMT(E324/12,MAX(1,S323-A324+1),C324),0))&gt;ROUND(G323*1.25,0),NOT(A324=入力!$B$15+1)),"・上限適用",""))</f>
        <v/>
      </c>
      <c r="Q324" s="35" t="str">
        <f>IF(AND(T323="",A324&lt;=S323),入力!$B$13,"")</f>
        <v>有効</v>
      </c>
      <c r="R324" s="32" t="str">
        <f>IF(AND(AND(T323="",A324&lt;=S323),OR(AND(入力!$B$13="有効",A324&gt;1,MOD(A324-1,60)=0),AND(A324=入力!$B$11,A324&gt;1)),入力!$B$14="有効"),ROUND(G323*1.25,0),"")</f>
        <v/>
      </c>
      <c r="S324" s="36">
        <f t="shared" si="83"/>
        <v>420</v>
      </c>
      <c r="T324" s="35" t="str">
        <f t="shared" si="84"/>
        <v/>
      </c>
      <c r="U324" s="3">
        <f t="shared" si="68"/>
        <v>0</v>
      </c>
      <c r="V324" s="3">
        <f t="shared" si="69"/>
        <v>0</v>
      </c>
      <c r="W324" s="3">
        <f t="shared" si="70"/>
        <v>0</v>
      </c>
      <c r="X324" s="3">
        <f t="shared" si="71"/>
        <v>0</v>
      </c>
      <c r="Y324" s="3">
        <f>0</f>
        <v>0</v>
      </c>
      <c r="Z324" s="3">
        <f t="shared" si="72"/>
        <v>0</v>
      </c>
      <c r="AA324">
        <f>ROUND(IF(A324=入力!$B$15+1,IF(E324=0,ROUND(C324/MAX(1,S323-A324+1),0),ROUND(-PMT(E324/12,MAX(1,S323-A324+1)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,0)</f>
        <v>98997</v>
      </c>
    </row>
    <row r="325" spans="1:27">
      <c r="A325" s="30">
        <f>320</f>
        <v>320</v>
      </c>
      <c r="B325" s="31">
        <f>EDATE(入力!$B$6,A325-1)</f>
        <v>55944</v>
      </c>
      <c r="C325" s="32">
        <f t="shared" si="73"/>
        <v>9008386</v>
      </c>
      <c r="D325" s="32">
        <f t="shared" si="74"/>
        <v>0</v>
      </c>
      <c r="E325" s="33">
        <f>IF(AND(T324="",A325&lt;=S324),IF(A325&lt;入力!$B$11,入力!$B$10,入力!$B$12),0)</f>
        <v>2.5000000000000001E-2</v>
      </c>
      <c r="F325" s="32">
        <f t="shared" si="75"/>
        <v>18767</v>
      </c>
      <c r="G325" s="32">
        <f>ROUND(IF(NOT(AND(T324="",A325&lt;=S324)),0,IF(A325=入力!$B$15+1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),0)</f>
        <v>98997</v>
      </c>
      <c r="H325" s="32">
        <f t="shared" si="76"/>
        <v>98997</v>
      </c>
      <c r="I325" s="32">
        <f t="shared" si="77"/>
        <v>18767</v>
      </c>
      <c r="J325" s="32">
        <f t="shared" si="78"/>
        <v>0</v>
      </c>
      <c r="K325" s="32">
        <f t="shared" si="79"/>
        <v>0</v>
      </c>
      <c r="L325" s="32">
        <f t="shared" si="80"/>
        <v>80230</v>
      </c>
      <c r="M325" s="32">
        <f>IF(AND(AND(T324="",A325&lt;=S324),A325=入力!$B$15),ROUND(MIN(入力!$B$16,MAX(0,C325-L325)),0),0)</f>
        <v>0</v>
      </c>
      <c r="N325" s="32">
        <f t="shared" si="81"/>
        <v>8928156</v>
      </c>
      <c r="O325" s="32">
        <f t="shared" si="82"/>
        <v>11415156</v>
      </c>
      <c r="P325" s="34" t="str">
        <f>IF(NOT(AND(T324="",A325&lt;=S324)),"",IF(A325=入力!$B$15+1,"繰上返済後再計算","")&amp;IF(AND(入力!$B$13="有効",A325&gt;1,MOD(A325-1,60)=0),IF(A325=入力!$B$15+1,"・","")&amp;"5年見直し","")&amp;IF(AND(A325=入力!$B$11,A325&gt;1),IF(OR(A325=入力!$B$15+1,AND(入力!$B$13="有効",A325&gt;1,MOD(A325-1,60)=0)),"・","")&amp;"金利変更","")&amp;IF(AND(OR(AND(入力!$B$13="有効",A325&gt;1,MOD(A325-1,60)=0),AND(A325=入力!$B$11,A325&gt;1)),入力!$B$14="有効",IF(E325=0,ROUND(C325/MAX(1,S324-A325+1),0),ROUND(-PMT(E325/12,MAX(1,S324-A325+1),C325),0))&gt;ROUND(G324*1.25,0),NOT(A325=入力!$B$15+1)),"・上限適用",""))</f>
        <v/>
      </c>
      <c r="Q325" s="35" t="str">
        <f>IF(AND(T324="",A325&lt;=S324),入力!$B$13,"")</f>
        <v>有効</v>
      </c>
      <c r="R325" s="32" t="str">
        <f>IF(AND(AND(T324="",A325&lt;=S324),OR(AND(入力!$B$13="有効",A325&gt;1,MOD(A325-1,60)=0),AND(A325=入力!$B$11,A325&gt;1)),入力!$B$14="有効"),ROUND(G324*1.25,0),"")</f>
        <v/>
      </c>
      <c r="S325" s="36">
        <f t="shared" si="83"/>
        <v>420</v>
      </c>
      <c r="T325" s="35" t="str">
        <f t="shared" si="84"/>
        <v/>
      </c>
      <c r="U325" s="3">
        <f t="shared" si="68"/>
        <v>0</v>
      </c>
      <c r="V325" s="3">
        <f t="shared" si="69"/>
        <v>0</v>
      </c>
      <c r="W325" s="3">
        <f t="shared" si="70"/>
        <v>0</v>
      </c>
      <c r="X325" s="3">
        <f t="shared" si="71"/>
        <v>0</v>
      </c>
      <c r="Y325" s="3">
        <f>0</f>
        <v>0</v>
      </c>
      <c r="Z325" s="3">
        <f t="shared" si="72"/>
        <v>0</v>
      </c>
      <c r="AA325">
        <f>ROUND(IF(A325=入力!$B$15+1,IF(E325=0,ROUND(C325/MAX(1,S324-A325+1),0),ROUND(-PMT(E325/12,MAX(1,S324-A325+1)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,0)</f>
        <v>98997</v>
      </c>
    </row>
    <row r="326" spans="1:27">
      <c r="A326" s="30">
        <f>321</f>
        <v>321</v>
      </c>
      <c r="B326" s="31">
        <f>EDATE(入力!$B$6,A326-1)</f>
        <v>55975</v>
      </c>
      <c r="C326" s="32">
        <f t="shared" si="73"/>
        <v>8928156</v>
      </c>
      <c r="D326" s="32">
        <f t="shared" si="74"/>
        <v>0</v>
      </c>
      <c r="E326" s="33">
        <f>IF(AND(T325="",A326&lt;=S325),IF(A326&lt;入力!$B$11,入力!$B$10,入力!$B$12),0)</f>
        <v>2.5000000000000001E-2</v>
      </c>
      <c r="F326" s="32">
        <f t="shared" si="75"/>
        <v>18600</v>
      </c>
      <c r="G326" s="32">
        <f>ROUND(IF(NOT(AND(T325="",A326&lt;=S325)),0,IF(A326=入力!$B$15+1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),0)</f>
        <v>98997</v>
      </c>
      <c r="H326" s="32">
        <f t="shared" si="76"/>
        <v>98997</v>
      </c>
      <c r="I326" s="32">
        <f t="shared" si="77"/>
        <v>18600</v>
      </c>
      <c r="J326" s="32">
        <f t="shared" si="78"/>
        <v>0</v>
      </c>
      <c r="K326" s="32">
        <f t="shared" si="79"/>
        <v>0</v>
      </c>
      <c r="L326" s="32">
        <f t="shared" si="80"/>
        <v>80397</v>
      </c>
      <c r="M326" s="32">
        <f>IF(AND(AND(T325="",A326&lt;=S325),A326=入力!$B$15),ROUND(MIN(入力!$B$16,MAX(0,C326-L326)),0),0)</f>
        <v>0</v>
      </c>
      <c r="N326" s="32">
        <f t="shared" si="81"/>
        <v>8847759</v>
      </c>
      <c r="O326" s="32">
        <f t="shared" si="82"/>
        <v>11433756</v>
      </c>
      <c r="P326" s="34" t="str">
        <f>IF(NOT(AND(T325="",A326&lt;=S325)),"",IF(A326=入力!$B$15+1,"繰上返済後再計算","")&amp;IF(AND(入力!$B$13="有効",A326&gt;1,MOD(A326-1,60)=0),IF(A326=入力!$B$15+1,"・","")&amp;"5年見直し","")&amp;IF(AND(A326=入力!$B$11,A326&gt;1),IF(OR(A326=入力!$B$15+1,AND(入力!$B$13="有効",A326&gt;1,MOD(A326-1,60)=0)),"・","")&amp;"金利変更","")&amp;IF(AND(OR(AND(入力!$B$13="有効",A326&gt;1,MOD(A326-1,60)=0),AND(A326=入力!$B$11,A326&gt;1)),入力!$B$14="有効",IF(E326=0,ROUND(C326/MAX(1,S325-A326+1),0),ROUND(-PMT(E326/12,MAX(1,S325-A326+1),C326),0))&gt;ROUND(G325*1.25,0),NOT(A326=入力!$B$15+1)),"・上限適用",""))</f>
        <v/>
      </c>
      <c r="Q326" s="35" t="str">
        <f>IF(AND(T325="",A326&lt;=S325),入力!$B$13,"")</f>
        <v>有効</v>
      </c>
      <c r="R326" s="32" t="str">
        <f>IF(AND(AND(T325="",A326&lt;=S325),OR(AND(入力!$B$13="有効",A326&gt;1,MOD(A326-1,60)=0),AND(A326=入力!$B$11,A326&gt;1)),入力!$B$14="有効"),ROUND(G325*1.25,0),"")</f>
        <v/>
      </c>
      <c r="S326" s="36">
        <f t="shared" si="83"/>
        <v>420</v>
      </c>
      <c r="T326" s="35" t="str">
        <f t="shared" si="84"/>
        <v/>
      </c>
      <c r="U326" s="3">
        <f t="shared" ref="U326:U389" si="85">ABS(I326-MIN(H326,D326+F326))</f>
        <v>0</v>
      </c>
      <c r="V326" s="3">
        <f t="shared" ref="V326:V389" si="86">ABS(L326-(H326-I326))</f>
        <v>0</v>
      </c>
      <c r="W326" s="3">
        <f t="shared" ref="W326:W389" si="87">ABS(K326-(D326+J326))</f>
        <v>0</v>
      </c>
      <c r="X326" s="3">
        <f t="shared" ref="X326:X389" si="88">ABS(F326-ROUND(F326,0))+ABS(G326-ROUND(G326,0))+ABS(H326-ROUND(H326,0))+ABS(I326-ROUND(I326,0))+ABS(J326-ROUND(J326,0))+ABS(K326-ROUND(K326,0))+ABS(L326-ROUND(L326,0))+ABS(M326-ROUND(M326,0))+ABS(N326-ROUND(N326,0))+ABS(O326-ROUND(O326,0))</f>
        <v>0</v>
      </c>
      <c r="Y326" s="3">
        <f>0</f>
        <v>0</v>
      </c>
      <c r="Z326" s="3">
        <f t="shared" ref="Z326:Z389" si="89">SUM(--ISERROR(A326),--ISERROR(B326),--ISERROR(C326),--ISERROR(D326),--ISERROR(E326),--ISERROR(F326),--ISERROR(G326),--ISERROR(H326),--ISERROR(I326),--ISERROR(J326),--ISERROR(K326),--ISERROR(L326),--ISERROR(M326),--ISERROR(N326),--ISERROR(O326),--ISERROR(P326),--ISERROR(Q326),--ISERROR(R326),--ISERROR(S326),--ISERROR(T326))</f>
        <v>0</v>
      </c>
      <c r="AA326">
        <f>ROUND(IF(A326=入力!$B$15+1,IF(E326=0,ROUND(C326/MAX(1,S325-A326+1),0),ROUND(-PMT(E326/12,MAX(1,S325-A326+1)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,0)</f>
        <v>98997</v>
      </c>
    </row>
    <row r="327" spans="1:27">
      <c r="A327" s="30">
        <f>322</f>
        <v>322</v>
      </c>
      <c r="B327" s="31">
        <f>EDATE(入力!$B$6,A327-1)</f>
        <v>56005</v>
      </c>
      <c r="C327" s="32">
        <f t="shared" ref="C327:C390" si="90">IF(AND(T326="",A327&lt;=S326),N326,0)</f>
        <v>8847759</v>
      </c>
      <c r="D327" s="32">
        <f t="shared" ref="D327:D390" si="91">IF(AND(T326="",A327&lt;=S326),K326,0)</f>
        <v>0</v>
      </c>
      <c r="E327" s="33">
        <f>IF(AND(T326="",A327&lt;=S326),IF(A327&lt;入力!$B$11,入力!$B$10,入力!$B$12),0)</f>
        <v>2.5000000000000001E-2</v>
      </c>
      <c r="F327" s="32">
        <f t="shared" ref="F327:F390" si="92">IF(AND(T326="",A327&lt;=S326),ROUND(C327*E327/12,0),0)</f>
        <v>18433</v>
      </c>
      <c r="G327" s="32">
        <f>ROUND(IF(NOT(AND(T326="",A327&lt;=S326)),0,IF(A327=入力!$B$15+1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),0)</f>
        <v>98997</v>
      </c>
      <c r="H327" s="32">
        <f t="shared" ref="H327:H390" si="93">IF(AND(T326="",A327&lt;=S326),ROUND(MIN(G327,C327+D327+F327),0),0)</f>
        <v>98997</v>
      </c>
      <c r="I327" s="32">
        <f t="shared" ref="I327:I390" si="94">IF(AND(T326="",A327&lt;=S326),ROUND(MIN(H327,D327+F327),0),0)</f>
        <v>18433</v>
      </c>
      <c r="J327" s="32">
        <f t="shared" ref="J327:J390" si="95">IF(AND(T326="",A327&lt;=S326),ROUND(F327-I327,0),0)</f>
        <v>0</v>
      </c>
      <c r="K327" s="32">
        <f t="shared" ref="K327:K390" si="96">IF(AND(T326="",A327&lt;=S326),ROUND(D327+J327,0),0)</f>
        <v>0</v>
      </c>
      <c r="L327" s="32">
        <f t="shared" ref="L327:L390" si="97">IF(AND(T326="",A327&lt;=S326),ROUND(H327-I327,0),0)</f>
        <v>80564</v>
      </c>
      <c r="M327" s="32">
        <f>IF(AND(AND(T326="",A327&lt;=S326),A327=入力!$B$15),ROUND(MIN(入力!$B$16,MAX(0,C327-L327)),0),0)</f>
        <v>0</v>
      </c>
      <c r="N327" s="32">
        <f t="shared" ref="N327:N390" si="98">IF(AND(T326="",A327&lt;=S326),ROUND(MAX(0,C327-L327-M327),0),0)</f>
        <v>8767195</v>
      </c>
      <c r="O327" s="32">
        <f t="shared" ref="O327:O390" si="99">IF(AND(T326="",A327&lt;=S326),ROUND(O326+F327,0),O326)</f>
        <v>11452189</v>
      </c>
      <c r="P327" s="34" t="str">
        <f>IF(NOT(AND(T326="",A327&lt;=S326)),"",IF(A327=入力!$B$15+1,"繰上返済後再計算","")&amp;IF(AND(入力!$B$13="有効",A327&gt;1,MOD(A327-1,60)=0),IF(A327=入力!$B$15+1,"・","")&amp;"5年見直し","")&amp;IF(AND(A327=入力!$B$11,A327&gt;1),IF(OR(A327=入力!$B$15+1,AND(入力!$B$13="有効",A327&gt;1,MOD(A327-1,60)=0)),"・","")&amp;"金利変更","")&amp;IF(AND(OR(AND(入力!$B$13="有効",A327&gt;1,MOD(A327-1,60)=0),AND(A327=入力!$B$11,A327&gt;1)),入力!$B$14="有効",IF(E327=0,ROUND(C327/MAX(1,S326-A327+1),0),ROUND(-PMT(E327/12,MAX(1,S326-A327+1),C327),0))&gt;ROUND(G326*1.25,0),NOT(A327=入力!$B$15+1)),"・上限適用",""))</f>
        <v/>
      </c>
      <c r="Q327" s="35" t="str">
        <f>IF(AND(T326="",A327&lt;=S326),入力!$B$13,"")</f>
        <v>有効</v>
      </c>
      <c r="R327" s="32" t="str">
        <f>IF(AND(AND(T326="",A327&lt;=S326),OR(AND(入力!$B$13="有効",A327&gt;1,MOD(A327-1,60)=0),AND(A327=入力!$B$11,A327&gt;1)),入力!$B$14="有効"),ROUND(G326*1.25,0),"")</f>
        <v/>
      </c>
      <c r="S327" s="36">
        <f t="shared" ref="S327:S390" si="100">S326</f>
        <v>420</v>
      </c>
      <c r="T327" s="35" t="str">
        <f t="shared" ref="T327:T390" si="101">IF(NOT(AND(T326="",A327&lt;=S326)),"",IF(AND(N327=0,K327=0),"完済",IF(A327=S327,"最終回清算","")))</f>
        <v/>
      </c>
      <c r="U327" s="3">
        <f t="shared" si="85"/>
        <v>0</v>
      </c>
      <c r="V327" s="3">
        <f t="shared" si="86"/>
        <v>0</v>
      </c>
      <c r="W327" s="3">
        <f t="shared" si="87"/>
        <v>0</v>
      </c>
      <c r="X327" s="3">
        <f t="shared" si="88"/>
        <v>0</v>
      </c>
      <c r="Y327" s="3">
        <f>0</f>
        <v>0</v>
      </c>
      <c r="Z327" s="3">
        <f t="shared" si="89"/>
        <v>0</v>
      </c>
      <c r="AA327">
        <f>ROUND(IF(A327=入力!$B$15+1,IF(E327=0,ROUND(C327/MAX(1,S326-A327+1),0),ROUND(-PMT(E327/12,MAX(1,S326-A327+1)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,0)</f>
        <v>98997</v>
      </c>
    </row>
    <row r="328" spans="1:27">
      <c r="A328" s="30">
        <f>323</f>
        <v>323</v>
      </c>
      <c r="B328" s="31">
        <f>EDATE(入力!$B$6,A328-1)</f>
        <v>56036</v>
      </c>
      <c r="C328" s="32">
        <f t="shared" si="90"/>
        <v>8767195</v>
      </c>
      <c r="D328" s="32">
        <f t="shared" si="91"/>
        <v>0</v>
      </c>
      <c r="E328" s="33">
        <f>IF(AND(T327="",A328&lt;=S327),IF(A328&lt;入力!$B$11,入力!$B$10,入力!$B$12),0)</f>
        <v>2.5000000000000001E-2</v>
      </c>
      <c r="F328" s="32">
        <f t="shared" si="92"/>
        <v>18265</v>
      </c>
      <c r="G328" s="32">
        <f>ROUND(IF(NOT(AND(T327="",A328&lt;=S327)),0,IF(A328=入力!$B$15+1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),0)</f>
        <v>98997</v>
      </c>
      <c r="H328" s="32">
        <f t="shared" si="93"/>
        <v>98997</v>
      </c>
      <c r="I328" s="32">
        <f t="shared" si="94"/>
        <v>18265</v>
      </c>
      <c r="J328" s="32">
        <f t="shared" si="95"/>
        <v>0</v>
      </c>
      <c r="K328" s="32">
        <f t="shared" si="96"/>
        <v>0</v>
      </c>
      <c r="L328" s="32">
        <f t="shared" si="97"/>
        <v>80732</v>
      </c>
      <c r="M328" s="32">
        <f>IF(AND(AND(T327="",A328&lt;=S327),A328=入力!$B$15),ROUND(MIN(入力!$B$16,MAX(0,C328-L328)),0),0)</f>
        <v>0</v>
      </c>
      <c r="N328" s="32">
        <f t="shared" si="98"/>
        <v>8686463</v>
      </c>
      <c r="O328" s="32">
        <f t="shared" si="99"/>
        <v>11470454</v>
      </c>
      <c r="P328" s="34" t="str">
        <f>IF(NOT(AND(T327="",A328&lt;=S327)),"",IF(A328=入力!$B$15+1,"繰上返済後再計算","")&amp;IF(AND(入力!$B$13="有効",A328&gt;1,MOD(A328-1,60)=0),IF(A328=入力!$B$15+1,"・","")&amp;"5年見直し","")&amp;IF(AND(A328=入力!$B$11,A328&gt;1),IF(OR(A328=入力!$B$15+1,AND(入力!$B$13="有効",A328&gt;1,MOD(A328-1,60)=0)),"・","")&amp;"金利変更","")&amp;IF(AND(OR(AND(入力!$B$13="有効",A328&gt;1,MOD(A328-1,60)=0),AND(A328=入力!$B$11,A328&gt;1)),入力!$B$14="有効",IF(E328=0,ROUND(C328/MAX(1,S327-A328+1),0),ROUND(-PMT(E328/12,MAX(1,S327-A328+1),C328),0))&gt;ROUND(G327*1.25,0),NOT(A328=入力!$B$15+1)),"・上限適用",""))</f>
        <v/>
      </c>
      <c r="Q328" s="35" t="str">
        <f>IF(AND(T327="",A328&lt;=S327),入力!$B$13,"")</f>
        <v>有効</v>
      </c>
      <c r="R328" s="32" t="str">
        <f>IF(AND(AND(T327="",A328&lt;=S327),OR(AND(入力!$B$13="有効",A328&gt;1,MOD(A328-1,60)=0),AND(A328=入力!$B$11,A328&gt;1)),入力!$B$14="有効"),ROUND(G327*1.25,0),"")</f>
        <v/>
      </c>
      <c r="S328" s="36">
        <f t="shared" si="100"/>
        <v>420</v>
      </c>
      <c r="T328" s="35" t="str">
        <f t="shared" si="101"/>
        <v/>
      </c>
      <c r="U328" s="3">
        <f t="shared" si="85"/>
        <v>0</v>
      </c>
      <c r="V328" s="3">
        <f t="shared" si="86"/>
        <v>0</v>
      </c>
      <c r="W328" s="3">
        <f t="shared" si="87"/>
        <v>0</v>
      </c>
      <c r="X328" s="3">
        <f t="shared" si="88"/>
        <v>0</v>
      </c>
      <c r="Y328" s="3">
        <f>0</f>
        <v>0</v>
      </c>
      <c r="Z328" s="3">
        <f t="shared" si="89"/>
        <v>0</v>
      </c>
      <c r="AA328">
        <f>ROUND(IF(A328=入力!$B$15+1,IF(E328=0,ROUND(C328/MAX(1,S327-A328+1),0),ROUND(-PMT(E328/12,MAX(1,S327-A328+1)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,0)</f>
        <v>98997</v>
      </c>
    </row>
    <row r="329" spans="1:27">
      <c r="A329" s="30">
        <f>324</f>
        <v>324</v>
      </c>
      <c r="B329" s="31">
        <f>EDATE(入力!$B$6,A329-1)</f>
        <v>56066</v>
      </c>
      <c r="C329" s="32">
        <f t="shared" si="90"/>
        <v>8686463</v>
      </c>
      <c r="D329" s="32">
        <f t="shared" si="91"/>
        <v>0</v>
      </c>
      <c r="E329" s="33">
        <f>IF(AND(T328="",A329&lt;=S328),IF(A329&lt;入力!$B$11,入力!$B$10,入力!$B$12),0)</f>
        <v>2.5000000000000001E-2</v>
      </c>
      <c r="F329" s="32">
        <f t="shared" si="92"/>
        <v>18097</v>
      </c>
      <c r="G329" s="32">
        <f>ROUND(IF(NOT(AND(T328="",A329&lt;=S328)),0,IF(A329=入力!$B$15+1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),0)</f>
        <v>98997</v>
      </c>
      <c r="H329" s="32">
        <f t="shared" si="93"/>
        <v>98997</v>
      </c>
      <c r="I329" s="32">
        <f t="shared" si="94"/>
        <v>18097</v>
      </c>
      <c r="J329" s="32">
        <f t="shared" si="95"/>
        <v>0</v>
      </c>
      <c r="K329" s="32">
        <f t="shared" si="96"/>
        <v>0</v>
      </c>
      <c r="L329" s="32">
        <f t="shared" si="97"/>
        <v>80900</v>
      </c>
      <c r="M329" s="32">
        <f>IF(AND(AND(T328="",A329&lt;=S328),A329=入力!$B$15),ROUND(MIN(入力!$B$16,MAX(0,C329-L329)),0),0)</f>
        <v>0</v>
      </c>
      <c r="N329" s="32">
        <f t="shared" si="98"/>
        <v>8605563</v>
      </c>
      <c r="O329" s="32">
        <f t="shared" si="99"/>
        <v>11488551</v>
      </c>
      <c r="P329" s="34" t="str">
        <f>IF(NOT(AND(T328="",A329&lt;=S328)),"",IF(A329=入力!$B$15+1,"繰上返済後再計算","")&amp;IF(AND(入力!$B$13="有効",A329&gt;1,MOD(A329-1,60)=0),IF(A329=入力!$B$15+1,"・","")&amp;"5年見直し","")&amp;IF(AND(A329=入力!$B$11,A329&gt;1),IF(OR(A329=入力!$B$15+1,AND(入力!$B$13="有効",A329&gt;1,MOD(A329-1,60)=0)),"・","")&amp;"金利変更","")&amp;IF(AND(OR(AND(入力!$B$13="有効",A329&gt;1,MOD(A329-1,60)=0),AND(A329=入力!$B$11,A329&gt;1)),入力!$B$14="有効",IF(E329=0,ROUND(C329/MAX(1,S328-A329+1),0),ROUND(-PMT(E329/12,MAX(1,S328-A329+1),C329),0))&gt;ROUND(G328*1.25,0),NOT(A329=入力!$B$15+1)),"・上限適用",""))</f>
        <v/>
      </c>
      <c r="Q329" s="35" t="str">
        <f>IF(AND(T328="",A329&lt;=S328),入力!$B$13,"")</f>
        <v>有効</v>
      </c>
      <c r="R329" s="32" t="str">
        <f>IF(AND(AND(T328="",A329&lt;=S328),OR(AND(入力!$B$13="有効",A329&gt;1,MOD(A329-1,60)=0),AND(A329=入力!$B$11,A329&gt;1)),入力!$B$14="有効"),ROUND(G328*1.25,0),"")</f>
        <v/>
      </c>
      <c r="S329" s="36">
        <f t="shared" si="100"/>
        <v>420</v>
      </c>
      <c r="T329" s="35" t="str">
        <f t="shared" si="101"/>
        <v/>
      </c>
      <c r="U329" s="3">
        <f t="shared" si="85"/>
        <v>0</v>
      </c>
      <c r="V329" s="3">
        <f t="shared" si="86"/>
        <v>0</v>
      </c>
      <c r="W329" s="3">
        <f t="shared" si="87"/>
        <v>0</v>
      </c>
      <c r="X329" s="3">
        <f t="shared" si="88"/>
        <v>0</v>
      </c>
      <c r="Y329" s="3">
        <f>0</f>
        <v>0</v>
      </c>
      <c r="Z329" s="3">
        <f t="shared" si="89"/>
        <v>0</v>
      </c>
      <c r="AA329">
        <f>ROUND(IF(A329=入力!$B$15+1,IF(E329=0,ROUND(C329/MAX(1,S328-A329+1),0),ROUND(-PMT(E329/12,MAX(1,S328-A329+1)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,0)</f>
        <v>98997</v>
      </c>
    </row>
    <row r="330" spans="1:27">
      <c r="A330" s="30">
        <f>325</f>
        <v>325</v>
      </c>
      <c r="B330" s="31">
        <f>EDATE(入力!$B$6,A330-1)</f>
        <v>56097</v>
      </c>
      <c r="C330" s="32">
        <f t="shared" si="90"/>
        <v>8605563</v>
      </c>
      <c r="D330" s="32">
        <f t="shared" si="91"/>
        <v>0</v>
      </c>
      <c r="E330" s="33">
        <f>IF(AND(T329="",A330&lt;=S329),IF(A330&lt;入力!$B$11,入力!$B$10,入力!$B$12),0)</f>
        <v>2.5000000000000001E-2</v>
      </c>
      <c r="F330" s="32">
        <f t="shared" si="92"/>
        <v>17928</v>
      </c>
      <c r="G330" s="32">
        <f>ROUND(IF(NOT(AND(T329="",A330&lt;=S329)),0,IF(A330=入力!$B$15+1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),0)</f>
        <v>98997</v>
      </c>
      <c r="H330" s="32">
        <f t="shared" si="93"/>
        <v>98997</v>
      </c>
      <c r="I330" s="32">
        <f t="shared" si="94"/>
        <v>17928</v>
      </c>
      <c r="J330" s="32">
        <f t="shared" si="95"/>
        <v>0</v>
      </c>
      <c r="K330" s="32">
        <f t="shared" si="96"/>
        <v>0</v>
      </c>
      <c r="L330" s="32">
        <f t="shared" si="97"/>
        <v>81069</v>
      </c>
      <c r="M330" s="32">
        <f>IF(AND(AND(T329="",A330&lt;=S329),A330=入力!$B$15),ROUND(MIN(入力!$B$16,MAX(0,C330-L330)),0),0)</f>
        <v>0</v>
      </c>
      <c r="N330" s="32">
        <f t="shared" si="98"/>
        <v>8524494</v>
      </c>
      <c r="O330" s="32">
        <f t="shared" si="99"/>
        <v>11506479</v>
      </c>
      <c r="P330" s="34" t="str">
        <f>IF(NOT(AND(T329="",A330&lt;=S329)),"",IF(A330=入力!$B$15+1,"繰上返済後再計算","")&amp;IF(AND(入力!$B$13="有効",A330&gt;1,MOD(A330-1,60)=0),IF(A330=入力!$B$15+1,"・","")&amp;"5年見直し","")&amp;IF(AND(A330=入力!$B$11,A330&gt;1),IF(OR(A330=入力!$B$15+1,AND(入力!$B$13="有効",A330&gt;1,MOD(A330-1,60)=0)),"・","")&amp;"金利変更","")&amp;IF(AND(OR(AND(入力!$B$13="有効",A330&gt;1,MOD(A330-1,60)=0),AND(A330=入力!$B$11,A330&gt;1)),入力!$B$14="有効",IF(E330=0,ROUND(C330/MAX(1,S329-A330+1),0),ROUND(-PMT(E330/12,MAX(1,S329-A330+1),C330),0))&gt;ROUND(G329*1.25,0),NOT(A330=入力!$B$15+1)),"・上限適用",""))</f>
        <v/>
      </c>
      <c r="Q330" s="35" t="str">
        <f>IF(AND(T329="",A330&lt;=S329),入力!$B$13,"")</f>
        <v>有効</v>
      </c>
      <c r="R330" s="32" t="str">
        <f>IF(AND(AND(T329="",A330&lt;=S329),OR(AND(入力!$B$13="有効",A330&gt;1,MOD(A330-1,60)=0),AND(A330=入力!$B$11,A330&gt;1)),入力!$B$14="有効"),ROUND(G329*1.25,0),"")</f>
        <v/>
      </c>
      <c r="S330" s="36">
        <f t="shared" si="100"/>
        <v>420</v>
      </c>
      <c r="T330" s="35" t="str">
        <f t="shared" si="101"/>
        <v/>
      </c>
      <c r="U330" s="3">
        <f t="shared" si="85"/>
        <v>0</v>
      </c>
      <c r="V330" s="3">
        <f t="shared" si="86"/>
        <v>0</v>
      </c>
      <c r="W330" s="3">
        <f t="shared" si="87"/>
        <v>0</v>
      </c>
      <c r="X330" s="3">
        <f t="shared" si="88"/>
        <v>0</v>
      </c>
      <c r="Y330" s="3">
        <f>0</f>
        <v>0</v>
      </c>
      <c r="Z330" s="3">
        <f t="shared" si="89"/>
        <v>0</v>
      </c>
      <c r="AA330">
        <f>ROUND(IF(A330=入力!$B$15+1,IF(E330=0,ROUND(C330/MAX(1,S329-A330+1),0),ROUND(-PMT(E330/12,MAX(1,S329-A330+1)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,0)</f>
        <v>98997</v>
      </c>
    </row>
    <row r="331" spans="1:27">
      <c r="A331" s="30">
        <f>326</f>
        <v>326</v>
      </c>
      <c r="B331" s="31">
        <f>EDATE(入力!$B$6,A331-1)</f>
        <v>56128</v>
      </c>
      <c r="C331" s="32">
        <f t="shared" si="90"/>
        <v>8524494</v>
      </c>
      <c r="D331" s="32">
        <f t="shared" si="91"/>
        <v>0</v>
      </c>
      <c r="E331" s="33">
        <f>IF(AND(T330="",A331&lt;=S330),IF(A331&lt;入力!$B$11,入力!$B$10,入力!$B$12),0)</f>
        <v>2.5000000000000001E-2</v>
      </c>
      <c r="F331" s="32">
        <f t="shared" si="92"/>
        <v>17759</v>
      </c>
      <c r="G331" s="32">
        <f>ROUND(IF(NOT(AND(T330="",A331&lt;=S330)),0,IF(A331=入力!$B$15+1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),0)</f>
        <v>98997</v>
      </c>
      <c r="H331" s="32">
        <f t="shared" si="93"/>
        <v>98997</v>
      </c>
      <c r="I331" s="32">
        <f t="shared" si="94"/>
        <v>17759</v>
      </c>
      <c r="J331" s="32">
        <f t="shared" si="95"/>
        <v>0</v>
      </c>
      <c r="K331" s="32">
        <f t="shared" si="96"/>
        <v>0</v>
      </c>
      <c r="L331" s="32">
        <f t="shared" si="97"/>
        <v>81238</v>
      </c>
      <c r="M331" s="32">
        <f>IF(AND(AND(T330="",A331&lt;=S330),A331=入力!$B$15),ROUND(MIN(入力!$B$16,MAX(0,C331-L331)),0),0)</f>
        <v>0</v>
      </c>
      <c r="N331" s="32">
        <f t="shared" si="98"/>
        <v>8443256</v>
      </c>
      <c r="O331" s="32">
        <f t="shared" si="99"/>
        <v>11524238</v>
      </c>
      <c r="P331" s="34" t="str">
        <f>IF(NOT(AND(T330="",A331&lt;=S330)),"",IF(A331=入力!$B$15+1,"繰上返済後再計算","")&amp;IF(AND(入力!$B$13="有効",A331&gt;1,MOD(A331-1,60)=0),IF(A331=入力!$B$15+1,"・","")&amp;"5年見直し","")&amp;IF(AND(A331=入力!$B$11,A331&gt;1),IF(OR(A331=入力!$B$15+1,AND(入力!$B$13="有効",A331&gt;1,MOD(A331-1,60)=0)),"・","")&amp;"金利変更","")&amp;IF(AND(OR(AND(入力!$B$13="有効",A331&gt;1,MOD(A331-1,60)=0),AND(A331=入力!$B$11,A331&gt;1)),入力!$B$14="有効",IF(E331=0,ROUND(C331/MAX(1,S330-A331+1),0),ROUND(-PMT(E331/12,MAX(1,S330-A331+1),C331),0))&gt;ROUND(G330*1.25,0),NOT(A331=入力!$B$15+1)),"・上限適用",""))</f>
        <v/>
      </c>
      <c r="Q331" s="35" t="str">
        <f>IF(AND(T330="",A331&lt;=S330),入力!$B$13,"")</f>
        <v>有効</v>
      </c>
      <c r="R331" s="32" t="str">
        <f>IF(AND(AND(T330="",A331&lt;=S330),OR(AND(入力!$B$13="有効",A331&gt;1,MOD(A331-1,60)=0),AND(A331=入力!$B$11,A331&gt;1)),入力!$B$14="有効"),ROUND(G330*1.25,0),"")</f>
        <v/>
      </c>
      <c r="S331" s="36">
        <f t="shared" si="100"/>
        <v>420</v>
      </c>
      <c r="T331" s="35" t="str">
        <f t="shared" si="101"/>
        <v/>
      </c>
      <c r="U331" s="3">
        <f t="shared" si="85"/>
        <v>0</v>
      </c>
      <c r="V331" s="3">
        <f t="shared" si="86"/>
        <v>0</v>
      </c>
      <c r="W331" s="3">
        <f t="shared" si="87"/>
        <v>0</v>
      </c>
      <c r="X331" s="3">
        <f t="shared" si="88"/>
        <v>0</v>
      </c>
      <c r="Y331" s="3">
        <f>0</f>
        <v>0</v>
      </c>
      <c r="Z331" s="3">
        <f t="shared" si="89"/>
        <v>0</v>
      </c>
      <c r="AA331">
        <f>ROUND(IF(A331=入力!$B$15+1,IF(E331=0,ROUND(C331/MAX(1,S330-A331+1),0),ROUND(-PMT(E331/12,MAX(1,S330-A331+1)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,0)</f>
        <v>98997</v>
      </c>
    </row>
    <row r="332" spans="1:27">
      <c r="A332" s="30">
        <f>327</f>
        <v>327</v>
      </c>
      <c r="B332" s="31">
        <f>EDATE(入力!$B$6,A332-1)</f>
        <v>56158</v>
      </c>
      <c r="C332" s="32">
        <f t="shared" si="90"/>
        <v>8443256</v>
      </c>
      <c r="D332" s="32">
        <f t="shared" si="91"/>
        <v>0</v>
      </c>
      <c r="E332" s="33">
        <f>IF(AND(T331="",A332&lt;=S331),IF(A332&lt;入力!$B$11,入力!$B$10,入力!$B$12),0)</f>
        <v>2.5000000000000001E-2</v>
      </c>
      <c r="F332" s="32">
        <f t="shared" si="92"/>
        <v>17590</v>
      </c>
      <c r="G332" s="32">
        <f>ROUND(IF(NOT(AND(T331="",A332&lt;=S331)),0,IF(A332=入力!$B$15+1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),0)</f>
        <v>98997</v>
      </c>
      <c r="H332" s="32">
        <f t="shared" si="93"/>
        <v>98997</v>
      </c>
      <c r="I332" s="32">
        <f t="shared" si="94"/>
        <v>17590</v>
      </c>
      <c r="J332" s="32">
        <f t="shared" si="95"/>
        <v>0</v>
      </c>
      <c r="K332" s="32">
        <f t="shared" si="96"/>
        <v>0</v>
      </c>
      <c r="L332" s="32">
        <f t="shared" si="97"/>
        <v>81407</v>
      </c>
      <c r="M332" s="32">
        <f>IF(AND(AND(T331="",A332&lt;=S331),A332=入力!$B$15),ROUND(MIN(入力!$B$16,MAX(0,C332-L332)),0),0)</f>
        <v>0</v>
      </c>
      <c r="N332" s="32">
        <f t="shared" si="98"/>
        <v>8361849</v>
      </c>
      <c r="O332" s="32">
        <f t="shared" si="99"/>
        <v>11541828</v>
      </c>
      <c r="P332" s="34" t="str">
        <f>IF(NOT(AND(T331="",A332&lt;=S331)),"",IF(A332=入力!$B$15+1,"繰上返済後再計算","")&amp;IF(AND(入力!$B$13="有効",A332&gt;1,MOD(A332-1,60)=0),IF(A332=入力!$B$15+1,"・","")&amp;"5年見直し","")&amp;IF(AND(A332=入力!$B$11,A332&gt;1),IF(OR(A332=入力!$B$15+1,AND(入力!$B$13="有効",A332&gt;1,MOD(A332-1,60)=0)),"・","")&amp;"金利変更","")&amp;IF(AND(OR(AND(入力!$B$13="有効",A332&gt;1,MOD(A332-1,60)=0),AND(A332=入力!$B$11,A332&gt;1)),入力!$B$14="有効",IF(E332=0,ROUND(C332/MAX(1,S331-A332+1),0),ROUND(-PMT(E332/12,MAX(1,S331-A332+1),C332),0))&gt;ROUND(G331*1.25,0),NOT(A332=入力!$B$15+1)),"・上限適用",""))</f>
        <v/>
      </c>
      <c r="Q332" s="35" t="str">
        <f>IF(AND(T331="",A332&lt;=S331),入力!$B$13,"")</f>
        <v>有効</v>
      </c>
      <c r="R332" s="32" t="str">
        <f>IF(AND(AND(T331="",A332&lt;=S331),OR(AND(入力!$B$13="有効",A332&gt;1,MOD(A332-1,60)=0),AND(A332=入力!$B$11,A332&gt;1)),入力!$B$14="有効"),ROUND(G331*1.25,0),"")</f>
        <v/>
      </c>
      <c r="S332" s="36">
        <f t="shared" si="100"/>
        <v>420</v>
      </c>
      <c r="T332" s="35" t="str">
        <f t="shared" si="101"/>
        <v/>
      </c>
      <c r="U332" s="3">
        <f t="shared" si="85"/>
        <v>0</v>
      </c>
      <c r="V332" s="3">
        <f t="shared" si="86"/>
        <v>0</v>
      </c>
      <c r="W332" s="3">
        <f t="shared" si="87"/>
        <v>0</v>
      </c>
      <c r="X332" s="3">
        <f t="shared" si="88"/>
        <v>0</v>
      </c>
      <c r="Y332" s="3">
        <f>0</f>
        <v>0</v>
      </c>
      <c r="Z332" s="3">
        <f t="shared" si="89"/>
        <v>0</v>
      </c>
      <c r="AA332">
        <f>ROUND(IF(A332=入力!$B$15+1,IF(E332=0,ROUND(C332/MAX(1,S331-A332+1),0),ROUND(-PMT(E332/12,MAX(1,S331-A332+1)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,0)</f>
        <v>98997</v>
      </c>
    </row>
    <row r="333" spans="1:27">
      <c r="A333" s="30">
        <f>328</f>
        <v>328</v>
      </c>
      <c r="B333" s="31">
        <f>EDATE(入力!$B$6,A333-1)</f>
        <v>56189</v>
      </c>
      <c r="C333" s="32">
        <f t="shared" si="90"/>
        <v>8361849</v>
      </c>
      <c r="D333" s="32">
        <f t="shared" si="91"/>
        <v>0</v>
      </c>
      <c r="E333" s="33">
        <f>IF(AND(T332="",A333&lt;=S332),IF(A333&lt;入力!$B$11,入力!$B$10,入力!$B$12),0)</f>
        <v>2.5000000000000001E-2</v>
      </c>
      <c r="F333" s="32">
        <f t="shared" si="92"/>
        <v>17421</v>
      </c>
      <c r="G333" s="32">
        <f>ROUND(IF(NOT(AND(T332="",A333&lt;=S332)),0,IF(A333=入力!$B$15+1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),0)</f>
        <v>98997</v>
      </c>
      <c r="H333" s="32">
        <f t="shared" si="93"/>
        <v>98997</v>
      </c>
      <c r="I333" s="32">
        <f t="shared" si="94"/>
        <v>17421</v>
      </c>
      <c r="J333" s="32">
        <f t="shared" si="95"/>
        <v>0</v>
      </c>
      <c r="K333" s="32">
        <f t="shared" si="96"/>
        <v>0</v>
      </c>
      <c r="L333" s="32">
        <f t="shared" si="97"/>
        <v>81576</v>
      </c>
      <c r="M333" s="32">
        <f>IF(AND(AND(T332="",A333&lt;=S332),A333=入力!$B$15),ROUND(MIN(入力!$B$16,MAX(0,C333-L333)),0),0)</f>
        <v>0</v>
      </c>
      <c r="N333" s="32">
        <f t="shared" si="98"/>
        <v>8280273</v>
      </c>
      <c r="O333" s="32">
        <f t="shared" si="99"/>
        <v>11559249</v>
      </c>
      <c r="P333" s="34" t="str">
        <f>IF(NOT(AND(T332="",A333&lt;=S332)),"",IF(A333=入力!$B$15+1,"繰上返済後再計算","")&amp;IF(AND(入力!$B$13="有効",A333&gt;1,MOD(A333-1,60)=0),IF(A333=入力!$B$15+1,"・","")&amp;"5年見直し","")&amp;IF(AND(A333=入力!$B$11,A333&gt;1),IF(OR(A333=入力!$B$15+1,AND(入力!$B$13="有効",A333&gt;1,MOD(A333-1,60)=0)),"・","")&amp;"金利変更","")&amp;IF(AND(OR(AND(入力!$B$13="有効",A333&gt;1,MOD(A333-1,60)=0),AND(A333=入力!$B$11,A333&gt;1)),入力!$B$14="有効",IF(E333=0,ROUND(C333/MAX(1,S332-A333+1),0),ROUND(-PMT(E333/12,MAX(1,S332-A333+1),C333),0))&gt;ROUND(G332*1.25,0),NOT(A333=入力!$B$15+1)),"・上限適用",""))</f>
        <v/>
      </c>
      <c r="Q333" s="35" t="str">
        <f>IF(AND(T332="",A333&lt;=S332),入力!$B$13,"")</f>
        <v>有効</v>
      </c>
      <c r="R333" s="32" t="str">
        <f>IF(AND(AND(T332="",A333&lt;=S332),OR(AND(入力!$B$13="有効",A333&gt;1,MOD(A333-1,60)=0),AND(A333=入力!$B$11,A333&gt;1)),入力!$B$14="有効"),ROUND(G332*1.25,0),"")</f>
        <v/>
      </c>
      <c r="S333" s="36">
        <f t="shared" si="100"/>
        <v>420</v>
      </c>
      <c r="T333" s="35" t="str">
        <f t="shared" si="101"/>
        <v/>
      </c>
      <c r="U333" s="3">
        <f t="shared" si="85"/>
        <v>0</v>
      </c>
      <c r="V333" s="3">
        <f t="shared" si="86"/>
        <v>0</v>
      </c>
      <c r="W333" s="3">
        <f t="shared" si="87"/>
        <v>0</v>
      </c>
      <c r="X333" s="3">
        <f t="shared" si="88"/>
        <v>0</v>
      </c>
      <c r="Y333" s="3">
        <f>0</f>
        <v>0</v>
      </c>
      <c r="Z333" s="3">
        <f t="shared" si="89"/>
        <v>0</v>
      </c>
      <c r="AA333">
        <f>ROUND(IF(A333=入力!$B$15+1,IF(E333=0,ROUND(C333/MAX(1,S332-A333+1),0),ROUND(-PMT(E333/12,MAX(1,S332-A333+1)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,0)</f>
        <v>98997</v>
      </c>
    </row>
    <row r="334" spans="1:27">
      <c r="A334" s="30">
        <f>329</f>
        <v>329</v>
      </c>
      <c r="B334" s="31">
        <f>EDATE(入力!$B$6,A334-1)</f>
        <v>56219</v>
      </c>
      <c r="C334" s="32">
        <f t="shared" si="90"/>
        <v>8280273</v>
      </c>
      <c r="D334" s="32">
        <f t="shared" si="91"/>
        <v>0</v>
      </c>
      <c r="E334" s="33">
        <f>IF(AND(T333="",A334&lt;=S333),IF(A334&lt;入力!$B$11,入力!$B$10,入力!$B$12),0)</f>
        <v>2.5000000000000001E-2</v>
      </c>
      <c r="F334" s="32">
        <f t="shared" si="92"/>
        <v>17251</v>
      </c>
      <c r="G334" s="32">
        <f>ROUND(IF(NOT(AND(T333="",A334&lt;=S333)),0,IF(A334=入力!$B$15+1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),0)</f>
        <v>98997</v>
      </c>
      <c r="H334" s="32">
        <f t="shared" si="93"/>
        <v>98997</v>
      </c>
      <c r="I334" s="32">
        <f t="shared" si="94"/>
        <v>17251</v>
      </c>
      <c r="J334" s="32">
        <f t="shared" si="95"/>
        <v>0</v>
      </c>
      <c r="K334" s="32">
        <f t="shared" si="96"/>
        <v>0</v>
      </c>
      <c r="L334" s="32">
        <f t="shared" si="97"/>
        <v>81746</v>
      </c>
      <c r="M334" s="32">
        <f>IF(AND(AND(T333="",A334&lt;=S333),A334=入力!$B$15),ROUND(MIN(入力!$B$16,MAX(0,C334-L334)),0),0)</f>
        <v>0</v>
      </c>
      <c r="N334" s="32">
        <f t="shared" si="98"/>
        <v>8198527</v>
      </c>
      <c r="O334" s="32">
        <f t="shared" si="99"/>
        <v>11576500</v>
      </c>
      <c r="P334" s="34" t="str">
        <f>IF(NOT(AND(T333="",A334&lt;=S333)),"",IF(A334=入力!$B$15+1,"繰上返済後再計算","")&amp;IF(AND(入力!$B$13="有効",A334&gt;1,MOD(A334-1,60)=0),IF(A334=入力!$B$15+1,"・","")&amp;"5年見直し","")&amp;IF(AND(A334=入力!$B$11,A334&gt;1),IF(OR(A334=入力!$B$15+1,AND(入力!$B$13="有効",A334&gt;1,MOD(A334-1,60)=0)),"・","")&amp;"金利変更","")&amp;IF(AND(OR(AND(入力!$B$13="有効",A334&gt;1,MOD(A334-1,60)=0),AND(A334=入力!$B$11,A334&gt;1)),入力!$B$14="有効",IF(E334=0,ROUND(C334/MAX(1,S333-A334+1),0),ROUND(-PMT(E334/12,MAX(1,S333-A334+1),C334),0))&gt;ROUND(G333*1.25,0),NOT(A334=入力!$B$15+1)),"・上限適用",""))</f>
        <v/>
      </c>
      <c r="Q334" s="35" t="str">
        <f>IF(AND(T333="",A334&lt;=S333),入力!$B$13,"")</f>
        <v>有効</v>
      </c>
      <c r="R334" s="32" t="str">
        <f>IF(AND(AND(T333="",A334&lt;=S333),OR(AND(入力!$B$13="有効",A334&gt;1,MOD(A334-1,60)=0),AND(A334=入力!$B$11,A334&gt;1)),入力!$B$14="有効"),ROUND(G333*1.25,0),"")</f>
        <v/>
      </c>
      <c r="S334" s="36">
        <f t="shared" si="100"/>
        <v>420</v>
      </c>
      <c r="T334" s="35" t="str">
        <f t="shared" si="101"/>
        <v/>
      </c>
      <c r="U334" s="3">
        <f t="shared" si="85"/>
        <v>0</v>
      </c>
      <c r="V334" s="3">
        <f t="shared" si="86"/>
        <v>0</v>
      </c>
      <c r="W334" s="3">
        <f t="shared" si="87"/>
        <v>0</v>
      </c>
      <c r="X334" s="3">
        <f t="shared" si="88"/>
        <v>0</v>
      </c>
      <c r="Y334" s="3">
        <f>0</f>
        <v>0</v>
      </c>
      <c r="Z334" s="3">
        <f t="shared" si="89"/>
        <v>0</v>
      </c>
      <c r="AA334">
        <f>ROUND(IF(A334=入力!$B$15+1,IF(E334=0,ROUND(C334/MAX(1,S333-A334+1),0),ROUND(-PMT(E334/12,MAX(1,S333-A334+1)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,0)</f>
        <v>98997</v>
      </c>
    </row>
    <row r="335" spans="1:27">
      <c r="A335" s="30">
        <f>330</f>
        <v>330</v>
      </c>
      <c r="B335" s="31">
        <f>EDATE(入力!$B$6,A335-1)</f>
        <v>56250</v>
      </c>
      <c r="C335" s="32">
        <f t="shared" si="90"/>
        <v>8198527</v>
      </c>
      <c r="D335" s="32">
        <f t="shared" si="91"/>
        <v>0</v>
      </c>
      <c r="E335" s="33">
        <f>IF(AND(T334="",A335&lt;=S334),IF(A335&lt;入力!$B$11,入力!$B$10,入力!$B$12),0)</f>
        <v>2.5000000000000001E-2</v>
      </c>
      <c r="F335" s="32">
        <f t="shared" si="92"/>
        <v>17080</v>
      </c>
      <c r="G335" s="32">
        <f>ROUND(IF(NOT(AND(T334="",A335&lt;=S334)),0,IF(A335=入力!$B$15+1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),0)</f>
        <v>98997</v>
      </c>
      <c r="H335" s="32">
        <f t="shared" si="93"/>
        <v>98997</v>
      </c>
      <c r="I335" s="32">
        <f t="shared" si="94"/>
        <v>17080</v>
      </c>
      <c r="J335" s="32">
        <f t="shared" si="95"/>
        <v>0</v>
      </c>
      <c r="K335" s="32">
        <f t="shared" si="96"/>
        <v>0</v>
      </c>
      <c r="L335" s="32">
        <f t="shared" si="97"/>
        <v>81917</v>
      </c>
      <c r="M335" s="32">
        <f>IF(AND(AND(T334="",A335&lt;=S334),A335=入力!$B$15),ROUND(MIN(入力!$B$16,MAX(0,C335-L335)),0),0)</f>
        <v>0</v>
      </c>
      <c r="N335" s="32">
        <f t="shared" si="98"/>
        <v>8116610</v>
      </c>
      <c r="O335" s="32">
        <f t="shared" si="99"/>
        <v>11593580</v>
      </c>
      <c r="P335" s="34" t="str">
        <f>IF(NOT(AND(T334="",A335&lt;=S334)),"",IF(A335=入力!$B$15+1,"繰上返済後再計算","")&amp;IF(AND(入力!$B$13="有効",A335&gt;1,MOD(A335-1,60)=0),IF(A335=入力!$B$15+1,"・","")&amp;"5年見直し","")&amp;IF(AND(A335=入力!$B$11,A335&gt;1),IF(OR(A335=入力!$B$15+1,AND(入力!$B$13="有効",A335&gt;1,MOD(A335-1,60)=0)),"・","")&amp;"金利変更","")&amp;IF(AND(OR(AND(入力!$B$13="有効",A335&gt;1,MOD(A335-1,60)=0),AND(A335=入力!$B$11,A335&gt;1)),入力!$B$14="有効",IF(E335=0,ROUND(C335/MAX(1,S334-A335+1),0),ROUND(-PMT(E335/12,MAX(1,S334-A335+1),C335),0))&gt;ROUND(G334*1.25,0),NOT(A335=入力!$B$15+1)),"・上限適用",""))</f>
        <v/>
      </c>
      <c r="Q335" s="35" t="str">
        <f>IF(AND(T334="",A335&lt;=S334),入力!$B$13,"")</f>
        <v>有効</v>
      </c>
      <c r="R335" s="32" t="str">
        <f>IF(AND(AND(T334="",A335&lt;=S334),OR(AND(入力!$B$13="有効",A335&gt;1,MOD(A335-1,60)=0),AND(A335=入力!$B$11,A335&gt;1)),入力!$B$14="有効"),ROUND(G334*1.25,0),"")</f>
        <v/>
      </c>
      <c r="S335" s="36">
        <f t="shared" si="100"/>
        <v>420</v>
      </c>
      <c r="T335" s="35" t="str">
        <f t="shared" si="101"/>
        <v/>
      </c>
      <c r="U335" s="3">
        <f t="shared" si="85"/>
        <v>0</v>
      </c>
      <c r="V335" s="3">
        <f t="shared" si="86"/>
        <v>0</v>
      </c>
      <c r="W335" s="3">
        <f t="shared" si="87"/>
        <v>0</v>
      </c>
      <c r="X335" s="3">
        <f t="shared" si="88"/>
        <v>0</v>
      </c>
      <c r="Y335" s="3">
        <f>0</f>
        <v>0</v>
      </c>
      <c r="Z335" s="3">
        <f t="shared" si="89"/>
        <v>0</v>
      </c>
      <c r="AA335">
        <f>ROUND(IF(A335=入力!$B$15+1,IF(E335=0,ROUND(C335/MAX(1,S334-A335+1),0),ROUND(-PMT(E335/12,MAX(1,S334-A335+1)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,0)</f>
        <v>98997</v>
      </c>
    </row>
    <row r="336" spans="1:27">
      <c r="A336" s="30">
        <f>331</f>
        <v>331</v>
      </c>
      <c r="B336" s="31">
        <f>EDATE(入力!$B$6,A336-1)</f>
        <v>56281</v>
      </c>
      <c r="C336" s="32">
        <f t="shared" si="90"/>
        <v>8116610</v>
      </c>
      <c r="D336" s="32">
        <f t="shared" si="91"/>
        <v>0</v>
      </c>
      <c r="E336" s="33">
        <f>IF(AND(T335="",A336&lt;=S335),IF(A336&lt;入力!$B$11,入力!$B$10,入力!$B$12),0)</f>
        <v>2.5000000000000001E-2</v>
      </c>
      <c r="F336" s="32">
        <f t="shared" si="92"/>
        <v>16910</v>
      </c>
      <c r="G336" s="32">
        <f>ROUND(IF(NOT(AND(T335="",A336&lt;=S335)),0,IF(A336=入力!$B$15+1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),0)</f>
        <v>98997</v>
      </c>
      <c r="H336" s="32">
        <f t="shared" si="93"/>
        <v>98997</v>
      </c>
      <c r="I336" s="32">
        <f t="shared" si="94"/>
        <v>16910</v>
      </c>
      <c r="J336" s="32">
        <f t="shared" si="95"/>
        <v>0</v>
      </c>
      <c r="K336" s="32">
        <f t="shared" si="96"/>
        <v>0</v>
      </c>
      <c r="L336" s="32">
        <f t="shared" si="97"/>
        <v>82087</v>
      </c>
      <c r="M336" s="32">
        <f>IF(AND(AND(T335="",A336&lt;=S335),A336=入力!$B$15),ROUND(MIN(入力!$B$16,MAX(0,C336-L336)),0),0)</f>
        <v>0</v>
      </c>
      <c r="N336" s="32">
        <f t="shared" si="98"/>
        <v>8034523</v>
      </c>
      <c r="O336" s="32">
        <f t="shared" si="99"/>
        <v>11610490</v>
      </c>
      <c r="P336" s="34" t="str">
        <f>IF(NOT(AND(T335="",A336&lt;=S335)),"",IF(A336=入力!$B$15+1,"繰上返済後再計算","")&amp;IF(AND(入力!$B$13="有効",A336&gt;1,MOD(A336-1,60)=0),IF(A336=入力!$B$15+1,"・","")&amp;"5年見直し","")&amp;IF(AND(A336=入力!$B$11,A336&gt;1),IF(OR(A336=入力!$B$15+1,AND(入力!$B$13="有効",A336&gt;1,MOD(A336-1,60)=0)),"・","")&amp;"金利変更","")&amp;IF(AND(OR(AND(入力!$B$13="有効",A336&gt;1,MOD(A336-1,60)=0),AND(A336=入力!$B$11,A336&gt;1)),入力!$B$14="有効",IF(E336=0,ROUND(C336/MAX(1,S335-A336+1),0),ROUND(-PMT(E336/12,MAX(1,S335-A336+1),C336),0))&gt;ROUND(G335*1.25,0),NOT(A336=入力!$B$15+1)),"・上限適用",""))</f>
        <v/>
      </c>
      <c r="Q336" s="35" t="str">
        <f>IF(AND(T335="",A336&lt;=S335),入力!$B$13,"")</f>
        <v>有効</v>
      </c>
      <c r="R336" s="32" t="str">
        <f>IF(AND(AND(T335="",A336&lt;=S335),OR(AND(入力!$B$13="有効",A336&gt;1,MOD(A336-1,60)=0),AND(A336=入力!$B$11,A336&gt;1)),入力!$B$14="有効"),ROUND(G335*1.25,0),"")</f>
        <v/>
      </c>
      <c r="S336" s="36">
        <f t="shared" si="100"/>
        <v>420</v>
      </c>
      <c r="T336" s="35" t="str">
        <f t="shared" si="101"/>
        <v/>
      </c>
      <c r="U336" s="3">
        <f t="shared" si="85"/>
        <v>0</v>
      </c>
      <c r="V336" s="3">
        <f t="shared" si="86"/>
        <v>0</v>
      </c>
      <c r="W336" s="3">
        <f t="shared" si="87"/>
        <v>0</v>
      </c>
      <c r="X336" s="3">
        <f t="shared" si="88"/>
        <v>0</v>
      </c>
      <c r="Y336" s="3">
        <f>0</f>
        <v>0</v>
      </c>
      <c r="Z336" s="3">
        <f t="shared" si="89"/>
        <v>0</v>
      </c>
      <c r="AA336">
        <f>ROUND(IF(A336=入力!$B$15+1,IF(E336=0,ROUND(C336/MAX(1,S335-A336+1),0),ROUND(-PMT(E336/12,MAX(1,S335-A336+1)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,0)</f>
        <v>98997</v>
      </c>
    </row>
    <row r="337" spans="1:27">
      <c r="A337" s="30">
        <f>332</f>
        <v>332</v>
      </c>
      <c r="B337" s="31">
        <f>EDATE(入力!$B$6,A337-1)</f>
        <v>56309</v>
      </c>
      <c r="C337" s="32">
        <f t="shared" si="90"/>
        <v>8034523</v>
      </c>
      <c r="D337" s="32">
        <f t="shared" si="91"/>
        <v>0</v>
      </c>
      <c r="E337" s="33">
        <f>IF(AND(T336="",A337&lt;=S336),IF(A337&lt;入力!$B$11,入力!$B$10,入力!$B$12),0)</f>
        <v>2.5000000000000001E-2</v>
      </c>
      <c r="F337" s="32">
        <f t="shared" si="92"/>
        <v>16739</v>
      </c>
      <c r="G337" s="32">
        <f>ROUND(IF(NOT(AND(T336="",A337&lt;=S336)),0,IF(A337=入力!$B$15+1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),0)</f>
        <v>98997</v>
      </c>
      <c r="H337" s="32">
        <f t="shared" si="93"/>
        <v>98997</v>
      </c>
      <c r="I337" s="32">
        <f t="shared" si="94"/>
        <v>16739</v>
      </c>
      <c r="J337" s="32">
        <f t="shared" si="95"/>
        <v>0</v>
      </c>
      <c r="K337" s="32">
        <f t="shared" si="96"/>
        <v>0</v>
      </c>
      <c r="L337" s="32">
        <f t="shared" si="97"/>
        <v>82258</v>
      </c>
      <c r="M337" s="32">
        <f>IF(AND(AND(T336="",A337&lt;=S336),A337=入力!$B$15),ROUND(MIN(入力!$B$16,MAX(0,C337-L337)),0),0)</f>
        <v>0</v>
      </c>
      <c r="N337" s="32">
        <f t="shared" si="98"/>
        <v>7952265</v>
      </c>
      <c r="O337" s="32">
        <f t="shared" si="99"/>
        <v>11627229</v>
      </c>
      <c r="P337" s="34" t="str">
        <f>IF(NOT(AND(T336="",A337&lt;=S336)),"",IF(A337=入力!$B$15+1,"繰上返済後再計算","")&amp;IF(AND(入力!$B$13="有効",A337&gt;1,MOD(A337-1,60)=0),IF(A337=入力!$B$15+1,"・","")&amp;"5年見直し","")&amp;IF(AND(A337=入力!$B$11,A337&gt;1),IF(OR(A337=入力!$B$15+1,AND(入力!$B$13="有効",A337&gt;1,MOD(A337-1,60)=0)),"・","")&amp;"金利変更","")&amp;IF(AND(OR(AND(入力!$B$13="有効",A337&gt;1,MOD(A337-1,60)=0),AND(A337=入力!$B$11,A337&gt;1)),入力!$B$14="有効",IF(E337=0,ROUND(C337/MAX(1,S336-A337+1),0),ROUND(-PMT(E337/12,MAX(1,S336-A337+1),C337),0))&gt;ROUND(G336*1.25,0),NOT(A337=入力!$B$15+1)),"・上限適用",""))</f>
        <v/>
      </c>
      <c r="Q337" s="35" t="str">
        <f>IF(AND(T336="",A337&lt;=S336),入力!$B$13,"")</f>
        <v>有効</v>
      </c>
      <c r="R337" s="32" t="str">
        <f>IF(AND(AND(T336="",A337&lt;=S336),OR(AND(入力!$B$13="有効",A337&gt;1,MOD(A337-1,60)=0),AND(A337=入力!$B$11,A337&gt;1)),入力!$B$14="有効"),ROUND(G336*1.25,0),"")</f>
        <v/>
      </c>
      <c r="S337" s="36">
        <f t="shared" si="100"/>
        <v>420</v>
      </c>
      <c r="T337" s="35" t="str">
        <f t="shared" si="101"/>
        <v/>
      </c>
      <c r="U337" s="3">
        <f t="shared" si="85"/>
        <v>0</v>
      </c>
      <c r="V337" s="3">
        <f t="shared" si="86"/>
        <v>0</v>
      </c>
      <c r="W337" s="3">
        <f t="shared" si="87"/>
        <v>0</v>
      </c>
      <c r="X337" s="3">
        <f t="shared" si="88"/>
        <v>0</v>
      </c>
      <c r="Y337" s="3">
        <f>0</f>
        <v>0</v>
      </c>
      <c r="Z337" s="3">
        <f t="shared" si="89"/>
        <v>0</v>
      </c>
      <c r="AA337">
        <f>ROUND(IF(A337=入力!$B$15+1,IF(E337=0,ROUND(C337/MAX(1,S336-A337+1),0),ROUND(-PMT(E337/12,MAX(1,S336-A337+1)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,0)</f>
        <v>98997</v>
      </c>
    </row>
    <row r="338" spans="1:27">
      <c r="A338" s="30">
        <f>333</f>
        <v>333</v>
      </c>
      <c r="B338" s="31">
        <f>EDATE(入力!$B$6,A338-1)</f>
        <v>56340</v>
      </c>
      <c r="C338" s="32">
        <f t="shared" si="90"/>
        <v>7952265</v>
      </c>
      <c r="D338" s="32">
        <f t="shared" si="91"/>
        <v>0</v>
      </c>
      <c r="E338" s="33">
        <f>IF(AND(T337="",A338&lt;=S337),IF(A338&lt;入力!$B$11,入力!$B$10,入力!$B$12),0)</f>
        <v>2.5000000000000001E-2</v>
      </c>
      <c r="F338" s="32">
        <f t="shared" si="92"/>
        <v>16567</v>
      </c>
      <c r="G338" s="32">
        <f>ROUND(IF(NOT(AND(T337="",A338&lt;=S337)),0,IF(A338=入力!$B$15+1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),0)</f>
        <v>98997</v>
      </c>
      <c r="H338" s="32">
        <f t="shared" si="93"/>
        <v>98997</v>
      </c>
      <c r="I338" s="32">
        <f t="shared" si="94"/>
        <v>16567</v>
      </c>
      <c r="J338" s="32">
        <f t="shared" si="95"/>
        <v>0</v>
      </c>
      <c r="K338" s="32">
        <f t="shared" si="96"/>
        <v>0</v>
      </c>
      <c r="L338" s="32">
        <f t="shared" si="97"/>
        <v>82430</v>
      </c>
      <c r="M338" s="32">
        <f>IF(AND(AND(T337="",A338&lt;=S337),A338=入力!$B$15),ROUND(MIN(入力!$B$16,MAX(0,C338-L338)),0),0)</f>
        <v>0</v>
      </c>
      <c r="N338" s="32">
        <f t="shared" si="98"/>
        <v>7869835</v>
      </c>
      <c r="O338" s="32">
        <f t="shared" si="99"/>
        <v>11643796</v>
      </c>
      <c r="P338" s="34" t="str">
        <f>IF(NOT(AND(T337="",A338&lt;=S337)),"",IF(A338=入力!$B$15+1,"繰上返済後再計算","")&amp;IF(AND(入力!$B$13="有効",A338&gt;1,MOD(A338-1,60)=0),IF(A338=入力!$B$15+1,"・","")&amp;"5年見直し","")&amp;IF(AND(A338=入力!$B$11,A338&gt;1),IF(OR(A338=入力!$B$15+1,AND(入力!$B$13="有効",A338&gt;1,MOD(A338-1,60)=0)),"・","")&amp;"金利変更","")&amp;IF(AND(OR(AND(入力!$B$13="有効",A338&gt;1,MOD(A338-1,60)=0),AND(A338=入力!$B$11,A338&gt;1)),入力!$B$14="有効",IF(E338=0,ROUND(C338/MAX(1,S337-A338+1),0),ROUND(-PMT(E338/12,MAX(1,S337-A338+1),C338),0))&gt;ROUND(G337*1.25,0),NOT(A338=入力!$B$15+1)),"・上限適用",""))</f>
        <v/>
      </c>
      <c r="Q338" s="35" t="str">
        <f>IF(AND(T337="",A338&lt;=S337),入力!$B$13,"")</f>
        <v>有効</v>
      </c>
      <c r="R338" s="32" t="str">
        <f>IF(AND(AND(T337="",A338&lt;=S337),OR(AND(入力!$B$13="有効",A338&gt;1,MOD(A338-1,60)=0),AND(A338=入力!$B$11,A338&gt;1)),入力!$B$14="有効"),ROUND(G337*1.25,0),"")</f>
        <v/>
      </c>
      <c r="S338" s="36">
        <f t="shared" si="100"/>
        <v>420</v>
      </c>
      <c r="T338" s="35" t="str">
        <f t="shared" si="101"/>
        <v/>
      </c>
      <c r="U338" s="3">
        <f t="shared" si="85"/>
        <v>0</v>
      </c>
      <c r="V338" s="3">
        <f t="shared" si="86"/>
        <v>0</v>
      </c>
      <c r="W338" s="3">
        <f t="shared" si="87"/>
        <v>0</v>
      </c>
      <c r="X338" s="3">
        <f t="shared" si="88"/>
        <v>0</v>
      </c>
      <c r="Y338" s="3">
        <f>0</f>
        <v>0</v>
      </c>
      <c r="Z338" s="3">
        <f t="shared" si="89"/>
        <v>0</v>
      </c>
      <c r="AA338">
        <f>ROUND(IF(A338=入力!$B$15+1,IF(E338=0,ROUND(C338/MAX(1,S337-A338+1),0),ROUND(-PMT(E338/12,MAX(1,S337-A338+1)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,0)</f>
        <v>98997</v>
      </c>
    </row>
    <row r="339" spans="1:27">
      <c r="A339" s="30">
        <f>334</f>
        <v>334</v>
      </c>
      <c r="B339" s="31">
        <f>EDATE(入力!$B$6,A339-1)</f>
        <v>56370</v>
      </c>
      <c r="C339" s="32">
        <f t="shared" si="90"/>
        <v>7869835</v>
      </c>
      <c r="D339" s="32">
        <f t="shared" si="91"/>
        <v>0</v>
      </c>
      <c r="E339" s="33">
        <f>IF(AND(T338="",A339&lt;=S338),IF(A339&lt;入力!$B$11,入力!$B$10,入力!$B$12),0)</f>
        <v>2.5000000000000001E-2</v>
      </c>
      <c r="F339" s="32">
        <f t="shared" si="92"/>
        <v>16395</v>
      </c>
      <c r="G339" s="32">
        <f>ROUND(IF(NOT(AND(T338="",A339&lt;=S338)),0,IF(A339=入力!$B$15+1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),0)</f>
        <v>98997</v>
      </c>
      <c r="H339" s="32">
        <f t="shared" si="93"/>
        <v>98997</v>
      </c>
      <c r="I339" s="32">
        <f t="shared" si="94"/>
        <v>16395</v>
      </c>
      <c r="J339" s="32">
        <f t="shared" si="95"/>
        <v>0</v>
      </c>
      <c r="K339" s="32">
        <f t="shared" si="96"/>
        <v>0</v>
      </c>
      <c r="L339" s="32">
        <f t="shared" si="97"/>
        <v>82602</v>
      </c>
      <c r="M339" s="32">
        <f>IF(AND(AND(T338="",A339&lt;=S338),A339=入力!$B$15),ROUND(MIN(入力!$B$16,MAX(0,C339-L339)),0),0)</f>
        <v>0</v>
      </c>
      <c r="N339" s="32">
        <f t="shared" si="98"/>
        <v>7787233</v>
      </c>
      <c r="O339" s="32">
        <f t="shared" si="99"/>
        <v>11660191</v>
      </c>
      <c r="P339" s="34" t="str">
        <f>IF(NOT(AND(T338="",A339&lt;=S338)),"",IF(A339=入力!$B$15+1,"繰上返済後再計算","")&amp;IF(AND(入力!$B$13="有効",A339&gt;1,MOD(A339-1,60)=0),IF(A339=入力!$B$15+1,"・","")&amp;"5年見直し","")&amp;IF(AND(A339=入力!$B$11,A339&gt;1),IF(OR(A339=入力!$B$15+1,AND(入力!$B$13="有効",A339&gt;1,MOD(A339-1,60)=0)),"・","")&amp;"金利変更","")&amp;IF(AND(OR(AND(入力!$B$13="有効",A339&gt;1,MOD(A339-1,60)=0),AND(A339=入力!$B$11,A339&gt;1)),入力!$B$14="有効",IF(E339=0,ROUND(C339/MAX(1,S338-A339+1),0),ROUND(-PMT(E339/12,MAX(1,S338-A339+1),C339),0))&gt;ROUND(G338*1.25,0),NOT(A339=入力!$B$15+1)),"・上限適用",""))</f>
        <v/>
      </c>
      <c r="Q339" s="35" t="str">
        <f>IF(AND(T338="",A339&lt;=S338),入力!$B$13,"")</f>
        <v>有効</v>
      </c>
      <c r="R339" s="32" t="str">
        <f>IF(AND(AND(T338="",A339&lt;=S338),OR(AND(入力!$B$13="有効",A339&gt;1,MOD(A339-1,60)=0),AND(A339=入力!$B$11,A339&gt;1)),入力!$B$14="有効"),ROUND(G338*1.25,0),"")</f>
        <v/>
      </c>
      <c r="S339" s="36">
        <f t="shared" si="100"/>
        <v>420</v>
      </c>
      <c r="T339" s="35" t="str">
        <f t="shared" si="101"/>
        <v/>
      </c>
      <c r="U339" s="3">
        <f t="shared" si="85"/>
        <v>0</v>
      </c>
      <c r="V339" s="3">
        <f t="shared" si="86"/>
        <v>0</v>
      </c>
      <c r="W339" s="3">
        <f t="shared" si="87"/>
        <v>0</v>
      </c>
      <c r="X339" s="3">
        <f t="shared" si="88"/>
        <v>0</v>
      </c>
      <c r="Y339" s="3">
        <f>0</f>
        <v>0</v>
      </c>
      <c r="Z339" s="3">
        <f t="shared" si="89"/>
        <v>0</v>
      </c>
      <c r="AA339">
        <f>ROUND(IF(A339=入力!$B$15+1,IF(E339=0,ROUND(C339/MAX(1,S338-A339+1),0),ROUND(-PMT(E339/12,MAX(1,S338-A339+1)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,0)</f>
        <v>98997</v>
      </c>
    </row>
    <row r="340" spans="1:27">
      <c r="A340" s="30">
        <f>335</f>
        <v>335</v>
      </c>
      <c r="B340" s="31">
        <f>EDATE(入力!$B$6,A340-1)</f>
        <v>56401</v>
      </c>
      <c r="C340" s="32">
        <f t="shared" si="90"/>
        <v>7787233</v>
      </c>
      <c r="D340" s="32">
        <f t="shared" si="91"/>
        <v>0</v>
      </c>
      <c r="E340" s="33">
        <f>IF(AND(T339="",A340&lt;=S339),IF(A340&lt;入力!$B$11,入力!$B$10,入力!$B$12),0)</f>
        <v>2.5000000000000001E-2</v>
      </c>
      <c r="F340" s="32">
        <f t="shared" si="92"/>
        <v>16223</v>
      </c>
      <c r="G340" s="32">
        <f>ROUND(IF(NOT(AND(T339="",A340&lt;=S339)),0,IF(A340=入力!$B$15+1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),0)</f>
        <v>98997</v>
      </c>
      <c r="H340" s="32">
        <f t="shared" si="93"/>
        <v>98997</v>
      </c>
      <c r="I340" s="32">
        <f t="shared" si="94"/>
        <v>16223</v>
      </c>
      <c r="J340" s="32">
        <f t="shared" si="95"/>
        <v>0</v>
      </c>
      <c r="K340" s="32">
        <f t="shared" si="96"/>
        <v>0</v>
      </c>
      <c r="L340" s="32">
        <f t="shared" si="97"/>
        <v>82774</v>
      </c>
      <c r="M340" s="32">
        <f>IF(AND(AND(T339="",A340&lt;=S339),A340=入力!$B$15),ROUND(MIN(入力!$B$16,MAX(0,C340-L340)),0),0)</f>
        <v>0</v>
      </c>
      <c r="N340" s="32">
        <f t="shared" si="98"/>
        <v>7704459</v>
      </c>
      <c r="O340" s="32">
        <f t="shared" si="99"/>
        <v>11676414</v>
      </c>
      <c r="P340" s="34" t="str">
        <f>IF(NOT(AND(T339="",A340&lt;=S339)),"",IF(A340=入力!$B$15+1,"繰上返済後再計算","")&amp;IF(AND(入力!$B$13="有効",A340&gt;1,MOD(A340-1,60)=0),IF(A340=入力!$B$15+1,"・","")&amp;"5年見直し","")&amp;IF(AND(A340=入力!$B$11,A340&gt;1),IF(OR(A340=入力!$B$15+1,AND(入力!$B$13="有効",A340&gt;1,MOD(A340-1,60)=0)),"・","")&amp;"金利変更","")&amp;IF(AND(OR(AND(入力!$B$13="有効",A340&gt;1,MOD(A340-1,60)=0),AND(A340=入力!$B$11,A340&gt;1)),入力!$B$14="有効",IF(E340=0,ROUND(C340/MAX(1,S339-A340+1),0),ROUND(-PMT(E340/12,MAX(1,S339-A340+1),C340),0))&gt;ROUND(G339*1.25,0),NOT(A340=入力!$B$15+1)),"・上限適用",""))</f>
        <v/>
      </c>
      <c r="Q340" s="35" t="str">
        <f>IF(AND(T339="",A340&lt;=S339),入力!$B$13,"")</f>
        <v>有効</v>
      </c>
      <c r="R340" s="32" t="str">
        <f>IF(AND(AND(T339="",A340&lt;=S339),OR(AND(入力!$B$13="有効",A340&gt;1,MOD(A340-1,60)=0),AND(A340=入力!$B$11,A340&gt;1)),入力!$B$14="有効"),ROUND(G339*1.25,0),"")</f>
        <v/>
      </c>
      <c r="S340" s="36">
        <f t="shared" si="100"/>
        <v>420</v>
      </c>
      <c r="T340" s="35" t="str">
        <f t="shared" si="101"/>
        <v/>
      </c>
      <c r="U340" s="3">
        <f t="shared" si="85"/>
        <v>0</v>
      </c>
      <c r="V340" s="3">
        <f t="shared" si="86"/>
        <v>0</v>
      </c>
      <c r="W340" s="3">
        <f t="shared" si="87"/>
        <v>0</v>
      </c>
      <c r="X340" s="3">
        <f t="shared" si="88"/>
        <v>0</v>
      </c>
      <c r="Y340" s="3">
        <f>0</f>
        <v>0</v>
      </c>
      <c r="Z340" s="3">
        <f t="shared" si="89"/>
        <v>0</v>
      </c>
      <c r="AA340">
        <f>ROUND(IF(A340=入力!$B$15+1,IF(E340=0,ROUND(C340/MAX(1,S339-A340+1),0),ROUND(-PMT(E340/12,MAX(1,S339-A340+1)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,0)</f>
        <v>98997</v>
      </c>
    </row>
    <row r="341" spans="1:27">
      <c r="A341" s="30">
        <f>336</f>
        <v>336</v>
      </c>
      <c r="B341" s="31">
        <f>EDATE(入力!$B$6,A341-1)</f>
        <v>56431</v>
      </c>
      <c r="C341" s="32">
        <f t="shared" si="90"/>
        <v>7704459</v>
      </c>
      <c r="D341" s="32">
        <f t="shared" si="91"/>
        <v>0</v>
      </c>
      <c r="E341" s="33">
        <f>IF(AND(T340="",A341&lt;=S340),IF(A341&lt;入力!$B$11,入力!$B$10,入力!$B$12),0)</f>
        <v>2.5000000000000001E-2</v>
      </c>
      <c r="F341" s="32">
        <f t="shared" si="92"/>
        <v>16051</v>
      </c>
      <c r="G341" s="32">
        <f>ROUND(IF(NOT(AND(T340="",A341&lt;=S340)),0,IF(A341=入力!$B$15+1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),0)</f>
        <v>98997</v>
      </c>
      <c r="H341" s="32">
        <f t="shared" si="93"/>
        <v>98997</v>
      </c>
      <c r="I341" s="32">
        <f t="shared" si="94"/>
        <v>16051</v>
      </c>
      <c r="J341" s="32">
        <f t="shared" si="95"/>
        <v>0</v>
      </c>
      <c r="K341" s="32">
        <f t="shared" si="96"/>
        <v>0</v>
      </c>
      <c r="L341" s="32">
        <f t="shared" si="97"/>
        <v>82946</v>
      </c>
      <c r="M341" s="32">
        <f>IF(AND(AND(T340="",A341&lt;=S340),A341=入力!$B$15),ROUND(MIN(入力!$B$16,MAX(0,C341-L341)),0),0)</f>
        <v>0</v>
      </c>
      <c r="N341" s="32">
        <f t="shared" si="98"/>
        <v>7621513</v>
      </c>
      <c r="O341" s="32">
        <f t="shared" si="99"/>
        <v>11692465</v>
      </c>
      <c r="P341" s="34" t="str">
        <f>IF(NOT(AND(T340="",A341&lt;=S340)),"",IF(A341=入力!$B$15+1,"繰上返済後再計算","")&amp;IF(AND(入力!$B$13="有効",A341&gt;1,MOD(A341-1,60)=0),IF(A341=入力!$B$15+1,"・","")&amp;"5年見直し","")&amp;IF(AND(A341=入力!$B$11,A341&gt;1),IF(OR(A341=入力!$B$15+1,AND(入力!$B$13="有効",A341&gt;1,MOD(A341-1,60)=0)),"・","")&amp;"金利変更","")&amp;IF(AND(OR(AND(入力!$B$13="有効",A341&gt;1,MOD(A341-1,60)=0),AND(A341=入力!$B$11,A341&gt;1)),入力!$B$14="有効",IF(E341=0,ROUND(C341/MAX(1,S340-A341+1),0),ROUND(-PMT(E341/12,MAX(1,S340-A341+1),C341),0))&gt;ROUND(G340*1.25,0),NOT(A341=入力!$B$15+1)),"・上限適用",""))</f>
        <v/>
      </c>
      <c r="Q341" s="35" t="str">
        <f>IF(AND(T340="",A341&lt;=S340),入力!$B$13,"")</f>
        <v>有効</v>
      </c>
      <c r="R341" s="32" t="str">
        <f>IF(AND(AND(T340="",A341&lt;=S340),OR(AND(入力!$B$13="有効",A341&gt;1,MOD(A341-1,60)=0),AND(A341=入力!$B$11,A341&gt;1)),入力!$B$14="有効"),ROUND(G340*1.25,0),"")</f>
        <v/>
      </c>
      <c r="S341" s="36">
        <f t="shared" si="100"/>
        <v>420</v>
      </c>
      <c r="T341" s="35" t="str">
        <f t="shared" si="101"/>
        <v/>
      </c>
      <c r="U341" s="3">
        <f t="shared" si="85"/>
        <v>0</v>
      </c>
      <c r="V341" s="3">
        <f t="shared" si="86"/>
        <v>0</v>
      </c>
      <c r="W341" s="3">
        <f t="shared" si="87"/>
        <v>0</v>
      </c>
      <c r="X341" s="3">
        <f t="shared" si="88"/>
        <v>0</v>
      </c>
      <c r="Y341" s="3">
        <f>0</f>
        <v>0</v>
      </c>
      <c r="Z341" s="3">
        <f t="shared" si="89"/>
        <v>0</v>
      </c>
      <c r="AA341">
        <f>ROUND(IF(A341=入力!$B$15+1,IF(E341=0,ROUND(C341/MAX(1,S340-A341+1),0),ROUND(-PMT(E341/12,MAX(1,S340-A341+1)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,0)</f>
        <v>98997</v>
      </c>
    </row>
    <row r="342" spans="1:27">
      <c r="A342" s="30">
        <f>337</f>
        <v>337</v>
      </c>
      <c r="B342" s="31">
        <f>EDATE(入力!$B$6,A342-1)</f>
        <v>56462</v>
      </c>
      <c r="C342" s="32">
        <f t="shared" si="90"/>
        <v>7621513</v>
      </c>
      <c r="D342" s="32">
        <f t="shared" si="91"/>
        <v>0</v>
      </c>
      <c r="E342" s="33">
        <f>IF(AND(T341="",A342&lt;=S341),IF(A342&lt;入力!$B$11,入力!$B$10,入力!$B$12),0)</f>
        <v>2.5000000000000001E-2</v>
      </c>
      <c r="F342" s="32">
        <f t="shared" si="92"/>
        <v>15878</v>
      </c>
      <c r="G342" s="32">
        <f>ROUND(IF(NOT(AND(T341="",A342&lt;=S341)),0,IF(A342=入力!$B$15+1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),0)</f>
        <v>98997</v>
      </c>
      <c r="H342" s="32">
        <f t="shared" si="93"/>
        <v>98997</v>
      </c>
      <c r="I342" s="32">
        <f t="shared" si="94"/>
        <v>15878</v>
      </c>
      <c r="J342" s="32">
        <f t="shared" si="95"/>
        <v>0</v>
      </c>
      <c r="K342" s="32">
        <f t="shared" si="96"/>
        <v>0</v>
      </c>
      <c r="L342" s="32">
        <f t="shared" si="97"/>
        <v>83119</v>
      </c>
      <c r="M342" s="32">
        <f>IF(AND(AND(T341="",A342&lt;=S341),A342=入力!$B$15),ROUND(MIN(入力!$B$16,MAX(0,C342-L342)),0),0)</f>
        <v>0</v>
      </c>
      <c r="N342" s="32">
        <f t="shared" si="98"/>
        <v>7538394</v>
      </c>
      <c r="O342" s="32">
        <f t="shared" si="99"/>
        <v>11708343</v>
      </c>
      <c r="P342" s="34" t="str">
        <f>IF(NOT(AND(T341="",A342&lt;=S341)),"",IF(A342=入力!$B$15+1,"繰上返済後再計算","")&amp;IF(AND(入力!$B$13="有効",A342&gt;1,MOD(A342-1,60)=0),IF(A342=入力!$B$15+1,"・","")&amp;"5年見直し","")&amp;IF(AND(A342=入力!$B$11,A342&gt;1),IF(OR(A342=入力!$B$15+1,AND(入力!$B$13="有効",A342&gt;1,MOD(A342-1,60)=0)),"・","")&amp;"金利変更","")&amp;IF(AND(OR(AND(入力!$B$13="有効",A342&gt;1,MOD(A342-1,60)=0),AND(A342=入力!$B$11,A342&gt;1)),入力!$B$14="有効",IF(E342=0,ROUND(C342/MAX(1,S341-A342+1),0),ROUND(-PMT(E342/12,MAX(1,S341-A342+1),C342),0))&gt;ROUND(G341*1.25,0),NOT(A342=入力!$B$15+1)),"・上限適用",""))</f>
        <v/>
      </c>
      <c r="Q342" s="35" t="str">
        <f>IF(AND(T341="",A342&lt;=S341),入力!$B$13,"")</f>
        <v>有効</v>
      </c>
      <c r="R342" s="32" t="str">
        <f>IF(AND(AND(T341="",A342&lt;=S341),OR(AND(入力!$B$13="有効",A342&gt;1,MOD(A342-1,60)=0),AND(A342=入力!$B$11,A342&gt;1)),入力!$B$14="有効"),ROUND(G341*1.25,0),"")</f>
        <v/>
      </c>
      <c r="S342" s="36">
        <f t="shared" si="100"/>
        <v>420</v>
      </c>
      <c r="T342" s="35" t="str">
        <f t="shared" si="101"/>
        <v/>
      </c>
      <c r="U342" s="3">
        <f t="shared" si="85"/>
        <v>0</v>
      </c>
      <c r="V342" s="3">
        <f t="shared" si="86"/>
        <v>0</v>
      </c>
      <c r="W342" s="3">
        <f t="shared" si="87"/>
        <v>0</v>
      </c>
      <c r="X342" s="3">
        <f t="shared" si="88"/>
        <v>0</v>
      </c>
      <c r="Y342" s="3">
        <f>0</f>
        <v>0</v>
      </c>
      <c r="Z342" s="3">
        <f t="shared" si="89"/>
        <v>0</v>
      </c>
      <c r="AA342">
        <f>ROUND(IF(A342=入力!$B$15+1,IF(E342=0,ROUND(C342/MAX(1,S341-A342+1),0),ROUND(-PMT(E342/12,MAX(1,S341-A342+1)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,0)</f>
        <v>98997</v>
      </c>
    </row>
    <row r="343" spans="1:27">
      <c r="A343" s="30">
        <f>338</f>
        <v>338</v>
      </c>
      <c r="B343" s="31">
        <f>EDATE(入力!$B$6,A343-1)</f>
        <v>56493</v>
      </c>
      <c r="C343" s="32">
        <f t="shared" si="90"/>
        <v>7538394</v>
      </c>
      <c r="D343" s="32">
        <f t="shared" si="91"/>
        <v>0</v>
      </c>
      <c r="E343" s="33">
        <f>IF(AND(T342="",A343&lt;=S342),IF(A343&lt;入力!$B$11,入力!$B$10,入力!$B$12),0)</f>
        <v>2.5000000000000001E-2</v>
      </c>
      <c r="F343" s="32">
        <f t="shared" si="92"/>
        <v>15705</v>
      </c>
      <c r="G343" s="32">
        <f>ROUND(IF(NOT(AND(T342="",A343&lt;=S342)),0,IF(A343=入力!$B$15+1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),0)</f>
        <v>98997</v>
      </c>
      <c r="H343" s="32">
        <f t="shared" si="93"/>
        <v>98997</v>
      </c>
      <c r="I343" s="32">
        <f t="shared" si="94"/>
        <v>15705</v>
      </c>
      <c r="J343" s="32">
        <f t="shared" si="95"/>
        <v>0</v>
      </c>
      <c r="K343" s="32">
        <f t="shared" si="96"/>
        <v>0</v>
      </c>
      <c r="L343" s="32">
        <f t="shared" si="97"/>
        <v>83292</v>
      </c>
      <c r="M343" s="32">
        <f>IF(AND(AND(T342="",A343&lt;=S342),A343=入力!$B$15),ROUND(MIN(入力!$B$16,MAX(0,C343-L343)),0),0)</f>
        <v>0</v>
      </c>
      <c r="N343" s="32">
        <f t="shared" si="98"/>
        <v>7455102</v>
      </c>
      <c r="O343" s="32">
        <f t="shared" si="99"/>
        <v>11724048</v>
      </c>
      <c r="P343" s="34" t="str">
        <f>IF(NOT(AND(T342="",A343&lt;=S342)),"",IF(A343=入力!$B$15+1,"繰上返済後再計算","")&amp;IF(AND(入力!$B$13="有効",A343&gt;1,MOD(A343-1,60)=0),IF(A343=入力!$B$15+1,"・","")&amp;"5年見直し","")&amp;IF(AND(A343=入力!$B$11,A343&gt;1),IF(OR(A343=入力!$B$15+1,AND(入力!$B$13="有効",A343&gt;1,MOD(A343-1,60)=0)),"・","")&amp;"金利変更","")&amp;IF(AND(OR(AND(入力!$B$13="有効",A343&gt;1,MOD(A343-1,60)=0),AND(A343=入力!$B$11,A343&gt;1)),入力!$B$14="有効",IF(E343=0,ROUND(C343/MAX(1,S342-A343+1),0),ROUND(-PMT(E343/12,MAX(1,S342-A343+1),C343),0))&gt;ROUND(G342*1.25,0),NOT(A343=入力!$B$15+1)),"・上限適用",""))</f>
        <v/>
      </c>
      <c r="Q343" s="35" t="str">
        <f>IF(AND(T342="",A343&lt;=S342),入力!$B$13,"")</f>
        <v>有効</v>
      </c>
      <c r="R343" s="32" t="str">
        <f>IF(AND(AND(T342="",A343&lt;=S342),OR(AND(入力!$B$13="有効",A343&gt;1,MOD(A343-1,60)=0),AND(A343=入力!$B$11,A343&gt;1)),入力!$B$14="有効"),ROUND(G342*1.25,0),"")</f>
        <v/>
      </c>
      <c r="S343" s="36">
        <f t="shared" si="100"/>
        <v>420</v>
      </c>
      <c r="T343" s="35" t="str">
        <f t="shared" si="101"/>
        <v/>
      </c>
      <c r="U343" s="3">
        <f t="shared" si="85"/>
        <v>0</v>
      </c>
      <c r="V343" s="3">
        <f t="shared" si="86"/>
        <v>0</v>
      </c>
      <c r="W343" s="3">
        <f t="shared" si="87"/>
        <v>0</v>
      </c>
      <c r="X343" s="3">
        <f t="shared" si="88"/>
        <v>0</v>
      </c>
      <c r="Y343" s="3">
        <f>0</f>
        <v>0</v>
      </c>
      <c r="Z343" s="3">
        <f t="shared" si="89"/>
        <v>0</v>
      </c>
      <c r="AA343">
        <f>ROUND(IF(A343=入力!$B$15+1,IF(E343=0,ROUND(C343/MAX(1,S342-A343+1),0),ROUND(-PMT(E343/12,MAX(1,S342-A343+1)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,0)</f>
        <v>98997</v>
      </c>
    </row>
    <row r="344" spans="1:27">
      <c r="A344" s="30">
        <f>339</f>
        <v>339</v>
      </c>
      <c r="B344" s="31">
        <f>EDATE(入力!$B$6,A344-1)</f>
        <v>56523</v>
      </c>
      <c r="C344" s="32">
        <f t="shared" si="90"/>
        <v>7455102</v>
      </c>
      <c r="D344" s="32">
        <f t="shared" si="91"/>
        <v>0</v>
      </c>
      <c r="E344" s="33">
        <f>IF(AND(T343="",A344&lt;=S343),IF(A344&lt;入力!$B$11,入力!$B$10,入力!$B$12),0)</f>
        <v>2.5000000000000001E-2</v>
      </c>
      <c r="F344" s="32">
        <f t="shared" si="92"/>
        <v>15531</v>
      </c>
      <c r="G344" s="32">
        <f>ROUND(IF(NOT(AND(T343="",A344&lt;=S343)),0,IF(A344=入力!$B$15+1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),0)</f>
        <v>98997</v>
      </c>
      <c r="H344" s="32">
        <f t="shared" si="93"/>
        <v>98997</v>
      </c>
      <c r="I344" s="32">
        <f t="shared" si="94"/>
        <v>15531</v>
      </c>
      <c r="J344" s="32">
        <f t="shared" si="95"/>
        <v>0</v>
      </c>
      <c r="K344" s="32">
        <f t="shared" si="96"/>
        <v>0</v>
      </c>
      <c r="L344" s="32">
        <f t="shared" si="97"/>
        <v>83466</v>
      </c>
      <c r="M344" s="32">
        <f>IF(AND(AND(T343="",A344&lt;=S343),A344=入力!$B$15),ROUND(MIN(入力!$B$16,MAX(0,C344-L344)),0),0)</f>
        <v>0</v>
      </c>
      <c r="N344" s="32">
        <f t="shared" si="98"/>
        <v>7371636</v>
      </c>
      <c r="O344" s="32">
        <f t="shared" si="99"/>
        <v>11739579</v>
      </c>
      <c r="P344" s="34" t="str">
        <f>IF(NOT(AND(T343="",A344&lt;=S343)),"",IF(A344=入力!$B$15+1,"繰上返済後再計算","")&amp;IF(AND(入力!$B$13="有効",A344&gt;1,MOD(A344-1,60)=0),IF(A344=入力!$B$15+1,"・","")&amp;"5年見直し","")&amp;IF(AND(A344=入力!$B$11,A344&gt;1),IF(OR(A344=入力!$B$15+1,AND(入力!$B$13="有効",A344&gt;1,MOD(A344-1,60)=0)),"・","")&amp;"金利変更","")&amp;IF(AND(OR(AND(入力!$B$13="有効",A344&gt;1,MOD(A344-1,60)=0),AND(A344=入力!$B$11,A344&gt;1)),入力!$B$14="有効",IF(E344=0,ROUND(C344/MAX(1,S343-A344+1),0),ROUND(-PMT(E344/12,MAX(1,S343-A344+1),C344),0))&gt;ROUND(G343*1.25,0),NOT(A344=入力!$B$15+1)),"・上限適用",""))</f>
        <v/>
      </c>
      <c r="Q344" s="35" t="str">
        <f>IF(AND(T343="",A344&lt;=S343),入力!$B$13,"")</f>
        <v>有効</v>
      </c>
      <c r="R344" s="32" t="str">
        <f>IF(AND(AND(T343="",A344&lt;=S343),OR(AND(入力!$B$13="有効",A344&gt;1,MOD(A344-1,60)=0),AND(A344=入力!$B$11,A344&gt;1)),入力!$B$14="有効"),ROUND(G343*1.25,0),"")</f>
        <v/>
      </c>
      <c r="S344" s="36">
        <f t="shared" si="100"/>
        <v>420</v>
      </c>
      <c r="T344" s="35" t="str">
        <f t="shared" si="101"/>
        <v/>
      </c>
      <c r="U344" s="3">
        <f t="shared" si="85"/>
        <v>0</v>
      </c>
      <c r="V344" s="3">
        <f t="shared" si="86"/>
        <v>0</v>
      </c>
      <c r="W344" s="3">
        <f t="shared" si="87"/>
        <v>0</v>
      </c>
      <c r="X344" s="3">
        <f t="shared" si="88"/>
        <v>0</v>
      </c>
      <c r="Y344" s="3">
        <f>0</f>
        <v>0</v>
      </c>
      <c r="Z344" s="3">
        <f t="shared" si="89"/>
        <v>0</v>
      </c>
      <c r="AA344">
        <f>ROUND(IF(A344=入力!$B$15+1,IF(E344=0,ROUND(C344/MAX(1,S343-A344+1),0),ROUND(-PMT(E344/12,MAX(1,S343-A344+1)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,0)</f>
        <v>98997</v>
      </c>
    </row>
    <row r="345" spans="1:27">
      <c r="A345" s="30">
        <f>340</f>
        <v>340</v>
      </c>
      <c r="B345" s="31">
        <f>EDATE(入力!$B$6,A345-1)</f>
        <v>56554</v>
      </c>
      <c r="C345" s="32">
        <f t="shared" si="90"/>
        <v>7371636</v>
      </c>
      <c r="D345" s="32">
        <f t="shared" si="91"/>
        <v>0</v>
      </c>
      <c r="E345" s="33">
        <f>IF(AND(T344="",A345&lt;=S344),IF(A345&lt;入力!$B$11,入力!$B$10,入力!$B$12),0)</f>
        <v>2.5000000000000001E-2</v>
      </c>
      <c r="F345" s="32">
        <f t="shared" si="92"/>
        <v>15358</v>
      </c>
      <c r="G345" s="32">
        <f>ROUND(IF(NOT(AND(T344="",A345&lt;=S344)),0,IF(A345=入力!$B$15+1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),0)</f>
        <v>98997</v>
      </c>
      <c r="H345" s="32">
        <f t="shared" si="93"/>
        <v>98997</v>
      </c>
      <c r="I345" s="32">
        <f t="shared" si="94"/>
        <v>15358</v>
      </c>
      <c r="J345" s="32">
        <f t="shared" si="95"/>
        <v>0</v>
      </c>
      <c r="K345" s="32">
        <f t="shared" si="96"/>
        <v>0</v>
      </c>
      <c r="L345" s="32">
        <f t="shared" si="97"/>
        <v>83639</v>
      </c>
      <c r="M345" s="32">
        <f>IF(AND(AND(T344="",A345&lt;=S344),A345=入力!$B$15),ROUND(MIN(入力!$B$16,MAX(0,C345-L345)),0),0)</f>
        <v>0</v>
      </c>
      <c r="N345" s="32">
        <f t="shared" si="98"/>
        <v>7287997</v>
      </c>
      <c r="O345" s="32">
        <f t="shared" si="99"/>
        <v>11754937</v>
      </c>
      <c r="P345" s="34" t="str">
        <f>IF(NOT(AND(T344="",A345&lt;=S344)),"",IF(A345=入力!$B$15+1,"繰上返済後再計算","")&amp;IF(AND(入力!$B$13="有効",A345&gt;1,MOD(A345-1,60)=0),IF(A345=入力!$B$15+1,"・","")&amp;"5年見直し","")&amp;IF(AND(A345=入力!$B$11,A345&gt;1),IF(OR(A345=入力!$B$15+1,AND(入力!$B$13="有効",A345&gt;1,MOD(A345-1,60)=0)),"・","")&amp;"金利変更","")&amp;IF(AND(OR(AND(入力!$B$13="有効",A345&gt;1,MOD(A345-1,60)=0),AND(A345=入力!$B$11,A345&gt;1)),入力!$B$14="有効",IF(E345=0,ROUND(C345/MAX(1,S344-A345+1),0),ROUND(-PMT(E345/12,MAX(1,S344-A345+1),C345),0))&gt;ROUND(G344*1.25,0),NOT(A345=入力!$B$15+1)),"・上限適用",""))</f>
        <v/>
      </c>
      <c r="Q345" s="35" t="str">
        <f>IF(AND(T344="",A345&lt;=S344),入力!$B$13,"")</f>
        <v>有効</v>
      </c>
      <c r="R345" s="32" t="str">
        <f>IF(AND(AND(T344="",A345&lt;=S344),OR(AND(入力!$B$13="有効",A345&gt;1,MOD(A345-1,60)=0),AND(A345=入力!$B$11,A345&gt;1)),入力!$B$14="有効"),ROUND(G344*1.25,0),"")</f>
        <v/>
      </c>
      <c r="S345" s="36">
        <f t="shared" si="100"/>
        <v>420</v>
      </c>
      <c r="T345" s="35" t="str">
        <f t="shared" si="101"/>
        <v/>
      </c>
      <c r="U345" s="3">
        <f t="shared" si="85"/>
        <v>0</v>
      </c>
      <c r="V345" s="3">
        <f t="shared" si="86"/>
        <v>0</v>
      </c>
      <c r="W345" s="3">
        <f t="shared" si="87"/>
        <v>0</v>
      </c>
      <c r="X345" s="3">
        <f t="shared" si="88"/>
        <v>0</v>
      </c>
      <c r="Y345" s="3">
        <f>0</f>
        <v>0</v>
      </c>
      <c r="Z345" s="3">
        <f t="shared" si="89"/>
        <v>0</v>
      </c>
      <c r="AA345">
        <f>ROUND(IF(A345=入力!$B$15+1,IF(E345=0,ROUND(C345/MAX(1,S344-A345+1),0),ROUND(-PMT(E345/12,MAX(1,S344-A345+1)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,0)</f>
        <v>98997</v>
      </c>
    </row>
    <row r="346" spans="1:27">
      <c r="A346" s="30">
        <f>341</f>
        <v>341</v>
      </c>
      <c r="B346" s="31">
        <f>EDATE(入力!$B$6,A346-1)</f>
        <v>56584</v>
      </c>
      <c r="C346" s="32">
        <f t="shared" si="90"/>
        <v>7287997</v>
      </c>
      <c r="D346" s="32">
        <f t="shared" si="91"/>
        <v>0</v>
      </c>
      <c r="E346" s="33">
        <f>IF(AND(T345="",A346&lt;=S345),IF(A346&lt;入力!$B$11,入力!$B$10,入力!$B$12),0)</f>
        <v>2.5000000000000001E-2</v>
      </c>
      <c r="F346" s="32">
        <f t="shared" si="92"/>
        <v>15183</v>
      </c>
      <c r="G346" s="32">
        <f>ROUND(IF(NOT(AND(T345="",A346&lt;=S345)),0,IF(A346=入力!$B$15+1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),0)</f>
        <v>98997</v>
      </c>
      <c r="H346" s="32">
        <f t="shared" si="93"/>
        <v>98997</v>
      </c>
      <c r="I346" s="32">
        <f t="shared" si="94"/>
        <v>15183</v>
      </c>
      <c r="J346" s="32">
        <f t="shared" si="95"/>
        <v>0</v>
      </c>
      <c r="K346" s="32">
        <f t="shared" si="96"/>
        <v>0</v>
      </c>
      <c r="L346" s="32">
        <f t="shared" si="97"/>
        <v>83814</v>
      </c>
      <c r="M346" s="32">
        <f>IF(AND(AND(T345="",A346&lt;=S345),A346=入力!$B$15),ROUND(MIN(入力!$B$16,MAX(0,C346-L346)),0),0)</f>
        <v>0</v>
      </c>
      <c r="N346" s="32">
        <f t="shared" si="98"/>
        <v>7204183</v>
      </c>
      <c r="O346" s="32">
        <f t="shared" si="99"/>
        <v>11770120</v>
      </c>
      <c r="P346" s="34" t="str">
        <f>IF(NOT(AND(T345="",A346&lt;=S345)),"",IF(A346=入力!$B$15+1,"繰上返済後再計算","")&amp;IF(AND(入力!$B$13="有効",A346&gt;1,MOD(A346-1,60)=0),IF(A346=入力!$B$15+1,"・","")&amp;"5年見直し","")&amp;IF(AND(A346=入力!$B$11,A346&gt;1),IF(OR(A346=入力!$B$15+1,AND(入力!$B$13="有効",A346&gt;1,MOD(A346-1,60)=0)),"・","")&amp;"金利変更","")&amp;IF(AND(OR(AND(入力!$B$13="有効",A346&gt;1,MOD(A346-1,60)=0),AND(A346=入力!$B$11,A346&gt;1)),入力!$B$14="有効",IF(E346=0,ROUND(C346/MAX(1,S345-A346+1),0),ROUND(-PMT(E346/12,MAX(1,S345-A346+1),C346),0))&gt;ROUND(G345*1.25,0),NOT(A346=入力!$B$15+1)),"・上限適用",""))</f>
        <v/>
      </c>
      <c r="Q346" s="35" t="str">
        <f>IF(AND(T345="",A346&lt;=S345),入力!$B$13,"")</f>
        <v>有効</v>
      </c>
      <c r="R346" s="32" t="str">
        <f>IF(AND(AND(T345="",A346&lt;=S345),OR(AND(入力!$B$13="有効",A346&gt;1,MOD(A346-1,60)=0),AND(A346=入力!$B$11,A346&gt;1)),入力!$B$14="有効"),ROUND(G345*1.25,0),"")</f>
        <v/>
      </c>
      <c r="S346" s="36">
        <f t="shared" si="100"/>
        <v>420</v>
      </c>
      <c r="T346" s="35" t="str">
        <f t="shared" si="101"/>
        <v/>
      </c>
      <c r="U346" s="3">
        <f t="shared" si="85"/>
        <v>0</v>
      </c>
      <c r="V346" s="3">
        <f t="shared" si="86"/>
        <v>0</v>
      </c>
      <c r="W346" s="3">
        <f t="shared" si="87"/>
        <v>0</v>
      </c>
      <c r="X346" s="3">
        <f t="shared" si="88"/>
        <v>0</v>
      </c>
      <c r="Y346" s="3">
        <f>0</f>
        <v>0</v>
      </c>
      <c r="Z346" s="3">
        <f t="shared" si="89"/>
        <v>0</v>
      </c>
      <c r="AA346">
        <f>ROUND(IF(A346=入力!$B$15+1,IF(E346=0,ROUND(C346/MAX(1,S345-A346+1),0),ROUND(-PMT(E346/12,MAX(1,S345-A346+1)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,0)</f>
        <v>98997</v>
      </c>
    </row>
    <row r="347" spans="1:27">
      <c r="A347" s="30">
        <f>342</f>
        <v>342</v>
      </c>
      <c r="B347" s="31">
        <f>EDATE(入力!$B$6,A347-1)</f>
        <v>56615</v>
      </c>
      <c r="C347" s="32">
        <f t="shared" si="90"/>
        <v>7204183</v>
      </c>
      <c r="D347" s="32">
        <f t="shared" si="91"/>
        <v>0</v>
      </c>
      <c r="E347" s="33">
        <f>IF(AND(T346="",A347&lt;=S346),IF(A347&lt;入力!$B$11,入力!$B$10,入力!$B$12),0)</f>
        <v>2.5000000000000001E-2</v>
      </c>
      <c r="F347" s="32">
        <f t="shared" si="92"/>
        <v>15009</v>
      </c>
      <c r="G347" s="32">
        <f>ROUND(IF(NOT(AND(T346="",A347&lt;=S346)),0,IF(A347=入力!$B$15+1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),0)</f>
        <v>98997</v>
      </c>
      <c r="H347" s="32">
        <f t="shared" si="93"/>
        <v>98997</v>
      </c>
      <c r="I347" s="32">
        <f t="shared" si="94"/>
        <v>15009</v>
      </c>
      <c r="J347" s="32">
        <f t="shared" si="95"/>
        <v>0</v>
      </c>
      <c r="K347" s="32">
        <f t="shared" si="96"/>
        <v>0</v>
      </c>
      <c r="L347" s="32">
        <f t="shared" si="97"/>
        <v>83988</v>
      </c>
      <c r="M347" s="32">
        <f>IF(AND(AND(T346="",A347&lt;=S346),A347=入力!$B$15),ROUND(MIN(入力!$B$16,MAX(0,C347-L347)),0),0)</f>
        <v>0</v>
      </c>
      <c r="N347" s="32">
        <f t="shared" si="98"/>
        <v>7120195</v>
      </c>
      <c r="O347" s="32">
        <f t="shared" si="99"/>
        <v>11785129</v>
      </c>
      <c r="P347" s="34" t="str">
        <f>IF(NOT(AND(T346="",A347&lt;=S346)),"",IF(A347=入力!$B$15+1,"繰上返済後再計算","")&amp;IF(AND(入力!$B$13="有効",A347&gt;1,MOD(A347-1,60)=0),IF(A347=入力!$B$15+1,"・","")&amp;"5年見直し","")&amp;IF(AND(A347=入力!$B$11,A347&gt;1),IF(OR(A347=入力!$B$15+1,AND(入力!$B$13="有効",A347&gt;1,MOD(A347-1,60)=0)),"・","")&amp;"金利変更","")&amp;IF(AND(OR(AND(入力!$B$13="有効",A347&gt;1,MOD(A347-1,60)=0),AND(A347=入力!$B$11,A347&gt;1)),入力!$B$14="有効",IF(E347=0,ROUND(C347/MAX(1,S346-A347+1),0),ROUND(-PMT(E347/12,MAX(1,S346-A347+1),C347),0))&gt;ROUND(G346*1.25,0),NOT(A347=入力!$B$15+1)),"・上限適用",""))</f>
        <v/>
      </c>
      <c r="Q347" s="35" t="str">
        <f>IF(AND(T346="",A347&lt;=S346),入力!$B$13,"")</f>
        <v>有効</v>
      </c>
      <c r="R347" s="32" t="str">
        <f>IF(AND(AND(T346="",A347&lt;=S346),OR(AND(入力!$B$13="有効",A347&gt;1,MOD(A347-1,60)=0),AND(A347=入力!$B$11,A347&gt;1)),入力!$B$14="有効"),ROUND(G346*1.25,0),"")</f>
        <v/>
      </c>
      <c r="S347" s="36">
        <f t="shared" si="100"/>
        <v>420</v>
      </c>
      <c r="T347" s="35" t="str">
        <f t="shared" si="101"/>
        <v/>
      </c>
      <c r="U347" s="3">
        <f t="shared" si="85"/>
        <v>0</v>
      </c>
      <c r="V347" s="3">
        <f t="shared" si="86"/>
        <v>0</v>
      </c>
      <c r="W347" s="3">
        <f t="shared" si="87"/>
        <v>0</v>
      </c>
      <c r="X347" s="3">
        <f t="shared" si="88"/>
        <v>0</v>
      </c>
      <c r="Y347" s="3">
        <f>0</f>
        <v>0</v>
      </c>
      <c r="Z347" s="3">
        <f t="shared" si="89"/>
        <v>0</v>
      </c>
      <c r="AA347">
        <f>ROUND(IF(A347=入力!$B$15+1,IF(E347=0,ROUND(C347/MAX(1,S346-A347+1),0),ROUND(-PMT(E347/12,MAX(1,S346-A347+1)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,0)</f>
        <v>98997</v>
      </c>
    </row>
    <row r="348" spans="1:27">
      <c r="A348" s="30">
        <f>343</f>
        <v>343</v>
      </c>
      <c r="B348" s="31">
        <f>EDATE(入力!$B$6,A348-1)</f>
        <v>56646</v>
      </c>
      <c r="C348" s="32">
        <f t="shared" si="90"/>
        <v>7120195</v>
      </c>
      <c r="D348" s="32">
        <f t="shared" si="91"/>
        <v>0</v>
      </c>
      <c r="E348" s="33">
        <f>IF(AND(T347="",A348&lt;=S347),IF(A348&lt;入力!$B$11,入力!$B$10,入力!$B$12),0)</f>
        <v>2.5000000000000001E-2</v>
      </c>
      <c r="F348" s="32">
        <f t="shared" si="92"/>
        <v>14834</v>
      </c>
      <c r="G348" s="32">
        <f>ROUND(IF(NOT(AND(T347="",A348&lt;=S347)),0,IF(A348=入力!$B$15+1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),0)</f>
        <v>98997</v>
      </c>
      <c r="H348" s="32">
        <f t="shared" si="93"/>
        <v>98997</v>
      </c>
      <c r="I348" s="32">
        <f t="shared" si="94"/>
        <v>14834</v>
      </c>
      <c r="J348" s="32">
        <f t="shared" si="95"/>
        <v>0</v>
      </c>
      <c r="K348" s="32">
        <f t="shared" si="96"/>
        <v>0</v>
      </c>
      <c r="L348" s="32">
        <f t="shared" si="97"/>
        <v>84163</v>
      </c>
      <c r="M348" s="32">
        <f>IF(AND(AND(T347="",A348&lt;=S347),A348=入力!$B$15),ROUND(MIN(入力!$B$16,MAX(0,C348-L348)),0),0)</f>
        <v>0</v>
      </c>
      <c r="N348" s="32">
        <f t="shared" si="98"/>
        <v>7036032</v>
      </c>
      <c r="O348" s="32">
        <f t="shared" si="99"/>
        <v>11799963</v>
      </c>
      <c r="P348" s="34" t="str">
        <f>IF(NOT(AND(T347="",A348&lt;=S347)),"",IF(A348=入力!$B$15+1,"繰上返済後再計算","")&amp;IF(AND(入力!$B$13="有効",A348&gt;1,MOD(A348-1,60)=0),IF(A348=入力!$B$15+1,"・","")&amp;"5年見直し","")&amp;IF(AND(A348=入力!$B$11,A348&gt;1),IF(OR(A348=入力!$B$15+1,AND(入力!$B$13="有効",A348&gt;1,MOD(A348-1,60)=0)),"・","")&amp;"金利変更","")&amp;IF(AND(OR(AND(入力!$B$13="有効",A348&gt;1,MOD(A348-1,60)=0),AND(A348=入力!$B$11,A348&gt;1)),入力!$B$14="有効",IF(E348=0,ROUND(C348/MAX(1,S347-A348+1),0),ROUND(-PMT(E348/12,MAX(1,S347-A348+1),C348),0))&gt;ROUND(G347*1.25,0),NOT(A348=入力!$B$15+1)),"・上限適用",""))</f>
        <v/>
      </c>
      <c r="Q348" s="35" t="str">
        <f>IF(AND(T347="",A348&lt;=S347),入力!$B$13,"")</f>
        <v>有効</v>
      </c>
      <c r="R348" s="32" t="str">
        <f>IF(AND(AND(T347="",A348&lt;=S347),OR(AND(入力!$B$13="有効",A348&gt;1,MOD(A348-1,60)=0),AND(A348=入力!$B$11,A348&gt;1)),入力!$B$14="有効"),ROUND(G347*1.25,0),"")</f>
        <v/>
      </c>
      <c r="S348" s="36">
        <f t="shared" si="100"/>
        <v>420</v>
      </c>
      <c r="T348" s="35" t="str">
        <f t="shared" si="101"/>
        <v/>
      </c>
      <c r="U348" s="3">
        <f t="shared" si="85"/>
        <v>0</v>
      </c>
      <c r="V348" s="3">
        <f t="shared" si="86"/>
        <v>0</v>
      </c>
      <c r="W348" s="3">
        <f t="shared" si="87"/>
        <v>0</v>
      </c>
      <c r="X348" s="3">
        <f t="shared" si="88"/>
        <v>0</v>
      </c>
      <c r="Y348" s="3">
        <f>0</f>
        <v>0</v>
      </c>
      <c r="Z348" s="3">
        <f t="shared" si="89"/>
        <v>0</v>
      </c>
      <c r="AA348">
        <f>ROUND(IF(A348=入力!$B$15+1,IF(E348=0,ROUND(C348/MAX(1,S347-A348+1),0),ROUND(-PMT(E348/12,MAX(1,S347-A348+1)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,0)</f>
        <v>98997</v>
      </c>
    </row>
    <row r="349" spans="1:27">
      <c r="A349" s="30">
        <f>344</f>
        <v>344</v>
      </c>
      <c r="B349" s="31">
        <f>EDATE(入力!$B$6,A349-1)</f>
        <v>56674</v>
      </c>
      <c r="C349" s="32">
        <f t="shared" si="90"/>
        <v>7036032</v>
      </c>
      <c r="D349" s="32">
        <f t="shared" si="91"/>
        <v>0</v>
      </c>
      <c r="E349" s="33">
        <f>IF(AND(T348="",A349&lt;=S348),IF(A349&lt;入力!$B$11,入力!$B$10,入力!$B$12),0)</f>
        <v>2.5000000000000001E-2</v>
      </c>
      <c r="F349" s="32">
        <f t="shared" si="92"/>
        <v>14658</v>
      </c>
      <c r="G349" s="32">
        <f>ROUND(IF(NOT(AND(T348="",A349&lt;=S348)),0,IF(A349=入力!$B$15+1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),0)</f>
        <v>98997</v>
      </c>
      <c r="H349" s="32">
        <f t="shared" si="93"/>
        <v>98997</v>
      </c>
      <c r="I349" s="32">
        <f t="shared" si="94"/>
        <v>14658</v>
      </c>
      <c r="J349" s="32">
        <f t="shared" si="95"/>
        <v>0</v>
      </c>
      <c r="K349" s="32">
        <f t="shared" si="96"/>
        <v>0</v>
      </c>
      <c r="L349" s="32">
        <f t="shared" si="97"/>
        <v>84339</v>
      </c>
      <c r="M349" s="32">
        <f>IF(AND(AND(T348="",A349&lt;=S348),A349=入力!$B$15),ROUND(MIN(入力!$B$16,MAX(0,C349-L349)),0),0)</f>
        <v>0</v>
      </c>
      <c r="N349" s="32">
        <f t="shared" si="98"/>
        <v>6951693</v>
      </c>
      <c r="O349" s="32">
        <f t="shared" si="99"/>
        <v>11814621</v>
      </c>
      <c r="P349" s="34" t="str">
        <f>IF(NOT(AND(T348="",A349&lt;=S348)),"",IF(A349=入力!$B$15+1,"繰上返済後再計算","")&amp;IF(AND(入力!$B$13="有効",A349&gt;1,MOD(A349-1,60)=0),IF(A349=入力!$B$15+1,"・","")&amp;"5年見直し","")&amp;IF(AND(A349=入力!$B$11,A349&gt;1),IF(OR(A349=入力!$B$15+1,AND(入力!$B$13="有効",A349&gt;1,MOD(A349-1,60)=0)),"・","")&amp;"金利変更","")&amp;IF(AND(OR(AND(入力!$B$13="有効",A349&gt;1,MOD(A349-1,60)=0),AND(A349=入力!$B$11,A349&gt;1)),入力!$B$14="有効",IF(E349=0,ROUND(C349/MAX(1,S348-A349+1),0),ROUND(-PMT(E349/12,MAX(1,S348-A349+1),C349),0))&gt;ROUND(G348*1.25,0),NOT(A349=入力!$B$15+1)),"・上限適用",""))</f>
        <v/>
      </c>
      <c r="Q349" s="35" t="str">
        <f>IF(AND(T348="",A349&lt;=S348),入力!$B$13,"")</f>
        <v>有効</v>
      </c>
      <c r="R349" s="32" t="str">
        <f>IF(AND(AND(T348="",A349&lt;=S348),OR(AND(入力!$B$13="有効",A349&gt;1,MOD(A349-1,60)=0),AND(A349=入力!$B$11,A349&gt;1)),入力!$B$14="有効"),ROUND(G348*1.25,0),"")</f>
        <v/>
      </c>
      <c r="S349" s="36">
        <f t="shared" si="100"/>
        <v>420</v>
      </c>
      <c r="T349" s="35" t="str">
        <f t="shared" si="101"/>
        <v/>
      </c>
      <c r="U349" s="3">
        <f t="shared" si="85"/>
        <v>0</v>
      </c>
      <c r="V349" s="3">
        <f t="shared" si="86"/>
        <v>0</v>
      </c>
      <c r="W349" s="3">
        <f t="shared" si="87"/>
        <v>0</v>
      </c>
      <c r="X349" s="3">
        <f t="shared" si="88"/>
        <v>0</v>
      </c>
      <c r="Y349" s="3">
        <f>0</f>
        <v>0</v>
      </c>
      <c r="Z349" s="3">
        <f t="shared" si="89"/>
        <v>0</v>
      </c>
      <c r="AA349">
        <f>ROUND(IF(A349=入力!$B$15+1,IF(E349=0,ROUND(C349/MAX(1,S348-A349+1),0),ROUND(-PMT(E349/12,MAX(1,S348-A349+1)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,0)</f>
        <v>98997</v>
      </c>
    </row>
    <row r="350" spans="1:27">
      <c r="A350" s="30">
        <f>345</f>
        <v>345</v>
      </c>
      <c r="B350" s="31">
        <f>EDATE(入力!$B$6,A350-1)</f>
        <v>56705</v>
      </c>
      <c r="C350" s="32">
        <f t="shared" si="90"/>
        <v>6951693</v>
      </c>
      <c r="D350" s="32">
        <f t="shared" si="91"/>
        <v>0</v>
      </c>
      <c r="E350" s="33">
        <f>IF(AND(T349="",A350&lt;=S349),IF(A350&lt;入力!$B$11,入力!$B$10,入力!$B$12),0)</f>
        <v>2.5000000000000001E-2</v>
      </c>
      <c r="F350" s="32">
        <f t="shared" si="92"/>
        <v>14483</v>
      </c>
      <c r="G350" s="32">
        <f>ROUND(IF(NOT(AND(T349="",A350&lt;=S349)),0,IF(A350=入力!$B$15+1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),0)</f>
        <v>98997</v>
      </c>
      <c r="H350" s="32">
        <f t="shared" si="93"/>
        <v>98997</v>
      </c>
      <c r="I350" s="32">
        <f t="shared" si="94"/>
        <v>14483</v>
      </c>
      <c r="J350" s="32">
        <f t="shared" si="95"/>
        <v>0</v>
      </c>
      <c r="K350" s="32">
        <f t="shared" si="96"/>
        <v>0</v>
      </c>
      <c r="L350" s="32">
        <f t="shared" si="97"/>
        <v>84514</v>
      </c>
      <c r="M350" s="32">
        <f>IF(AND(AND(T349="",A350&lt;=S349),A350=入力!$B$15),ROUND(MIN(入力!$B$16,MAX(0,C350-L350)),0),0)</f>
        <v>0</v>
      </c>
      <c r="N350" s="32">
        <f t="shared" si="98"/>
        <v>6867179</v>
      </c>
      <c r="O350" s="32">
        <f t="shared" si="99"/>
        <v>11829104</v>
      </c>
      <c r="P350" s="34" t="str">
        <f>IF(NOT(AND(T349="",A350&lt;=S349)),"",IF(A350=入力!$B$15+1,"繰上返済後再計算","")&amp;IF(AND(入力!$B$13="有効",A350&gt;1,MOD(A350-1,60)=0),IF(A350=入力!$B$15+1,"・","")&amp;"5年見直し","")&amp;IF(AND(A350=入力!$B$11,A350&gt;1),IF(OR(A350=入力!$B$15+1,AND(入力!$B$13="有効",A350&gt;1,MOD(A350-1,60)=0)),"・","")&amp;"金利変更","")&amp;IF(AND(OR(AND(入力!$B$13="有効",A350&gt;1,MOD(A350-1,60)=0),AND(A350=入力!$B$11,A350&gt;1)),入力!$B$14="有効",IF(E350=0,ROUND(C350/MAX(1,S349-A350+1),0),ROUND(-PMT(E350/12,MAX(1,S349-A350+1),C350),0))&gt;ROUND(G349*1.25,0),NOT(A350=入力!$B$15+1)),"・上限適用",""))</f>
        <v/>
      </c>
      <c r="Q350" s="35" t="str">
        <f>IF(AND(T349="",A350&lt;=S349),入力!$B$13,"")</f>
        <v>有効</v>
      </c>
      <c r="R350" s="32" t="str">
        <f>IF(AND(AND(T349="",A350&lt;=S349),OR(AND(入力!$B$13="有効",A350&gt;1,MOD(A350-1,60)=0),AND(A350=入力!$B$11,A350&gt;1)),入力!$B$14="有効"),ROUND(G349*1.25,0),"")</f>
        <v/>
      </c>
      <c r="S350" s="36">
        <f t="shared" si="100"/>
        <v>420</v>
      </c>
      <c r="T350" s="35" t="str">
        <f t="shared" si="101"/>
        <v/>
      </c>
      <c r="U350" s="3">
        <f t="shared" si="85"/>
        <v>0</v>
      </c>
      <c r="V350" s="3">
        <f t="shared" si="86"/>
        <v>0</v>
      </c>
      <c r="W350" s="3">
        <f t="shared" si="87"/>
        <v>0</v>
      </c>
      <c r="X350" s="3">
        <f t="shared" si="88"/>
        <v>0</v>
      </c>
      <c r="Y350" s="3">
        <f>0</f>
        <v>0</v>
      </c>
      <c r="Z350" s="3">
        <f t="shared" si="89"/>
        <v>0</v>
      </c>
      <c r="AA350">
        <f>ROUND(IF(A350=入力!$B$15+1,IF(E350=0,ROUND(C350/MAX(1,S349-A350+1),0),ROUND(-PMT(E350/12,MAX(1,S349-A350+1)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,0)</f>
        <v>98997</v>
      </c>
    </row>
    <row r="351" spans="1:27">
      <c r="A351" s="30">
        <f>346</f>
        <v>346</v>
      </c>
      <c r="B351" s="31">
        <f>EDATE(入力!$B$6,A351-1)</f>
        <v>56735</v>
      </c>
      <c r="C351" s="32">
        <f t="shared" si="90"/>
        <v>6867179</v>
      </c>
      <c r="D351" s="32">
        <f t="shared" si="91"/>
        <v>0</v>
      </c>
      <c r="E351" s="33">
        <f>IF(AND(T350="",A351&lt;=S350),IF(A351&lt;入力!$B$11,入力!$B$10,入力!$B$12),0)</f>
        <v>2.5000000000000001E-2</v>
      </c>
      <c r="F351" s="32">
        <f t="shared" si="92"/>
        <v>14307</v>
      </c>
      <c r="G351" s="32">
        <f>ROUND(IF(NOT(AND(T350="",A351&lt;=S350)),0,IF(A351=入力!$B$15+1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),0)</f>
        <v>98997</v>
      </c>
      <c r="H351" s="32">
        <f t="shared" si="93"/>
        <v>98997</v>
      </c>
      <c r="I351" s="32">
        <f t="shared" si="94"/>
        <v>14307</v>
      </c>
      <c r="J351" s="32">
        <f t="shared" si="95"/>
        <v>0</v>
      </c>
      <c r="K351" s="32">
        <f t="shared" si="96"/>
        <v>0</v>
      </c>
      <c r="L351" s="32">
        <f t="shared" si="97"/>
        <v>84690</v>
      </c>
      <c r="M351" s="32">
        <f>IF(AND(AND(T350="",A351&lt;=S350),A351=入力!$B$15),ROUND(MIN(入力!$B$16,MAX(0,C351-L351)),0),0)</f>
        <v>0</v>
      </c>
      <c r="N351" s="32">
        <f t="shared" si="98"/>
        <v>6782489</v>
      </c>
      <c r="O351" s="32">
        <f t="shared" si="99"/>
        <v>11843411</v>
      </c>
      <c r="P351" s="34" t="str">
        <f>IF(NOT(AND(T350="",A351&lt;=S350)),"",IF(A351=入力!$B$15+1,"繰上返済後再計算","")&amp;IF(AND(入力!$B$13="有効",A351&gt;1,MOD(A351-1,60)=0),IF(A351=入力!$B$15+1,"・","")&amp;"5年見直し","")&amp;IF(AND(A351=入力!$B$11,A351&gt;1),IF(OR(A351=入力!$B$15+1,AND(入力!$B$13="有効",A351&gt;1,MOD(A351-1,60)=0)),"・","")&amp;"金利変更","")&amp;IF(AND(OR(AND(入力!$B$13="有効",A351&gt;1,MOD(A351-1,60)=0),AND(A351=入力!$B$11,A351&gt;1)),入力!$B$14="有効",IF(E351=0,ROUND(C351/MAX(1,S350-A351+1),0),ROUND(-PMT(E351/12,MAX(1,S350-A351+1),C351),0))&gt;ROUND(G350*1.25,0),NOT(A351=入力!$B$15+1)),"・上限適用",""))</f>
        <v/>
      </c>
      <c r="Q351" s="35" t="str">
        <f>IF(AND(T350="",A351&lt;=S350),入力!$B$13,"")</f>
        <v>有効</v>
      </c>
      <c r="R351" s="32" t="str">
        <f>IF(AND(AND(T350="",A351&lt;=S350),OR(AND(入力!$B$13="有効",A351&gt;1,MOD(A351-1,60)=0),AND(A351=入力!$B$11,A351&gt;1)),入力!$B$14="有効"),ROUND(G350*1.25,0),"")</f>
        <v/>
      </c>
      <c r="S351" s="36">
        <f t="shared" si="100"/>
        <v>420</v>
      </c>
      <c r="T351" s="35" t="str">
        <f t="shared" si="101"/>
        <v/>
      </c>
      <c r="U351" s="3">
        <f t="shared" si="85"/>
        <v>0</v>
      </c>
      <c r="V351" s="3">
        <f t="shared" si="86"/>
        <v>0</v>
      </c>
      <c r="W351" s="3">
        <f t="shared" si="87"/>
        <v>0</v>
      </c>
      <c r="X351" s="3">
        <f t="shared" si="88"/>
        <v>0</v>
      </c>
      <c r="Y351" s="3">
        <f>0</f>
        <v>0</v>
      </c>
      <c r="Z351" s="3">
        <f t="shared" si="89"/>
        <v>0</v>
      </c>
      <c r="AA351">
        <f>ROUND(IF(A351=入力!$B$15+1,IF(E351=0,ROUND(C351/MAX(1,S350-A351+1),0),ROUND(-PMT(E351/12,MAX(1,S350-A351+1)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,0)</f>
        <v>98997</v>
      </c>
    </row>
    <row r="352" spans="1:27">
      <c r="A352" s="30">
        <f>347</f>
        <v>347</v>
      </c>
      <c r="B352" s="31">
        <f>EDATE(入力!$B$6,A352-1)</f>
        <v>56766</v>
      </c>
      <c r="C352" s="32">
        <f t="shared" si="90"/>
        <v>6782489</v>
      </c>
      <c r="D352" s="32">
        <f t="shared" si="91"/>
        <v>0</v>
      </c>
      <c r="E352" s="33">
        <f>IF(AND(T351="",A352&lt;=S351),IF(A352&lt;入力!$B$11,入力!$B$10,入力!$B$12),0)</f>
        <v>2.5000000000000001E-2</v>
      </c>
      <c r="F352" s="32">
        <f t="shared" si="92"/>
        <v>14130</v>
      </c>
      <c r="G352" s="32">
        <f>ROUND(IF(NOT(AND(T351="",A352&lt;=S351)),0,IF(A352=入力!$B$15+1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),0)</f>
        <v>98997</v>
      </c>
      <c r="H352" s="32">
        <f t="shared" si="93"/>
        <v>98997</v>
      </c>
      <c r="I352" s="32">
        <f t="shared" si="94"/>
        <v>14130</v>
      </c>
      <c r="J352" s="32">
        <f t="shared" si="95"/>
        <v>0</v>
      </c>
      <c r="K352" s="32">
        <f t="shared" si="96"/>
        <v>0</v>
      </c>
      <c r="L352" s="32">
        <f t="shared" si="97"/>
        <v>84867</v>
      </c>
      <c r="M352" s="32">
        <f>IF(AND(AND(T351="",A352&lt;=S351),A352=入力!$B$15),ROUND(MIN(入力!$B$16,MAX(0,C352-L352)),0),0)</f>
        <v>0</v>
      </c>
      <c r="N352" s="32">
        <f t="shared" si="98"/>
        <v>6697622</v>
      </c>
      <c r="O352" s="32">
        <f t="shared" si="99"/>
        <v>11857541</v>
      </c>
      <c r="P352" s="34" t="str">
        <f>IF(NOT(AND(T351="",A352&lt;=S351)),"",IF(A352=入力!$B$15+1,"繰上返済後再計算","")&amp;IF(AND(入力!$B$13="有効",A352&gt;1,MOD(A352-1,60)=0),IF(A352=入力!$B$15+1,"・","")&amp;"5年見直し","")&amp;IF(AND(A352=入力!$B$11,A352&gt;1),IF(OR(A352=入力!$B$15+1,AND(入力!$B$13="有効",A352&gt;1,MOD(A352-1,60)=0)),"・","")&amp;"金利変更","")&amp;IF(AND(OR(AND(入力!$B$13="有効",A352&gt;1,MOD(A352-1,60)=0),AND(A352=入力!$B$11,A352&gt;1)),入力!$B$14="有効",IF(E352=0,ROUND(C352/MAX(1,S351-A352+1),0),ROUND(-PMT(E352/12,MAX(1,S351-A352+1),C352),0))&gt;ROUND(G351*1.25,0),NOT(A352=入力!$B$15+1)),"・上限適用",""))</f>
        <v/>
      </c>
      <c r="Q352" s="35" t="str">
        <f>IF(AND(T351="",A352&lt;=S351),入力!$B$13,"")</f>
        <v>有効</v>
      </c>
      <c r="R352" s="32" t="str">
        <f>IF(AND(AND(T351="",A352&lt;=S351),OR(AND(入力!$B$13="有効",A352&gt;1,MOD(A352-1,60)=0),AND(A352=入力!$B$11,A352&gt;1)),入力!$B$14="有効"),ROUND(G351*1.25,0),"")</f>
        <v/>
      </c>
      <c r="S352" s="36">
        <f t="shared" si="100"/>
        <v>420</v>
      </c>
      <c r="T352" s="35" t="str">
        <f t="shared" si="101"/>
        <v/>
      </c>
      <c r="U352" s="3">
        <f t="shared" si="85"/>
        <v>0</v>
      </c>
      <c r="V352" s="3">
        <f t="shared" si="86"/>
        <v>0</v>
      </c>
      <c r="W352" s="3">
        <f t="shared" si="87"/>
        <v>0</v>
      </c>
      <c r="X352" s="3">
        <f t="shared" si="88"/>
        <v>0</v>
      </c>
      <c r="Y352" s="3">
        <f>0</f>
        <v>0</v>
      </c>
      <c r="Z352" s="3">
        <f t="shared" si="89"/>
        <v>0</v>
      </c>
      <c r="AA352">
        <f>ROUND(IF(A352=入力!$B$15+1,IF(E352=0,ROUND(C352/MAX(1,S351-A352+1),0),ROUND(-PMT(E352/12,MAX(1,S351-A352+1)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,0)</f>
        <v>98997</v>
      </c>
    </row>
    <row r="353" spans="1:27">
      <c r="A353" s="30">
        <f>348</f>
        <v>348</v>
      </c>
      <c r="B353" s="31">
        <f>EDATE(入力!$B$6,A353-1)</f>
        <v>56796</v>
      </c>
      <c r="C353" s="32">
        <f t="shared" si="90"/>
        <v>6697622</v>
      </c>
      <c r="D353" s="32">
        <f t="shared" si="91"/>
        <v>0</v>
      </c>
      <c r="E353" s="33">
        <f>IF(AND(T352="",A353&lt;=S352),IF(A353&lt;入力!$B$11,入力!$B$10,入力!$B$12),0)</f>
        <v>2.5000000000000001E-2</v>
      </c>
      <c r="F353" s="32">
        <f t="shared" si="92"/>
        <v>13953</v>
      </c>
      <c r="G353" s="32">
        <f>ROUND(IF(NOT(AND(T352="",A353&lt;=S352)),0,IF(A353=入力!$B$15+1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),0)</f>
        <v>98997</v>
      </c>
      <c r="H353" s="32">
        <f t="shared" si="93"/>
        <v>98997</v>
      </c>
      <c r="I353" s="32">
        <f t="shared" si="94"/>
        <v>13953</v>
      </c>
      <c r="J353" s="32">
        <f t="shared" si="95"/>
        <v>0</v>
      </c>
      <c r="K353" s="32">
        <f t="shared" si="96"/>
        <v>0</v>
      </c>
      <c r="L353" s="32">
        <f t="shared" si="97"/>
        <v>85044</v>
      </c>
      <c r="M353" s="32">
        <f>IF(AND(AND(T352="",A353&lt;=S352),A353=入力!$B$15),ROUND(MIN(入力!$B$16,MAX(0,C353-L353)),0),0)</f>
        <v>0</v>
      </c>
      <c r="N353" s="32">
        <f t="shared" si="98"/>
        <v>6612578</v>
      </c>
      <c r="O353" s="32">
        <f t="shared" si="99"/>
        <v>11871494</v>
      </c>
      <c r="P353" s="34" t="str">
        <f>IF(NOT(AND(T352="",A353&lt;=S352)),"",IF(A353=入力!$B$15+1,"繰上返済後再計算","")&amp;IF(AND(入力!$B$13="有効",A353&gt;1,MOD(A353-1,60)=0),IF(A353=入力!$B$15+1,"・","")&amp;"5年見直し","")&amp;IF(AND(A353=入力!$B$11,A353&gt;1),IF(OR(A353=入力!$B$15+1,AND(入力!$B$13="有効",A353&gt;1,MOD(A353-1,60)=0)),"・","")&amp;"金利変更","")&amp;IF(AND(OR(AND(入力!$B$13="有効",A353&gt;1,MOD(A353-1,60)=0),AND(A353=入力!$B$11,A353&gt;1)),入力!$B$14="有効",IF(E353=0,ROUND(C353/MAX(1,S352-A353+1),0),ROUND(-PMT(E353/12,MAX(1,S352-A353+1),C353),0))&gt;ROUND(G352*1.25,0),NOT(A353=入力!$B$15+1)),"・上限適用",""))</f>
        <v/>
      </c>
      <c r="Q353" s="35" t="str">
        <f>IF(AND(T352="",A353&lt;=S352),入力!$B$13,"")</f>
        <v>有効</v>
      </c>
      <c r="R353" s="32" t="str">
        <f>IF(AND(AND(T352="",A353&lt;=S352),OR(AND(入力!$B$13="有効",A353&gt;1,MOD(A353-1,60)=0),AND(A353=入力!$B$11,A353&gt;1)),入力!$B$14="有効"),ROUND(G352*1.25,0),"")</f>
        <v/>
      </c>
      <c r="S353" s="36">
        <f t="shared" si="100"/>
        <v>420</v>
      </c>
      <c r="T353" s="35" t="str">
        <f t="shared" si="101"/>
        <v/>
      </c>
      <c r="U353" s="3">
        <f t="shared" si="85"/>
        <v>0</v>
      </c>
      <c r="V353" s="3">
        <f t="shared" si="86"/>
        <v>0</v>
      </c>
      <c r="W353" s="3">
        <f t="shared" si="87"/>
        <v>0</v>
      </c>
      <c r="X353" s="3">
        <f t="shared" si="88"/>
        <v>0</v>
      </c>
      <c r="Y353" s="3">
        <f>0</f>
        <v>0</v>
      </c>
      <c r="Z353" s="3">
        <f t="shared" si="89"/>
        <v>0</v>
      </c>
      <c r="AA353">
        <f>ROUND(IF(A353=入力!$B$15+1,IF(E353=0,ROUND(C353/MAX(1,S352-A353+1),0),ROUND(-PMT(E353/12,MAX(1,S352-A353+1)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,0)</f>
        <v>98997</v>
      </c>
    </row>
    <row r="354" spans="1:27">
      <c r="A354" s="30">
        <f>349</f>
        <v>349</v>
      </c>
      <c r="B354" s="31">
        <f>EDATE(入力!$B$6,A354-1)</f>
        <v>56827</v>
      </c>
      <c r="C354" s="32">
        <f t="shared" si="90"/>
        <v>6612578</v>
      </c>
      <c r="D354" s="32">
        <f t="shared" si="91"/>
        <v>0</v>
      </c>
      <c r="E354" s="33">
        <f>IF(AND(T353="",A354&lt;=S353),IF(A354&lt;入力!$B$11,入力!$B$10,入力!$B$12),0)</f>
        <v>2.5000000000000001E-2</v>
      </c>
      <c r="F354" s="32">
        <f t="shared" si="92"/>
        <v>13776</v>
      </c>
      <c r="G354" s="32">
        <f>ROUND(IF(NOT(AND(T353="",A354&lt;=S353)),0,IF(A354=入力!$B$15+1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),0)</f>
        <v>98997</v>
      </c>
      <c r="H354" s="32">
        <f t="shared" si="93"/>
        <v>98997</v>
      </c>
      <c r="I354" s="32">
        <f t="shared" si="94"/>
        <v>13776</v>
      </c>
      <c r="J354" s="32">
        <f t="shared" si="95"/>
        <v>0</v>
      </c>
      <c r="K354" s="32">
        <f t="shared" si="96"/>
        <v>0</v>
      </c>
      <c r="L354" s="32">
        <f t="shared" si="97"/>
        <v>85221</v>
      </c>
      <c r="M354" s="32">
        <f>IF(AND(AND(T353="",A354&lt;=S353),A354=入力!$B$15),ROUND(MIN(入力!$B$16,MAX(0,C354-L354)),0),0)</f>
        <v>0</v>
      </c>
      <c r="N354" s="32">
        <f t="shared" si="98"/>
        <v>6527357</v>
      </c>
      <c r="O354" s="32">
        <f t="shared" si="99"/>
        <v>11885270</v>
      </c>
      <c r="P354" s="34" t="str">
        <f>IF(NOT(AND(T353="",A354&lt;=S353)),"",IF(A354=入力!$B$15+1,"繰上返済後再計算","")&amp;IF(AND(入力!$B$13="有効",A354&gt;1,MOD(A354-1,60)=0),IF(A354=入力!$B$15+1,"・","")&amp;"5年見直し","")&amp;IF(AND(A354=入力!$B$11,A354&gt;1),IF(OR(A354=入力!$B$15+1,AND(入力!$B$13="有効",A354&gt;1,MOD(A354-1,60)=0)),"・","")&amp;"金利変更","")&amp;IF(AND(OR(AND(入力!$B$13="有効",A354&gt;1,MOD(A354-1,60)=0),AND(A354=入力!$B$11,A354&gt;1)),入力!$B$14="有効",IF(E354=0,ROUND(C354/MAX(1,S353-A354+1),0),ROUND(-PMT(E354/12,MAX(1,S353-A354+1),C354),0))&gt;ROUND(G353*1.25,0),NOT(A354=入力!$B$15+1)),"・上限適用",""))</f>
        <v/>
      </c>
      <c r="Q354" s="35" t="str">
        <f>IF(AND(T353="",A354&lt;=S353),入力!$B$13,"")</f>
        <v>有効</v>
      </c>
      <c r="R354" s="32" t="str">
        <f>IF(AND(AND(T353="",A354&lt;=S353),OR(AND(入力!$B$13="有効",A354&gt;1,MOD(A354-1,60)=0),AND(A354=入力!$B$11,A354&gt;1)),入力!$B$14="有効"),ROUND(G353*1.25,0),"")</f>
        <v/>
      </c>
      <c r="S354" s="36">
        <f t="shared" si="100"/>
        <v>420</v>
      </c>
      <c r="T354" s="35" t="str">
        <f t="shared" si="101"/>
        <v/>
      </c>
      <c r="U354" s="3">
        <f t="shared" si="85"/>
        <v>0</v>
      </c>
      <c r="V354" s="3">
        <f t="shared" si="86"/>
        <v>0</v>
      </c>
      <c r="W354" s="3">
        <f t="shared" si="87"/>
        <v>0</v>
      </c>
      <c r="X354" s="3">
        <f t="shared" si="88"/>
        <v>0</v>
      </c>
      <c r="Y354" s="3">
        <f>0</f>
        <v>0</v>
      </c>
      <c r="Z354" s="3">
        <f t="shared" si="89"/>
        <v>0</v>
      </c>
      <c r="AA354">
        <f>ROUND(IF(A354=入力!$B$15+1,IF(E354=0,ROUND(C354/MAX(1,S353-A354+1),0),ROUND(-PMT(E354/12,MAX(1,S353-A354+1)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,0)</f>
        <v>98997</v>
      </c>
    </row>
    <row r="355" spans="1:27">
      <c r="A355" s="30">
        <f>350</f>
        <v>350</v>
      </c>
      <c r="B355" s="31">
        <f>EDATE(入力!$B$6,A355-1)</f>
        <v>56858</v>
      </c>
      <c r="C355" s="32">
        <f t="shared" si="90"/>
        <v>6527357</v>
      </c>
      <c r="D355" s="32">
        <f t="shared" si="91"/>
        <v>0</v>
      </c>
      <c r="E355" s="33">
        <f>IF(AND(T354="",A355&lt;=S354),IF(A355&lt;入力!$B$11,入力!$B$10,入力!$B$12),0)</f>
        <v>2.5000000000000001E-2</v>
      </c>
      <c r="F355" s="32">
        <f t="shared" si="92"/>
        <v>13599</v>
      </c>
      <c r="G355" s="32">
        <f>ROUND(IF(NOT(AND(T354="",A355&lt;=S354)),0,IF(A355=入力!$B$15+1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),0)</f>
        <v>98997</v>
      </c>
      <c r="H355" s="32">
        <f t="shared" si="93"/>
        <v>98997</v>
      </c>
      <c r="I355" s="32">
        <f t="shared" si="94"/>
        <v>13599</v>
      </c>
      <c r="J355" s="32">
        <f t="shared" si="95"/>
        <v>0</v>
      </c>
      <c r="K355" s="32">
        <f t="shared" si="96"/>
        <v>0</v>
      </c>
      <c r="L355" s="32">
        <f t="shared" si="97"/>
        <v>85398</v>
      </c>
      <c r="M355" s="32">
        <f>IF(AND(AND(T354="",A355&lt;=S354),A355=入力!$B$15),ROUND(MIN(入力!$B$16,MAX(0,C355-L355)),0),0)</f>
        <v>0</v>
      </c>
      <c r="N355" s="32">
        <f t="shared" si="98"/>
        <v>6441959</v>
      </c>
      <c r="O355" s="32">
        <f t="shared" si="99"/>
        <v>11898869</v>
      </c>
      <c r="P355" s="34" t="str">
        <f>IF(NOT(AND(T354="",A355&lt;=S354)),"",IF(A355=入力!$B$15+1,"繰上返済後再計算","")&amp;IF(AND(入力!$B$13="有効",A355&gt;1,MOD(A355-1,60)=0),IF(A355=入力!$B$15+1,"・","")&amp;"5年見直し","")&amp;IF(AND(A355=入力!$B$11,A355&gt;1),IF(OR(A355=入力!$B$15+1,AND(入力!$B$13="有効",A355&gt;1,MOD(A355-1,60)=0)),"・","")&amp;"金利変更","")&amp;IF(AND(OR(AND(入力!$B$13="有効",A355&gt;1,MOD(A355-1,60)=0),AND(A355=入力!$B$11,A355&gt;1)),入力!$B$14="有効",IF(E355=0,ROUND(C355/MAX(1,S354-A355+1),0),ROUND(-PMT(E355/12,MAX(1,S354-A355+1),C355),0))&gt;ROUND(G354*1.25,0),NOT(A355=入力!$B$15+1)),"・上限適用",""))</f>
        <v/>
      </c>
      <c r="Q355" s="35" t="str">
        <f>IF(AND(T354="",A355&lt;=S354),入力!$B$13,"")</f>
        <v>有効</v>
      </c>
      <c r="R355" s="32" t="str">
        <f>IF(AND(AND(T354="",A355&lt;=S354),OR(AND(入力!$B$13="有効",A355&gt;1,MOD(A355-1,60)=0),AND(A355=入力!$B$11,A355&gt;1)),入力!$B$14="有効"),ROUND(G354*1.25,0),"")</f>
        <v/>
      </c>
      <c r="S355" s="36">
        <f t="shared" si="100"/>
        <v>420</v>
      </c>
      <c r="T355" s="35" t="str">
        <f t="shared" si="101"/>
        <v/>
      </c>
      <c r="U355" s="3">
        <f t="shared" si="85"/>
        <v>0</v>
      </c>
      <c r="V355" s="3">
        <f t="shared" si="86"/>
        <v>0</v>
      </c>
      <c r="W355" s="3">
        <f t="shared" si="87"/>
        <v>0</v>
      </c>
      <c r="X355" s="3">
        <f t="shared" si="88"/>
        <v>0</v>
      </c>
      <c r="Y355" s="3">
        <f>0</f>
        <v>0</v>
      </c>
      <c r="Z355" s="3">
        <f t="shared" si="89"/>
        <v>0</v>
      </c>
      <c r="AA355">
        <f>ROUND(IF(A355=入力!$B$15+1,IF(E355=0,ROUND(C355/MAX(1,S354-A355+1),0),ROUND(-PMT(E355/12,MAX(1,S354-A355+1)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,0)</f>
        <v>98997</v>
      </c>
    </row>
    <row r="356" spans="1:27">
      <c r="A356" s="30">
        <f>351</f>
        <v>351</v>
      </c>
      <c r="B356" s="31">
        <f>EDATE(入力!$B$6,A356-1)</f>
        <v>56888</v>
      </c>
      <c r="C356" s="32">
        <f t="shared" si="90"/>
        <v>6441959</v>
      </c>
      <c r="D356" s="32">
        <f t="shared" si="91"/>
        <v>0</v>
      </c>
      <c r="E356" s="33">
        <f>IF(AND(T355="",A356&lt;=S355),IF(A356&lt;入力!$B$11,入力!$B$10,入力!$B$12),0)</f>
        <v>2.5000000000000001E-2</v>
      </c>
      <c r="F356" s="32">
        <f t="shared" si="92"/>
        <v>13421</v>
      </c>
      <c r="G356" s="32">
        <f>ROUND(IF(NOT(AND(T355="",A356&lt;=S355)),0,IF(A356=入力!$B$15+1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),0)</f>
        <v>98997</v>
      </c>
      <c r="H356" s="32">
        <f t="shared" si="93"/>
        <v>98997</v>
      </c>
      <c r="I356" s="32">
        <f t="shared" si="94"/>
        <v>13421</v>
      </c>
      <c r="J356" s="32">
        <f t="shared" si="95"/>
        <v>0</v>
      </c>
      <c r="K356" s="32">
        <f t="shared" si="96"/>
        <v>0</v>
      </c>
      <c r="L356" s="32">
        <f t="shared" si="97"/>
        <v>85576</v>
      </c>
      <c r="M356" s="32">
        <f>IF(AND(AND(T355="",A356&lt;=S355),A356=入力!$B$15),ROUND(MIN(入力!$B$16,MAX(0,C356-L356)),0),0)</f>
        <v>0</v>
      </c>
      <c r="N356" s="32">
        <f t="shared" si="98"/>
        <v>6356383</v>
      </c>
      <c r="O356" s="32">
        <f t="shared" si="99"/>
        <v>11912290</v>
      </c>
      <c r="P356" s="34" t="str">
        <f>IF(NOT(AND(T355="",A356&lt;=S355)),"",IF(A356=入力!$B$15+1,"繰上返済後再計算","")&amp;IF(AND(入力!$B$13="有効",A356&gt;1,MOD(A356-1,60)=0),IF(A356=入力!$B$15+1,"・","")&amp;"5年見直し","")&amp;IF(AND(A356=入力!$B$11,A356&gt;1),IF(OR(A356=入力!$B$15+1,AND(入力!$B$13="有効",A356&gt;1,MOD(A356-1,60)=0)),"・","")&amp;"金利変更","")&amp;IF(AND(OR(AND(入力!$B$13="有効",A356&gt;1,MOD(A356-1,60)=0),AND(A356=入力!$B$11,A356&gt;1)),入力!$B$14="有効",IF(E356=0,ROUND(C356/MAX(1,S355-A356+1),0),ROUND(-PMT(E356/12,MAX(1,S355-A356+1),C356),0))&gt;ROUND(G355*1.25,0),NOT(A356=入力!$B$15+1)),"・上限適用",""))</f>
        <v/>
      </c>
      <c r="Q356" s="35" t="str">
        <f>IF(AND(T355="",A356&lt;=S355),入力!$B$13,"")</f>
        <v>有効</v>
      </c>
      <c r="R356" s="32" t="str">
        <f>IF(AND(AND(T355="",A356&lt;=S355),OR(AND(入力!$B$13="有効",A356&gt;1,MOD(A356-1,60)=0),AND(A356=入力!$B$11,A356&gt;1)),入力!$B$14="有効"),ROUND(G355*1.25,0),"")</f>
        <v/>
      </c>
      <c r="S356" s="36">
        <f t="shared" si="100"/>
        <v>420</v>
      </c>
      <c r="T356" s="35" t="str">
        <f t="shared" si="101"/>
        <v/>
      </c>
      <c r="U356" s="3">
        <f t="shared" si="85"/>
        <v>0</v>
      </c>
      <c r="V356" s="3">
        <f t="shared" si="86"/>
        <v>0</v>
      </c>
      <c r="W356" s="3">
        <f t="shared" si="87"/>
        <v>0</v>
      </c>
      <c r="X356" s="3">
        <f t="shared" si="88"/>
        <v>0</v>
      </c>
      <c r="Y356" s="3">
        <f>0</f>
        <v>0</v>
      </c>
      <c r="Z356" s="3">
        <f t="shared" si="89"/>
        <v>0</v>
      </c>
      <c r="AA356">
        <f>ROUND(IF(A356=入力!$B$15+1,IF(E356=0,ROUND(C356/MAX(1,S355-A356+1),0),ROUND(-PMT(E356/12,MAX(1,S355-A356+1)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,0)</f>
        <v>98997</v>
      </c>
    </row>
    <row r="357" spans="1:27">
      <c r="A357" s="30">
        <f>352</f>
        <v>352</v>
      </c>
      <c r="B357" s="31">
        <f>EDATE(入力!$B$6,A357-1)</f>
        <v>56919</v>
      </c>
      <c r="C357" s="32">
        <f t="shared" si="90"/>
        <v>6356383</v>
      </c>
      <c r="D357" s="32">
        <f t="shared" si="91"/>
        <v>0</v>
      </c>
      <c r="E357" s="33">
        <f>IF(AND(T356="",A357&lt;=S356),IF(A357&lt;入力!$B$11,入力!$B$10,入力!$B$12),0)</f>
        <v>2.5000000000000001E-2</v>
      </c>
      <c r="F357" s="32">
        <f t="shared" si="92"/>
        <v>13242</v>
      </c>
      <c r="G357" s="32">
        <f>ROUND(IF(NOT(AND(T356="",A357&lt;=S356)),0,IF(A357=入力!$B$15+1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),0)</f>
        <v>98997</v>
      </c>
      <c r="H357" s="32">
        <f t="shared" si="93"/>
        <v>98997</v>
      </c>
      <c r="I357" s="32">
        <f t="shared" si="94"/>
        <v>13242</v>
      </c>
      <c r="J357" s="32">
        <f t="shared" si="95"/>
        <v>0</v>
      </c>
      <c r="K357" s="32">
        <f t="shared" si="96"/>
        <v>0</v>
      </c>
      <c r="L357" s="32">
        <f t="shared" si="97"/>
        <v>85755</v>
      </c>
      <c r="M357" s="32">
        <f>IF(AND(AND(T356="",A357&lt;=S356),A357=入力!$B$15),ROUND(MIN(入力!$B$16,MAX(0,C357-L357)),0),0)</f>
        <v>0</v>
      </c>
      <c r="N357" s="32">
        <f t="shared" si="98"/>
        <v>6270628</v>
      </c>
      <c r="O357" s="32">
        <f t="shared" si="99"/>
        <v>11925532</v>
      </c>
      <c r="P357" s="34" t="str">
        <f>IF(NOT(AND(T356="",A357&lt;=S356)),"",IF(A357=入力!$B$15+1,"繰上返済後再計算","")&amp;IF(AND(入力!$B$13="有効",A357&gt;1,MOD(A357-1,60)=0),IF(A357=入力!$B$15+1,"・","")&amp;"5年見直し","")&amp;IF(AND(A357=入力!$B$11,A357&gt;1),IF(OR(A357=入力!$B$15+1,AND(入力!$B$13="有効",A357&gt;1,MOD(A357-1,60)=0)),"・","")&amp;"金利変更","")&amp;IF(AND(OR(AND(入力!$B$13="有効",A357&gt;1,MOD(A357-1,60)=0),AND(A357=入力!$B$11,A357&gt;1)),入力!$B$14="有効",IF(E357=0,ROUND(C357/MAX(1,S356-A357+1),0),ROUND(-PMT(E357/12,MAX(1,S356-A357+1),C357),0))&gt;ROUND(G356*1.25,0),NOT(A357=入力!$B$15+1)),"・上限適用",""))</f>
        <v/>
      </c>
      <c r="Q357" s="35" t="str">
        <f>IF(AND(T356="",A357&lt;=S356),入力!$B$13,"")</f>
        <v>有効</v>
      </c>
      <c r="R357" s="32" t="str">
        <f>IF(AND(AND(T356="",A357&lt;=S356),OR(AND(入力!$B$13="有効",A357&gt;1,MOD(A357-1,60)=0),AND(A357=入力!$B$11,A357&gt;1)),入力!$B$14="有効"),ROUND(G356*1.25,0),"")</f>
        <v/>
      </c>
      <c r="S357" s="36">
        <f t="shared" si="100"/>
        <v>420</v>
      </c>
      <c r="T357" s="35" t="str">
        <f t="shared" si="101"/>
        <v/>
      </c>
      <c r="U357" s="3">
        <f t="shared" si="85"/>
        <v>0</v>
      </c>
      <c r="V357" s="3">
        <f t="shared" si="86"/>
        <v>0</v>
      </c>
      <c r="W357" s="3">
        <f t="shared" si="87"/>
        <v>0</v>
      </c>
      <c r="X357" s="3">
        <f t="shared" si="88"/>
        <v>0</v>
      </c>
      <c r="Y357" s="3">
        <f>0</f>
        <v>0</v>
      </c>
      <c r="Z357" s="3">
        <f t="shared" si="89"/>
        <v>0</v>
      </c>
      <c r="AA357">
        <f>ROUND(IF(A357=入力!$B$15+1,IF(E357=0,ROUND(C357/MAX(1,S356-A357+1),0),ROUND(-PMT(E357/12,MAX(1,S356-A357+1)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,0)</f>
        <v>98997</v>
      </c>
    </row>
    <row r="358" spans="1:27">
      <c r="A358" s="30">
        <f>353</f>
        <v>353</v>
      </c>
      <c r="B358" s="31">
        <f>EDATE(入力!$B$6,A358-1)</f>
        <v>56949</v>
      </c>
      <c r="C358" s="32">
        <f t="shared" si="90"/>
        <v>6270628</v>
      </c>
      <c r="D358" s="32">
        <f t="shared" si="91"/>
        <v>0</v>
      </c>
      <c r="E358" s="33">
        <f>IF(AND(T357="",A358&lt;=S357),IF(A358&lt;入力!$B$11,入力!$B$10,入力!$B$12),0)</f>
        <v>2.5000000000000001E-2</v>
      </c>
      <c r="F358" s="32">
        <f t="shared" si="92"/>
        <v>13064</v>
      </c>
      <c r="G358" s="32">
        <f>ROUND(IF(NOT(AND(T357="",A358&lt;=S357)),0,IF(A358=入力!$B$15+1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),0)</f>
        <v>98997</v>
      </c>
      <c r="H358" s="32">
        <f t="shared" si="93"/>
        <v>98997</v>
      </c>
      <c r="I358" s="32">
        <f t="shared" si="94"/>
        <v>13064</v>
      </c>
      <c r="J358" s="32">
        <f t="shared" si="95"/>
        <v>0</v>
      </c>
      <c r="K358" s="32">
        <f t="shared" si="96"/>
        <v>0</v>
      </c>
      <c r="L358" s="32">
        <f t="shared" si="97"/>
        <v>85933</v>
      </c>
      <c r="M358" s="32">
        <f>IF(AND(AND(T357="",A358&lt;=S357),A358=入力!$B$15),ROUND(MIN(入力!$B$16,MAX(0,C358-L358)),0),0)</f>
        <v>0</v>
      </c>
      <c r="N358" s="32">
        <f t="shared" si="98"/>
        <v>6184695</v>
      </c>
      <c r="O358" s="32">
        <f t="shared" si="99"/>
        <v>11938596</v>
      </c>
      <c r="P358" s="34" t="str">
        <f>IF(NOT(AND(T357="",A358&lt;=S357)),"",IF(A358=入力!$B$15+1,"繰上返済後再計算","")&amp;IF(AND(入力!$B$13="有効",A358&gt;1,MOD(A358-1,60)=0),IF(A358=入力!$B$15+1,"・","")&amp;"5年見直し","")&amp;IF(AND(A358=入力!$B$11,A358&gt;1),IF(OR(A358=入力!$B$15+1,AND(入力!$B$13="有効",A358&gt;1,MOD(A358-1,60)=0)),"・","")&amp;"金利変更","")&amp;IF(AND(OR(AND(入力!$B$13="有効",A358&gt;1,MOD(A358-1,60)=0),AND(A358=入力!$B$11,A358&gt;1)),入力!$B$14="有効",IF(E358=0,ROUND(C358/MAX(1,S357-A358+1),0),ROUND(-PMT(E358/12,MAX(1,S357-A358+1),C358),0))&gt;ROUND(G357*1.25,0),NOT(A358=入力!$B$15+1)),"・上限適用",""))</f>
        <v/>
      </c>
      <c r="Q358" s="35" t="str">
        <f>IF(AND(T357="",A358&lt;=S357),入力!$B$13,"")</f>
        <v>有効</v>
      </c>
      <c r="R358" s="32" t="str">
        <f>IF(AND(AND(T357="",A358&lt;=S357),OR(AND(入力!$B$13="有効",A358&gt;1,MOD(A358-1,60)=0),AND(A358=入力!$B$11,A358&gt;1)),入力!$B$14="有効"),ROUND(G357*1.25,0),"")</f>
        <v/>
      </c>
      <c r="S358" s="36">
        <f t="shared" si="100"/>
        <v>420</v>
      </c>
      <c r="T358" s="35" t="str">
        <f t="shared" si="101"/>
        <v/>
      </c>
      <c r="U358" s="3">
        <f t="shared" si="85"/>
        <v>0</v>
      </c>
      <c r="V358" s="3">
        <f t="shared" si="86"/>
        <v>0</v>
      </c>
      <c r="W358" s="3">
        <f t="shared" si="87"/>
        <v>0</v>
      </c>
      <c r="X358" s="3">
        <f t="shared" si="88"/>
        <v>0</v>
      </c>
      <c r="Y358" s="3">
        <f>0</f>
        <v>0</v>
      </c>
      <c r="Z358" s="3">
        <f t="shared" si="89"/>
        <v>0</v>
      </c>
      <c r="AA358">
        <f>ROUND(IF(A358=入力!$B$15+1,IF(E358=0,ROUND(C358/MAX(1,S357-A358+1),0),ROUND(-PMT(E358/12,MAX(1,S357-A358+1)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,0)</f>
        <v>98997</v>
      </c>
    </row>
    <row r="359" spans="1:27">
      <c r="A359" s="30">
        <f>354</f>
        <v>354</v>
      </c>
      <c r="B359" s="31">
        <f>EDATE(入力!$B$6,A359-1)</f>
        <v>56980</v>
      </c>
      <c r="C359" s="32">
        <f t="shared" si="90"/>
        <v>6184695</v>
      </c>
      <c r="D359" s="32">
        <f t="shared" si="91"/>
        <v>0</v>
      </c>
      <c r="E359" s="33">
        <f>IF(AND(T358="",A359&lt;=S358),IF(A359&lt;入力!$B$11,入力!$B$10,入力!$B$12),0)</f>
        <v>2.5000000000000001E-2</v>
      </c>
      <c r="F359" s="32">
        <f t="shared" si="92"/>
        <v>12885</v>
      </c>
      <c r="G359" s="32">
        <f>ROUND(IF(NOT(AND(T358="",A359&lt;=S358)),0,IF(A359=入力!$B$15+1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),0)</f>
        <v>98997</v>
      </c>
      <c r="H359" s="32">
        <f t="shared" si="93"/>
        <v>98997</v>
      </c>
      <c r="I359" s="32">
        <f t="shared" si="94"/>
        <v>12885</v>
      </c>
      <c r="J359" s="32">
        <f t="shared" si="95"/>
        <v>0</v>
      </c>
      <c r="K359" s="32">
        <f t="shared" si="96"/>
        <v>0</v>
      </c>
      <c r="L359" s="32">
        <f t="shared" si="97"/>
        <v>86112</v>
      </c>
      <c r="M359" s="32">
        <f>IF(AND(AND(T358="",A359&lt;=S358),A359=入力!$B$15),ROUND(MIN(入力!$B$16,MAX(0,C359-L359)),0),0)</f>
        <v>0</v>
      </c>
      <c r="N359" s="32">
        <f t="shared" si="98"/>
        <v>6098583</v>
      </c>
      <c r="O359" s="32">
        <f t="shared" si="99"/>
        <v>11951481</v>
      </c>
      <c r="P359" s="34" t="str">
        <f>IF(NOT(AND(T358="",A359&lt;=S358)),"",IF(A359=入力!$B$15+1,"繰上返済後再計算","")&amp;IF(AND(入力!$B$13="有効",A359&gt;1,MOD(A359-1,60)=0),IF(A359=入力!$B$15+1,"・","")&amp;"5年見直し","")&amp;IF(AND(A359=入力!$B$11,A359&gt;1),IF(OR(A359=入力!$B$15+1,AND(入力!$B$13="有効",A359&gt;1,MOD(A359-1,60)=0)),"・","")&amp;"金利変更","")&amp;IF(AND(OR(AND(入力!$B$13="有効",A359&gt;1,MOD(A359-1,60)=0),AND(A359=入力!$B$11,A359&gt;1)),入力!$B$14="有効",IF(E359=0,ROUND(C359/MAX(1,S358-A359+1),0),ROUND(-PMT(E359/12,MAX(1,S358-A359+1),C359),0))&gt;ROUND(G358*1.25,0),NOT(A359=入力!$B$15+1)),"・上限適用",""))</f>
        <v/>
      </c>
      <c r="Q359" s="35" t="str">
        <f>IF(AND(T358="",A359&lt;=S358),入力!$B$13,"")</f>
        <v>有効</v>
      </c>
      <c r="R359" s="32" t="str">
        <f>IF(AND(AND(T358="",A359&lt;=S358),OR(AND(入力!$B$13="有効",A359&gt;1,MOD(A359-1,60)=0),AND(A359=入力!$B$11,A359&gt;1)),入力!$B$14="有効"),ROUND(G358*1.25,0),"")</f>
        <v/>
      </c>
      <c r="S359" s="36">
        <f t="shared" si="100"/>
        <v>420</v>
      </c>
      <c r="T359" s="35" t="str">
        <f t="shared" si="101"/>
        <v/>
      </c>
      <c r="U359" s="3">
        <f t="shared" si="85"/>
        <v>0</v>
      </c>
      <c r="V359" s="3">
        <f t="shared" si="86"/>
        <v>0</v>
      </c>
      <c r="W359" s="3">
        <f t="shared" si="87"/>
        <v>0</v>
      </c>
      <c r="X359" s="3">
        <f t="shared" si="88"/>
        <v>0</v>
      </c>
      <c r="Y359" s="3">
        <f>0</f>
        <v>0</v>
      </c>
      <c r="Z359" s="3">
        <f t="shared" si="89"/>
        <v>0</v>
      </c>
      <c r="AA359">
        <f>ROUND(IF(A359=入力!$B$15+1,IF(E359=0,ROUND(C359/MAX(1,S358-A359+1),0),ROUND(-PMT(E359/12,MAX(1,S358-A359+1)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,0)</f>
        <v>98997</v>
      </c>
    </row>
    <row r="360" spans="1:27">
      <c r="A360" s="30">
        <f>355</f>
        <v>355</v>
      </c>
      <c r="B360" s="31">
        <f>EDATE(入力!$B$6,A360-1)</f>
        <v>57011</v>
      </c>
      <c r="C360" s="32">
        <f t="shared" si="90"/>
        <v>6098583</v>
      </c>
      <c r="D360" s="32">
        <f t="shared" si="91"/>
        <v>0</v>
      </c>
      <c r="E360" s="33">
        <f>IF(AND(T359="",A360&lt;=S359),IF(A360&lt;入力!$B$11,入力!$B$10,入力!$B$12),0)</f>
        <v>2.5000000000000001E-2</v>
      </c>
      <c r="F360" s="32">
        <f t="shared" si="92"/>
        <v>12705</v>
      </c>
      <c r="G360" s="32">
        <f>ROUND(IF(NOT(AND(T359="",A360&lt;=S359)),0,IF(A360=入力!$B$15+1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),0)</f>
        <v>98997</v>
      </c>
      <c r="H360" s="32">
        <f t="shared" si="93"/>
        <v>98997</v>
      </c>
      <c r="I360" s="32">
        <f t="shared" si="94"/>
        <v>12705</v>
      </c>
      <c r="J360" s="32">
        <f t="shared" si="95"/>
        <v>0</v>
      </c>
      <c r="K360" s="32">
        <f t="shared" si="96"/>
        <v>0</v>
      </c>
      <c r="L360" s="32">
        <f t="shared" si="97"/>
        <v>86292</v>
      </c>
      <c r="M360" s="32">
        <f>IF(AND(AND(T359="",A360&lt;=S359),A360=入力!$B$15),ROUND(MIN(入力!$B$16,MAX(0,C360-L360)),0),0)</f>
        <v>0</v>
      </c>
      <c r="N360" s="32">
        <f t="shared" si="98"/>
        <v>6012291</v>
      </c>
      <c r="O360" s="32">
        <f t="shared" si="99"/>
        <v>11964186</v>
      </c>
      <c r="P360" s="34" t="str">
        <f>IF(NOT(AND(T359="",A360&lt;=S359)),"",IF(A360=入力!$B$15+1,"繰上返済後再計算","")&amp;IF(AND(入力!$B$13="有効",A360&gt;1,MOD(A360-1,60)=0),IF(A360=入力!$B$15+1,"・","")&amp;"5年見直し","")&amp;IF(AND(A360=入力!$B$11,A360&gt;1),IF(OR(A360=入力!$B$15+1,AND(入力!$B$13="有効",A360&gt;1,MOD(A360-1,60)=0)),"・","")&amp;"金利変更","")&amp;IF(AND(OR(AND(入力!$B$13="有効",A360&gt;1,MOD(A360-1,60)=0),AND(A360=入力!$B$11,A360&gt;1)),入力!$B$14="有効",IF(E360=0,ROUND(C360/MAX(1,S359-A360+1),0),ROUND(-PMT(E360/12,MAX(1,S359-A360+1),C360),0))&gt;ROUND(G359*1.25,0),NOT(A360=入力!$B$15+1)),"・上限適用",""))</f>
        <v/>
      </c>
      <c r="Q360" s="35" t="str">
        <f>IF(AND(T359="",A360&lt;=S359),入力!$B$13,"")</f>
        <v>有効</v>
      </c>
      <c r="R360" s="32" t="str">
        <f>IF(AND(AND(T359="",A360&lt;=S359),OR(AND(入力!$B$13="有効",A360&gt;1,MOD(A360-1,60)=0),AND(A360=入力!$B$11,A360&gt;1)),入力!$B$14="有効"),ROUND(G359*1.25,0),"")</f>
        <v/>
      </c>
      <c r="S360" s="36">
        <f t="shared" si="100"/>
        <v>420</v>
      </c>
      <c r="T360" s="35" t="str">
        <f t="shared" si="101"/>
        <v/>
      </c>
      <c r="U360" s="3">
        <f t="shared" si="85"/>
        <v>0</v>
      </c>
      <c r="V360" s="3">
        <f t="shared" si="86"/>
        <v>0</v>
      </c>
      <c r="W360" s="3">
        <f t="shared" si="87"/>
        <v>0</v>
      </c>
      <c r="X360" s="3">
        <f t="shared" si="88"/>
        <v>0</v>
      </c>
      <c r="Y360" s="3">
        <f>0</f>
        <v>0</v>
      </c>
      <c r="Z360" s="3">
        <f t="shared" si="89"/>
        <v>0</v>
      </c>
      <c r="AA360">
        <f>ROUND(IF(A360=入力!$B$15+1,IF(E360=0,ROUND(C360/MAX(1,S359-A360+1),0),ROUND(-PMT(E360/12,MAX(1,S359-A360+1)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,0)</f>
        <v>98997</v>
      </c>
    </row>
    <row r="361" spans="1:27">
      <c r="A361" s="30">
        <f>356</f>
        <v>356</v>
      </c>
      <c r="B361" s="31">
        <f>EDATE(入力!$B$6,A361-1)</f>
        <v>57040</v>
      </c>
      <c r="C361" s="32">
        <f t="shared" si="90"/>
        <v>6012291</v>
      </c>
      <c r="D361" s="32">
        <f t="shared" si="91"/>
        <v>0</v>
      </c>
      <c r="E361" s="33">
        <f>IF(AND(T360="",A361&lt;=S360),IF(A361&lt;入力!$B$11,入力!$B$10,入力!$B$12),0)</f>
        <v>2.5000000000000001E-2</v>
      </c>
      <c r="F361" s="32">
        <f t="shared" si="92"/>
        <v>12526</v>
      </c>
      <c r="G361" s="32">
        <f>ROUND(IF(NOT(AND(T360="",A361&lt;=S360)),0,IF(A361=入力!$B$15+1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),0)</f>
        <v>98997</v>
      </c>
      <c r="H361" s="32">
        <f t="shared" si="93"/>
        <v>98997</v>
      </c>
      <c r="I361" s="32">
        <f t="shared" si="94"/>
        <v>12526</v>
      </c>
      <c r="J361" s="32">
        <f t="shared" si="95"/>
        <v>0</v>
      </c>
      <c r="K361" s="32">
        <f t="shared" si="96"/>
        <v>0</v>
      </c>
      <c r="L361" s="32">
        <f t="shared" si="97"/>
        <v>86471</v>
      </c>
      <c r="M361" s="32">
        <f>IF(AND(AND(T360="",A361&lt;=S360),A361=入力!$B$15),ROUND(MIN(入力!$B$16,MAX(0,C361-L361)),0),0)</f>
        <v>0</v>
      </c>
      <c r="N361" s="32">
        <f t="shared" si="98"/>
        <v>5925820</v>
      </c>
      <c r="O361" s="32">
        <f t="shared" si="99"/>
        <v>11976712</v>
      </c>
      <c r="P361" s="34" t="str">
        <f>IF(NOT(AND(T360="",A361&lt;=S360)),"",IF(A361=入力!$B$15+1,"繰上返済後再計算","")&amp;IF(AND(入力!$B$13="有効",A361&gt;1,MOD(A361-1,60)=0),IF(A361=入力!$B$15+1,"・","")&amp;"5年見直し","")&amp;IF(AND(A361=入力!$B$11,A361&gt;1),IF(OR(A361=入力!$B$15+1,AND(入力!$B$13="有効",A361&gt;1,MOD(A361-1,60)=0)),"・","")&amp;"金利変更","")&amp;IF(AND(OR(AND(入力!$B$13="有効",A361&gt;1,MOD(A361-1,60)=0),AND(A361=入力!$B$11,A361&gt;1)),入力!$B$14="有効",IF(E361=0,ROUND(C361/MAX(1,S360-A361+1),0),ROUND(-PMT(E361/12,MAX(1,S360-A361+1),C361),0))&gt;ROUND(G360*1.25,0),NOT(A361=入力!$B$15+1)),"・上限適用",""))</f>
        <v/>
      </c>
      <c r="Q361" s="35" t="str">
        <f>IF(AND(T360="",A361&lt;=S360),入力!$B$13,"")</f>
        <v>有効</v>
      </c>
      <c r="R361" s="32" t="str">
        <f>IF(AND(AND(T360="",A361&lt;=S360),OR(AND(入力!$B$13="有効",A361&gt;1,MOD(A361-1,60)=0),AND(A361=入力!$B$11,A361&gt;1)),入力!$B$14="有効"),ROUND(G360*1.25,0),"")</f>
        <v/>
      </c>
      <c r="S361" s="36">
        <f t="shared" si="100"/>
        <v>420</v>
      </c>
      <c r="T361" s="35" t="str">
        <f t="shared" si="101"/>
        <v/>
      </c>
      <c r="U361" s="3">
        <f t="shared" si="85"/>
        <v>0</v>
      </c>
      <c r="V361" s="3">
        <f t="shared" si="86"/>
        <v>0</v>
      </c>
      <c r="W361" s="3">
        <f t="shared" si="87"/>
        <v>0</v>
      </c>
      <c r="X361" s="3">
        <f t="shared" si="88"/>
        <v>0</v>
      </c>
      <c r="Y361" s="3">
        <f>0</f>
        <v>0</v>
      </c>
      <c r="Z361" s="3">
        <f t="shared" si="89"/>
        <v>0</v>
      </c>
      <c r="AA361">
        <f>ROUND(IF(A361=入力!$B$15+1,IF(E361=0,ROUND(C361/MAX(1,S360-A361+1),0),ROUND(-PMT(E361/12,MAX(1,S360-A361+1)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,0)</f>
        <v>98997</v>
      </c>
    </row>
    <row r="362" spans="1:27">
      <c r="A362" s="30">
        <f>357</f>
        <v>357</v>
      </c>
      <c r="B362" s="31">
        <f>EDATE(入力!$B$6,A362-1)</f>
        <v>57071</v>
      </c>
      <c r="C362" s="32">
        <f t="shared" si="90"/>
        <v>5925820</v>
      </c>
      <c r="D362" s="32">
        <f t="shared" si="91"/>
        <v>0</v>
      </c>
      <c r="E362" s="33">
        <f>IF(AND(T361="",A362&lt;=S361),IF(A362&lt;入力!$B$11,入力!$B$10,入力!$B$12),0)</f>
        <v>2.5000000000000001E-2</v>
      </c>
      <c r="F362" s="32">
        <f t="shared" si="92"/>
        <v>12345</v>
      </c>
      <c r="G362" s="32">
        <f>ROUND(IF(NOT(AND(T361="",A362&lt;=S361)),0,IF(A362=入力!$B$15+1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),0)</f>
        <v>98997</v>
      </c>
      <c r="H362" s="32">
        <f t="shared" si="93"/>
        <v>98997</v>
      </c>
      <c r="I362" s="32">
        <f t="shared" si="94"/>
        <v>12345</v>
      </c>
      <c r="J362" s="32">
        <f t="shared" si="95"/>
        <v>0</v>
      </c>
      <c r="K362" s="32">
        <f t="shared" si="96"/>
        <v>0</v>
      </c>
      <c r="L362" s="32">
        <f t="shared" si="97"/>
        <v>86652</v>
      </c>
      <c r="M362" s="32">
        <f>IF(AND(AND(T361="",A362&lt;=S361),A362=入力!$B$15),ROUND(MIN(入力!$B$16,MAX(0,C362-L362)),0),0)</f>
        <v>0</v>
      </c>
      <c r="N362" s="32">
        <f t="shared" si="98"/>
        <v>5839168</v>
      </c>
      <c r="O362" s="32">
        <f t="shared" si="99"/>
        <v>11989057</v>
      </c>
      <c r="P362" s="34" t="str">
        <f>IF(NOT(AND(T361="",A362&lt;=S361)),"",IF(A362=入力!$B$15+1,"繰上返済後再計算","")&amp;IF(AND(入力!$B$13="有効",A362&gt;1,MOD(A362-1,60)=0),IF(A362=入力!$B$15+1,"・","")&amp;"5年見直し","")&amp;IF(AND(A362=入力!$B$11,A362&gt;1),IF(OR(A362=入力!$B$15+1,AND(入力!$B$13="有効",A362&gt;1,MOD(A362-1,60)=0)),"・","")&amp;"金利変更","")&amp;IF(AND(OR(AND(入力!$B$13="有効",A362&gt;1,MOD(A362-1,60)=0),AND(A362=入力!$B$11,A362&gt;1)),入力!$B$14="有効",IF(E362=0,ROUND(C362/MAX(1,S361-A362+1),0),ROUND(-PMT(E362/12,MAX(1,S361-A362+1),C362),0))&gt;ROUND(G361*1.25,0),NOT(A362=入力!$B$15+1)),"・上限適用",""))</f>
        <v/>
      </c>
      <c r="Q362" s="35" t="str">
        <f>IF(AND(T361="",A362&lt;=S361),入力!$B$13,"")</f>
        <v>有効</v>
      </c>
      <c r="R362" s="32" t="str">
        <f>IF(AND(AND(T361="",A362&lt;=S361),OR(AND(入力!$B$13="有効",A362&gt;1,MOD(A362-1,60)=0),AND(A362=入力!$B$11,A362&gt;1)),入力!$B$14="有効"),ROUND(G361*1.25,0),"")</f>
        <v/>
      </c>
      <c r="S362" s="36">
        <f t="shared" si="100"/>
        <v>420</v>
      </c>
      <c r="T362" s="35" t="str">
        <f t="shared" si="101"/>
        <v/>
      </c>
      <c r="U362" s="3">
        <f t="shared" si="85"/>
        <v>0</v>
      </c>
      <c r="V362" s="3">
        <f t="shared" si="86"/>
        <v>0</v>
      </c>
      <c r="W362" s="3">
        <f t="shared" si="87"/>
        <v>0</v>
      </c>
      <c r="X362" s="3">
        <f t="shared" si="88"/>
        <v>0</v>
      </c>
      <c r="Y362" s="3">
        <f>0</f>
        <v>0</v>
      </c>
      <c r="Z362" s="3">
        <f t="shared" si="89"/>
        <v>0</v>
      </c>
      <c r="AA362">
        <f>ROUND(IF(A362=入力!$B$15+1,IF(E362=0,ROUND(C362/MAX(1,S361-A362+1),0),ROUND(-PMT(E362/12,MAX(1,S361-A362+1)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,0)</f>
        <v>98997</v>
      </c>
    </row>
    <row r="363" spans="1:27">
      <c r="A363" s="30">
        <f>358</f>
        <v>358</v>
      </c>
      <c r="B363" s="31">
        <f>EDATE(入力!$B$6,A363-1)</f>
        <v>57101</v>
      </c>
      <c r="C363" s="32">
        <f t="shared" si="90"/>
        <v>5839168</v>
      </c>
      <c r="D363" s="32">
        <f t="shared" si="91"/>
        <v>0</v>
      </c>
      <c r="E363" s="33">
        <f>IF(AND(T362="",A363&lt;=S362),IF(A363&lt;入力!$B$11,入力!$B$10,入力!$B$12),0)</f>
        <v>2.5000000000000001E-2</v>
      </c>
      <c r="F363" s="32">
        <f t="shared" si="92"/>
        <v>12165</v>
      </c>
      <c r="G363" s="32">
        <f>ROUND(IF(NOT(AND(T362="",A363&lt;=S362)),0,IF(A363=入力!$B$15+1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),0)</f>
        <v>98997</v>
      </c>
      <c r="H363" s="32">
        <f t="shared" si="93"/>
        <v>98997</v>
      </c>
      <c r="I363" s="32">
        <f t="shared" si="94"/>
        <v>12165</v>
      </c>
      <c r="J363" s="32">
        <f t="shared" si="95"/>
        <v>0</v>
      </c>
      <c r="K363" s="32">
        <f t="shared" si="96"/>
        <v>0</v>
      </c>
      <c r="L363" s="32">
        <f t="shared" si="97"/>
        <v>86832</v>
      </c>
      <c r="M363" s="32">
        <f>IF(AND(AND(T362="",A363&lt;=S362),A363=入力!$B$15),ROUND(MIN(入力!$B$16,MAX(0,C363-L363)),0),0)</f>
        <v>0</v>
      </c>
      <c r="N363" s="32">
        <f t="shared" si="98"/>
        <v>5752336</v>
      </c>
      <c r="O363" s="32">
        <f t="shared" si="99"/>
        <v>12001222</v>
      </c>
      <c r="P363" s="34" t="str">
        <f>IF(NOT(AND(T362="",A363&lt;=S362)),"",IF(A363=入力!$B$15+1,"繰上返済後再計算","")&amp;IF(AND(入力!$B$13="有効",A363&gt;1,MOD(A363-1,60)=0),IF(A363=入力!$B$15+1,"・","")&amp;"5年見直し","")&amp;IF(AND(A363=入力!$B$11,A363&gt;1),IF(OR(A363=入力!$B$15+1,AND(入力!$B$13="有効",A363&gt;1,MOD(A363-1,60)=0)),"・","")&amp;"金利変更","")&amp;IF(AND(OR(AND(入力!$B$13="有効",A363&gt;1,MOD(A363-1,60)=0),AND(A363=入力!$B$11,A363&gt;1)),入力!$B$14="有効",IF(E363=0,ROUND(C363/MAX(1,S362-A363+1),0),ROUND(-PMT(E363/12,MAX(1,S362-A363+1),C363),0))&gt;ROUND(G362*1.25,0),NOT(A363=入力!$B$15+1)),"・上限適用",""))</f>
        <v/>
      </c>
      <c r="Q363" s="35" t="str">
        <f>IF(AND(T362="",A363&lt;=S362),入力!$B$13,"")</f>
        <v>有効</v>
      </c>
      <c r="R363" s="32" t="str">
        <f>IF(AND(AND(T362="",A363&lt;=S362),OR(AND(入力!$B$13="有効",A363&gt;1,MOD(A363-1,60)=0),AND(A363=入力!$B$11,A363&gt;1)),入力!$B$14="有効"),ROUND(G362*1.25,0),"")</f>
        <v/>
      </c>
      <c r="S363" s="36">
        <f t="shared" si="100"/>
        <v>420</v>
      </c>
      <c r="T363" s="35" t="str">
        <f t="shared" si="101"/>
        <v/>
      </c>
      <c r="U363" s="3">
        <f t="shared" si="85"/>
        <v>0</v>
      </c>
      <c r="V363" s="3">
        <f t="shared" si="86"/>
        <v>0</v>
      </c>
      <c r="W363" s="3">
        <f t="shared" si="87"/>
        <v>0</v>
      </c>
      <c r="X363" s="3">
        <f t="shared" si="88"/>
        <v>0</v>
      </c>
      <c r="Y363" s="3">
        <f>0</f>
        <v>0</v>
      </c>
      <c r="Z363" s="3">
        <f t="shared" si="89"/>
        <v>0</v>
      </c>
      <c r="AA363">
        <f>ROUND(IF(A363=入力!$B$15+1,IF(E363=0,ROUND(C363/MAX(1,S362-A363+1),0),ROUND(-PMT(E363/12,MAX(1,S362-A363+1)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,0)</f>
        <v>98997</v>
      </c>
    </row>
    <row r="364" spans="1:27">
      <c r="A364" s="30">
        <f>359</f>
        <v>359</v>
      </c>
      <c r="B364" s="31">
        <f>EDATE(入力!$B$6,A364-1)</f>
        <v>57132</v>
      </c>
      <c r="C364" s="32">
        <f t="shared" si="90"/>
        <v>5752336</v>
      </c>
      <c r="D364" s="32">
        <f t="shared" si="91"/>
        <v>0</v>
      </c>
      <c r="E364" s="33">
        <f>IF(AND(T363="",A364&lt;=S363),IF(A364&lt;入力!$B$11,入力!$B$10,入力!$B$12),0)</f>
        <v>2.5000000000000001E-2</v>
      </c>
      <c r="F364" s="32">
        <f t="shared" si="92"/>
        <v>11984</v>
      </c>
      <c r="G364" s="32">
        <f>ROUND(IF(NOT(AND(T363="",A364&lt;=S363)),0,IF(A364=入力!$B$15+1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),0)</f>
        <v>98997</v>
      </c>
      <c r="H364" s="32">
        <f t="shared" si="93"/>
        <v>98997</v>
      </c>
      <c r="I364" s="32">
        <f t="shared" si="94"/>
        <v>11984</v>
      </c>
      <c r="J364" s="32">
        <f t="shared" si="95"/>
        <v>0</v>
      </c>
      <c r="K364" s="32">
        <f t="shared" si="96"/>
        <v>0</v>
      </c>
      <c r="L364" s="32">
        <f t="shared" si="97"/>
        <v>87013</v>
      </c>
      <c r="M364" s="32">
        <f>IF(AND(AND(T363="",A364&lt;=S363),A364=入力!$B$15),ROUND(MIN(入力!$B$16,MAX(0,C364-L364)),0),0)</f>
        <v>0</v>
      </c>
      <c r="N364" s="32">
        <f t="shared" si="98"/>
        <v>5665323</v>
      </c>
      <c r="O364" s="32">
        <f t="shared" si="99"/>
        <v>12013206</v>
      </c>
      <c r="P364" s="34" t="str">
        <f>IF(NOT(AND(T363="",A364&lt;=S363)),"",IF(A364=入力!$B$15+1,"繰上返済後再計算","")&amp;IF(AND(入力!$B$13="有効",A364&gt;1,MOD(A364-1,60)=0),IF(A364=入力!$B$15+1,"・","")&amp;"5年見直し","")&amp;IF(AND(A364=入力!$B$11,A364&gt;1),IF(OR(A364=入力!$B$15+1,AND(入力!$B$13="有効",A364&gt;1,MOD(A364-1,60)=0)),"・","")&amp;"金利変更","")&amp;IF(AND(OR(AND(入力!$B$13="有効",A364&gt;1,MOD(A364-1,60)=0),AND(A364=入力!$B$11,A364&gt;1)),入力!$B$14="有効",IF(E364=0,ROUND(C364/MAX(1,S363-A364+1),0),ROUND(-PMT(E364/12,MAX(1,S363-A364+1),C364),0))&gt;ROUND(G363*1.25,0),NOT(A364=入力!$B$15+1)),"・上限適用",""))</f>
        <v/>
      </c>
      <c r="Q364" s="35" t="str">
        <f>IF(AND(T363="",A364&lt;=S363),入力!$B$13,"")</f>
        <v>有効</v>
      </c>
      <c r="R364" s="32" t="str">
        <f>IF(AND(AND(T363="",A364&lt;=S363),OR(AND(入力!$B$13="有効",A364&gt;1,MOD(A364-1,60)=0),AND(A364=入力!$B$11,A364&gt;1)),入力!$B$14="有効"),ROUND(G363*1.25,0),"")</f>
        <v/>
      </c>
      <c r="S364" s="36">
        <f t="shared" si="100"/>
        <v>420</v>
      </c>
      <c r="T364" s="35" t="str">
        <f t="shared" si="101"/>
        <v/>
      </c>
      <c r="U364" s="3">
        <f t="shared" si="85"/>
        <v>0</v>
      </c>
      <c r="V364" s="3">
        <f t="shared" si="86"/>
        <v>0</v>
      </c>
      <c r="W364" s="3">
        <f t="shared" si="87"/>
        <v>0</v>
      </c>
      <c r="X364" s="3">
        <f t="shared" si="88"/>
        <v>0</v>
      </c>
      <c r="Y364" s="3">
        <f>0</f>
        <v>0</v>
      </c>
      <c r="Z364" s="3">
        <f t="shared" si="89"/>
        <v>0</v>
      </c>
      <c r="AA364">
        <f>ROUND(IF(A364=入力!$B$15+1,IF(E364=0,ROUND(C364/MAX(1,S363-A364+1),0),ROUND(-PMT(E364/12,MAX(1,S363-A364+1)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,0)</f>
        <v>98997</v>
      </c>
    </row>
    <row r="365" spans="1:27">
      <c r="A365" s="30">
        <f>360</f>
        <v>360</v>
      </c>
      <c r="B365" s="31">
        <f>EDATE(入力!$B$6,A365-1)</f>
        <v>57162</v>
      </c>
      <c r="C365" s="32">
        <f t="shared" si="90"/>
        <v>5665323</v>
      </c>
      <c r="D365" s="32">
        <f t="shared" si="91"/>
        <v>0</v>
      </c>
      <c r="E365" s="33">
        <f>IF(AND(T364="",A365&lt;=S364),IF(A365&lt;入力!$B$11,入力!$B$10,入力!$B$12),0)</f>
        <v>2.5000000000000001E-2</v>
      </c>
      <c r="F365" s="32">
        <f t="shared" si="92"/>
        <v>11803</v>
      </c>
      <c r="G365" s="32">
        <f>ROUND(IF(NOT(AND(T364="",A365&lt;=S364)),0,IF(A365=入力!$B$15+1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),0)</f>
        <v>98997</v>
      </c>
      <c r="H365" s="32">
        <f t="shared" si="93"/>
        <v>98997</v>
      </c>
      <c r="I365" s="32">
        <f t="shared" si="94"/>
        <v>11803</v>
      </c>
      <c r="J365" s="32">
        <f t="shared" si="95"/>
        <v>0</v>
      </c>
      <c r="K365" s="32">
        <f t="shared" si="96"/>
        <v>0</v>
      </c>
      <c r="L365" s="32">
        <f t="shared" si="97"/>
        <v>87194</v>
      </c>
      <c r="M365" s="32">
        <f>IF(AND(AND(T364="",A365&lt;=S364),A365=入力!$B$15),ROUND(MIN(入力!$B$16,MAX(0,C365-L365)),0),0)</f>
        <v>0</v>
      </c>
      <c r="N365" s="32">
        <f t="shared" si="98"/>
        <v>5578129</v>
      </c>
      <c r="O365" s="32">
        <f t="shared" si="99"/>
        <v>12025009</v>
      </c>
      <c r="P365" s="34" t="str">
        <f>IF(NOT(AND(T364="",A365&lt;=S364)),"",IF(A365=入力!$B$15+1,"繰上返済後再計算","")&amp;IF(AND(入力!$B$13="有効",A365&gt;1,MOD(A365-1,60)=0),IF(A365=入力!$B$15+1,"・","")&amp;"5年見直し","")&amp;IF(AND(A365=入力!$B$11,A365&gt;1),IF(OR(A365=入力!$B$15+1,AND(入力!$B$13="有効",A365&gt;1,MOD(A365-1,60)=0)),"・","")&amp;"金利変更","")&amp;IF(AND(OR(AND(入力!$B$13="有効",A365&gt;1,MOD(A365-1,60)=0),AND(A365=入力!$B$11,A365&gt;1)),入力!$B$14="有効",IF(E365=0,ROUND(C365/MAX(1,S364-A365+1),0),ROUND(-PMT(E365/12,MAX(1,S364-A365+1),C365),0))&gt;ROUND(G364*1.25,0),NOT(A365=入力!$B$15+1)),"・上限適用",""))</f>
        <v/>
      </c>
      <c r="Q365" s="35" t="str">
        <f>IF(AND(T364="",A365&lt;=S364),入力!$B$13,"")</f>
        <v>有効</v>
      </c>
      <c r="R365" s="32" t="str">
        <f>IF(AND(AND(T364="",A365&lt;=S364),OR(AND(入力!$B$13="有効",A365&gt;1,MOD(A365-1,60)=0),AND(A365=入力!$B$11,A365&gt;1)),入力!$B$14="有効"),ROUND(G364*1.25,0),"")</f>
        <v/>
      </c>
      <c r="S365" s="36">
        <f t="shared" si="100"/>
        <v>420</v>
      </c>
      <c r="T365" s="35" t="str">
        <f t="shared" si="101"/>
        <v/>
      </c>
      <c r="U365" s="3">
        <f t="shared" si="85"/>
        <v>0</v>
      </c>
      <c r="V365" s="3">
        <f t="shared" si="86"/>
        <v>0</v>
      </c>
      <c r="W365" s="3">
        <f t="shared" si="87"/>
        <v>0</v>
      </c>
      <c r="X365" s="3">
        <f t="shared" si="88"/>
        <v>0</v>
      </c>
      <c r="Y365" s="3">
        <f>0</f>
        <v>0</v>
      </c>
      <c r="Z365" s="3">
        <f t="shared" si="89"/>
        <v>0</v>
      </c>
      <c r="AA365">
        <f>ROUND(IF(A365=入力!$B$15+1,IF(E365=0,ROUND(C365/MAX(1,S364-A365+1),0),ROUND(-PMT(E365/12,MAX(1,S364-A365+1)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,0)</f>
        <v>98997</v>
      </c>
    </row>
    <row r="366" spans="1:27">
      <c r="A366" s="30">
        <f>361</f>
        <v>361</v>
      </c>
      <c r="B366" s="31">
        <f>EDATE(入力!$B$6,A366-1)</f>
        <v>57193</v>
      </c>
      <c r="C366" s="32">
        <f t="shared" si="90"/>
        <v>5578129</v>
      </c>
      <c r="D366" s="32">
        <f t="shared" si="91"/>
        <v>0</v>
      </c>
      <c r="E366" s="33">
        <f>IF(AND(T365="",A366&lt;=S365),IF(A366&lt;入力!$B$11,入力!$B$10,入力!$B$12),0)</f>
        <v>2.5000000000000001E-2</v>
      </c>
      <c r="F366" s="32">
        <f t="shared" si="92"/>
        <v>11621</v>
      </c>
      <c r="G366" s="32">
        <f>ROUND(IF(NOT(AND(T365="",A366&lt;=S365)),0,IF(A366=入力!$B$15+1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),0)</f>
        <v>98997</v>
      </c>
      <c r="H366" s="32">
        <f t="shared" si="93"/>
        <v>98997</v>
      </c>
      <c r="I366" s="32">
        <f t="shared" si="94"/>
        <v>11621</v>
      </c>
      <c r="J366" s="32">
        <f t="shared" si="95"/>
        <v>0</v>
      </c>
      <c r="K366" s="32">
        <f t="shared" si="96"/>
        <v>0</v>
      </c>
      <c r="L366" s="32">
        <f t="shared" si="97"/>
        <v>87376</v>
      </c>
      <c r="M366" s="32">
        <f>IF(AND(AND(T365="",A366&lt;=S365),A366=入力!$B$15),ROUND(MIN(入力!$B$16,MAX(0,C366-L366)),0),0)</f>
        <v>0</v>
      </c>
      <c r="N366" s="32">
        <f t="shared" si="98"/>
        <v>5490753</v>
      </c>
      <c r="O366" s="32">
        <f t="shared" si="99"/>
        <v>12036630</v>
      </c>
      <c r="P366" s="34" t="str">
        <f>IF(NOT(AND(T365="",A366&lt;=S365)),"",IF(A366=入力!$B$15+1,"繰上返済後再計算","")&amp;IF(AND(入力!$B$13="有効",A366&gt;1,MOD(A366-1,60)=0),IF(A366=入力!$B$15+1,"・","")&amp;"5年見直し","")&amp;IF(AND(A366=入力!$B$11,A366&gt;1),IF(OR(A366=入力!$B$15+1,AND(入力!$B$13="有効",A366&gt;1,MOD(A366-1,60)=0)),"・","")&amp;"金利変更","")&amp;IF(AND(OR(AND(入力!$B$13="有効",A366&gt;1,MOD(A366-1,60)=0),AND(A366=入力!$B$11,A366&gt;1)),入力!$B$14="有効",IF(E366=0,ROUND(C366/MAX(1,S365-A366+1),0),ROUND(-PMT(E366/12,MAX(1,S365-A366+1),C366),0))&gt;ROUND(G365*1.25,0),NOT(A366=入力!$B$15+1)),"・上限適用",""))</f>
        <v>5年見直し</v>
      </c>
      <c r="Q366" s="35" t="str">
        <f>IF(AND(T365="",A366&lt;=S365),入力!$B$13,"")</f>
        <v>有効</v>
      </c>
      <c r="R366" s="32">
        <f>IF(AND(AND(T365="",A366&lt;=S365),OR(AND(入力!$B$13="有効",A366&gt;1,MOD(A366-1,60)=0),AND(A366=入力!$B$11,A366&gt;1)),入力!$B$14="有効"),ROUND(G365*1.25,0),"")</f>
        <v>123746</v>
      </c>
      <c r="S366" s="36">
        <f t="shared" si="100"/>
        <v>420</v>
      </c>
      <c r="T366" s="35" t="str">
        <f t="shared" si="101"/>
        <v/>
      </c>
      <c r="U366" s="3">
        <f t="shared" si="85"/>
        <v>0</v>
      </c>
      <c r="V366" s="3">
        <f t="shared" si="86"/>
        <v>0</v>
      </c>
      <c r="W366" s="3">
        <f t="shared" si="87"/>
        <v>0</v>
      </c>
      <c r="X366" s="3">
        <f t="shared" si="88"/>
        <v>0</v>
      </c>
      <c r="Y366" s="3">
        <f>0</f>
        <v>0</v>
      </c>
      <c r="Z366" s="3">
        <f t="shared" si="89"/>
        <v>0</v>
      </c>
      <c r="AA366">
        <f>ROUND(IF(A366=入力!$B$15+1,IF(E366=0,ROUND(C366/MAX(1,S365-A366+1),0),ROUND(-PMT(E366/12,MAX(1,S365-A366+1)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,0)</f>
        <v>98997</v>
      </c>
    </row>
    <row r="367" spans="1:27">
      <c r="A367" s="30">
        <f>362</f>
        <v>362</v>
      </c>
      <c r="B367" s="31">
        <f>EDATE(入力!$B$6,A367-1)</f>
        <v>57224</v>
      </c>
      <c r="C367" s="32">
        <f t="shared" si="90"/>
        <v>5490753</v>
      </c>
      <c r="D367" s="32">
        <f t="shared" si="91"/>
        <v>0</v>
      </c>
      <c r="E367" s="33">
        <f>IF(AND(T366="",A367&lt;=S366),IF(A367&lt;入力!$B$11,入力!$B$10,入力!$B$12),0)</f>
        <v>2.5000000000000001E-2</v>
      </c>
      <c r="F367" s="32">
        <f t="shared" si="92"/>
        <v>11439</v>
      </c>
      <c r="G367" s="32">
        <f>ROUND(IF(NOT(AND(T366="",A367&lt;=S366)),0,IF(A367=入力!$B$15+1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),0)</f>
        <v>98997</v>
      </c>
      <c r="H367" s="32">
        <f t="shared" si="93"/>
        <v>98997</v>
      </c>
      <c r="I367" s="32">
        <f t="shared" si="94"/>
        <v>11439</v>
      </c>
      <c r="J367" s="32">
        <f t="shared" si="95"/>
        <v>0</v>
      </c>
      <c r="K367" s="32">
        <f t="shared" si="96"/>
        <v>0</v>
      </c>
      <c r="L367" s="32">
        <f t="shared" si="97"/>
        <v>87558</v>
      </c>
      <c r="M367" s="32">
        <f>IF(AND(AND(T366="",A367&lt;=S366),A367=入力!$B$15),ROUND(MIN(入力!$B$16,MAX(0,C367-L367)),0),0)</f>
        <v>0</v>
      </c>
      <c r="N367" s="32">
        <f t="shared" si="98"/>
        <v>5403195</v>
      </c>
      <c r="O367" s="32">
        <f t="shared" si="99"/>
        <v>12048069</v>
      </c>
      <c r="P367" s="34" t="str">
        <f>IF(NOT(AND(T366="",A367&lt;=S366)),"",IF(A367=入力!$B$15+1,"繰上返済後再計算","")&amp;IF(AND(入力!$B$13="有効",A367&gt;1,MOD(A367-1,60)=0),IF(A367=入力!$B$15+1,"・","")&amp;"5年見直し","")&amp;IF(AND(A367=入力!$B$11,A367&gt;1),IF(OR(A367=入力!$B$15+1,AND(入力!$B$13="有効",A367&gt;1,MOD(A367-1,60)=0)),"・","")&amp;"金利変更","")&amp;IF(AND(OR(AND(入力!$B$13="有効",A367&gt;1,MOD(A367-1,60)=0),AND(A367=入力!$B$11,A367&gt;1)),入力!$B$14="有効",IF(E367=0,ROUND(C367/MAX(1,S366-A367+1),0),ROUND(-PMT(E367/12,MAX(1,S366-A367+1),C367),0))&gt;ROUND(G366*1.25,0),NOT(A367=入力!$B$15+1)),"・上限適用",""))</f>
        <v/>
      </c>
      <c r="Q367" s="35" t="str">
        <f>IF(AND(T366="",A367&lt;=S366),入力!$B$13,"")</f>
        <v>有効</v>
      </c>
      <c r="R367" s="32" t="str">
        <f>IF(AND(AND(T366="",A367&lt;=S366),OR(AND(入力!$B$13="有効",A367&gt;1,MOD(A367-1,60)=0),AND(A367=入力!$B$11,A367&gt;1)),入力!$B$14="有効"),ROUND(G366*1.25,0),"")</f>
        <v/>
      </c>
      <c r="S367" s="36">
        <f t="shared" si="100"/>
        <v>420</v>
      </c>
      <c r="T367" s="35" t="str">
        <f t="shared" si="101"/>
        <v/>
      </c>
      <c r="U367" s="3">
        <f t="shared" si="85"/>
        <v>0</v>
      </c>
      <c r="V367" s="3">
        <f t="shared" si="86"/>
        <v>0</v>
      </c>
      <c r="W367" s="3">
        <f t="shared" si="87"/>
        <v>0</v>
      </c>
      <c r="X367" s="3">
        <f t="shared" si="88"/>
        <v>0</v>
      </c>
      <c r="Y367" s="3">
        <f>0</f>
        <v>0</v>
      </c>
      <c r="Z367" s="3">
        <f t="shared" si="89"/>
        <v>0</v>
      </c>
      <c r="AA367">
        <f>ROUND(IF(A367=入力!$B$15+1,IF(E367=0,ROUND(C367/MAX(1,S366-A367+1),0),ROUND(-PMT(E367/12,MAX(1,S366-A367+1)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,0)</f>
        <v>98997</v>
      </c>
    </row>
    <row r="368" spans="1:27">
      <c r="A368" s="30">
        <f>363</f>
        <v>363</v>
      </c>
      <c r="B368" s="31">
        <f>EDATE(入力!$B$6,A368-1)</f>
        <v>57254</v>
      </c>
      <c r="C368" s="32">
        <f t="shared" si="90"/>
        <v>5403195</v>
      </c>
      <c r="D368" s="32">
        <f t="shared" si="91"/>
        <v>0</v>
      </c>
      <c r="E368" s="33">
        <f>IF(AND(T367="",A368&lt;=S367),IF(A368&lt;入力!$B$11,入力!$B$10,入力!$B$12),0)</f>
        <v>2.5000000000000001E-2</v>
      </c>
      <c r="F368" s="32">
        <f t="shared" si="92"/>
        <v>11257</v>
      </c>
      <c r="G368" s="32">
        <f>ROUND(IF(NOT(AND(T367="",A368&lt;=S367)),0,IF(A368=入力!$B$15+1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),0)</f>
        <v>98997</v>
      </c>
      <c r="H368" s="32">
        <f t="shared" si="93"/>
        <v>98997</v>
      </c>
      <c r="I368" s="32">
        <f t="shared" si="94"/>
        <v>11257</v>
      </c>
      <c r="J368" s="32">
        <f t="shared" si="95"/>
        <v>0</v>
      </c>
      <c r="K368" s="32">
        <f t="shared" si="96"/>
        <v>0</v>
      </c>
      <c r="L368" s="32">
        <f t="shared" si="97"/>
        <v>87740</v>
      </c>
      <c r="M368" s="32">
        <f>IF(AND(AND(T367="",A368&lt;=S367),A368=入力!$B$15),ROUND(MIN(入力!$B$16,MAX(0,C368-L368)),0),0)</f>
        <v>0</v>
      </c>
      <c r="N368" s="32">
        <f t="shared" si="98"/>
        <v>5315455</v>
      </c>
      <c r="O368" s="32">
        <f t="shared" si="99"/>
        <v>12059326</v>
      </c>
      <c r="P368" s="34" t="str">
        <f>IF(NOT(AND(T367="",A368&lt;=S367)),"",IF(A368=入力!$B$15+1,"繰上返済後再計算","")&amp;IF(AND(入力!$B$13="有効",A368&gt;1,MOD(A368-1,60)=0),IF(A368=入力!$B$15+1,"・","")&amp;"5年見直し","")&amp;IF(AND(A368=入力!$B$11,A368&gt;1),IF(OR(A368=入力!$B$15+1,AND(入力!$B$13="有効",A368&gt;1,MOD(A368-1,60)=0)),"・","")&amp;"金利変更","")&amp;IF(AND(OR(AND(入力!$B$13="有効",A368&gt;1,MOD(A368-1,60)=0),AND(A368=入力!$B$11,A368&gt;1)),入力!$B$14="有効",IF(E368=0,ROUND(C368/MAX(1,S367-A368+1),0),ROUND(-PMT(E368/12,MAX(1,S367-A368+1),C368),0))&gt;ROUND(G367*1.25,0),NOT(A368=入力!$B$15+1)),"・上限適用",""))</f>
        <v/>
      </c>
      <c r="Q368" s="35" t="str">
        <f>IF(AND(T367="",A368&lt;=S367),入力!$B$13,"")</f>
        <v>有効</v>
      </c>
      <c r="R368" s="32" t="str">
        <f>IF(AND(AND(T367="",A368&lt;=S367),OR(AND(入力!$B$13="有効",A368&gt;1,MOD(A368-1,60)=0),AND(A368=入力!$B$11,A368&gt;1)),入力!$B$14="有効"),ROUND(G367*1.25,0),"")</f>
        <v/>
      </c>
      <c r="S368" s="36">
        <f t="shared" si="100"/>
        <v>420</v>
      </c>
      <c r="T368" s="35" t="str">
        <f t="shared" si="101"/>
        <v/>
      </c>
      <c r="U368" s="3">
        <f t="shared" si="85"/>
        <v>0</v>
      </c>
      <c r="V368" s="3">
        <f t="shared" si="86"/>
        <v>0</v>
      </c>
      <c r="W368" s="3">
        <f t="shared" si="87"/>
        <v>0</v>
      </c>
      <c r="X368" s="3">
        <f t="shared" si="88"/>
        <v>0</v>
      </c>
      <c r="Y368" s="3">
        <f>0</f>
        <v>0</v>
      </c>
      <c r="Z368" s="3">
        <f t="shared" si="89"/>
        <v>0</v>
      </c>
      <c r="AA368">
        <f>ROUND(IF(A368=入力!$B$15+1,IF(E368=0,ROUND(C368/MAX(1,S367-A368+1),0),ROUND(-PMT(E368/12,MAX(1,S367-A368+1)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,0)</f>
        <v>98997</v>
      </c>
    </row>
    <row r="369" spans="1:27">
      <c r="A369" s="30">
        <f>364</f>
        <v>364</v>
      </c>
      <c r="B369" s="31">
        <f>EDATE(入力!$B$6,A369-1)</f>
        <v>57285</v>
      </c>
      <c r="C369" s="32">
        <f t="shared" si="90"/>
        <v>5315455</v>
      </c>
      <c r="D369" s="32">
        <f t="shared" si="91"/>
        <v>0</v>
      </c>
      <c r="E369" s="33">
        <f>IF(AND(T368="",A369&lt;=S368),IF(A369&lt;入力!$B$11,入力!$B$10,入力!$B$12),0)</f>
        <v>2.5000000000000001E-2</v>
      </c>
      <c r="F369" s="32">
        <f t="shared" si="92"/>
        <v>11074</v>
      </c>
      <c r="G369" s="32">
        <f>ROUND(IF(NOT(AND(T368="",A369&lt;=S368)),0,IF(A369=入力!$B$15+1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),0)</f>
        <v>98997</v>
      </c>
      <c r="H369" s="32">
        <f t="shared" si="93"/>
        <v>98997</v>
      </c>
      <c r="I369" s="32">
        <f t="shared" si="94"/>
        <v>11074</v>
      </c>
      <c r="J369" s="32">
        <f t="shared" si="95"/>
        <v>0</v>
      </c>
      <c r="K369" s="32">
        <f t="shared" si="96"/>
        <v>0</v>
      </c>
      <c r="L369" s="32">
        <f t="shared" si="97"/>
        <v>87923</v>
      </c>
      <c r="M369" s="32">
        <f>IF(AND(AND(T368="",A369&lt;=S368),A369=入力!$B$15),ROUND(MIN(入力!$B$16,MAX(0,C369-L369)),0),0)</f>
        <v>0</v>
      </c>
      <c r="N369" s="32">
        <f t="shared" si="98"/>
        <v>5227532</v>
      </c>
      <c r="O369" s="32">
        <f t="shared" si="99"/>
        <v>12070400</v>
      </c>
      <c r="P369" s="34" t="str">
        <f>IF(NOT(AND(T368="",A369&lt;=S368)),"",IF(A369=入力!$B$15+1,"繰上返済後再計算","")&amp;IF(AND(入力!$B$13="有効",A369&gt;1,MOD(A369-1,60)=0),IF(A369=入力!$B$15+1,"・","")&amp;"5年見直し","")&amp;IF(AND(A369=入力!$B$11,A369&gt;1),IF(OR(A369=入力!$B$15+1,AND(入力!$B$13="有効",A369&gt;1,MOD(A369-1,60)=0)),"・","")&amp;"金利変更","")&amp;IF(AND(OR(AND(入力!$B$13="有効",A369&gt;1,MOD(A369-1,60)=0),AND(A369=入力!$B$11,A369&gt;1)),入力!$B$14="有効",IF(E369=0,ROUND(C369/MAX(1,S368-A369+1),0),ROUND(-PMT(E369/12,MAX(1,S368-A369+1),C369),0))&gt;ROUND(G368*1.25,0),NOT(A369=入力!$B$15+1)),"・上限適用",""))</f>
        <v/>
      </c>
      <c r="Q369" s="35" t="str">
        <f>IF(AND(T368="",A369&lt;=S368),入力!$B$13,"")</f>
        <v>有効</v>
      </c>
      <c r="R369" s="32" t="str">
        <f>IF(AND(AND(T368="",A369&lt;=S368),OR(AND(入力!$B$13="有効",A369&gt;1,MOD(A369-1,60)=0),AND(A369=入力!$B$11,A369&gt;1)),入力!$B$14="有効"),ROUND(G368*1.25,0),"")</f>
        <v/>
      </c>
      <c r="S369" s="36">
        <f t="shared" si="100"/>
        <v>420</v>
      </c>
      <c r="T369" s="35" t="str">
        <f t="shared" si="101"/>
        <v/>
      </c>
      <c r="U369" s="3">
        <f t="shared" si="85"/>
        <v>0</v>
      </c>
      <c r="V369" s="3">
        <f t="shared" si="86"/>
        <v>0</v>
      </c>
      <c r="W369" s="3">
        <f t="shared" si="87"/>
        <v>0</v>
      </c>
      <c r="X369" s="3">
        <f t="shared" si="88"/>
        <v>0</v>
      </c>
      <c r="Y369" s="3">
        <f>0</f>
        <v>0</v>
      </c>
      <c r="Z369" s="3">
        <f t="shared" si="89"/>
        <v>0</v>
      </c>
      <c r="AA369">
        <f>ROUND(IF(A369=入力!$B$15+1,IF(E369=0,ROUND(C369/MAX(1,S368-A369+1),0),ROUND(-PMT(E369/12,MAX(1,S368-A369+1)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,0)</f>
        <v>98997</v>
      </c>
    </row>
    <row r="370" spans="1:27">
      <c r="A370" s="30">
        <f>365</f>
        <v>365</v>
      </c>
      <c r="B370" s="31">
        <f>EDATE(入力!$B$6,A370-1)</f>
        <v>57315</v>
      </c>
      <c r="C370" s="32">
        <f t="shared" si="90"/>
        <v>5227532</v>
      </c>
      <c r="D370" s="32">
        <f t="shared" si="91"/>
        <v>0</v>
      </c>
      <c r="E370" s="33">
        <f>IF(AND(T369="",A370&lt;=S369),IF(A370&lt;入力!$B$11,入力!$B$10,入力!$B$12),0)</f>
        <v>2.5000000000000001E-2</v>
      </c>
      <c r="F370" s="32">
        <f t="shared" si="92"/>
        <v>10891</v>
      </c>
      <c r="G370" s="32">
        <f>ROUND(IF(NOT(AND(T369="",A370&lt;=S369)),0,IF(A370=入力!$B$15+1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),0)</f>
        <v>98997</v>
      </c>
      <c r="H370" s="32">
        <f t="shared" si="93"/>
        <v>98997</v>
      </c>
      <c r="I370" s="32">
        <f t="shared" si="94"/>
        <v>10891</v>
      </c>
      <c r="J370" s="32">
        <f t="shared" si="95"/>
        <v>0</v>
      </c>
      <c r="K370" s="32">
        <f t="shared" si="96"/>
        <v>0</v>
      </c>
      <c r="L370" s="32">
        <f t="shared" si="97"/>
        <v>88106</v>
      </c>
      <c r="M370" s="32">
        <f>IF(AND(AND(T369="",A370&lt;=S369),A370=入力!$B$15),ROUND(MIN(入力!$B$16,MAX(0,C370-L370)),0),0)</f>
        <v>0</v>
      </c>
      <c r="N370" s="32">
        <f t="shared" si="98"/>
        <v>5139426</v>
      </c>
      <c r="O370" s="32">
        <f t="shared" si="99"/>
        <v>12081291</v>
      </c>
      <c r="P370" s="34" t="str">
        <f>IF(NOT(AND(T369="",A370&lt;=S369)),"",IF(A370=入力!$B$15+1,"繰上返済後再計算","")&amp;IF(AND(入力!$B$13="有効",A370&gt;1,MOD(A370-1,60)=0),IF(A370=入力!$B$15+1,"・","")&amp;"5年見直し","")&amp;IF(AND(A370=入力!$B$11,A370&gt;1),IF(OR(A370=入力!$B$15+1,AND(入力!$B$13="有効",A370&gt;1,MOD(A370-1,60)=0)),"・","")&amp;"金利変更","")&amp;IF(AND(OR(AND(入力!$B$13="有効",A370&gt;1,MOD(A370-1,60)=0),AND(A370=入力!$B$11,A370&gt;1)),入力!$B$14="有効",IF(E370=0,ROUND(C370/MAX(1,S369-A370+1),0),ROUND(-PMT(E370/12,MAX(1,S369-A370+1),C370),0))&gt;ROUND(G369*1.25,0),NOT(A370=入力!$B$15+1)),"・上限適用",""))</f>
        <v/>
      </c>
      <c r="Q370" s="35" t="str">
        <f>IF(AND(T369="",A370&lt;=S369),入力!$B$13,"")</f>
        <v>有効</v>
      </c>
      <c r="R370" s="32" t="str">
        <f>IF(AND(AND(T369="",A370&lt;=S369),OR(AND(入力!$B$13="有効",A370&gt;1,MOD(A370-1,60)=0),AND(A370=入力!$B$11,A370&gt;1)),入力!$B$14="有効"),ROUND(G369*1.25,0),"")</f>
        <v/>
      </c>
      <c r="S370" s="36">
        <f t="shared" si="100"/>
        <v>420</v>
      </c>
      <c r="T370" s="35" t="str">
        <f t="shared" si="101"/>
        <v/>
      </c>
      <c r="U370" s="3">
        <f t="shared" si="85"/>
        <v>0</v>
      </c>
      <c r="V370" s="3">
        <f t="shared" si="86"/>
        <v>0</v>
      </c>
      <c r="W370" s="3">
        <f t="shared" si="87"/>
        <v>0</v>
      </c>
      <c r="X370" s="3">
        <f t="shared" si="88"/>
        <v>0</v>
      </c>
      <c r="Y370" s="3">
        <f>0</f>
        <v>0</v>
      </c>
      <c r="Z370" s="3">
        <f t="shared" si="89"/>
        <v>0</v>
      </c>
      <c r="AA370">
        <f>ROUND(IF(A370=入力!$B$15+1,IF(E370=0,ROUND(C370/MAX(1,S369-A370+1),0),ROUND(-PMT(E370/12,MAX(1,S369-A370+1)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,0)</f>
        <v>98997</v>
      </c>
    </row>
    <row r="371" spans="1:27">
      <c r="A371" s="30">
        <f>366</f>
        <v>366</v>
      </c>
      <c r="B371" s="31">
        <f>EDATE(入力!$B$6,A371-1)</f>
        <v>57346</v>
      </c>
      <c r="C371" s="32">
        <f t="shared" si="90"/>
        <v>5139426</v>
      </c>
      <c r="D371" s="32">
        <f t="shared" si="91"/>
        <v>0</v>
      </c>
      <c r="E371" s="33">
        <f>IF(AND(T370="",A371&lt;=S370),IF(A371&lt;入力!$B$11,入力!$B$10,入力!$B$12),0)</f>
        <v>2.5000000000000001E-2</v>
      </c>
      <c r="F371" s="32">
        <f t="shared" si="92"/>
        <v>10707</v>
      </c>
      <c r="G371" s="32">
        <f>ROUND(IF(NOT(AND(T370="",A371&lt;=S370)),0,IF(A371=入力!$B$15+1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),0)</f>
        <v>98997</v>
      </c>
      <c r="H371" s="32">
        <f t="shared" si="93"/>
        <v>98997</v>
      </c>
      <c r="I371" s="32">
        <f t="shared" si="94"/>
        <v>10707</v>
      </c>
      <c r="J371" s="32">
        <f t="shared" si="95"/>
        <v>0</v>
      </c>
      <c r="K371" s="32">
        <f t="shared" si="96"/>
        <v>0</v>
      </c>
      <c r="L371" s="32">
        <f t="shared" si="97"/>
        <v>88290</v>
      </c>
      <c r="M371" s="32">
        <f>IF(AND(AND(T370="",A371&lt;=S370),A371=入力!$B$15),ROUND(MIN(入力!$B$16,MAX(0,C371-L371)),0),0)</f>
        <v>0</v>
      </c>
      <c r="N371" s="32">
        <f t="shared" si="98"/>
        <v>5051136</v>
      </c>
      <c r="O371" s="32">
        <f t="shared" si="99"/>
        <v>12091998</v>
      </c>
      <c r="P371" s="34" t="str">
        <f>IF(NOT(AND(T370="",A371&lt;=S370)),"",IF(A371=入力!$B$15+1,"繰上返済後再計算","")&amp;IF(AND(入力!$B$13="有効",A371&gt;1,MOD(A371-1,60)=0),IF(A371=入力!$B$15+1,"・","")&amp;"5年見直し","")&amp;IF(AND(A371=入力!$B$11,A371&gt;1),IF(OR(A371=入力!$B$15+1,AND(入力!$B$13="有効",A371&gt;1,MOD(A371-1,60)=0)),"・","")&amp;"金利変更","")&amp;IF(AND(OR(AND(入力!$B$13="有効",A371&gt;1,MOD(A371-1,60)=0),AND(A371=入力!$B$11,A371&gt;1)),入力!$B$14="有効",IF(E371=0,ROUND(C371/MAX(1,S370-A371+1),0),ROUND(-PMT(E371/12,MAX(1,S370-A371+1),C371),0))&gt;ROUND(G370*1.25,0),NOT(A371=入力!$B$15+1)),"・上限適用",""))</f>
        <v/>
      </c>
      <c r="Q371" s="35" t="str">
        <f>IF(AND(T370="",A371&lt;=S370),入力!$B$13,"")</f>
        <v>有効</v>
      </c>
      <c r="R371" s="32" t="str">
        <f>IF(AND(AND(T370="",A371&lt;=S370),OR(AND(入力!$B$13="有効",A371&gt;1,MOD(A371-1,60)=0),AND(A371=入力!$B$11,A371&gt;1)),入力!$B$14="有効"),ROUND(G370*1.25,0),"")</f>
        <v/>
      </c>
      <c r="S371" s="36">
        <f t="shared" si="100"/>
        <v>420</v>
      </c>
      <c r="T371" s="35" t="str">
        <f t="shared" si="101"/>
        <v/>
      </c>
      <c r="U371" s="3">
        <f t="shared" si="85"/>
        <v>0</v>
      </c>
      <c r="V371" s="3">
        <f t="shared" si="86"/>
        <v>0</v>
      </c>
      <c r="W371" s="3">
        <f t="shared" si="87"/>
        <v>0</v>
      </c>
      <c r="X371" s="3">
        <f t="shared" si="88"/>
        <v>0</v>
      </c>
      <c r="Y371" s="3">
        <f>0</f>
        <v>0</v>
      </c>
      <c r="Z371" s="3">
        <f t="shared" si="89"/>
        <v>0</v>
      </c>
      <c r="AA371">
        <f>ROUND(IF(A371=入力!$B$15+1,IF(E371=0,ROUND(C371/MAX(1,S370-A371+1),0),ROUND(-PMT(E371/12,MAX(1,S370-A371+1)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,0)</f>
        <v>98997</v>
      </c>
    </row>
    <row r="372" spans="1:27">
      <c r="A372" s="30">
        <f>367</f>
        <v>367</v>
      </c>
      <c r="B372" s="31">
        <f>EDATE(入力!$B$6,A372-1)</f>
        <v>57377</v>
      </c>
      <c r="C372" s="32">
        <f t="shared" si="90"/>
        <v>5051136</v>
      </c>
      <c r="D372" s="32">
        <f t="shared" si="91"/>
        <v>0</v>
      </c>
      <c r="E372" s="33">
        <f>IF(AND(T371="",A372&lt;=S371),IF(A372&lt;入力!$B$11,入力!$B$10,入力!$B$12),0)</f>
        <v>2.5000000000000001E-2</v>
      </c>
      <c r="F372" s="32">
        <f t="shared" si="92"/>
        <v>10523</v>
      </c>
      <c r="G372" s="32">
        <f>ROUND(IF(NOT(AND(T371="",A372&lt;=S371)),0,IF(A372=入力!$B$15+1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),0)</f>
        <v>98997</v>
      </c>
      <c r="H372" s="32">
        <f t="shared" si="93"/>
        <v>98997</v>
      </c>
      <c r="I372" s="32">
        <f t="shared" si="94"/>
        <v>10523</v>
      </c>
      <c r="J372" s="32">
        <f t="shared" si="95"/>
        <v>0</v>
      </c>
      <c r="K372" s="32">
        <f t="shared" si="96"/>
        <v>0</v>
      </c>
      <c r="L372" s="32">
        <f t="shared" si="97"/>
        <v>88474</v>
      </c>
      <c r="M372" s="32">
        <f>IF(AND(AND(T371="",A372&lt;=S371),A372=入力!$B$15),ROUND(MIN(入力!$B$16,MAX(0,C372-L372)),0),0)</f>
        <v>0</v>
      </c>
      <c r="N372" s="32">
        <f t="shared" si="98"/>
        <v>4962662</v>
      </c>
      <c r="O372" s="32">
        <f t="shared" si="99"/>
        <v>12102521</v>
      </c>
      <c r="P372" s="34" t="str">
        <f>IF(NOT(AND(T371="",A372&lt;=S371)),"",IF(A372=入力!$B$15+1,"繰上返済後再計算","")&amp;IF(AND(入力!$B$13="有効",A372&gt;1,MOD(A372-1,60)=0),IF(A372=入力!$B$15+1,"・","")&amp;"5年見直し","")&amp;IF(AND(A372=入力!$B$11,A372&gt;1),IF(OR(A372=入力!$B$15+1,AND(入力!$B$13="有効",A372&gt;1,MOD(A372-1,60)=0)),"・","")&amp;"金利変更","")&amp;IF(AND(OR(AND(入力!$B$13="有効",A372&gt;1,MOD(A372-1,60)=0),AND(A372=入力!$B$11,A372&gt;1)),入力!$B$14="有効",IF(E372=0,ROUND(C372/MAX(1,S371-A372+1),0),ROUND(-PMT(E372/12,MAX(1,S371-A372+1),C372),0))&gt;ROUND(G371*1.25,0),NOT(A372=入力!$B$15+1)),"・上限適用",""))</f>
        <v/>
      </c>
      <c r="Q372" s="35" t="str">
        <f>IF(AND(T371="",A372&lt;=S371),入力!$B$13,"")</f>
        <v>有効</v>
      </c>
      <c r="R372" s="32" t="str">
        <f>IF(AND(AND(T371="",A372&lt;=S371),OR(AND(入力!$B$13="有効",A372&gt;1,MOD(A372-1,60)=0),AND(A372=入力!$B$11,A372&gt;1)),入力!$B$14="有効"),ROUND(G371*1.25,0),"")</f>
        <v/>
      </c>
      <c r="S372" s="36">
        <f t="shared" si="100"/>
        <v>420</v>
      </c>
      <c r="T372" s="35" t="str">
        <f t="shared" si="101"/>
        <v/>
      </c>
      <c r="U372" s="3">
        <f t="shared" si="85"/>
        <v>0</v>
      </c>
      <c r="V372" s="3">
        <f t="shared" si="86"/>
        <v>0</v>
      </c>
      <c r="W372" s="3">
        <f t="shared" si="87"/>
        <v>0</v>
      </c>
      <c r="X372" s="3">
        <f t="shared" si="88"/>
        <v>0</v>
      </c>
      <c r="Y372" s="3">
        <f>0</f>
        <v>0</v>
      </c>
      <c r="Z372" s="3">
        <f t="shared" si="89"/>
        <v>0</v>
      </c>
      <c r="AA372">
        <f>ROUND(IF(A372=入力!$B$15+1,IF(E372=0,ROUND(C372/MAX(1,S371-A372+1),0),ROUND(-PMT(E372/12,MAX(1,S371-A372+1)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,0)</f>
        <v>98997</v>
      </c>
    </row>
    <row r="373" spans="1:27">
      <c r="A373" s="30">
        <f>368</f>
        <v>368</v>
      </c>
      <c r="B373" s="31">
        <f>EDATE(入力!$B$6,A373-1)</f>
        <v>57405</v>
      </c>
      <c r="C373" s="32">
        <f t="shared" si="90"/>
        <v>4962662</v>
      </c>
      <c r="D373" s="32">
        <f t="shared" si="91"/>
        <v>0</v>
      </c>
      <c r="E373" s="33">
        <f>IF(AND(T372="",A373&lt;=S372),IF(A373&lt;入力!$B$11,入力!$B$10,入力!$B$12),0)</f>
        <v>2.5000000000000001E-2</v>
      </c>
      <c r="F373" s="32">
        <f t="shared" si="92"/>
        <v>10339</v>
      </c>
      <c r="G373" s="32">
        <f>ROUND(IF(NOT(AND(T372="",A373&lt;=S372)),0,IF(A373=入力!$B$15+1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),0)</f>
        <v>98997</v>
      </c>
      <c r="H373" s="32">
        <f t="shared" si="93"/>
        <v>98997</v>
      </c>
      <c r="I373" s="32">
        <f t="shared" si="94"/>
        <v>10339</v>
      </c>
      <c r="J373" s="32">
        <f t="shared" si="95"/>
        <v>0</v>
      </c>
      <c r="K373" s="32">
        <f t="shared" si="96"/>
        <v>0</v>
      </c>
      <c r="L373" s="32">
        <f t="shared" si="97"/>
        <v>88658</v>
      </c>
      <c r="M373" s="32">
        <f>IF(AND(AND(T372="",A373&lt;=S372),A373=入力!$B$15),ROUND(MIN(入力!$B$16,MAX(0,C373-L373)),0),0)</f>
        <v>0</v>
      </c>
      <c r="N373" s="32">
        <f t="shared" si="98"/>
        <v>4874004</v>
      </c>
      <c r="O373" s="32">
        <f t="shared" si="99"/>
        <v>12112860</v>
      </c>
      <c r="P373" s="34" t="str">
        <f>IF(NOT(AND(T372="",A373&lt;=S372)),"",IF(A373=入力!$B$15+1,"繰上返済後再計算","")&amp;IF(AND(入力!$B$13="有効",A373&gt;1,MOD(A373-1,60)=0),IF(A373=入力!$B$15+1,"・","")&amp;"5年見直し","")&amp;IF(AND(A373=入力!$B$11,A373&gt;1),IF(OR(A373=入力!$B$15+1,AND(入力!$B$13="有効",A373&gt;1,MOD(A373-1,60)=0)),"・","")&amp;"金利変更","")&amp;IF(AND(OR(AND(入力!$B$13="有効",A373&gt;1,MOD(A373-1,60)=0),AND(A373=入力!$B$11,A373&gt;1)),入力!$B$14="有効",IF(E373=0,ROUND(C373/MAX(1,S372-A373+1),0),ROUND(-PMT(E373/12,MAX(1,S372-A373+1),C373),0))&gt;ROUND(G372*1.25,0),NOT(A373=入力!$B$15+1)),"・上限適用",""))</f>
        <v/>
      </c>
      <c r="Q373" s="35" t="str">
        <f>IF(AND(T372="",A373&lt;=S372),入力!$B$13,"")</f>
        <v>有効</v>
      </c>
      <c r="R373" s="32" t="str">
        <f>IF(AND(AND(T372="",A373&lt;=S372),OR(AND(入力!$B$13="有効",A373&gt;1,MOD(A373-1,60)=0),AND(A373=入力!$B$11,A373&gt;1)),入力!$B$14="有効"),ROUND(G372*1.25,0),"")</f>
        <v/>
      </c>
      <c r="S373" s="36">
        <f t="shared" si="100"/>
        <v>420</v>
      </c>
      <c r="T373" s="35" t="str">
        <f t="shared" si="101"/>
        <v/>
      </c>
      <c r="U373" s="3">
        <f t="shared" si="85"/>
        <v>0</v>
      </c>
      <c r="V373" s="3">
        <f t="shared" si="86"/>
        <v>0</v>
      </c>
      <c r="W373" s="3">
        <f t="shared" si="87"/>
        <v>0</v>
      </c>
      <c r="X373" s="3">
        <f t="shared" si="88"/>
        <v>0</v>
      </c>
      <c r="Y373" s="3">
        <f>0</f>
        <v>0</v>
      </c>
      <c r="Z373" s="3">
        <f t="shared" si="89"/>
        <v>0</v>
      </c>
      <c r="AA373">
        <f>ROUND(IF(A373=入力!$B$15+1,IF(E373=0,ROUND(C373/MAX(1,S372-A373+1),0),ROUND(-PMT(E373/12,MAX(1,S372-A373+1)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,0)</f>
        <v>98997</v>
      </c>
    </row>
    <row r="374" spans="1:27">
      <c r="A374" s="30">
        <f>369</f>
        <v>369</v>
      </c>
      <c r="B374" s="31">
        <f>EDATE(入力!$B$6,A374-1)</f>
        <v>57436</v>
      </c>
      <c r="C374" s="32">
        <f t="shared" si="90"/>
        <v>4874004</v>
      </c>
      <c r="D374" s="32">
        <f t="shared" si="91"/>
        <v>0</v>
      </c>
      <c r="E374" s="33">
        <f>IF(AND(T373="",A374&lt;=S373),IF(A374&lt;入力!$B$11,入力!$B$10,入力!$B$12),0)</f>
        <v>2.5000000000000001E-2</v>
      </c>
      <c r="F374" s="32">
        <f t="shared" si="92"/>
        <v>10154</v>
      </c>
      <c r="G374" s="32">
        <f>ROUND(IF(NOT(AND(T373="",A374&lt;=S373)),0,IF(A374=入力!$B$15+1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),0)</f>
        <v>98997</v>
      </c>
      <c r="H374" s="32">
        <f t="shared" si="93"/>
        <v>98997</v>
      </c>
      <c r="I374" s="32">
        <f t="shared" si="94"/>
        <v>10154</v>
      </c>
      <c r="J374" s="32">
        <f t="shared" si="95"/>
        <v>0</v>
      </c>
      <c r="K374" s="32">
        <f t="shared" si="96"/>
        <v>0</v>
      </c>
      <c r="L374" s="32">
        <f t="shared" si="97"/>
        <v>88843</v>
      </c>
      <c r="M374" s="32">
        <f>IF(AND(AND(T373="",A374&lt;=S373),A374=入力!$B$15),ROUND(MIN(入力!$B$16,MAX(0,C374-L374)),0),0)</f>
        <v>0</v>
      </c>
      <c r="N374" s="32">
        <f t="shared" si="98"/>
        <v>4785161</v>
      </c>
      <c r="O374" s="32">
        <f t="shared" si="99"/>
        <v>12123014</v>
      </c>
      <c r="P374" s="34" t="str">
        <f>IF(NOT(AND(T373="",A374&lt;=S373)),"",IF(A374=入力!$B$15+1,"繰上返済後再計算","")&amp;IF(AND(入力!$B$13="有効",A374&gt;1,MOD(A374-1,60)=0),IF(A374=入力!$B$15+1,"・","")&amp;"5年見直し","")&amp;IF(AND(A374=入力!$B$11,A374&gt;1),IF(OR(A374=入力!$B$15+1,AND(入力!$B$13="有効",A374&gt;1,MOD(A374-1,60)=0)),"・","")&amp;"金利変更","")&amp;IF(AND(OR(AND(入力!$B$13="有効",A374&gt;1,MOD(A374-1,60)=0),AND(A374=入力!$B$11,A374&gt;1)),入力!$B$14="有効",IF(E374=0,ROUND(C374/MAX(1,S373-A374+1),0),ROUND(-PMT(E374/12,MAX(1,S373-A374+1),C374),0))&gt;ROUND(G373*1.25,0),NOT(A374=入力!$B$15+1)),"・上限適用",""))</f>
        <v/>
      </c>
      <c r="Q374" s="35" t="str">
        <f>IF(AND(T373="",A374&lt;=S373),入力!$B$13,"")</f>
        <v>有効</v>
      </c>
      <c r="R374" s="32" t="str">
        <f>IF(AND(AND(T373="",A374&lt;=S373),OR(AND(入力!$B$13="有効",A374&gt;1,MOD(A374-1,60)=0),AND(A374=入力!$B$11,A374&gt;1)),入力!$B$14="有効"),ROUND(G373*1.25,0),"")</f>
        <v/>
      </c>
      <c r="S374" s="36">
        <f t="shared" si="100"/>
        <v>420</v>
      </c>
      <c r="T374" s="35" t="str">
        <f t="shared" si="101"/>
        <v/>
      </c>
      <c r="U374" s="3">
        <f t="shared" si="85"/>
        <v>0</v>
      </c>
      <c r="V374" s="3">
        <f t="shared" si="86"/>
        <v>0</v>
      </c>
      <c r="W374" s="3">
        <f t="shared" si="87"/>
        <v>0</v>
      </c>
      <c r="X374" s="3">
        <f t="shared" si="88"/>
        <v>0</v>
      </c>
      <c r="Y374" s="3">
        <f>0</f>
        <v>0</v>
      </c>
      <c r="Z374" s="3">
        <f t="shared" si="89"/>
        <v>0</v>
      </c>
      <c r="AA374">
        <f>ROUND(IF(A374=入力!$B$15+1,IF(E374=0,ROUND(C374/MAX(1,S373-A374+1),0),ROUND(-PMT(E374/12,MAX(1,S373-A374+1)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,0)</f>
        <v>98997</v>
      </c>
    </row>
    <row r="375" spans="1:27">
      <c r="A375" s="30">
        <f>370</f>
        <v>370</v>
      </c>
      <c r="B375" s="31">
        <f>EDATE(入力!$B$6,A375-1)</f>
        <v>57466</v>
      </c>
      <c r="C375" s="32">
        <f t="shared" si="90"/>
        <v>4785161</v>
      </c>
      <c r="D375" s="32">
        <f t="shared" si="91"/>
        <v>0</v>
      </c>
      <c r="E375" s="33">
        <f>IF(AND(T374="",A375&lt;=S374),IF(A375&lt;入力!$B$11,入力!$B$10,入力!$B$12),0)</f>
        <v>2.5000000000000001E-2</v>
      </c>
      <c r="F375" s="32">
        <f t="shared" si="92"/>
        <v>9969</v>
      </c>
      <c r="G375" s="32">
        <f>ROUND(IF(NOT(AND(T374="",A375&lt;=S374)),0,IF(A375=入力!$B$15+1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),0)</f>
        <v>98997</v>
      </c>
      <c r="H375" s="32">
        <f t="shared" si="93"/>
        <v>98997</v>
      </c>
      <c r="I375" s="32">
        <f t="shared" si="94"/>
        <v>9969</v>
      </c>
      <c r="J375" s="32">
        <f t="shared" si="95"/>
        <v>0</v>
      </c>
      <c r="K375" s="32">
        <f t="shared" si="96"/>
        <v>0</v>
      </c>
      <c r="L375" s="32">
        <f t="shared" si="97"/>
        <v>89028</v>
      </c>
      <c r="M375" s="32">
        <f>IF(AND(AND(T374="",A375&lt;=S374),A375=入力!$B$15),ROUND(MIN(入力!$B$16,MAX(0,C375-L375)),0),0)</f>
        <v>0</v>
      </c>
      <c r="N375" s="32">
        <f t="shared" si="98"/>
        <v>4696133</v>
      </c>
      <c r="O375" s="32">
        <f t="shared" si="99"/>
        <v>12132983</v>
      </c>
      <c r="P375" s="34" t="str">
        <f>IF(NOT(AND(T374="",A375&lt;=S374)),"",IF(A375=入力!$B$15+1,"繰上返済後再計算","")&amp;IF(AND(入力!$B$13="有効",A375&gt;1,MOD(A375-1,60)=0),IF(A375=入力!$B$15+1,"・","")&amp;"5年見直し","")&amp;IF(AND(A375=入力!$B$11,A375&gt;1),IF(OR(A375=入力!$B$15+1,AND(入力!$B$13="有効",A375&gt;1,MOD(A375-1,60)=0)),"・","")&amp;"金利変更","")&amp;IF(AND(OR(AND(入力!$B$13="有効",A375&gt;1,MOD(A375-1,60)=0),AND(A375=入力!$B$11,A375&gt;1)),入力!$B$14="有効",IF(E375=0,ROUND(C375/MAX(1,S374-A375+1),0),ROUND(-PMT(E375/12,MAX(1,S374-A375+1),C375),0))&gt;ROUND(G374*1.25,0),NOT(A375=入力!$B$15+1)),"・上限適用",""))</f>
        <v/>
      </c>
      <c r="Q375" s="35" t="str">
        <f>IF(AND(T374="",A375&lt;=S374),入力!$B$13,"")</f>
        <v>有効</v>
      </c>
      <c r="R375" s="32" t="str">
        <f>IF(AND(AND(T374="",A375&lt;=S374),OR(AND(入力!$B$13="有効",A375&gt;1,MOD(A375-1,60)=0),AND(A375=入力!$B$11,A375&gt;1)),入力!$B$14="有効"),ROUND(G374*1.25,0),"")</f>
        <v/>
      </c>
      <c r="S375" s="36">
        <f t="shared" si="100"/>
        <v>420</v>
      </c>
      <c r="T375" s="35" t="str">
        <f t="shared" si="101"/>
        <v/>
      </c>
      <c r="U375" s="3">
        <f t="shared" si="85"/>
        <v>0</v>
      </c>
      <c r="V375" s="3">
        <f t="shared" si="86"/>
        <v>0</v>
      </c>
      <c r="W375" s="3">
        <f t="shared" si="87"/>
        <v>0</v>
      </c>
      <c r="X375" s="3">
        <f t="shared" si="88"/>
        <v>0</v>
      </c>
      <c r="Y375" s="3">
        <f>0</f>
        <v>0</v>
      </c>
      <c r="Z375" s="3">
        <f t="shared" si="89"/>
        <v>0</v>
      </c>
      <c r="AA375">
        <f>ROUND(IF(A375=入力!$B$15+1,IF(E375=0,ROUND(C375/MAX(1,S374-A375+1),0),ROUND(-PMT(E375/12,MAX(1,S374-A375+1)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,0)</f>
        <v>98997</v>
      </c>
    </row>
    <row r="376" spans="1:27">
      <c r="A376" s="30">
        <f>371</f>
        <v>371</v>
      </c>
      <c r="B376" s="31">
        <f>EDATE(入力!$B$6,A376-1)</f>
        <v>57497</v>
      </c>
      <c r="C376" s="32">
        <f t="shared" si="90"/>
        <v>4696133</v>
      </c>
      <c r="D376" s="32">
        <f t="shared" si="91"/>
        <v>0</v>
      </c>
      <c r="E376" s="33">
        <f>IF(AND(T375="",A376&lt;=S375),IF(A376&lt;入力!$B$11,入力!$B$10,入力!$B$12),0)</f>
        <v>2.5000000000000001E-2</v>
      </c>
      <c r="F376" s="32">
        <f t="shared" si="92"/>
        <v>9784</v>
      </c>
      <c r="G376" s="32">
        <f>ROUND(IF(NOT(AND(T375="",A376&lt;=S375)),0,IF(A376=入力!$B$15+1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),0)</f>
        <v>98997</v>
      </c>
      <c r="H376" s="32">
        <f t="shared" si="93"/>
        <v>98997</v>
      </c>
      <c r="I376" s="32">
        <f t="shared" si="94"/>
        <v>9784</v>
      </c>
      <c r="J376" s="32">
        <f t="shared" si="95"/>
        <v>0</v>
      </c>
      <c r="K376" s="32">
        <f t="shared" si="96"/>
        <v>0</v>
      </c>
      <c r="L376" s="32">
        <f t="shared" si="97"/>
        <v>89213</v>
      </c>
      <c r="M376" s="32">
        <f>IF(AND(AND(T375="",A376&lt;=S375),A376=入力!$B$15),ROUND(MIN(入力!$B$16,MAX(0,C376-L376)),0),0)</f>
        <v>0</v>
      </c>
      <c r="N376" s="32">
        <f t="shared" si="98"/>
        <v>4606920</v>
      </c>
      <c r="O376" s="32">
        <f t="shared" si="99"/>
        <v>12142767</v>
      </c>
      <c r="P376" s="34" t="str">
        <f>IF(NOT(AND(T375="",A376&lt;=S375)),"",IF(A376=入力!$B$15+1,"繰上返済後再計算","")&amp;IF(AND(入力!$B$13="有効",A376&gt;1,MOD(A376-1,60)=0),IF(A376=入力!$B$15+1,"・","")&amp;"5年見直し","")&amp;IF(AND(A376=入力!$B$11,A376&gt;1),IF(OR(A376=入力!$B$15+1,AND(入力!$B$13="有効",A376&gt;1,MOD(A376-1,60)=0)),"・","")&amp;"金利変更","")&amp;IF(AND(OR(AND(入力!$B$13="有効",A376&gt;1,MOD(A376-1,60)=0),AND(A376=入力!$B$11,A376&gt;1)),入力!$B$14="有効",IF(E376=0,ROUND(C376/MAX(1,S375-A376+1),0),ROUND(-PMT(E376/12,MAX(1,S375-A376+1),C376),0))&gt;ROUND(G375*1.25,0),NOT(A376=入力!$B$15+1)),"・上限適用",""))</f>
        <v/>
      </c>
      <c r="Q376" s="35" t="str">
        <f>IF(AND(T375="",A376&lt;=S375),入力!$B$13,"")</f>
        <v>有効</v>
      </c>
      <c r="R376" s="32" t="str">
        <f>IF(AND(AND(T375="",A376&lt;=S375),OR(AND(入力!$B$13="有効",A376&gt;1,MOD(A376-1,60)=0),AND(A376=入力!$B$11,A376&gt;1)),入力!$B$14="有効"),ROUND(G375*1.25,0),"")</f>
        <v/>
      </c>
      <c r="S376" s="36">
        <f t="shared" si="100"/>
        <v>420</v>
      </c>
      <c r="T376" s="35" t="str">
        <f t="shared" si="101"/>
        <v/>
      </c>
      <c r="U376" s="3">
        <f t="shared" si="85"/>
        <v>0</v>
      </c>
      <c r="V376" s="3">
        <f t="shared" si="86"/>
        <v>0</v>
      </c>
      <c r="W376" s="3">
        <f t="shared" si="87"/>
        <v>0</v>
      </c>
      <c r="X376" s="3">
        <f t="shared" si="88"/>
        <v>0</v>
      </c>
      <c r="Y376" s="3">
        <f>0</f>
        <v>0</v>
      </c>
      <c r="Z376" s="3">
        <f t="shared" si="89"/>
        <v>0</v>
      </c>
      <c r="AA376">
        <f>ROUND(IF(A376=入力!$B$15+1,IF(E376=0,ROUND(C376/MAX(1,S375-A376+1),0),ROUND(-PMT(E376/12,MAX(1,S375-A376+1)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,0)</f>
        <v>98997</v>
      </c>
    </row>
    <row r="377" spans="1:27">
      <c r="A377" s="30">
        <f>372</f>
        <v>372</v>
      </c>
      <c r="B377" s="31">
        <f>EDATE(入力!$B$6,A377-1)</f>
        <v>57527</v>
      </c>
      <c r="C377" s="32">
        <f t="shared" si="90"/>
        <v>4606920</v>
      </c>
      <c r="D377" s="32">
        <f t="shared" si="91"/>
        <v>0</v>
      </c>
      <c r="E377" s="33">
        <f>IF(AND(T376="",A377&lt;=S376),IF(A377&lt;入力!$B$11,入力!$B$10,入力!$B$12),0)</f>
        <v>2.5000000000000001E-2</v>
      </c>
      <c r="F377" s="32">
        <f t="shared" si="92"/>
        <v>9598</v>
      </c>
      <c r="G377" s="32">
        <f>ROUND(IF(NOT(AND(T376="",A377&lt;=S376)),0,IF(A377=入力!$B$15+1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),0)</f>
        <v>98997</v>
      </c>
      <c r="H377" s="32">
        <f t="shared" si="93"/>
        <v>98997</v>
      </c>
      <c r="I377" s="32">
        <f t="shared" si="94"/>
        <v>9598</v>
      </c>
      <c r="J377" s="32">
        <f t="shared" si="95"/>
        <v>0</v>
      </c>
      <c r="K377" s="32">
        <f t="shared" si="96"/>
        <v>0</v>
      </c>
      <c r="L377" s="32">
        <f t="shared" si="97"/>
        <v>89399</v>
      </c>
      <c r="M377" s="32">
        <f>IF(AND(AND(T376="",A377&lt;=S376),A377=入力!$B$15),ROUND(MIN(入力!$B$16,MAX(0,C377-L377)),0),0)</f>
        <v>0</v>
      </c>
      <c r="N377" s="32">
        <f t="shared" si="98"/>
        <v>4517521</v>
      </c>
      <c r="O377" s="32">
        <f t="shared" si="99"/>
        <v>12152365</v>
      </c>
      <c r="P377" s="34" t="str">
        <f>IF(NOT(AND(T376="",A377&lt;=S376)),"",IF(A377=入力!$B$15+1,"繰上返済後再計算","")&amp;IF(AND(入力!$B$13="有効",A377&gt;1,MOD(A377-1,60)=0),IF(A377=入力!$B$15+1,"・","")&amp;"5年見直し","")&amp;IF(AND(A377=入力!$B$11,A377&gt;1),IF(OR(A377=入力!$B$15+1,AND(入力!$B$13="有効",A377&gt;1,MOD(A377-1,60)=0)),"・","")&amp;"金利変更","")&amp;IF(AND(OR(AND(入力!$B$13="有効",A377&gt;1,MOD(A377-1,60)=0),AND(A377=入力!$B$11,A377&gt;1)),入力!$B$14="有効",IF(E377=0,ROUND(C377/MAX(1,S376-A377+1),0),ROUND(-PMT(E377/12,MAX(1,S376-A377+1),C377),0))&gt;ROUND(G376*1.25,0),NOT(A377=入力!$B$15+1)),"・上限適用",""))</f>
        <v/>
      </c>
      <c r="Q377" s="35" t="str">
        <f>IF(AND(T376="",A377&lt;=S376),入力!$B$13,"")</f>
        <v>有効</v>
      </c>
      <c r="R377" s="32" t="str">
        <f>IF(AND(AND(T376="",A377&lt;=S376),OR(AND(入力!$B$13="有効",A377&gt;1,MOD(A377-1,60)=0),AND(A377=入力!$B$11,A377&gt;1)),入力!$B$14="有効"),ROUND(G376*1.25,0),"")</f>
        <v/>
      </c>
      <c r="S377" s="36">
        <f t="shared" si="100"/>
        <v>420</v>
      </c>
      <c r="T377" s="35" t="str">
        <f t="shared" si="101"/>
        <v/>
      </c>
      <c r="U377" s="3">
        <f t="shared" si="85"/>
        <v>0</v>
      </c>
      <c r="V377" s="3">
        <f t="shared" si="86"/>
        <v>0</v>
      </c>
      <c r="W377" s="3">
        <f t="shared" si="87"/>
        <v>0</v>
      </c>
      <c r="X377" s="3">
        <f t="shared" si="88"/>
        <v>0</v>
      </c>
      <c r="Y377" s="3">
        <f>0</f>
        <v>0</v>
      </c>
      <c r="Z377" s="3">
        <f t="shared" si="89"/>
        <v>0</v>
      </c>
      <c r="AA377">
        <f>ROUND(IF(A377=入力!$B$15+1,IF(E377=0,ROUND(C377/MAX(1,S376-A377+1),0),ROUND(-PMT(E377/12,MAX(1,S376-A377+1)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,0)</f>
        <v>98997</v>
      </c>
    </row>
    <row r="378" spans="1:27">
      <c r="A378" s="30">
        <f>373</f>
        <v>373</v>
      </c>
      <c r="B378" s="31">
        <f>EDATE(入力!$B$6,A378-1)</f>
        <v>57558</v>
      </c>
      <c r="C378" s="32">
        <f t="shared" si="90"/>
        <v>4517521</v>
      </c>
      <c r="D378" s="32">
        <f t="shared" si="91"/>
        <v>0</v>
      </c>
      <c r="E378" s="33">
        <f>IF(AND(T377="",A378&lt;=S377),IF(A378&lt;入力!$B$11,入力!$B$10,入力!$B$12),0)</f>
        <v>2.5000000000000001E-2</v>
      </c>
      <c r="F378" s="32">
        <f t="shared" si="92"/>
        <v>9412</v>
      </c>
      <c r="G378" s="32">
        <f>ROUND(IF(NOT(AND(T377="",A378&lt;=S377)),0,IF(A378=入力!$B$15+1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),0)</f>
        <v>98997</v>
      </c>
      <c r="H378" s="32">
        <f t="shared" si="93"/>
        <v>98997</v>
      </c>
      <c r="I378" s="32">
        <f t="shared" si="94"/>
        <v>9412</v>
      </c>
      <c r="J378" s="32">
        <f t="shared" si="95"/>
        <v>0</v>
      </c>
      <c r="K378" s="32">
        <f t="shared" si="96"/>
        <v>0</v>
      </c>
      <c r="L378" s="32">
        <f t="shared" si="97"/>
        <v>89585</v>
      </c>
      <c r="M378" s="32">
        <f>IF(AND(AND(T377="",A378&lt;=S377),A378=入力!$B$15),ROUND(MIN(入力!$B$16,MAX(0,C378-L378)),0),0)</f>
        <v>0</v>
      </c>
      <c r="N378" s="32">
        <f t="shared" si="98"/>
        <v>4427936</v>
      </c>
      <c r="O378" s="32">
        <f t="shared" si="99"/>
        <v>12161777</v>
      </c>
      <c r="P378" s="34" t="str">
        <f>IF(NOT(AND(T377="",A378&lt;=S377)),"",IF(A378=入力!$B$15+1,"繰上返済後再計算","")&amp;IF(AND(入力!$B$13="有効",A378&gt;1,MOD(A378-1,60)=0),IF(A378=入力!$B$15+1,"・","")&amp;"5年見直し","")&amp;IF(AND(A378=入力!$B$11,A378&gt;1),IF(OR(A378=入力!$B$15+1,AND(入力!$B$13="有効",A378&gt;1,MOD(A378-1,60)=0)),"・","")&amp;"金利変更","")&amp;IF(AND(OR(AND(入力!$B$13="有効",A378&gt;1,MOD(A378-1,60)=0),AND(A378=入力!$B$11,A378&gt;1)),入力!$B$14="有効",IF(E378=0,ROUND(C378/MAX(1,S377-A378+1),0),ROUND(-PMT(E378/12,MAX(1,S377-A378+1),C378),0))&gt;ROUND(G377*1.25,0),NOT(A378=入力!$B$15+1)),"・上限適用",""))</f>
        <v/>
      </c>
      <c r="Q378" s="35" t="str">
        <f>IF(AND(T377="",A378&lt;=S377),入力!$B$13,"")</f>
        <v>有効</v>
      </c>
      <c r="R378" s="32" t="str">
        <f>IF(AND(AND(T377="",A378&lt;=S377),OR(AND(入力!$B$13="有効",A378&gt;1,MOD(A378-1,60)=0),AND(A378=入力!$B$11,A378&gt;1)),入力!$B$14="有効"),ROUND(G377*1.25,0),"")</f>
        <v/>
      </c>
      <c r="S378" s="36">
        <f t="shared" si="100"/>
        <v>420</v>
      </c>
      <c r="T378" s="35" t="str">
        <f t="shared" si="101"/>
        <v/>
      </c>
      <c r="U378" s="3">
        <f t="shared" si="85"/>
        <v>0</v>
      </c>
      <c r="V378" s="3">
        <f t="shared" si="86"/>
        <v>0</v>
      </c>
      <c r="W378" s="3">
        <f t="shared" si="87"/>
        <v>0</v>
      </c>
      <c r="X378" s="3">
        <f t="shared" si="88"/>
        <v>0</v>
      </c>
      <c r="Y378" s="3">
        <f>0</f>
        <v>0</v>
      </c>
      <c r="Z378" s="3">
        <f t="shared" si="89"/>
        <v>0</v>
      </c>
      <c r="AA378">
        <f>ROUND(IF(A378=入力!$B$15+1,IF(E378=0,ROUND(C378/MAX(1,S377-A378+1),0),ROUND(-PMT(E378/12,MAX(1,S377-A378+1)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,0)</f>
        <v>98997</v>
      </c>
    </row>
    <row r="379" spans="1:27">
      <c r="A379" s="30">
        <f>374</f>
        <v>374</v>
      </c>
      <c r="B379" s="31">
        <f>EDATE(入力!$B$6,A379-1)</f>
        <v>57589</v>
      </c>
      <c r="C379" s="32">
        <f t="shared" si="90"/>
        <v>4427936</v>
      </c>
      <c r="D379" s="32">
        <f t="shared" si="91"/>
        <v>0</v>
      </c>
      <c r="E379" s="33">
        <f>IF(AND(T378="",A379&lt;=S378),IF(A379&lt;入力!$B$11,入力!$B$10,入力!$B$12),0)</f>
        <v>2.5000000000000001E-2</v>
      </c>
      <c r="F379" s="32">
        <f t="shared" si="92"/>
        <v>9225</v>
      </c>
      <c r="G379" s="32">
        <f>ROUND(IF(NOT(AND(T378="",A379&lt;=S378)),0,IF(A379=入力!$B$15+1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),0)</f>
        <v>98997</v>
      </c>
      <c r="H379" s="32">
        <f t="shared" si="93"/>
        <v>98997</v>
      </c>
      <c r="I379" s="32">
        <f t="shared" si="94"/>
        <v>9225</v>
      </c>
      <c r="J379" s="32">
        <f t="shared" si="95"/>
        <v>0</v>
      </c>
      <c r="K379" s="32">
        <f t="shared" si="96"/>
        <v>0</v>
      </c>
      <c r="L379" s="32">
        <f t="shared" si="97"/>
        <v>89772</v>
      </c>
      <c r="M379" s="32">
        <f>IF(AND(AND(T378="",A379&lt;=S378),A379=入力!$B$15),ROUND(MIN(入力!$B$16,MAX(0,C379-L379)),0),0)</f>
        <v>0</v>
      </c>
      <c r="N379" s="32">
        <f t="shared" si="98"/>
        <v>4338164</v>
      </c>
      <c r="O379" s="32">
        <f t="shared" si="99"/>
        <v>12171002</v>
      </c>
      <c r="P379" s="34" t="str">
        <f>IF(NOT(AND(T378="",A379&lt;=S378)),"",IF(A379=入力!$B$15+1,"繰上返済後再計算","")&amp;IF(AND(入力!$B$13="有効",A379&gt;1,MOD(A379-1,60)=0),IF(A379=入力!$B$15+1,"・","")&amp;"5年見直し","")&amp;IF(AND(A379=入力!$B$11,A379&gt;1),IF(OR(A379=入力!$B$15+1,AND(入力!$B$13="有効",A379&gt;1,MOD(A379-1,60)=0)),"・","")&amp;"金利変更","")&amp;IF(AND(OR(AND(入力!$B$13="有効",A379&gt;1,MOD(A379-1,60)=0),AND(A379=入力!$B$11,A379&gt;1)),入力!$B$14="有効",IF(E379=0,ROUND(C379/MAX(1,S378-A379+1),0),ROUND(-PMT(E379/12,MAX(1,S378-A379+1),C379),0))&gt;ROUND(G378*1.25,0),NOT(A379=入力!$B$15+1)),"・上限適用",""))</f>
        <v/>
      </c>
      <c r="Q379" s="35" t="str">
        <f>IF(AND(T378="",A379&lt;=S378),入力!$B$13,"")</f>
        <v>有効</v>
      </c>
      <c r="R379" s="32" t="str">
        <f>IF(AND(AND(T378="",A379&lt;=S378),OR(AND(入力!$B$13="有効",A379&gt;1,MOD(A379-1,60)=0),AND(A379=入力!$B$11,A379&gt;1)),入力!$B$14="有効"),ROUND(G378*1.25,0),"")</f>
        <v/>
      </c>
      <c r="S379" s="36">
        <f t="shared" si="100"/>
        <v>420</v>
      </c>
      <c r="T379" s="35" t="str">
        <f t="shared" si="101"/>
        <v/>
      </c>
      <c r="U379" s="3">
        <f t="shared" si="85"/>
        <v>0</v>
      </c>
      <c r="V379" s="3">
        <f t="shared" si="86"/>
        <v>0</v>
      </c>
      <c r="W379" s="3">
        <f t="shared" si="87"/>
        <v>0</v>
      </c>
      <c r="X379" s="3">
        <f t="shared" si="88"/>
        <v>0</v>
      </c>
      <c r="Y379" s="3">
        <f>0</f>
        <v>0</v>
      </c>
      <c r="Z379" s="3">
        <f t="shared" si="89"/>
        <v>0</v>
      </c>
      <c r="AA379">
        <f>ROUND(IF(A379=入力!$B$15+1,IF(E379=0,ROUND(C379/MAX(1,S378-A379+1),0),ROUND(-PMT(E379/12,MAX(1,S378-A379+1)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,0)</f>
        <v>98997</v>
      </c>
    </row>
    <row r="380" spans="1:27">
      <c r="A380" s="30">
        <f>375</f>
        <v>375</v>
      </c>
      <c r="B380" s="31">
        <f>EDATE(入力!$B$6,A380-1)</f>
        <v>57619</v>
      </c>
      <c r="C380" s="32">
        <f t="shared" si="90"/>
        <v>4338164</v>
      </c>
      <c r="D380" s="32">
        <f t="shared" si="91"/>
        <v>0</v>
      </c>
      <c r="E380" s="33">
        <f>IF(AND(T379="",A380&lt;=S379),IF(A380&lt;入力!$B$11,入力!$B$10,入力!$B$12),0)</f>
        <v>2.5000000000000001E-2</v>
      </c>
      <c r="F380" s="32">
        <f t="shared" si="92"/>
        <v>9038</v>
      </c>
      <c r="G380" s="32">
        <f>ROUND(IF(NOT(AND(T379="",A380&lt;=S379)),0,IF(A380=入力!$B$15+1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),0)</f>
        <v>98997</v>
      </c>
      <c r="H380" s="32">
        <f t="shared" si="93"/>
        <v>98997</v>
      </c>
      <c r="I380" s="32">
        <f t="shared" si="94"/>
        <v>9038</v>
      </c>
      <c r="J380" s="32">
        <f t="shared" si="95"/>
        <v>0</v>
      </c>
      <c r="K380" s="32">
        <f t="shared" si="96"/>
        <v>0</v>
      </c>
      <c r="L380" s="32">
        <f t="shared" si="97"/>
        <v>89959</v>
      </c>
      <c r="M380" s="32">
        <f>IF(AND(AND(T379="",A380&lt;=S379),A380=入力!$B$15),ROUND(MIN(入力!$B$16,MAX(0,C380-L380)),0),0)</f>
        <v>0</v>
      </c>
      <c r="N380" s="32">
        <f t="shared" si="98"/>
        <v>4248205</v>
      </c>
      <c r="O380" s="32">
        <f t="shared" si="99"/>
        <v>12180040</v>
      </c>
      <c r="P380" s="34" t="str">
        <f>IF(NOT(AND(T379="",A380&lt;=S379)),"",IF(A380=入力!$B$15+1,"繰上返済後再計算","")&amp;IF(AND(入力!$B$13="有効",A380&gt;1,MOD(A380-1,60)=0),IF(A380=入力!$B$15+1,"・","")&amp;"5年見直し","")&amp;IF(AND(A380=入力!$B$11,A380&gt;1),IF(OR(A380=入力!$B$15+1,AND(入力!$B$13="有効",A380&gt;1,MOD(A380-1,60)=0)),"・","")&amp;"金利変更","")&amp;IF(AND(OR(AND(入力!$B$13="有効",A380&gt;1,MOD(A380-1,60)=0),AND(A380=入力!$B$11,A380&gt;1)),入力!$B$14="有効",IF(E380=0,ROUND(C380/MAX(1,S379-A380+1),0),ROUND(-PMT(E380/12,MAX(1,S379-A380+1),C380),0))&gt;ROUND(G379*1.25,0),NOT(A380=入力!$B$15+1)),"・上限適用",""))</f>
        <v/>
      </c>
      <c r="Q380" s="35" t="str">
        <f>IF(AND(T379="",A380&lt;=S379),入力!$B$13,"")</f>
        <v>有効</v>
      </c>
      <c r="R380" s="32" t="str">
        <f>IF(AND(AND(T379="",A380&lt;=S379),OR(AND(入力!$B$13="有効",A380&gt;1,MOD(A380-1,60)=0),AND(A380=入力!$B$11,A380&gt;1)),入力!$B$14="有効"),ROUND(G379*1.25,0),"")</f>
        <v/>
      </c>
      <c r="S380" s="36">
        <f t="shared" si="100"/>
        <v>420</v>
      </c>
      <c r="T380" s="35" t="str">
        <f t="shared" si="101"/>
        <v/>
      </c>
      <c r="U380" s="3">
        <f t="shared" si="85"/>
        <v>0</v>
      </c>
      <c r="V380" s="3">
        <f t="shared" si="86"/>
        <v>0</v>
      </c>
      <c r="W380" s="3">
        <f t="shared" si="87"/>
        <v>0</v>
      </c>
      <c r="X380" s="3">
        <f t="shared" si="88"/>
        <v>0</v>
      </c>
      <c r="Y380" s="3">
        <f>0</f>
        <v>0</v>
      </c>
      <c r="Z380" s="3">
        <f t="shared" si="89"/>
        <v>0</v>
      </c>
      <c r="AA380">
        <f>ROUND(IF(A380=入力!$B$15+1,IF(E380=0,ROUND(C380/MAX(1,S379-A380+1),0),ROUND(-PMT(E380/12,MAX(1,S379-A380+1)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,0)</f>
        <v>98997</v>
      </c>
    </row>
    <row r="381" spans="1:27">
      <c r="A381" s="30">
        <f>376</f>
        <v>376</v>
      </c>
      <c r="B381" s="31">
        <f>EDATE(入力!$B$6,A381-1)</f>
        <v>57650</v>
      </c>
      <c r="C381" s="32">
        <f t="shared" si="90"/>
        <v>4248205</v>
      </c>
      <c r="D381" s="32">
        <f t="shared" si="91"/>
        <v>0</v>
      </c>
      <c r="E381" s="33">
        <f>IF(AND(T380="",A381&lt;=S380),IF(A381&lt;入力!$B$11,入力!$B$10,入力!$B$12),0)</f>
        <v>2.5000000000000001E-2</v>
      </c>
      <c r="F381" s="32">
        <f t="shared" si="92"/>
        <v>8850</v>
      </c>
      <c r="G381" s="32">
        <f>ROUND(IF(NOT(AND(T380="",A381&lt;=S380)),0,IF(A381=入力!$B$15+1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),0)</f>
        <v>98997</v>
      </c>
      <c r="H381" s="32">
        <f t="shared" si="93"/>
        <v>98997</v>
      </c>
      <c r="I381" s="32">
        <f t="shared" si="94"/>
        <v>8850</v>
      </c>
      <c r="J381" s="32">
        <f t="shared" si="95"/>
        <v>0</v>
      </c>
      <c r="K381" s="32">
        <f t="shared" si="96"/>
        <v>0</v>
      </c>
      <c r="L381" s="32">
        <f t="shared" si="97"/>
        <v>90147</v>
      </c>
      <c r="M381" s="32">
        <f>IF(AND(AND(T380="",A381&lt;=S380),A381=入力!$B$15),ROUND(MIN(入力!$B$16,MAX(0,C381-L381)),0),0)</f>
        <v>0</v>
      </c>
      <c r="N381" s="32">
        <f t="shared" si="98"/>
        <v>4158058</v>
      </c>
      <c r="O381" s="32">
        <f t="shared" si="99"/>
        <v>12188890</v>
      </c>
      <c r="P381" s="34" t="str">
        <f>IF(NOT(AND(T380="",A381&lt;=S380)),"",IF(A381=入力!$B$15+1,"繰上返済後再計算","")&amp;IF(AND(入力!$B$13="有効",A381&gt;1,MOD(A381-1,60)=0),IF(A381=入力!$B$15+1,"・","")&amp;"5年見直し","")&amp;IF(AND(A381=入力!$B$11,A381&gt;1),IF(OR(A381=入力!$B$15+1,AND(入力!$B$13="有効",A381&gt;1,MOD(A381-1,60)=0)),"・","")&amp;"金利変更","")&amp;IF(AND(OR(AND(入力!$B$13="有効",A381&gt;1,MOD(A381-1,60)=0),AND(A381=入力!$B$11,A381&gt;1)),入力!$B$14="有効",IF(E381=0,ROUND(C381/MAX(1,S380-A381+1),0),ROUND(-PMT(E381/12,MAX(1,S380-A381+1),C381),0))&gt;ROUND(G380*1.25,0),NOT(A381=入力!$B$15+1)),"・上限適用",""))</f>
        <v/>
      </c>
      <c r="Q381" s="35" t="str">
        <f>IF(AND(T380="",A381&lt;=S380),入力!$B$13,"")</f>
        <v>有効</v>
      </c>
      <c r="R381" s="32" t="str">
        <f>IF(AND(AND(T380="",A381&lt;=S380),OR(AND(入力!$B$13="有効",A381&gt;1,MOD(A381-1,60)=0),AND(A381=入力!$B$11,A381&gt;1)),入力!$B$14="有効"),ROUND(G380*1.25,0),"")</f>
        <v/>
      </c>
      <c r="S381" s="36">
        <f t="shared" si="100"/>
        <v>420</v>
      </c>
      <c r="T381" s="35" t="str">
        <f t="shared" si="101"/>
        <v/>
      </c>
      <c r="U381" s="3">
        <f t="shared" si="85"/>
        <v>0</v>
      </c>
      <c r="V381" s="3">
        <f t="shared" si="86"/>
        <v>0</v>
      </c>
      <c r="W381" s="3">
        <f t="shared" si="87"/>
        <v>0</v>
      </c>
      <c r="X381" s="3">
        <f t="shared" si="88"/>
        <v>0</v>
      </c>
      <c r="Y381" s="3">
        <f>0</f>
        <v>0</v>
      </c>
      <c r="Z381" s="3">
        <f t="shared" si="89"/>
        <v>0</v>
      </c>
      <c r="AA381">
        <f>ROUND(IF(A381=入力!$B$15+1,IF(E381=0,ROUND(C381/MAX(1,S380-A381+1),0),ROUND(-PMT(E381/12,MAX(1,S380-A381+1)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,0)</f>
        <v>98997</v>
      </c>
    </row>
    <row r="382" spans="1:27">
      <c r="A382" s="30">
        <f>377</f>
        <v>377</v>
      </c>
      <c r="B382" s="31">
        <f>EDATE(入力!$B$6,A382-1)</f>
        <v>57680</v>
      </c>
      <c r="C382" s="32">
        <f t="shared" si="90"/>
        <v>4158058</v>
      </c>
      <c r="D382" s="32">
        <f t="shared" si="91"/>
        <v>0</v>
      </c>
      <c r="E382" s="33">
        <f>IF(AND(T381="",A382&lt;=S381),IF(A382&lt;入力!$B$11,入力!$B$10,入力!$B$12),0)</f>
        <v>2.5000000000000001E-2</v>
      </c>
      <c r="F382" s="32">
        <f t="shared" si="92"/>
        <v>8663</v>
      </c>
      <c r="G382" s="32">
        <f>ROUND(IF(NOT(AND(T381="",A382&lt;=S381)),0,IF(A382=入力!$B$15+1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),0)</f>
        <v>98997</v>
      </c>
      <c r="H382" s="32">
        <f t="shared" si="93"/>
        <v>98997</v>
      </c>
      <c r="I382" s="32">
        <f t="shared" si="94"/>
        <v>8663</v>
      </c>
      <c r="J382" s="32">
        <f t="shared" si="95"/>
        <v>0</v>
      </c>
      <c r="K382" s="32">
        <f t="shared" si="96"/>
        <v>0</v>
      </c>
      <c r="L382" s="32">
        <f t="shared" si="97"/>
        <v>90334</v>
      </c>
      <c r="M382" s="32">
        <f>IF(AND(AND(T381="",A382&lt;=S381),A382=入力!$B$15),ROUND(MIN(入力!$B$16,MAX(0,C382-L382)),0),0)</f>
        <v>0</v>
      </c>
      <c r="N382" s="32">
        <f t="shared" si="98"/>
        <v>4067724</v>
      </c>
      <c r="O382" s="32">
        <f t="shared" si="99"/>
        <v>12197553</v>
      </c>
      <c r="P382" s="34" t="str">
        <f>IF(NOT(AND(T381="",A382&lt;=S381)),"",IF(A382=入力!$B$15+1,"繰上返済後再計算","")&amp;IF(AND(入力!$B$13="有効",A382&gt;1,MOD(A382-1,60)=0),IF(A382=入力!$B$15+1,"・","")&amp;"5年見直し","")&amp;IF(AND(A382=入力!$B$11,A382&gt;1),IF(OR(A382=入力!$B$15+1,AND(入力!$B$13="有効",A382&gt;1,MOD(A382-1,60)=0)),"・","")&amp;"金利変更","")&amp;IF(AND(OR(AND(入力!$B$13="有効",A382&gt;1,MOD(A382-1,60)=0),AND(A382=入力!$B$11,A382&gt;1)),入力!$B$14="有効",IF(E382=0,ROUND(C382/MAX(1,S381-A382+1),0),ROUND(-PMT(E382/12,MAX(1,S381-A382+1),C382),0))&gt;ROUND(G381*1.25,0),NOT(A382=入力!$B$15+1)),"・上限適用",""))</f>
        <v/>
      </c>
      <c r="Q382" s="35" t="str">
        <f>IF(AND(T381="",A382&lt;=S381),入力!$B$13,"")</f>
        <v>有効</v>
      </c>
      <c r="R382" s="32" t="str">
        <f>IF(AND(AND(T381="",A382&lt;=S381),OR(AND(入力!$B$13="有効",A382&gt;1,MOD(A382-1,60)=0),AND(A382=入力!$B$11,A382&gt;1)),入力!$B$14="有効"),ROUND(G381*1.25,0),"")</f>
        <v/>
      </c>
      <c r="S382" s="36">
        <f t="shared" si="100"/>
        <v>420</v>
      </c>
      <c r="T382" s="35" t="str">
        <f t="shared" si="101"/>
        <v/>
      </c>
      <c r="U382" s="3">
        <f t="shared" si="85"/>
        <v>0</v>
      </c>
      <c r="V382" s="3">
        <f t="shared" si="86"/>
        <v>0</v>
      </c>
      <c r="W382" s="3">
        <f t="shared" si="87"/>
        <v>0</v>
      </c>
      <c r="X382" s="3">
        <f t="shared" si="88"/>
        <v>0</v>
      </c>
      <c r="Y382" s="3">
        <f>0</f>
        <v>0</v>
      </c>
      <c r="Z382" s="3">
        <f t="shared" si="89"/>
        <v>0</v>
      </c>
      <c r="AA382">
        <f>ROUND(IF(A382=入力!$B$15+1,IF(E382=0,ROUND(C382/MAX(1,S381-A382+1),0),ROUND(-PMT(E382/12,MAX(1,S381-A382+1)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,0)</f>
        <v>98997</v>
      </c>
    </row>
    <row r="383" spans="1:27">
      <c r="A383" s="30">
        <f>378</f>
        <v>378</v>
      </c>
      <c r="B383" s="31">
        <f>EDATE(入力!$B$6,A383-1)</f>
        <v>57711</v>
      </c>
      <c r="C383" s="32">
        <f t="shared" si="90"/>
        <v>4067724</v>
      </c>
      <c r="D383" s="32">
        <f t="shared" si="91"/>
        <v>0</v>
      </c>
      <c r="E383" s="33">
        <f>IF(AND(T382="",A383&lt;=S382),IF(A383&lt;入力!$B$11,入力!$B$10,入力!$B$12),0)</f>
        <v>2.5000000000000001E-2</v>
      </c>
      <c r="F383" s="32">
        <f t="shared" si="92"/>
        <v>8474</v>
      </c>
      <c r="G383" s="32">
        <f>ROUND(IF(NOT(AND(T382="",A383&lt;=S382)),0,IF(A383=入力!$B$15+1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),0)</f>
        <v>98997</v>
      </c>
      <c r="H383" s="32">
        <f t="shared" si="93"/>
        <v>98997</v>
      </c>
      <c r="I383" s="32">
        <f t="shared" si="94"/>
        <v>8474</v>
      </c>
      <c r="J383" s="32">
        <f t="shared" si="95"/>
        <v>0</v>
      </c>
      <c r="K383" s="32">
        <f t="shared" si="96"/>
        <v>0</v>
      </c>
      <c r="L383" s="32">
        <f t="shared" si="97"/>
        <v>90523</v>
      </c>
      <c r="M383" s="32">
        <f>IF(AND(AND(T382="",A383&lt;=S382),A383=入力!$B$15),ROUND(MIN(入力!$B$16,MAX(0,C383-L383)),0),0)</f>
        <v>0</v>
      </c>
      <c r="N383" s="32">
        <f t="shared" si="98"/>
        <v>3977201</v>
      </c>
      <c r="O383" s="32">
        <f t="shared" si="99"/>
        <v>12206027</v>
      </c>
      <c r="P383" s="34" t="str">
        <f>IF(NOT(AND(T382="",A383&lt;=S382)),"",IF(A383=入力!$B$15+1,"繰上返済後再計算","")&amp;IF(AND(入力!$B$13="有効",A383&gt;1,MOD(A383-1,60)=0),IF(A383=入力!$B$15+1,"・","")&amp;"5年見直し","")&amp;IF(AND(A383=入力!$B$11,A383&gt;1),IF(OR(A383=入力!$B$15+1,AND(入力!$B$13="有効",A383&gt;1,MOD(A383-1,60)=0)),"・","")&amp;"金利変更","")&amp;IF(AND(OR(AND(入力!$B$13="有効",A383&gt;1,MOD(A383-1,60)=0),AND(A383=入力!$B$11,A383&gt;1)),入力!$B$14="有効",IF(E383=0,ROUND(C383/MAX(1,S382-A383+1),0),ROUND(-PMT(E383/12,MAX(1,S382-A383+1),C383),0))&gt;ROUND(G382*1.25,0),NOT(A383=入力!$B$15+1)),"・上限適用",""))</f>
        <v/>
      </c>
      <c r="Q383" s="35" t="str">
        <f>IF(AND(T382="",A383&lt;=S382),入力!$B$13,"")</f>
        <v>有効</v>
      </c>
      <c r="R383" s="32" t="str">
        <f>IF(AND(AND(T382="",A383&lt;=S382),OR(AND(入力!$B$13="有効",A383&gt;1,MOD(A383-1,60)=0),AND(A383=入力!$B$11,A383&gt;1)),入力!$B$14="有効"),ROUND(G382*1.25,0),"")</f>
        <v/>
      </c>
      <c r="S383" s="36">
        <f t="shared" si="100"/>
        <v>420</v>
      </c>
      <c r="T383" s="35" t="str">
        <f t="shared" si="101"/>
        <v/>
      </c>
      <c r="U383" s="3">
        <f t="shared" si="85"/>
        <v>0</v>
      </c>
      <c r="V383" s="3">
        <f t="shared" si="86"/>
        <v>0</v>
      </c>
      <c r="W383" s="3">
        <f t="shared" si="87"/>
        <v>0</v>
      </c>
      <c r="X383" s="3">
        <f t="shared" si="88"/>
        <v>0</v>
      </c>
      <c r="Y383" s="3">
        <f>0</f>
        <v>0</v>
      </c>
      <c r="Z383" s="3">
        <f t="shared" si="89"/>
        <v>0</v>
      </c>
      <c r="AA383">
        <f>ROUND(IF(A383=入力!$B$15+1,IF(E383=0,ROUND(C383/MAX(1,S382-A383+1),0),ROUND(-PMT(E383/12,MAX(1,S382-A383+1)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,0)</f>
        <v>98997</v>
      </c>
    </row>
    <row r="384" spans="1:27">
      <c r="A384" s="30">
        <f>379</f>
        <v>379</v>
      </c>
      <c r="B384" s="31">
        <f>EDATE(入力!$B$6,A384-1)</f>
        <v>57742</v>
      </c>
      <c r="C384" s="32">
        <f t="shared" si="90"/>
        <v>3977201</v>
      </c>
      <c r="D384" s="32">
        <f t="shared" si="91"/>
        <v>0</v>
      </c>
      <c r="E384" s="33">
        <f>IF(AND(T383="",A384&lt;=S383),IF(A384&lt;入力!$B$11,入力!$B$10,入力!$B$12),0)</f>
        <v>2.5000000000000001E-2</v>
      </c>
      <c r="F384" s="32">
        <f t="shared" si="92"/>
        <v>8286</v>
      </c>
      <c r="G384" s="32">
        <f>ROUND(IF(NOT(AND(T383="",A384&lt;=S383)),0,IF(A384=入力!$B$15+1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),0)</f>
        <v>98997</v>
      </c>
      <c r="H384" s="32">
        <f t="shared" si="93"/>
        <v>98997</v>
      </c>
      <c r="I384" s="32">
        <f t="shared" si="94"/>
        <v>8286</v>
      </c>
      <c r="J384" s="32">
        <f t="shared" si="95"/>
        <v>0</v>
      </c>
      <c r="K384" s="32">
        <f t="shared" si="96"/>
        <v>0</v>
      </c>
      <c r="L384" s="32">
        <f t="shared" si="97"/>
        <v>90711</v>
      </c>
      <c r="M384" s="32">
        <f>IF(AND(AND(T383="",A384&lt;=S383),A384=入力!$B$15),ROUND(MIN(入力!$B$16,MAX(0,C384-L384)),0),0)</f>
        <v>0</v>
      </c>
      <c r="N384" s="32">
        <f t="shared" si="98"/>
        <v>3886490</v>
      </c>
      <c r="O384" s="32">
        <f t="shared" si="99"/>
        <v>12214313</v>
      </c>
      <c r="P384" s="34" t="str">
        <f>IF(NOT(AND(T383="",A384&lt;=S383)),"",IF(A384=入力!$B$15+1,"繰上返済後再計算","")&amp;IF(AND(入力!$B$13="有効",A384&gt;1,MOD(A384-1,60)=0),IF(A384=入力!$B$15+1,"・","")&amp;"5年見直し","")&amp;IF(AND(A384=入力!$B$11,A384&gt;1),IF(OR(A384=入力!$B$15+1,AND(入力!$B$13="有効",A384&gt;1,MOD(A384-1,60)=0)),"・","")&amp;"金利変更","")&amp;IF(AND(OR(AND(入力!$B$13="有効",A384&gt;1,MOD(A384-1,60)=0),AND(A384=入力!$B$11,A384&gt;1)),入力!$B$14="有効",IF(E384=0,ROUND(C384/MAX(1,S383-A384+1),0),ROUND(-PMT(E384/12,MAX(1,S383-A384+1),C384),0))&gt;ROUND(G383*1.25,0),NOT(A384=入力!$B$15+1)),"・上限適用",""))</f>
        <v/>
      </c>
      <c r="Q384" s="35" t="str">
        <f>IF(AND(T383="",A384&lt;=S383),入力!$B$13,"")</f>
        <v>有効</v>
      </c>
      <c r="R384" s="32" t="str">
        <f>IF(AND(AND(T383="",A384&lt;=S383),OR(AND(入力!$B$13="有効",A384&gt;1,MOD(A384-1,60)=0),AND(A384=入力!$B$11,A384&gt;1)),入力!$B$14="有効"),ROUND(G383*1.25,0),"")</f>
        <v/>
      </c>
      <c r="S384" s="36">
        <f t="shared" si="100"/>
        <v>420</v>
      </c>
      <c r="T384" s="35" t="str">
        <f t="shared" si="101"/>
        <v/>
      </c>
      <c r="U384" s="3">
        <f t="shared" si="85"/>
        <v>0</v>
      </c>
      <c r="V384" s="3">
        <f t="shared" si="86"/>
        <v>0</v>
      </c>
      <c r="W384" s="3">
        <f t="shared" si="87"/>
        <v>0</v>
      </c>
      <c r="X384" s="3">
        <f t="shared" si="88"/>
        <v>0</v>
      </c>
      <c r="Y384" s="3">
        <f>0</f>
        <v>0</v>
      </c>
      <c r="Z384" s="3">
        <f t="shared" si="89"/>
        <v>0</v>
      </c>
      <c r="AA384">
        <f>ROUND(IF(A384=入力!$B$15+1,IF(E384=0,ROUND(C384/MAX(1,S383-A384+1),0),ROUND(-PMT(E384/12,MAX(1,S383-A384+1)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,0)</f>
        <v>98997</v>
      </c>
    </row>
    <row r="385" spans="1:27">
      <c r="A385" s="30">
        <f>380</f>
        <v>380</v>
      </c>
      <c r="B385" s="31">
        <f>EDATE(入力!$B$6,A385-1)</f>
        <v>57770</v>
      </c>
      <c r="C385" s="32">
        <f t="shared" si="90"/>
        <v>3886490</v>
      </c>
      <c r="D385" s="32">
        <f t="shared" si="91"/>
        <v>0</v>
      </c>
      <c r="E385" s="33">
        <f>IF(AND(T384="",A385&lt;=S384),IF(A385&lt;入力!$B$11,入力!$B$10,入力!$B$12),0)</f>
        <v>2.5000000000000001E-2</v>
      </c>
      <c r="F385" s="32">
        <f t="shared" si="92"/>
        <v>8097</v>
      </c>
      <c r="G385" s="32">
        <f>ROUND(IF(NOT(AND(T384="",A385&lt;=S384)),0,IF(A385=入力!$B$15+1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),0)</f>
        <v>98997</v>
      </c>
      <c r="H385" s="32">
        <f t="shared" si="93"/>
        <v>98997</v>
      </c>
      <c r="I385" s="32">
        <f t="shared" si="94"/>
        <v>8097</v>
      </c>
      <c r="J385" s="32">
        <f t="shared" si="95"/>
        <v>0</v>
      </c>
      <c r="K385" s="32">
        <f t="shared" si="96"/>
        <v>0</v>
      </c>
      <c r="L385" s="32">
        <f t="shared" si="97"/>
        <v>90900</v>
      </c>
      <c r="M385" s="32">
        <f>IF(AND(AND(T384="",A385&lt;=S384),A385=入力!$B$15),ROUND(MIN(入力!$B$16,MAX(0,C385-L385)),0),0)</f>
        <v>0</v>
      </c>
      <c r="N385" s="32">
        <f t="shared" si="98"/>
        <v>3795590</v>
      </c>
      <c r="O385" s="32">
        <f t="shared" si="99"/>
        <v>12222410</v>
      </c>
      <c r="P385" s="34" t="str">
        <f>IF(NOT(AND(T384="",A385&lt;=S384)),"",IF(A385=入力!$B$15+1,"繰上返済後再計算","")&amp;IF(AND(入力!$B$13="有効",A385&gt;1,MOD(A385-1,60)=0),IF(A385=入力!$B$15+1,"・","")&amp;"5年見直し","")&amp;IF(AND(A385=入力!$B$11,A385&gt;1),IF(OR(A385=入力!$B$15+1,AND(入力!$B$13="有効",A385&gt;1,MOD(A385-1,60)=0)),"・","")&amp;"金利変更","")&amp;IF(AND(OR(AND(入力!$B$13="有効",A385&gt;1,MOD(A385-1,60)=0),AND(A385=入力!$B$11,A385&gt;1)),入力!$B$14="有効",IF(E385=0,ROUND(C385/MAX(1,S384-A385+1),0),ROUND(-PMT(E385/12,MAX(1,S384-A385+1),C385),0))&gt;ROUND(G384*1.25,0),NOT(A385=入力!$B$15+1)),"・上限適用",""))</f>
        <v/>
      </c>
      <c r="Q385" s="35" t="str">
        <f>IF(AND(T384="",A385&lt;=S384),入力!$B$13,"")</f>
        <v>有効</v>
      </c>
      <c r="R385" s="32" t="str">
        <f>IF(AND(AND(T384="",A385&lt;=S384),OR(AND(入力!$B$13="有効",A385&gt;1,MOD(A385-1,60)=0),AND(A385=入力!$B$11,A385&gt;1)),入力!$B$14="有効"),ROUND(G384*1.25,0),"")</f>
        <v/>
      </c>
      <c r="S385" s="36">
        <f t="shared" si="100"/>
        <v>420</v>
      </c>
      <c r="T385" s="35" t="str">
        <f t="shared" si="101"/>
        <v/>
      </c>
      <c r="U385" s="3">
        <f t="shared" si="85"/>
        <v>0</v>
      </c>
      <c r="V385" s="3">
        <f t="shared" si="86"/>
        <v>0</v>
      </c>
      <c r="W385" s="3">
        <f t="shared" si="87"/>
        <v>0</v>
      </c>
      <c r="X385" s="3">
        <f t="shared" si="88"/>
        <v>0</v>
      </c>
      <c r="Y385" s="3">
        <f>0</f>
        <v>0</v>
      </c>
      <c r="Z385" s="3">
        <f t="shared" si="89"/>
        <v>0</v>
      </c>
      <c r="AA385">
        <f>ROUND(IF(A385=入力!$B$15+1,IF(E385=0,ROUND(C385/MAX(1,S384-A385+1),0),ROUND(-PMT(E385/12,MAX(1,S384-A385+1)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,0)</f>
        <v>98997</v>
      </c>
    </row>
    <row r="386" spans="1:27">
      <c r="A386" s="30">
        <f>381</f>
        <v>381</v>
      </c>
      <c r="B386" s="31">
        <f>EDATE(入力!$B$6,A386-1)</f>
        <v>57801</v>
      </c>
      <c r="C386" s="32">
        <f t="shared" si="90"/>
        <v>3795590</v>
      </c>
      <c r="D386" s="32">
        <f t="shared" si="91"/>
        <v>0</v>
      </c>
      <c r="E386" s="33">
        <f>IF(AND(T385="",A386&lt;=S385),IF(A386&lt;入力!$B$11,入力!$B$10,入力!$B$12),0)</f>
        <v>2.5000000000000001E-2</v>
      </c>
      <c r="F386" s="32">
        <f t="shared" si="92"/>
        <v>7907</v>
      </c>
      <c r="G386" s="32">
        <f>ROUND(IF(NOT(AND(T385="",A386&lt;=S385)),0,IF(A386=入力!$B$15+1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),0)</f>
        <v>98997</v>
      </c>
      <c r="H386" s="32">
        <f t="shared" si="93"/>
        <v>98997</v>
      </c>
      <c r="I386" s="32">
        <f t="shared" si="94"/>
        <v>7907</v>
      </c>
      <c r="J386" s="32">
        <f t="shared" si="95"/>
        <v>0</v>
      </c>
      <c r="K386" s="32">
        <f t="shared" si="96"/>
        <v>0</v>
      </c>
      <c r="L386" s="32">
        <f t="shared" si="97"/>
        <v>91090</v>
      </c>
      <c r="M386" s="32">
        <f>IF(AND(AND(T385="",A386&lt;=S385),A386=入力!$B$15),ROUND(MIN(入力!$B$16,MAX(0,C386-L386)),0),0)</f>
        <v>0</v>
      </c>
      <c r="N386" s="32">
        <f t="shared" si="98"/>
        <v>3704500</v>
      </c>
      <c r="O386" s="32">
        <f t="shared" si="99"/>
        <v>12230317</v>
      </c>
      <c r="P386" s="34" t="str">
        <f>IF(NOT(AND(T385="",A386&lt;=S385)),"",IF(A386=入力!$B$15+1,"繰上返済後再計算","")&amp;IF(AND(入力!$B$13="有効",A386&gt;1,MOD(A386-1,60)=0),IF(A386=入力!$B$15+1,"・","")&amp;"5年見直し","")&amp;IF(AND(A386=入力!$B$11,A386&gt;1),IF(OR(A386=入力!$B$15+1,AND(入力!$B$13="有効",A386&gt;1,MOD(A386-1,60)=0)),"・","")&amp;"金利変更","")&amp;IF(AND(OR(AND(入力!$B$13="有効",A386&gt;1,MOD(A386-1,60)=0),AND(A386=入力!$B$11,A386&gt;1)),入力!$B$14="有効",IF(E386=0,ROUND(C386/MAX(1,S385-A386+1),0),ROUND(-PMT(E386/12,MAX(1,S385-A386+1),C386),0))&gt;ROUND(G385*1.25,0),NOT(A386=入力!$B$15+1)),"・上限適用",""))</f>
        <v/>
      </c>
      <c r="Q386" s="35" t="str">
        <f>IF(AND(T385="",A386&lt;=S385),入力!$B$13,"")</f>
        <v>有効</v>
      </c>
      <c r="R386" s="32" t="str">
        <f>IF(AND(AND(T385="",A386&lt;=S385),OR(AND(入力!$B$13="有効",A386&gt;1,MOD(A386-1,60)=0),AND(A386=入力!$B$11,A386&gt;1)),入力!$B$14="有効"),ROUND(G385*1.25,0),"")</f>
        <v/>
      </c>
      <c r="S386" s="36">
        <f t="shared" si="100"/>
        <v>420</v>
      </c>
      <c r="T386" s="35" t="str">
        <f t="shared" si="101"/>
        <v/>
      </c>
      <c r="U386" s="3">
        <f t="shared" si="85"/>
        <v>0</v>
      </c>
      <c r="V386" s="3">
        <f t="shared" si="86"/>
        <v>0</v>
      </c>
      <c r="W386" s="3">
        <f t="shared" si="87"/>
        <v>0</v>
      </c>
      <c r="X386" s="3">
        <f t="shared" si="88"/>
        <v>0</v>
      </c>
      <c r="Y386" s="3">
        <f>0</f>
        <v>0</v>
      </c>
      <c r="Z386" s="3">
        <f t="shared" si="89"/>
        <v>0</v>
      </c>
      <c r="AA386">
        <f>ROUND(IF(A386=入力!$B$15+1,IF(E386=0,ROUND(C386/MAX(1,S385-A386+1),0),ROUND(-PMT(E386/12,MAX(1,S385-A386+1)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,0)</f>
        <v>98997</v>
      </c>
    </row>
    <row r="387" spans="1:27">
      <c r="A387" s="30">
        <f>382</f>
        <v>382</v>
      </c>
      <c r="B387" s="31">
        <f>EDATE(入力!$B$6,A387-1)</f>
        <v>57831</v>
      </c>
      <c r="C387" s="32">
        <f t="shared" si="90"/>
        <v>3704500</v>
      </c>
      <c r="D387" s="32">
        <f t="shared" si="91"/>
        <v>0</v>
      </c>
      <c r="E387" s="33">
        <f>IF(AND(T386="",A387&lt;=S386),IF(A387&lt;入力!$B$11,入力!$B$10,入力!$B$12),0)</f>
        <v>2.5000000000000001E-2</v>
      </c>
      <c r="F387" s="32">
        <f t="shared" si="92"/>
        <v>7718</v>
      </c>
      <c r="G387" s="32">
        <f>ROUND(IF(NOT(AND(T386="",A387&lt;=S386)),0,IF(A387=入力!$B$15+1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),0)</f>
        <v>98997</v>
      </c>
      <c r="H387" s="32">
        <f t="shared" si="93"/>
        <v>98997</v>
      </c>
      <c r="I387" s="32">
        <f t="shared" si="94"/>
        <v>7718</v>
      </c>
      <c r="J387" s="32">
        <f t="shared" si="95"/>
        <v>0</v>
      </c>
      <c r="K387" s="32">
        <f t="shared" si="96"/>
        <v>0</v>
      </c>
      <c r="L387" s="32">
        <f t="shared" si="97"/>
        <v>91279</v>
      </c>
      <c r="M387" s="32">
        <f>IF(AND(AND(T386="",A387&lt;=S386),A387=入力!$B$15),ROUND(MIN(入力!$B$16,MAX(0,C387-L387)),0),0)</f>
        <v>0</v>
      </c>
      <c r="N387" s="32">
        <f t="shared" si="98"/>
        <v>3613221</v>
      </c>
      <c r="O387" s="32">
        <f t="shared" si="99"/>
        <v>12238035</v>
      </c>
      <c r="P387" s="34" t="str">
        <f>IF(NOT(AND(T386="",A387&lt;=S386)),"",IF(A387=入力!$B$15+1,"繰上返済後再計算","")&amp;IF(AND(入力!$B$13="有効",A387&gt;1,MOD(A387-1,60)=0),IF(A387=入力!$B$15+1,"・","")&amp;"5年見直し","")&amp;IF(AND(A387=入力!$B$11,A387&gt;1),IF(OR(A387=入力!$B$15+1,AND(入力!$B$13="有効",A387&gt;1,MOD(A387-1,60)=0)),"・","")&amp;"金利変更","")&amp;IF(AND(OR(AND(入力!$B$13="有効",A387&gt;1,MOD(A387-1,60)=0),AND(A387=入力!$B$11,A387&gt;1)),入力!$B$14="有効",IF(E387=0,ROUND(C387/MAX(1,S386-A387+1),0),ROUND(-PMT(E387/12,MAX(1,S386-A387+1),C387),0))&gt;ROUND(G386*1.25,0),NOT(A387=入力!$B$15+1)),"・上限適用",""))</f>
        <v/>
      </c>
      <c r="Q387" s="35" t="str">
        <f>IF(AND(T386="",A387&lt;=S386),入力!$B$13,"")</f>
        <v>有効</v>
      </c>
      <c r="R387" s="32" t="str">
        <f>IF(AND(AND(T386="",A387&lt;=S386),OR(AND(入力!$B$13="有効",A387&gt;1,MOD(A387-1,60)=0),AND(A387=入力!$B$11,A387&gt;1)),入力!$B$14="有効"),ROUND(G386*1.25,0),"")</f>
        <v/>
      </c>
      <c r="S387" s="36">
        <f t="shared" si="100"/>
        <v>420</v>
      </c>
      <c r="T387" s="35" t="str">
        <f t="shared" si="101"/>
        <v/>
      </c>
      <c r="U387" s="3">
        <f t="shared" si="85"/>
        <v>0</v>
      </c>
      <c r="V387" s="3">
        <f t="shared" si="86"/>
        <v>0</v>
      </c>
      <c r="W387" s="3">
        <f t="shared" si="87"/>
        <v>0</v>
      </c>
      <c r="X387" s="3">
        <f t="shared" si="88"/>
        <v>0</v>
      </c>
      <c r="Y387" s="3">
        <f>0</f>
        <v>0</v>
      </c>
      <c r="Z387" s="3">
        <f t="shared" si="89"/>
        <v>0</v>
      </c>
      <c r="AA387">
        <f>ROUND(IF(A387=入力!$B$15+1,IF(E387=0,ROUND(C387/MAX(1,S386-A387+1),0),ROUND(-PMT(E387/12,MAX(1,S386-A387+1)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,0)</f>
        <v>98997</v>
      </c>
    </row>
    <row r="388" spans="1:27">
      <c r="A388" s="30">
        <f>383</f>
        <v>383</v>
      </c>
      <c r="B388" s="31">
        <f>EDATE(入力!$B$6,A388-1)</f>
        <v>57862</v>
      </c>
      <c r="C388" s="32">
        <f t="shared" si="90"/>
        <v>3613221</v>
      </c>
      <c r="D388" s="32">
        <f t="shared" si="91"/>
        <v>0</v>
      </c>
      <c r="E388" s="33">
        <f>IF(AND(T387="",A388&lt;=S387),IF(A388&lt;入力!$B$11,入力!$B$10,入力!$B$12),0)</f>
        <v>2.5000000000000001E-2</v>
      </c>
      <c r="F388" s="32">
        <f t="shared" si="92"/>
        <v>7528</v>
      </c>
      <c r="G388" s="32">
        <f>ROUND(IF(NOT(AND(T387="",A388&lt;=S387)),0,IF(A388=入力!$B$15+1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),0)</f>
        <v>98997</v>
      </c>
      <c r="H388" s="32">
        <f t="shared" si="93"/>
        <v>98997</v>
      </c>
      <c r="I388" s="32">
        <f t="shared" si="94"/>
        <v>7528</v>
      </c>
      <c r="J388" s="32">
        <f t="shared" si="95"/>
        <v>0</v>
      </c>
      <c r="K388" s="32">
        <f t="shared" si="96"/>
        <v>0</v>
      </c>
      <c r="L388" s="32">
        <f t="shared" si="97"/>
        <v>91469</v>
      </c>
      <c r="M388" s="32">
        <f>IF(AND(AND(T387="",A388&lt;=S387),A388=入力!$B$15),ROUND(MIN(入力!$B$16,MAX(0,C388-L388)),0),0)</f>
        <v>0</v>
      </c>
      <c r="N388" s="32">
        <f t="shared" si="98"/>
        <v>3521752</v>
      </c>
      <c r="O388" s="32">
        <f t="shared" si="99"/>
        <v>12245563</v>
      </c>
      <c r="P388" s="34" t="str">
        <f>IF(NOT(AND(T387="",A388&lt;=S387)),"",IF(A388=入力!$B$15+1,"繰上返済後再計算","")&amp;IF(AND(入力!$B$13="有効",A388&gt;1,MOD(A388-1,60)=0),IF(A388=入力!$B$15+1,"・","")&amp;"5年見直し","")&amp;IF(AND(A388=入力!$B$11,A388&gt;1),IF(OR(A388=入力!$B$15+1,AND(入力!$B$13="有効",A388&gt;1,MOD(A388-1,60)=0)),"・","")&amp;"金利変更","")&amp;IF(AND(OR(AND(入力!$B$13="有効",A388&gt;1,MOD(A388-1,60)=0),AND(A388=入力!$B$11,A388&gt;1)),入力!$B$14="有効",IF(E388=0,ROUND(C388/MAX(1,S387-A388+1),0),ROUND(-PMT(E388/12,MAX(1,S387-A388+1),C388),0))&gt;ROUND(G387*1.25,0),NOT(A388=入力!$B$15+1)),"・上限適用",""))</f>
        <v/>
      </c>
      <c r="Q388" s="35" t="str">
        <f>IF(AND(T387="",A388&lt;=S387),入力!$B$13,"")</f>
        <v>有効</v>
      </c>
      <c r="R388" s="32" t="str">
        <f>IF(AND(AND(T387="",A388&lt;=S387),OR(AND(入力!$B$13="有効",A388&gt;1,MOD(A388-1,60)=0),AND(A388=入力!$B$11,A388&gt;1)),入力!$B$14="有効"),ROUND(G387*1.25,0),"")</f>
        <v/>
      </c>
      <c r="S388" s="36">
        <f t="shared" si="100"/>
        <v>420</v>
      </c>
      <c r="T388" s="35" t="str">
        <f t="shared" si="101"/>
        <v/>
      </c>
      <c r="U388" s="3">
        <f t="shared" si="85"/>
        <v>0</v>
      </c>
      <c r="V388" s="3">
        <f t="shared" si="86"/>
        <v>0</v>
      </c>
      <c r="W388" s="3">
        <f t="shared" si="87"/>
        <v>0</v>
      </c>
      <c r="X388" s="3">
        <f t="shared" si="88"/>
        <v>0</v>
      </c>
      <c r="Y388" s="3">
        <f>0</f>
        <v>0</v>
      </c>
      <c r="Z388" s="3">
        <f t="shared" si="89"/>
        <v>0</v>
      </c>
      <c r="AA388">
        <f>ROUND(IF(A388=入力!$B$15+1,IF(E388=0,ROUND(C388/MAX(1,S387-A388+1),0),ROUND(-PMT(E388/12,MAX(1,S387-A388+1)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,0)</f>
        <v>98997</v>
      </c>
    </row>
    <row r="389" spans="1:27">
      <c r="A389" s="30">
        <f>384</f>
        <v>384</v>
      </c>
      <c r="B389" s="31">
        <f>EDATE(入力!$B$6,A389-1)</f>
        <v>57892</v>
      </c>
      <c r="C389" s="32">
        <f t="shared" si="90"/>
        <v>3521752</v>
      </c>
      <c r="D389" s="32">
        <f t="shared" si="91"/>
        <v>0</v>
      </c>
      <c r="E389" s="33">
        <f>IF(AND(T388="",A389&lt;=S388),IF(A389&lt;入力!$B$11,入力!$B$10,入力!$B$12),0)</f>
        <v>2.5000000000000001E-2</v>
      </c>
      <c r="F389" s="32">
        <f t="shared" si="92"/>
        <v>7337</v>
      </c>
      <c r="G389" s="32">
        <f>ROUND(IF(NOT(AND(T388="",A389&lt;=S388)),0,IF(A389=入力!$B$15+1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),0)</f>
        <v>98997</v>
      </c>
      <c r="H389" s="32">
        <f t="shared" si="93"/>
        <v>98997</v>
      </c>
      <c r="I389" s="32">
        <f t="shared" si="94"/>
        <v>7337</v>
      </c>
      <c r="J389" s="32">
        <f t="shared" si="95"/>
        <v>0</v>
      </c>
      <c r="K389" s="32">
        <f t="shared" si="96"/>
        <v>0</v>
      </c>
      <c r="L389" s="32">
        <f t="shared" si="97"/>
        <v>91660</v>
      </c>
      <c r="M389" s="32">
        <f>IF(AND(AND(T388="",A389&lt;=S388),A389=入力!$B$15),ROUND(MIN(入力!$B$16,MAX(0,C389-L389)),0),0)</f>
        <v>0</v>
      </c>
      <c r="N389" s="32">
        <f t="shared" si="98"/>
        <v>3430092</v>
      </c>
      <c r="O389" s="32">
        <f t="shared" si="99"/>
        <v>12252900</v>
      </c>
      <c r="P389" s="34" t="str">
        <f>IF(NOT(AND(T388="",A389&lt;=S388)),"",IF(A389=入力!$B$15+1,"繰上返済後再計算","")&amp;IF(AND(入力!$B$13="有効",A389&gt;1,MOD(A389-1,60)=0),IF(A389=入力!$B$15+1,"・","")&amp;"5年見直し","")&amp;IF(AND(A389=入力!$B$11,A389&gt;1),IF(OR(A389=入力!$B$15+1,AND(入力!$B$13="有効",A389&gt;1,MOD(A389-1,60)=0)),"・","")&amp;"金利変更","")&amp;IF(AND(OR(AND(入力!$B$13="有効",A389&gt;1,MOD(A389-1,60)=0),AND(A389=入力!$B$11,A389&gt;1)),入力!$B$14="有効",IF(E389=0,ROUND(C389/MAX(1,S388-A389+1),0),ROUND(-PMT(E389/12,MAX(1,S388-A389+1),C389),0))&gt;ROUND(G388*1.25,0),NOT(A389=入力!$B$15+1)),"・上限適用",""))</f>
        <v/>
      </c>
      <c r="Q389" s="35" t="str">
        <f>IF(AND(T388="",A389&lt;=S388),入力!$B$13,"")</f>
        <v>有効</v>
      </c>
      <c r="R389" s="32" t="str">
        <f>IF(AND(AND(T388="",A389&lt;=S388),OR(AND(入力!$B$13="有効",A389&gt;1,MOD(A389-1,60)=0),AND(A389=入力!$B$11,A389&gt;1)),入力!$B$14="有効"),ROUND(G388*1.25,0),"")</f>
        <v/>
      </c>
      <c r="S389" s="36">
        <f t="shared" si="100"/>
        <v>420</v>
      </c>
      <c r="T389" s="35" t="str">
        <f t="shared" si="101"/>
        <v/>
      </c>
      <c r="U389" s="3">
        <f t="shared" si="85"/>
        <v>0</v>
      </c>
      <c r="V389" s="3">
        <f t="shared" si="86"/>
        <v>0</v>
      </c>
      <c r="W389" s="3">
        <f t="shared" si="87"/>
        <v>0</v>
      </c>
      <c r="X389" s="3">
        <f t="shared" si="88"/>
        <v>0</v>
      </c>
      <c r="Y389" s="3">
        <f>0</f>
        <v>0</v>
      </c>
      <c r="Z389" s="3">
        <f t="shared" si="89"/>
        <v>0</v>
      </c>
      <c r="AA389">
        <f>ROUND(IF(A389=入力!$B$15+1,IF(E389=0,ROUND(C389/MAX(1,S388-A389+1),0),ROUND(-PMT(E389/12,MAX(1,S388-A389+1)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,0)</f>
        <v>98997</v>
      </c>
    </row>
    <row r="390" spans="1:27">
      <c r="A390" s="30">
        <f>385</f>
        <v>385</v>
      </c>
      <c r="B390" s="31">
        <f>EDATE(入力!$B$6,A390-1)</f>
        <v>57923</v>
      </c>
      <c r="C390" s="32">
        <f t="shared" si="90"/>
        <v>3430092</v>
      </c>
      <c r="D390" s="32">
        <f t="shared" si="91"/>
        <v>0</v>
      </c>
      <c r="E390" s="33">
        <f>IF(AND(T389="",A390&lt;=S389),IF(A390&lt;入力!$B$11,入力!$B$10,入力!$B$12),0)</f>
        <v>2.5000000000000001E-2</v>
      </c>
      <c r="F390" s="32">
        <f t="shared" si="92"/>
        <v>7146</v>
      </c>
      <c r="G390" s="32">
        <f>ROUND(IF(NOT(AND(T389="",A390&lt;=S389)),0,IF(A390=入力!$B$15+1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),0)</f>
        <v>98997</v>
      </c>
      <c r="H390" s="32">
        <f t="shared" si="93"/>
        <v>98997</v>
      </c>
      <c r="I390" s="32">
        <f t="shared" si="94"/>
        <v>7146</v>
      </c>
      <c r="J390" s="32">
        <f t="shared" si="95"/>
        <v>0</v>
      </c>
      <c r="K390" s="32">
        <f t="shared" si="96"/>
        <v>0</v>
      </c>
      <c r="L390" s="32">
        <f t="shared" si="97"/>
        <v>91851</v>
      </c>
      <c r="M390" s="32">
        <f>IF(AND(AND(T389="",A390&lt;=S389),A390=入力!$B$15),ROUND(MIN(入力!$B$16,MAX(0,C390-L390)),0),0)</f>
        <v>0</v>
      </c>
      <c r="N390" s="32">
        <f t="shared" si="98"/>
        <v>3338241</v>
      </c>
      <c r="O390" s="32">
        <f t="shared" si="99"/>
        <v>12260046</v>
      </c>
      <c r="P390" s="34" t="str">
        <f>IF(NOT(AND(T389="",A390&lt;=S389)),"",IF(A390=入力!$B$15+1,"繰上返済後再計算","")&amp;IF(AND(入力!$B$13="有効",A390&gt;1,MOD(A390-1,60)=0),IF(A390=入力!$B$15+1,"・","")&amp;"5年見直し","")&amp;IF(AND(A390=入力!$B$11,A390&gt;1),IF(OR(A390=入力!$B$15+1,AND(入力!$B$13="有効",A390&gt;1,MOD(A390-1,60)=0)),"・","")&amp;"金利変更","")&amp;IF(AND(OR(AND(入力!$B$13="有効",A390&gt;1,MOD(A390-1,60)=0),AND(A390=入力!$B$11,A390&gt;1)),入力!$B$14="有効",IF(E390=0,ROUND(C390/MAX(1,S389-A390+1),0),ROUND(-PMT(E390/12,MAX(1,S389-A390+1),C390),0))&gt;ROUND(G389*1.25,0),NOT(A390=入力!$B$15+1)),"・上限適用",""))</f>
        <v/>
      </c>
      <c r="Q390" s="35" t="str">
        <f>IF(AND(T389="",A390&lt;=S389),入力!$B$13,"")</f>
        <v>有効</v>
      </c>
      <c r="R390" s="32" t="str">
        <f>IF(AND(AND(T389="",A390&lt;=S389),OR(AND(入力!$B$13="有効",A390&gt;1,MOD(A390-1,60)=0),AND(A390=入力!$B$11,A390&gt;1)),入力!$B$14="有効"),ROUND(G389*1.25,0),"")</f>
        <v/>
      </c>
      <c r="S390" s="36">
        <f t="shared" si="100"/>
        <v>420</v>
      </c>
      <c r="T390" s="35" t="str">
        <f t="shared" si="101"/>
        <v/>
      </c>
      <c r="U390" s="3">
        <f t="shared" ref="U390:U453" si="102">ABS(I390-MIN(H390,D390+F390))</f>
        <v>0</v>
      </c>
      <c r="V390" s="3">
        <f t="shared" ref="V390:V453" si="103">ABS(L390-(H390-I390))</f>
        <v>0</v>
      </c>
      <c r="W390" s="3">
        <f t="shared" ref="W390:W453" si="104">ABS(K390-(D390+J390))</f>
        <v>0</v>
      </c>
      <c r="X390" s="3">
        <f t="shared" ref="X390:X453" si="105">ABS(F390-ROUND(F390,0))+ABS(G390-ROUND(G390,0))+ABS(H390-ROUND(H390,0))+ABS(I390-ROUND(I390,0))+ABS(J390-ROUND(J390,0))+ABS(K390-ROUND(K390,0))+ABS(L390-ROUND(L390,0))+ABS(M390-ROUND(M390,0))+ABS(N390-ROUND(N390,0))+ABS(O390-ROUND(O390,0))</f>
        <v>0</v>
      </c>
      <c r="Y390" s="3">
        <f>0</f>
        <v>0</v>
      </c>
      <c r="Z390" s="3">
        <f t="shared" ref="Z390:Z453" si="106">SUM(--ISERROR(A390),--ISERROR(B390),--ISERROR(C390),--ISERROR(D390),--ISERROR(E390),--ISERROR(F390),--ISERROR(G390),--ISERROR(H390),--ISERROR(I390),--ISERROR(J390),--ISERROR(K390),--ISERROR(L390),--ISERROR(M390),--ISERROR(N390),--ISERROR(O390),--ISERROR(P390),--ISERROR(Q390),--ISERROR(R390),--ISERROR(S390),--ISERROR(T390))</f>
        <v>0</v>
      </c>
      <c r="AA390">
        <f>ROUND(IF(A390=入力!$B$15+1,IF(E390=0,ROUND(C390/MAX(1,S389-A390+1),0),ROUND(-PMT(E390/12,MAX(1,S389-A390+1)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,0)</f>
        <v>98997</v>
      </c>
    </row>
    <row r="391" spans="1:27">
      <c r="A391" s="30">
        <f>386</f>
        <v>386</v>
      </c>
      <c r="B391" s="31">
        <f>EDATE(入力!$B$6,A391-1)</f>
        <v>57954</v>
      </c>
      <c r="C391" s="32">
        <f t="shared" ref="C391:C454" si="107">IF(AND(T390="",A391&lt;=S390),N390,0)</f>
        <v>3338241</v>
      </c>
      <c r="D391" s="32">
        <f t="shared" ref="D391:D454" si="108">IF(AND(T390="",A391&lt;=S390),K390,0)</f>
        <v>0</v>
      </c>
      <c r="E391" s="33">
        <f>IF(AND(T390="",A391&lt;=S390),IF(A391&lt;入力!$B$11,入力!$B$10,入力!$B$12),0)</f>
        <v>2.5000000000000001E-2</v>
      </c>
      <c r="F391" s="32">
        <f t="shared" ref="F391:F454" si="109">IF(AND(T390="",A391&lt;=S390),ROUND(C391*E391/12,0),0)</f>
        <v>6955</v>
      </c>
      <c r="G391" s="32">
        <f>ROUND(IF(NOT(AND(T390="",A391&lt;=S390)),0,IF(A391=入力!$B$15+1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),0)</f>
        <v>98997</v>
      </c>
      <c r="H391" s="32">
        <f t="shared" ref="H391:H454" si="110">IF(AND(T390="",A391&lt;=S390),ROUND(MIN(G391,C391+D391+F391),0),0)</f>
        <v>98997</v>
      </c>
      <c r="I391" s="32">
        <f t="shared" ref="I391:I454" si="111">IF(AND(T390="",A391&lt;=S390),ROUND(MIN(H391,D391+F391),0),0)</f>
        <v>6955</v>
      </c>
      <c r="J391" s="32">
        <f t="shared" ref="J391:J454" si="112">IF(AND(T390="",A391&lt;=S390),ROUND(F391-I391,0),0)</f>
        <v>0</v>
      </c>
      <c r="K391" s="32">
        <f t="shared" ref="K391:K454" si="113">IF(AND(T390="",A391&lt;=S390),ROUND(D391+J391,0),0)</f>
        <v>0</v>
      </c>
      <c r="L391" s="32">
        <f t="shared" ref="L391:L454" si="114">IF(AND(T390="",A391&lt;=S390),ROUND(H391-I391,0),0)</f>
        <v>92042</v>
      </c>
      <c r="M391" s="32">
        <f>IF(AND(AND(T390="",A391&lt;=S390),A391=入力!$B$15),ROUND(MIN(入力!$B$16,MAX(0,C391-L391)),0),0)</f>
        <v>0</v>
      </c>
      <c r="N391" s="32">
        <f t="shared" ref="N391:N454" si="115">IF(AND(T390="",A391&lt;=S390),ROUND(MAX(0,C391-L391-M391),0),0)</f>
        <v>3246199</v>
      </c>
      <c r="O391" s="32">
        <f t="shared" ref="O391:O454" si="116">IF(AND(T390="",A391&lt;=S390),ROUND(O390+F391,0),O390)</f>
        <v>12267001</v>
      </c>
      <c r="P391" s="34" t="str">
        <f>IF(NOT(AND(T390="",A391&lt;=S390)),"",IF(A391=入力!$B$15+1,"繰上返済後再計算","")&amp;IF(AND(入力!$B$13="有効",A391&gt;1,MOD(A391-1,60)=0),IF(A391=入力!$B$15+1,"・","")&amp;"5年見直し","")&amp;IF(AND(A391=入力!$B$11,A391&gt;1),IF(OR(A391=入力!$B$15+1,AND(入力!$B$13="有効",A391&gt;1,MOD(A391-1,60)=0)),"・","")&amp;"金利変更","")&amp;IF(AND(OR(AND(入力!$B$13="有効",A391&gt;1,MOD(A391-1,60)=0),AND(A391=入力!$B$11,A391&gt;1)),入力!$B$14="有効",IF(E391=0,ROUND(C391/MAX(1,S390-A391+1),0),ROUND(-PMT(E391/12,MAX(1,S390-A391+1),C391),0))&gt;ROUND(G390*1.25,0),NOT(A391=入力!$B$15+1)),"・上限適用",""))</f>
        <v/>
      </c>
      <c r="Q391" s="35" t="str">
        <f>IF(AND(T390="",A391&lt;=S390),入力!$B$13,"")</f>
        <v>有効</v>
      </c>
      <c r="R391" s="32" t="str">
        <f>IF(AND(AND(T390="",A391&lt;=S390),OR(AND(入力!$B$13="有効",A391&gt;1,MOD(A391-1,60)=0),AND(A391=入力!$B$11,A391&gt;1)),入力!$B$14="有効"),ROUND(G390*1.25,0),"")</f>
        <v/>
      </c>
      <c r="S391" s="36">
        <f t="shared" ref="S391:S454" si="117">S390</f>
        <v>420</v>
      </c>
      <c r="T391" s="35" t="str">
        <f t="shared" ref="T391:T454" si="118">IF(NOT(AND(T390="",A391&lt;=S390)),"",IF(AND(N391=0,K391=0),"完済",IF(A391=S391,"最終回清算","")))</f>
        <v/>
      </c>
      <c r="U391" s="3">
        <f t="shared" si="102"/>
        <v>0</v>
      </c>
      <c r="V391" s="3">
        <f t="shared" si="103"/>
        <v>0</v>
      </c>
      <c r="W391" s="3">
        <f t="shared" si="104"/>
        <v>0</v>
      </c>
      <c r="X391" s="3">
        <f t="shared" si="105"/>
        <v>0</v>
      </c>
      <c r="Y391" s="3">
        <f>0</f>
        <v>0</v>
      </c>
      <c r="Z391" s="3">
        <f t="shared" si="106"/>
        <v>0</v>
      </c>
      <c r="AA391">
        <f>ROUND(IF(A391=入力!$B$15+1,IF(E391=0,ROUND(C391/MAX(1,S390-A391+1),0),ROUND(-PMT(E391/12,MAX(1,S390-A391+1)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,0)</f>
        <v>98997</v>
      </c>
    </row>
    <row r="392" spans="1:27">
      <c r="A392" s="30">
        <f>387</f>
        <v>387</v>
      </c>
      <c r="B392" s="31">
        <f>EDATE(入力!$B$6,A392-1)</f>
        <v>57984</v>
      </c>
      <c r="C392" s="32">
        <f t="shared" si="107"/>
        <v>3246199</v>
      </c>
      <c r="D392" s="32">
        <f t="shared" si="108"/>
        <v>0</v>
      </c>
      <c r="E392" s="33">
        <f>IF(AND(T391="",A392&lt;=S391),IF(A392&lt;入力!$B$11,入力!$B$10,入力!$B$12),0)</f>
        <v>2.5000000000000001E-2</v>
      </c>
      <c r="F392" s="32">
        <f t="shared" si="109"/>
        <v>6763</v>
      </c>
      <c r="G392" s="32">
        <f>ROUND(IF(NOT(AND(T391="",A392&lt;=S391)),0,IF(A392=入力!$B$15+1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),0)</f>
        <v>98997</v>
      </c>
      <c r="H392" s="32">
        <f t="shared" si="110"/>
        <v>98997</v>
      </c>
      <c r="I392" s="32">
        <f t="shared" si="111"/>
        <v>6763</v>
      </c>
      <c r="J392" s="32">
        <f t="shared" si="112"/>
        <v>0</v>
      </c>
      <c r="K392" s="32">
        <f t="shared" si="113"/>
        <v>0</v>
      </c>
      <c r="L392" s="32">
        <f t="shared" si="114"/>
        <v>92234</v>
      </c>
      <c r="M392" s="32">
        <f>IF(AND(AND(T391="",A392&lt;=S391),A392=入力!$B$15),ROUND(MIN(入力!$B$16,MAX(0,C392-L392)),0),0)</f>
        <v>0</v>
      </c>
      <c r="N392" s="32">
        <f t="shared" si="115"/>
        <v>3153965</v>
      </c>
      <c r="O392" s="32">
        <f t="shared" si="116"/>
        <v>12273764</v>
      </c>
      <c r="P392" s="34" t="str">
        <f>IF(NOT(AND(T391="",A392&lt;=S391)),"",IF(A392=入力!$B$15+1,"繰上返済後再計算","")&amp;IF(AND(入力!$B$13="有効",A392&gt;1,MOD(A392-1,60)=0),IF(A392=入力!$B$15+1,"・","")&amp;"5年見直し","")&amp;IF(AND(A392=入力!$B$11,A392&gt;1),IF(OR(A392=入力!$B$15+1,AND(入力!$B$13="有効",A392&gt;1,MOD(A392-1,60)=0)),"・","")&amp;"金利変更","")&amp;IF(AND(OR(AND(入力!$B$13="有効",A392&gt;1,MOD(A392-1,60)=0),AND(A392=入力!$B$11,A392&gt;1)),入力!$B$14="有効",IF(E392=0,ROUND(C392/MAX(1,S391-A392+1),0),ROUND(-PMT(E392/12,MAX(1,S391-A392+1),C392),0))&gt;ROUND(G391*1.25,0),NOT(A392=入力!$B$15+1)),"・上限適用",""))</f>
        <v/>
      </c>
      <c r="Q392" s="35" t="str">
        <f>IF(AND(T391="",A392&lt;=S391),入力!$B$13,"")</f>
        <v>有効</v>
      </c>
      <c r="R392" s="32" t="str">
        <f>IF(AND(AND(T391="",A392&lt;=S391),OR(AND(入力!$B$13="有効",A392&gt;1,MOD(A392-1,60)=0),AND(A392=入力!$B$11,A392&gt;1)),入力!$B$14="有効"),ROUND(G391*1.25,0),"")</f>
        <v/>
      </c>
      <c r="S392" s="36">
        <f t="shared" si="117"/>
        <v>420</v>
      </c>
      <c r="T392" s="35" t="str">
        <f t="shared" si="118"/>
        <v/>
      </c>
      <c r="U392" s="3">
        <f t="shared" si="102"/>
        <v>0</v>
      </c>
      <c r="V392" s="3">
        <f t="shared" si="103"/>
        <v>0</v>
      </c>
      <c r="W392" s="3">
        <f t="shared" si="104"/>
        <v>0</v>
      </c>
      <c r="X392" s="3">
        <f t="shared" si="105"/>
        <v>0</v>
      </c>
      <c r="Y392" s="3">
        <f>0</f>
        <v>0</v>
      </c>
      <c r="Z392" s="3">
        <f t="shared" si="106"/>
        <v>0</v>
      </c>
      <c r="AA392">
        <f>ROUND(IF(A392=入力!$B$15+1,IF(E392=0,ROUND(C392/MAX(1,S391-A392+1),0),ROUND(-PMT(E392/12,MAX(1,S391-A392+1)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,0)</f>
        <v>98997</v>
      </c>
    </row>
    <row r="393" spans="1:27">
      <c r="A393" s="30">
        <f>388</f>
        <v>388</v>
      </c>
      <c r="B393" s="31">
        <f>EDATE(入力!$B$6,A393-1)</f>
        <v>58015</v>
      </c>
      <c r="C393" s="32">
        <f t="shared" si="107"/>
        <v>3153965</v>
      </c>
      <c r="D393" s="32">
        <f t="shared" si="108"/>
        <v>0</v>
      </c>
      <c r="E393" s="33">
        <f>IF(AND(T392="",A393&lt;=S392),IF(A393&lt;入力!$B$11,入力!$B$10,入力!$B$12),0)</f>
        <v>2.5000000000000001E-2</v>
      </c>
      <c r="F393" s="32">
        <f t="shared" si="109"/>
        <v>6571</v>
      </c>
      <c r="G393" s="32">
        <f>ROUND(IF(NOT(AND(T392="",A393&lt;=S392)),0,IF(A393=入力!$B$15+1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),0)</f>
        <v>98997</v>
      </c>
      <c r="H393" s="32">
        <f t="shared" si="110"/>
        <v>98997</v>
      </c>
      <c r="I393" s="32">
        <f t="shared" si="111"/>
        <v>6571</v>
      </c>
      <c r="J393" s="32">
        <f t="shared" si="112"/>
        <v>0</v>
      </c>
      <c r="K393" s="32">
        <f t="shared" si="113"/>
        <v>0</v>
      </c>
      <c r="L393" s="32">
        <f t="shared" si="114"/>
        <v>92426</v>
      </c>
      <c r="M393" s="32">
        <f>IF(AND(AND(T392="",A393&lt;=S392),A393=入力!$B$15),ROUND(MIN(入力!$B$16,MAX(0,C393-L393)),0),0)</f>
        <v>0</v>
      </c>
      <c r="N393" s="32">
        <f t="shared" si="115"/>
        <v>3061539</v>
      </c>
      <c r="O393" s="32">
        <f t="shared" si="116"/>
        <v>12280335</v>
      </c>
      <c r="P393" s="34" t="str">
        <f>IF(NOT(AND(T392="",A393&lt;=S392)),"",IF(A393=入力!$B$15+1,"繰上返済後再計算","")&amp;IF(AND(入力!$B$13="有効",A393&gt;1,MOD(A393-1,60)=0),IF(A393=入力!$B$15+1,"・","")&amp;"5年見直し","")&amp;IF(AND(A393=入力!$B$11,A393&gt;1),IF(OR(A393=入力!$B$15+1,AND(入力!$B$13="有効",A393&gt;1,MOD(A393-1,60)=0)),"・","")&amp;"金利変更","")&amp;IF(AND(OR(AND(入力!$B$13="有効",A393&gt;1,MOD(A393-1,60)=0),AND(A393=入力!$B$11,A393&gt;1)),入力!$B$14="有効",IF(E393=0,ROUND(C393/MAX(1,S392-A393+1),0),ROUND(-PMT(E393/12,MAX(1,S392-A393+1),C393),0))&gt;ROUND(G392*1.25,0),NOT(A393=入力!$B$15+1)),"・上限適用",""))</f>
        <v/>
      </c>
      <c r="Q393" s="35" t="str">
        <f>IF(AND(T392="",A393&lt;=S392),入力!$B$13,"")</f>
        <v>有効</v>
      </c>
      <c r="R393" s="32" t="str">
        <f>IF(AND(AND(T392="",A393&lt;=S392),OR(AND(入力!$B$13="有効",A393&gt;1,MOD(A393-1,60)=0),AND(A393=入力!$B$11,A393&gt;1)),入力!$B$14="有効"),ROUND(G392*1.25,0),"")</f>
        <v/>
      </c>
      <c r="S393" s="36">
        <f t="shared" si="117"/>
        <v>420</v>
      </c>
      <c r="T393" s="35" t="str">
        <f t="shared" si="118"/>
        <v/>
      </c>
      <c r="U393" s="3">
        <f t="shared" si="102"/>
        <v>0</v>
      </c>
      <c r="V393" s="3">
        <f t="shared" si="103"/>
        <v>0</v>
      </c>
      <c r="W393" s="3">
        <f t="shared" si="104"/>
        <v>0</v>
      </c>
      <c r="X393" s="3">
        <f t="shared" si="105"/>
        <v>0</v>
      </c>
      <c r="Y393" s="3">
        <f>0</f>
        <v>0</v>
      </c>
      <c r="Z393" s="3">
        <f t="shared" si="106"/>
        <v>0</v>
      </c>
      <c r="AA393">
        <f>ROUND(IF(A393=入力!$B$15+1,IF(E393=0,ROUND(C393/MAX(1,S392-A393+1),0),ROUND(-PMT(E393/12,MAX(1,S392-A393+1)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,0)</f>
        <v>98997</v>
      </c>
    </row>
    <row r="394" spans="1:27">
      <c r="A394" s="30">
        <f>389</f>
        <v>389</v>
      </c>
      <c r="B394" s="31">
        <f>EDATE(入力!$B$6,A394-1)</f>
        <v>58045</v>
      </c>
      <c r="C394" s="32">
        <f t="shared" si="107"/>
        <v>3061539</v>
      </c>
      <c r="D394" s="32">
        <f t="shared" si="108"/>
        <v>0</v>
      </c>
      <c r="E394" s="33">
        <f>IF(AND(T393="",A394&lt;=S393),IF(A394&lt;入力!$B$11,入力!$B$10,入力!$B$12),0)</f>
        <v>2.5000000000000001E-2</v>
      </c>
      <c r="F394" s="32">
        <f t="shared" si="109"/>
        <v>6378</v>
      </c>
      <c r="G394" s="32">
        <f>ROUND(IF(NOT(AND(T393="",A394&lt;=S393)),0,IF(A394=入力!$B$15+1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),0)</f>
        <v>98997</v>
      </c>
      <c r="H394" s="32">
        <f t="shared" si="110"/>
        <v>98997</v>
      </c>
      <c r="I394" s="32">
        <f t="shared" si="111"/>
        <v>6378</v>
      </c>
      <c r="J394" s="32">
        <f t="shared" si="112"/>
        <v>0</v>
      </c>
      <c r="K394" s="32">
        <f t="shared" si="113"/>
        <v>0</v>
      </c>
      <c r="L394" s="32">
        <f t="shared" si="114"/>
        <v>92619</v>
      </c>
      <c r="M394" s="32">
        <f>IF(AND(AND(T393="",A394&lt;=S393),A394=入力!$B$15),ROUND(MIN(入力!$B$16,MAX(0,C394-L394)),0),0)</f>
        <v>0</v>
      </c>
      <c r="N394" s="32">
        <f t="shared" si="115"/>
        <v>2968920</v>
      </c>
      <c r="O394" s="32">
        <f t="shared" si="116"/>
        <v>12286713</v>
      </c>
      <c r="P394" s="34" t="str">
        <f>IF(NOT(AND(T393="",A394&lt;=S393)),"",IF(A394=入力!$B$15+1,"繰上返済後再計算","")&amp;IF(AND(入力!$B$13="有効",A394&gt;1,MOD(A394-1,60)=0),IF(A394=入力!$B$15+1,"・","")&amp;"5年見直し","")&amp;IF(AND(A394=入力!$B$11,A394&gt;1),IF(OR(A394=入力!$B$15+1,AND(入力!$B$13="有効",A394&gt;1,MOD(A394-1,60)=0)),"・","")&amp;"金利変更","")&amp;IF(AND(OR(AND(入力!$B$13="有効",A394&gt;1,MOD(A394-1,60)=0),AND(A394=入力!$B$11,A394&gt;1)),入力!$B$14="有効",IF(E394=0,ROUND(C394/MAX(1,S393-A394+1),0),ROUND(-PMT(E394/12,MAX(1,S393-A394+1),C394),0))&gt;ROUND(G393*1.25,0),NOT(A394=入力!$B$15+1)),"・上限適用",""))</f>
        <v/>
      </c>
      <c r="Q394" s="35" t="str">
        <f>IF(AND(T393="",A394&lt;=S393),入力!$B$13,"")</f>
        <v>有効</v>
      </c>
      <c r="R394" s="32" t="str">
        <f>IF(AND(AND(T393="",A394&lt;=S393),OR(AND(入力!$B$13="有効",A394&gt;1,MOD(A394-1,60)=0),AND(A394=入力!$B$11,A394&gt;1)),入力!$B$14="有効"),ROUND(G393*1.25,0),"")</f>
        <v/>
      </c>
      <c r="S394" s="36">
        <f t="shared" si="117"/>
        <v>420</v>
      </c>
      <c r="T394" s="35" t="str">
        <f t="shared" si="118"/>
        <v/>
      </c>
      <c r="U394" s="3">
        <f t="shared" si="102"/>
        <v>0</v>
      </c>
      <c r="V394" s="3">
        <f t="shared" si="103"/>
        <v>0</v>
      </c>
      <c r="W394" s="3">
        <f t="shared" si="104"/>
        <v>0</v>
      </c>
      <c r="X394" s="3">
        <f t="shared" si="105"/>
        <v>0</v>
      </c>
      <c r="Y394" s="3">
        <f>0</f>
        <v>0</v>
      </c>
      <c r="Z394" s="3">
        <f t="shared" si="106"/>
        <v>0</v>
      </c>
      <c r="AA394">
        <f>ROUND(IF(A394=入力!$B$15+1,IF(E394=0,ROUND(C394/MAX(1,S393-A394+1),0),ROUND(-PMT(E394/12,MAX(1,S393-A394+1)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,0)</f>
        <v>98997</v>
      </c>
    </row>
    <row r="395" spans="1:27">
      <c r="A395" s="30">
        <f>390</f>
        <v>390</v>
      </c>
      <c r="B395" s="31">
        <f>EDATE(入力!$B$6,A395-1)</f>
        <v>58076</v>
      </c>
      <c r="C395" s="32">
        <f t="shared" si="107"/>
        <v>2968920</v>
      </c>
      <c r="D395" s="32">
        <f t="shared" si="108"/>
        <v>0</v>
      </c>
      <c r="E395" s="33">
        <f>IF(AND(T394="",A395&lt;=S394),IF(A395&lt;入力!$B$11,入力!$B$10,入力!$B$12),0)</f>
        <v>2.5000000000000001E-2</v>
      </c>
      <c r="F395" s="32">
        <f t="shared" si="109"/>
        <v>6185</v>
      </c>
      <c r="G395" s="32">
        <f>ROUND(IF(NOT(AND(T394="",A395&lt;=S394)),0,IF(A395=入力!$B$15+1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),0)</f>
        <v>98997</v>
      </c>
      <c r="H395" s="32">
        <f t="shared" si="110"/>
        <v>98997</v>
      </c>
      <c r="I395" s="32">
        <f t="shared" si="111"/>
        <v>6185</v>
      </c>
      <c r="J395" s="32">
        <f t="shared" si="112"/>
        <v>0</v>
      </c>
      <c r="K395" s="32">
        <f t="shared" si="113"/>
        <v>0</v>
      </c>
      <c r="L395" s="32">
        <f t="shared" si="114"/>
        <v>92812</v>
      </c>
      <c r="M395" s="32">
        <f>IF(AND(AND(T394="",A395&lt;=S394),A395=入力!$B$15),ROUND(MIN(入力!$B$16,MAX(0,C395-L395)),0),0)</f>
        <v>0</v>
      </c>
      <c r="N395" s="32">
        <f t="shared" si="115"/>
        <v>2876108</v>
      </c>
      <c r="O395" s="32">
        <f t="shared" si="116"/>
        <v>12292898</v>
      </c>
      <c r="P395" s="34" t="str">
        <f>IF(NOT(AND(T394="",A395&lt;=S394)),"",IF(A395=入力!$B$15+1,"繰上返済後再計算","")&amp;IF(AND(入力!$B$13="有効",A395&gt;1,MOD(A395-1,60)=0),IF(A395=入力!$B$15+1,"・","")&amp;"5年見直し","")&amp;IF(AND(A395=入力!$B$11,A395&gt;1),IF(OR(A395=入力!$B$15+1,AND(入力!$B$13="有効",A395&gt;1,MOD(A395-1,60)=0)),"・","")&amp;"金利変更","")&amp;IF(AND(OR(AND(入力!$B$13="有効",A395&gt;1,MOD(A395-1,60)=0),AND(A395=入力!$B$11,A395&gt;1)),入力!$B$14="有効",IF(E395=0,ROUND(C395/MAX(1,S394-A395+1),0),ROUND(-PMT(E395/12,MAX(1,S394-A395+1),C395),0))&gt;ROUND(G394*1.25,0),NOT(A395=入力!$B$15+1)),"・上限適用",""))</f>
        <v/>
      </c>
      <c r="Q395" s="35" t="str">
        <f>IF(AND(T394="",A395&lt;=S394),入力!$B$13,"")</f>
        <v>有効</v>
      </c>
      <c r="R395" s="32" t="str">
        <f>IF(AND(AND(T394="",A395&lt;=S394),OR(AND(入力!$B$13="有効",A395&gt;1,MOD(A395-1,60)=0),AND(A395=入力!$B$11,A395&gt;1)),入力!$B$14="有効"),ROUND(G394*1.25,0),"")</f>
        <v/>
      </c>
      <c r="S395" s="36">
        <f t="shared" si="117"/>
        <v>420</v>
      </c>
      <c r="T395" s="35" t="str">
        <f t="shared" si="118"/>
        <v/>
      </c>
      <c r="U395" s="3">
        <f t="shared" si="102"/>
        <v>0</v>
      </c>
      <c r="V395" s="3">
        <f t="shared" si="103"/>
        <v>0</v>
      </c>
      <c r="W395" s="3">
        <f t="shared" si="104"/>
        <v>0</v>
      </c>
      <c r="X395" s="3">
        <f t="shared" si="105"/>
        <v>0</v>
      </c>
      <c r="Y395" s="3">
        <f>0</f>
        <v>0</v>
      </c>
      <c r="Z395" s="3">
        <f t="shared" si="106"/>
        <v>0</v>
      </c>
      <c r="AA395">
        <f>ROUND(IF(A395=入力!$B$15+1,IF(E395=0,ROUND(C395/MAX(1,S394-A395+1),0),ROUND(-PMT(E395/12,MAX(1,S394-A395+1)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,0)</f>
        <v>98997</v>
      </c>
    </row>
    <row r="396" spans="1:27">
      <c r="A396" s="30">
        <f>391</f>
        <v>391</v>
      </c>
      <c r="B396" s="31">
        <f>EDATE(入力!$B$6,A396-1)</f>
        <v>58107</v>
      </c>
      <c r="C396" s="32">
        <f t="shared" si="107"/>
        <v>2876108</v>
      </c>
      <c r="D396" s="32">
        <f t="shared" si="108"/>
        <v>0</v>
      </c>
      <c r="E396" s="33">
        <f>IF(AND(T395="",A396&lt;=S395),IF(A396&lt;入力!$B$11,入力!$B$10,入力!$B$12),0)</f>
        <v>2.5000000000000001E-2</v>
      </c>
      <c r="F396" s="32">
        <f t="shared" si="109"/>
        <v>5992</v>
      </c>
      <c r="G396" s="32">
        <f>ROUND(IF(NOT(AND(T395="",A396&lt;=S395)),0,IF(A396=入力!$B$15+1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),0)</f>
        <v>98997</v>
      </c>
      <c r="H396" s="32">
        <f t="shared" si="110"/>
        <v>98997</v>
      </c>
      <c r="I396" s="32">
        <f t="shared" si="111"/>
        <v>5992</v>
      </c>
      <c r="J396" s="32">
        <f t="shared" si="112"/>
        <v>0</v>
      </c>
      <c r="K396" s="32">
        <f t="shared" si="113"/>
        <v>0</v>
      </c>
      <c r="L396" s="32">
        <f t="shared" si="114"/>
        <v>93005</v>
      </c>
      <c r="M396" s="32">
        <f>IF(AND(AND(T395="",A396&lt;=S395),A396=入力!$B$15),ROUND(MIN(入力!$B$16,MAX(0,C396-L396)),0),0)</f>
        <v>0</v>
      </c>
      <c r="N396" s="32">
        <f t="shared" si="115"/>
        <v>2783103</v>
      </c>
      <c r="O396" s="32">
        <f t="shared" si="116"/>
        <v>12298890</v>
      </c>
      <c r="P396" s="34" t="str">
        <f>IF(NOT(AND(T395="",A396&lt;=S395)),"",IF(A396=入力!$B$15+1,"繰上返済後再計算","")&amp;IF(AND(入力!$B$13="有効",A396&gt;1,MOD(A396-1,60)=0),IF(A396=入力!$B$15+1,"・","")&amp;"5年見直し","")&amp;IF(AND(A396=入力!$B$11,A396&gt;1),IF(OR(A396=入力!$B$15+1,AND(入力!$B$13="有効",A396&gt;1,MOD(A396-1,60)=0)),"・","")&amp;"金利変更","")&amp;IF(AND(OR(AND(入力!$B$13="有効",A396&gt;1,MOD(A396-1,60)=0),AND(A396=入力!$B$11,A396&gt;1)),入力!$B$14="有効",IF(E396=0,ROUND(C396/MAX(1,S395-A396+1),0),ROUND(-PMT(E396/12,MAX(1,S395-A396+1),C396),0))&gt;ROUND(G395*1.25,0),NOT(A396=入力!$B$15+1)),"・上限適用",""))</f>
        <v/>
      </c>
      <c r="Q396" s="35" t="str">
        <f>IF(AND(T395="",A396&lt;=S395),入力!$B$13,"")</f>
        <v>有効</v>
      </c>
      <c r="R396" s="32" t="str">
        <f>IF(AND(AND(T395="",A396&lt;=S395),OR(AND(入力!$B$13="有効",A396&gt;1,MOD(A396-1,60)=0),AND(A396=入力!$B$11,A396&gt;1)),入力!$B$14="有効"),ROUND(G395*1.25,0),"")</f>
        <v/>
      </c>
      <c r="S396" s="36">
        <f t="shared" si="117"/>
        <v>420</v>
      </c>
      <c r="T396" s="35" t="str">
        <f t="shared" si="118"/>
        <v/>
      </c>
      <c r="U396" s="3">
        <f t="shared" si="102"/>
        <v>0</v>
      </c>
      <c r="V396" s="3">
        <f t="shared" si="103"/>
        <v>0</v>
      </c>
      <c r="W396" s="3">
        <f t="shared" si="104"/>
        <v>0</v>
      </c>
      <c r="X396" s="3">
        <f t="shared" si="105"/>
        <v>0</v>
      </c>
      <c r="Y396" s="3">
        <f>0</f>
        <v>0</v>
      </c>
      <c r="Z396" s="3">
        <f t="shared" si="106"/>
        <v>0</v>
      </c>
      <c r="AA396">
        <f>ROUND(IF(A396=入力!$B$15+1,IF(E396=0,ROUND(C396/MAX(1,S395-A396+1),0),ROUND(-PMT(E396/12,MAX(1,S395-A396+1)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,0)</f>
        <v>98997</v>
      </c>
    </row>
    <row r="397" spans="1:27">
      <c r="A397" s="30">
        <f>392</f>
        <v>392</v>
      </c>
      <c r="B397" s="31">
        <f>EDATE(入力!$B$6,A397-1)</f>
        <v>58135</v>
      </c>
      <c r="C397" s="32">
        <f t="shared" si="107"/>
        <v>2783103</v>
      </c>
      <c r="D397" s="32">
        <f t="shared" si="108"/>
        <v>0</v>
      </c>
      <c r="E397" s="33">
        <f>IF(AND(T396="",A397&lt;=S396),IF(A397&lt;入力!$B$11,入力!$B$10,入力!$B$12),0)</f>
        <v>2.5000000000000001E-2</v>
      </c>
      <c r="F397" s="32">
        <f t="shared" si="109"/>
        <v>5798</v>
      </c>
      <c r="G397" s="32">
        <f>ROUND(IF(NOT(AND(T396="",A397&lt;=S396)),0,IF(A397=入力!$B$15+1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),0)</f>
        <v>98997</v>
      </c>
      <c r="H397" s="32">
        <f t="shared" si="110"/>
        <v>98997</v>
      </c>
      <c r="I397" s="32">
        <f t="shared" si="111"/>
        <v>5798</v>
      </c>
      <c r="J397" s="32">
        <f t="shared" si="112"/>
        <v>0</v>
      </c>
      <c r="K397" s="32">
        <f t="shared" si="113"/>
        <v>0</v>
      </c>
      <c r="L397" s="32">
        <f t="shared" si="114"/>
        <v>93199</v>
      </c>
      <c r="M397" s="32">
        <f>IF(AND(AND(T396="",A397&lt;=S396),A397=入力!$B$15),ROUND(MIN(入力!$B$16,MAX(0,C397-L397)),0),0)</f>
        <v>0</v>
      </c>
      <c r="N397" s="32">
        <f t="shared" si="115"/>
        <v>2689904</v>
      </c>
      <c r="O397" s="32">
        <f t="shared" si="116"/>
        <v>12304688</v>
      </c>
      <c r="P397" s="34" t="str">
        <f>IF(NOT(AND(T396="",A397&lt;=S396)),"",IF(A397=入力!$B$15+1,"繰上返済後再計算","")&amp;IF(AND(入力!$B$13="有効",A397&gt;1,MOD(A397-1,60)=0),IF(A397=入力!$B$15+1,"・","")&amp;"5年見直し","")&amp;IF(AND(A397=入力!$B$11,A397&gt;1),IF(OR(A397=入力!$B$15+1,AND(入力!$B$13="有効",A397&gt;1,MOD(A397-1,60)=0)),"・","")&amp;"金利変更","")&amp;IF(AND(OR(AND(入力!$B$13="有効",A397&gt;1,MOD(A397-1,60)=0),AND(A397=入力!$B$11,A397&gt;1)),入力!$B$14="有効",IF(E397=0,ROUND(C397/MAX(1,S396-A397+1),0),ROUND(-PMT(E397/12,MAX(1,S396-A397+1),C397),0))&gt;ROUND(G396*1.25,0),NOT(A397=入力!$B$15+1)),"・上限適用",""))</f>
        <v/>
      </c>
      <c r="Q397" s="35" t="str">
        <f>IF(AND(T396="",A397&lt;=S396),入力!$B$13,"")</f>
        <v>有効</v>
      </c>
      <c r="R397" s="32" t="str">
        <f>IF(AND(AND(T396="",A397&lt;=S396),OR(AND(入力!$B$13="有効",A397&gt;1,MOD(A397-1,60)=0),AND(A397=入力!$B$11,A397&gt;1)),入力!$B$14="有効"),ROUND(G396*1.25,0),"")</f>
        <v/>
      </c>
      <c r="S397" s="36">
        <f t="shared" si="117"/>
        <v>420</v>
      </c>
      <c r="T397" s="35" t="str">
        <f t="shared" si="118"/>
        <v/>
      </c>
      <c r="U397" s="3">
        <f t="shared" si="102"/>
        <v>0</v>
      </c>
      <c r="V397" s="3">
        <f t="shared" si="103"/>
        <v>0</v>
      </c>
      <c r="W397" s="3">
        <f t="shared" si="104"/>
        <v>0</v>
      </c>
      <c r="X397" s="3">
        <f t="shared" si="105"/>
        <v>0</v>
      </c>
      <c r="Y397" s="3">
        <f>0</f>
        <v>0</v>
      </c>
      <c r="Z397" s="3">
        <f t="shared" si="106"/>
        <v>0</v>
      </c>
      <c r="AA397">
        <f>ROUND(IF(A397=入力!$B$15+1,IF(E397=0,ROUND(C397/MAX(1,S396-A397+1),0),ROUND(-PMT(E397/12,MAX(1,S396-A397+1)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,0)</f>
        <v>98997</v>
      </c>
    </row>
    <row r="398" spans="1:27">
      <c r="A398" s="30">
        <f>393</f>
        <v>393</v>
      </c>
      <c r="B398" s="31">
        <f>EDATE(入力!$B$6,A398-1)</f>
        <v>58166</v>
      </c>
      <c r="C398" s="32">
        <f t="shared" si="107"/>
        <v>2689904</v>
      </c>
      <c r="D398" s="32">
        <f t="shared" si="108"/>
        <v>0</v>
      </c>
      <c r="E398" s="33">
        <f>IF(AND(T397="",A398&lt;=S397),IF(A398&lt;入力!$B$11,入力!$B$10,入力!$B$12),0)</f>
        <v>2.5000000000000001E-2</v>
      </c>
      <c r="F398" s="32">
        <f t="shared" si="109"/>
        <v>5604</v>
      </c>
      <c r="G398" s="32">
        <f>ROUND(IF(NOT(AND(T397="",A398&lt;=S397)),0,IF(A398=入力!$B$15+1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),0)</f>
        <v>98997</v>
      </c>
      <c r="H398" s="32">
        <f t="shared" si="110"/>
        <v>98997</v>
      </c>
      <c r="I398" s="32">
        <f t="shared" si="111"/>
        <v>5604</v>
      </c>
      <c r="J398" s="32">
        <f t="shared" si="112"/>
        <v>0</v>
      </c>
      <c r="K398" s="32">
        <f t="shared" si="113"/>
        <v>0</v>
      </c>
      <c r="L398" s="32">
        <f t="shared" si="114"/>
        <v>93393</v>
      </c>
      <c r="M398" s="32">
        <f>IF(AND(AND(T397="",A398&lt;=S397),A398=入力!$B$15),ROUND(MIN(入力!$B$16,MAX(0,C398-L398)),0),0)</f>
        <v>0</v>
      </c>
      <c r="N398" s="32">
        <f t="shared" si="115"/>
        <v>2596511</v>
      </c>
      <c r="O398" s="32">
        <f t="shared" si="116"/>
        <v>12310292</v>
      </c>
      <c r="P398" s="34" t="str">
        <f>IF(NOT(AND(T397="",A398&lt;=S397)),"",IF(A398=入力!$B$15+1,"繰上返済後再計算","")&amp;IF(AND(入力!$B$13="有効",A398&gt;1,MOD(A398-1,60)=0),IF(A398=入力!$B$15+1,"・","")&amp;"5年見直し","")&amp;IF(AND(A398=入力!$B$11,A398&gt;1),IF(OR(A398=入力!$B$15+1,AND(入力!$B$13="有効",A398&gt;1,MOD(A398-1,60)=0)),"・","")&amp;"金利変更","")&amp;IF(AND(OR(AND(入力!$B$13="有効",A398&gt;1,MOD(A398-1,60)=0),AND(A398=入力!$B$11,A398&gt;1)),入力!$B$14="有効",IF(E398=0,ROUND(C398/MAX(1,S397-A398+1),0),ROUND(-PMT(E398/12,MAX(1,S397-A398+1),C398),0))&gt;ROUND(G397*1.25,0),NOT(A398=入力!$B$15+1)),"・上限適用",""))</f>
        <v/>
      </c>
      <c r="Q398" s="35" t="str">
        <f>IF(AND(T397="",A398&lt;=S397),入力!$B$13,"")</f>
        <v>有効</v>
      </c>
      <c r="R398" s="32" t="str">
        <f>IF(AND(AND(T397="",A398&lt;=S397),OR(AND(入力!$B$13="有効",A398&gt;1,MOD(A398-1,60)=0),AND(A398=入力!$B$11,A398&gt;1)),入力!$B$14="有効"),ROUND(G397*1.25,0),"")</f>
        <v/>
      </c>
      <c r="S398" s="36">
        <f t="shared" si="117"/>
        <v>420</v>
      </c>
      <c r="T398" s="35" t="str">
        <f t="shared" si="118"/>
        <v/>
      </c>
      <c r="U398" s="3">
        <f t="shared" si="102"/>
        <v>0</v>
      </c>
      <c r="V398" s="3">
        <f t="shared" si="103"/>
        <v>0</v>
      </c>
      <c r="W398" s="3">
        <f t="shared" si="104"/>
        <v>0</v>
      </c>
      <c r="X398" s="3">
        <f t="shared" si="105"/>
        <v>0</v>
      </c>
      <c r="Y398" s="3">
        <f>0</f>
        <v>0</v>
      </c>
      <c r="Z398" s="3">
        <f t="shared" si="106"/>
        <v>0</v>
      </c>
      <c r="AA398">
        <f>ROUND(IF(A398=入力!$B$15+1,IF(E398=0,ROUND(C398/MAX(1,S397-A398+1),0),ROUND(-PMT(E398/12,MAX(1,S397-A398+1)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,0)</f>
        <v>98997</v>
      </c>
    </row>
    <row r="399" spans="1:27">
      <c r="A399" s="30">
        <f>394</f>
        <v>394</v>
      </c>
      <c r="B399" s="31">
        <f>EDATE(入力!$B$6,A399-1)</f>
        <v>58196</v>
      </c>
      <c r="C399" s="32">
        <f t="shared" si="107"/>
        <v>2596511</v>
      </c>
      <c r="D399" s="32">
        <f t="shared" si="108"/>
        <v>0</v>
      </c>
      <c r="E399" s="33">
        <f>IF(AND(T398="",A399&lt;=S398),IF(A399&lt;入力!$B$11,入力!$B$10,入力!$B$12),0)</f>
        <v>2.5000000000000001E-2</v>
      </c>
      <c r="F399" s="32">
        <f t="shared" si="109"/>
        <v>5409</v>
      </c>
      <c r="G399" s="32">
        <f>ROUND(IF(NOT(AND(T398="",A399&lt;=S398)),0,IF(A399=入力!$B$15+1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),0)</f>
        <v>98997</v>
      </c>
      <c r="H399" s="32">
        <f t="shared" si="110"/>
        <v>98997</v>
      </c>
      <c r="I399" s="32">
        <f t="shared" si="111"/>
        <v>5409</v>
      </c>
      <c r="J399" s="32">
        <f t="shared" si="112"/>
        <v>0</v>
      </c>
      <c r="K399" s="32">
        <f t="shared" si="113"/>
        <v>0</v>
      </c>
      <c r="L399" s="32">
        <f t="shared" si="114"/>
        <v>93588</v>
      </c>
      <c r="M399" s="32">
        <f>IF(AND(AND(T398="",A399&lt;=S398),A399=入力!$B$15),ROUND(MIN(入力!$B$16,MAX(0,C399-L399)),0),0)</f>
        <v>0</v>
      </c>
      <c r="N399" s="32">
        <f t="shared" si="115"/>
        <v>2502923</v>
      </c>
      <c r="O399" s="32">
        <f t="shared" si="116"/>
        <v>12315701</v>
      </c>
      <c r="P399" s="34" t="str">
        <f>IF(NOT(AND(T398="",A399&lt;=S398)),"",IF(A399=入力!$B$15+1,"繰上返済後再計算","")&amp;IF(AND(入力!$B$13="有効",A399&gt;1,MOD(A399-1,60)=0),IF(A399=入力!$B$15+1,"・","")&amp;"5年見直し","")&amp;IF(AND(A399=入力!$B$11,A399&gt;1),IF(OR(A399=入力!$B$15+1,AND(入力!$B$13="有効",A399&gt;1,MOD(A399-1,60)=0)),"・","")&amp;"金利変更","")&amp;IF(AND(OR(AND(入力!$B$13="有効",A399&gt;1,MOD(A399-1,60)=0),AND(A399=入力!$B$11,A399&gt;1)),入力!$B$14="有効",IF(E399=0,ROUND(C399/MAX(1,S398-A399+1),0),ROUND(-PMT(E399/12,MAX(1,S398-A399+1),C399),0))&gt;ROUND(G398*1.25,0),NOT(A399=入力!$B$15+1)),"・上限適用",""))</f>
        <v/>
      </c>
      <c r="Q399" s="35" t="str">
        <f>IF(AND(T398="",A399&lt;=S398),入力!$B$13,"")</f>
        <v>有効</v>
      </c>
      <c r="R399" s="32" t="str">
        <f>IF(AND(AND(T398="",A399&lt;=S398),OR(AND(入力!$B$13="有効",A399&gt;1,MOD(A399-1,60)=0),AND(A399=入力!$B$11,A399&gt;1)),入力!$B$14="有効"),ROUND(G398*1.25,0),"")</f>
        <v/>
      </c>
      <c r="S399" s="36">
        <f t="shared" si="117"/>
        <v>420</v>
      </c>
      <c r="T399" s="35" t="str">
        <f t="shared" si="118"/>
        <v/>
      </c>
      <c r="U399" s="3">
        <f t="shared" si="102"/>
        <v>0</v>
      </c>
      <c r="V399" s="3">
        <f t="shared" si="103"/>
        <v>0</v>
      </c>
      <c r="W399" s="3">
        <f t="shared" si="104"/>
        <v>0</v>
      </c>
      <c r="X399" s="3">
        <f t="shared" si="105"/>
        <v>0</v>
      </c>
      <c r="Y399" s="3">
        <f>0</f>
        <v>0</v>
      </c>
      <c r="Z399" s="3">
        <f t="shared" si="106"/>
        <v>0</v>
      </c>
      <c r="AA399">
        <f>ROUND(IF(A399=入力!$B$15+1,IF(E399=0,ROUND(C399/MAX(1,S398-A399+1),0),ROUND(-PMT(E399/12,MAX(1,S398-A399+1)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,0)</f>
        <v>98997</v>
      </c>
    </row>
    <row r="400" spans="1:27">
      <c r="A400" s="30">
        <f>395</f>
        <v>395</v>
      </c>
      <c r="B400" s="31">
        <f>EDATE(入力!$B$6,A400-1)</f>
        <v>58227</v>
      </c>
      <c r="C400" s="32">
        <f t="shared" si="107"/>
        <v>2502923</v>
      </c>
      <c r="D400" s="32">
        <f t="shared" si="108"/>
        <v>0</v>
      </c>
      <c r="E400" s="33">
        <f>IF(AND(T399="",A400&lt;=S399),IF(A400&lt;入力!$B$11,入力!$B$10,入力!$B$12),0)</f>
        <v>2.5000000000000001E-2</v>
      </c>
      <c r="F400" s="32">
        <f t="shared" si="109"/>
        <v>5214</v>
      </c>
      <c r="G400" s="32">
        <f>ROUND(IF(NOT(AND(T399="",A400&lt;=S399)),0,IF(A400=入力!$B$15+1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),0)</f>
        <v>98997</v>
      </c>
      <c r="H400" s="32">
        <f t="shared" si="110"/>
        <v>98997</v>
      </c>
      <c r="I400" s="32">
        <f t="shared" si="111"/>
        <v>5214</v>
      </c>
      <c r="J400" s="32">
        <f t="shared" si="112"/>
        <v>0</v>
      </c>
      <c r="K400" s="32">
        <f t="shared" si="113"/>
        <v>0</v>
      </c>
      <c r="L400" s="32">
        <f t="shared" si="114"/>
        <v>93783</v>
      </c>
      <c r="M400" s="32">
        <f>IF(AND(AND(T399="",A400&lt;=S399),A400=入力!$B$15),ROUND(MIN(入力!$B$16,MAX(0,C400-L400)),0),0)</f>
        <v>0</v>
      </c>
      <c r="N400" s="32">
        <f t="shared" si="115"/>
        <v>2409140</v>
      </c>
      <c r="O400" s="32">
        <f t="shared" si="116"/>
        <v>12320915</v>
      </c>
      <c r="P400" s="34" t="str">
        <f>IF(NOT(AND(T399="",A400&lt;=S399)),"",IF(A400=入力!$B$15+1,"繰上返済後再計算","")&amp;IF(AND(入力!$B$13="有効",A400&gt;1,MOD(A400-1,60)=0),IF(A400=入力!$B$15+1,"・","")&amp;"5年見直し","")&amp;IF(AND(A400=入力!$B$11,A400&gt;1),IF(OR(A400=入力!$B$15+1,AND(入力!$B$13="有効",A400&gt;1,MOD(A400-1,60)=0)),"・","")&amp;"金利変更","")&amp;IF(AND(OR(AND(入力!$B$13="有効",A400&gt;1,MOD(A400-1,60)=0),AND(A400=入力!$B$11,A400&gt;1)),入力!$B$14="有効",IF(E400=0,ROUND(C400/MAX(1,S399-A400+1),0),ROUND(-PMT(E400/12,MAX(1,S399-A400+1),C400),0))&gt;ROUND(G399*1.25,0),NOT(A400=入力!$B$15+1)),"・上限適用",""))</f>
        <v/>
      </c>
      <c r="Q400" s="35" t="str">
        <f>IF(AND(T399="",A400&lt;=S399),入力!$B$13,"")</f>
        <v>有効</v>
      </c>
      <c r="R400" s="32" t="str">
        <f>IF(AND(AND(T399="",A400&lt;=S399),OR(AND(入力!$B$13="有効",A400&gt;1,MOD(A400-1,60)=0),AND(A400=入力!$B$11,A400&gt;1)),入力!$B$14="有効"),ROUND(G399*1.25,0),"")</f>
        <v/>
      </c>
      <c r="S400" s="36">
        <f t="shared" si="117"/>
        <v>420</v>
      </c>
      <c r="T400" s="35" t="str">
        <f t="shared" si="118"/>
        <v/>
      </c>
      <c r="U400" s="3">
        <f t="shared" si="102"/>
        <v>0</v>
      </c>
      <c r="V400" s="3">
        <f t="shared" si="103"/>
        <v>0</v>
      </c>
      <c r="W400" s="3">
        <f t="shared" si="104"/>
        <v>0</v>
      </c>
      <c r="X400" s="3">
        <f t="shared" si="105"/>
        <v>0</v>
      </c>
      <c r="Y400" s="3">
        <f>0</f>
        <v>0</v>
      </c>
      <c r="Z400" s="3">
        <f t="shared" si="106"/>
        <v>0</v>
      </c>
      <c r="AA400">
        <f>ROUND(IF(A400=入力!$B$15+1,IF(E400=0,ROUND(C400/MAX(1,S399-A400+1),0),ROUND(-PMT(E400/12,MAX(1,S399-A400+1)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,0)</f>
        <v>98997</v>
      </c>
    </row>
    <row r="401" spans="1:27">
      <c r="A401" s="30">
        <f>396</f>
        <v>396</v>
      </c>
      <c r="B401" s="31">
        <f>EDATE(入力!$B$6,A401-1)</f>
        <v>58257</v>
      </c>
      <c r="C401" s="32">
        <f t="shared" si="107"/>
        <v>2409140</v>
      </c>
      <c r="D401" s="32">
        <f t="shared" si="108"/>
        <v>0</v>
      </c>
      <c r="E401" s="33">
        <f>IF(AND(T400="",A401&lt;=S400),IF(A401&lt;入力!$B$11,入力!$B$10,入力!$B$12),0)</f>
        <v>2.5000000000000001E-2</v>
      </c>
      <c r="F401" s="32">
        <f t="shared" si="109"/>
        <v>5019</v>
      </c>
      <c r="G401" s="32">
        <f>ROUND(IF(NOT(AND(T400="",A401&lt;=S400)),0,IF(A401=入力!$B$15+1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),0)</f>
        <v>98997</v>
      </c>
      <c r="H401" s="32">
        <f t="shared" si="110"/>
        <v>98997</v>
      </c>
      <c r="I401" s="32">
        <f t="shared" si="111"/>
        <v>5019</v>
      </c>
      <c r="J401" s="32">
        <f t="shared" si="112"/>
        <v>0</v>
      </c>
      <c r="K401" s="32">
        <f t="shared" si="113"/>
        <v>0</v>
      </c>
      <c r="L401" s="32">
        <f t="shared" si="114"/>
        <v>93978</v>
      </c>
      <c r="M401" s="32">
        <f>IF(AND(AND(T400="",A401&lt;=S400),A401=入力!$B$15),ROUND(MIN(入力!$B$16,MAX(0,C401-L401)),0),0)</f>
        <v>0</v>
      </c>
      <c r="N401" s="32">
        <f t="shared" si="115"/>
        <v>2315162</v>
      </c>
      <c r="O401" s="32">
        <f t="shared" si="116"/>
        <v>12325934</v>
      </c>
      <c r="P401" s="34" t="str">
        <f>IF(NOT(AND(T400="",A401&lt;=S400)),"",IF(A401=入力!$B$15+1,"繰上返済後再計算","")&amp;IF(AND(入力!$B$13="有効",A401&gt;1,MOD(A401-1,60)=0),IF(A401=入力!$B$15+1,"・","")&amp;"5年見直し","")&amp;IF(AND(A401=入力!$B$11,A401&gt;1),IF(OR(A401=入力!$B$15+1,AND(入力!$B$13="有効",A401&gt;1,MOD(A401-1,60)=0)),"・","")&amp;"金利変更","")&amp;IF(AND(OR(AND(入力!$B$13="有効",A401&gt;1,MOD(A401-1,60)=0),AND(A401=入力!$B$11,A401&gt;1)),入力!$B$14="有効",IF(E401=0,ROUND(C401/MAX(1,S400-A401+1),0),ROUND(-PMT(E401/12,MAX(1,S400-A401+1),C401),0))&gt;ROUND(G400*1.25,0),NOT(A401=入力!$B$15+1)),"・上限適用",""))</f>
        <v/>
      </c>
      <c r="Q401" s="35" t="str">
        <f>IF(AND(T400="",A401&lt;=S400),入力!$B$13,"")</f>
        <v>有効</v>
      </c>
      <c r="R401" s="32" t="str">
        <f>IF(AND(AND(T400="",A401&lt;=S400),OR(AND(入力!$B$13="有効",A401&gt;1,MOD(A401-1,60)=0),AND(A401=入力!$B$11,A401&gt;1)),入力!$B$14="有効"),ROUND(G400*1.25,0),"")</f>
        <v/>
      </c>
      <c r="S401" s="36">
        <f t="shared" si="117"/>
        <v>420</v>
      </c>
      <c r="T401" s="35" t="str">
        <f t="shared" si="118"/>
        <v/>
      </c>
      <c r="U401" s="3">
        <f t="shared" si="102"/>
        <v>0</v>
      </c>
      <c r="V401" s="3">
        <f t="shared" si="103"/>
        <v>0</v>
      </c>
      <c r="W401" s="3">
        <f t="shared" si="104"/>
        <v>0</v>
      </c>
      <c r="X401" s="3">
        <f t="shared" si="105"/>
        <v>0</v>
      </c>
      <c r="Y401" s="3">
        <f>0</f>
        <v>0</v>
      </c>
      <c r="Z401" s="3">
        <f t="shared" si="106"/>
        <v>0</v>
      </c>
      <c r="AA401">
        <f>ROUND(IF(A401=入力!$B$15+1,IF(E401=0,ROUND(C401/MAX(1,S400-A401+1),0),ROUND(-PMT(E401/12,MAX(1,S400-A401+1)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,0)</f>
        <v>98997</v>
      </c>
    </row>
    <row r="402" spans="1:27">
      <c r="A402" s="30">
        <f>397</f>
        <v>397</v>
      </c>
      <c r="B402" s="31">
        <f>EDATE(入力!$B$6,A402-1)</f>
        <v>58288</v>
      </c>
      <c r="C402" s="32">
        <f t="shared" si="107"/>
        <v>2315162</v>
      </c>
      <c r="D402" s="32">
        <f t="shared" si="108"/>
        <v>0</v>
      </c>
      <c r="E402" s="33">
        <f>IF(AND(T401="",A402&lt;=S401),IF(A402&lt;入力!$B$11,入力!$B$10,入力!$B$12),0)</f>
        <v>2.5000000000000001E-2</v>
      </c>
      <c r="F402" s="32">
        <f t="shared" si="109"/>
        <v>4823</v>
      </c>
      <c r="G402" s="32">
        <f>ROUND(IF(NOT(AND(T401="",A402&lt;=S401)),0,IF(A402=入力!$B$15+1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),0)</f>
        <v>98997</v>
      </c>
      <c r="H402" s="32">
        <f t="shared" si="110"/>
        <v>98997</v>
      </c>
      <c r="I402" s="32">
        <f t="shared" si="111"/>
        <v>4823</v>
      </c>
      <c r="J402" s="32">
        <f t="shared" si="112"/>
        <v>0</v>
      </c>
      <c r="K402" s="32">
        <f t="shared" si="113"/>
        <v>0</v>
      </c>
      <c r="L402" s="32">
        <f t="shared" si="114"/>
        <v>94174</v>
      </c>
      <c r="M402" s="32">
        <f>IF(AND(AND(T401="",A402&lt;=S401),A402=入力!$B$15),ROUND(MIN(入力!$B$16,MAX(0,C402-L402)),0),0)</f>
        <v>0</v>
      </c>
      <c r="N402" s="32">
        <f t="shared" si="115"/>
        <v>2220988</v>
      </c>
      <c r="O402" s="32">
        <f t="shared" si="116"/>
        <v>12330757</v>
      </c>
      <c r="P402" s="34" t="str">
        <f>IF(NOT(AND(T401="",A402&lt;=S401)),"",IF(A402=入力!$B$15+1,"繰上返済後再計算","")&amp;IF(AND(入力!$B$13="有効",A402&gt;1,MOD(A402-1,60)=0),IF(A402=入力!$B$15+1,"・","")&amp;"5年見直し","")&amp;IF(AND(A402=入力!$B$11,A402&gt;1),IF(OR(A402=入力!$B$15+1,AND(入力!$B$13="有効",A402&gt;1,MOD(A402-1,60)=0)),"・","")&amp;"金利変更","")&amp;IF(AND(OR(AND(入力!$B$13="有効",A402&gt;1,MOD(A402-1,60)=0),AND(A402=入力!$B$11,A402&gt;1)),入力!$B$14="有効",IF(E402=0,ROUND(C402/MAX(1,S401-A402+1),0),ROUND(-PMT(E402/12,MAX(1,S401-A402+1),C402),0))&gt;ROUND(G401*1.25,0),NOT(A402=入力!$B$15+1)),"・上限適用",""))</f>
        <v/>
      </c>
      <c r="Q402" s="35" t="str">
        <f>IF(AND(T401="",A402&lt;=S401),入力!$B$13,"")</f>
        <v>有効</v>
      </c>
      <c r="R402" s="32" t="str">
        <f>IF(AND(AND(T401="",A402&lt;=S401),OR(AND(入力!$B$13="有効",A402&gt;1,MOD(A402-1,60)=0),AND(A402=入力!$B$11,A402&gt;1)),入力!$B$14="有効"),ROUND(G401*1.25,0),"")</f>
        <v/>
      </c>
      <c r="S402" s="36">
        <f t="shared" si="117"/>
        <v>420</v>
      </c>
      <c r="T402" s="35" t="str">
        <f t="shared" si="118"/>
        <v/>
      </c>
      <c r="U402" s="3">
        <f t="shared" si="102"/>
        <v>0</v>
      </c>
      <c r="V402" s="3">
        <f t="shared" si="103"/>
        <v>0</v>
      </c>
      <c r="W402" s="3">
        <f t="shared" si="104"/>
        <v>0</v>
      </c>
      <c r="X402" s="3">
        <f t="shared" si="105"/>
        <v>0</v>
      </c>
      <c r="Y402" s="3">
        <f>0</f>
        <v>0</v>
      </c>
      <c r="Z402" s="3">
        <f t="shared" si="106"/>
        <v>0</v>
      </c>
      <c r="AA402">
        <f>ROUND(IF(A402=入力!$B$15+1,IF(E402=0,ROUND(C402/MAX(1,S401-A402+1),0),ROUND(-PMT(E402/12,MAX(1,S401-A402+1)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,0)</f>
        <v>98997</v>
      </c>
    </row>
    <row r="403" spans="1:27">
      <c r="A403" s="30">
        <f>398</f>
        <v>398</v>
      </c>
      <c r="B403" s="31">
        <f>EDATE(入力!$B$6,A403-1)</f>
        <v>58319</v>
      </c>
      <c r="C403" s="32">
        <f t="shared" si="107"/>
        <v>2220988</v>
      </c>
      <c r="D403" s="32">
        <f t="shared" si="108"/>
        <v>0</v>
      </c>
      <c r="E403" s="33">
        <f>IF(AND(T402="",A403&lt;=S402),IF(A403&lt;入力!$B$11,入力!$B$10,入力!$B$12),0)</f>
        <v>2.5000000000000001E-2</v>
      </c>
      <c r="F403" s="32">
        <f t="shared" si="109"/>
        <v>4627</v>
      </c>
      <c r="G403" s="32">
        <f>ROUND(IF(NOT(AND(T402="",A403&lt;=S402)),0,IF(A403=入力!$B$15+1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),0)</f>
        <v>98997</v>
      </c>
      <c r="H403" s="32">
        <f t="shared" si="110"/>
        <v>98997</v>
      </c>
      <c r="I403" s="32">
        <f t="shared" si="111"/>
        <v>4627</v>
      </c>
      <c r="J403" s="32">
        <f t="shared" si="112"/>
        <v>0</v>
      </c>
      <c r="K403" s="32">
        <f t="shared" si="113"/>
        <v>0</v>
      </c>
      <c r="L403" s="32">
        <f t="shared" si="114"/>
        <v>94370</v>
      </c>
      <c r="M403" s="32">
        <f>IF(AND(AND(T402="",A403&lt;=S402),A403=入力!$B$15),ROUND(MIN(入力!$B$16,MAX(0,C403-L403)),0),0)</f>
        <v>0</v>
      </c>
      <c r="N403" s="32">
        <f t="shared" si="115"/>
        <v>2126618</v>
      </c>
      <c r="O403" s="32">
        <f t="shared" si="116"/>
        <v>12335384</v>
      </c>
      <c r="P403" s="34" t="str">
        <f>IF(NOT(AND(T402="",A403&lt;=S402)),"",IF(A403=入力!$B$15+1,"繰上返済後再計算","")&amp;IF(AND(入力!$B$13="有効",A403&gt;1,MOD(A403-1,60)=0),IF(A403=入力!$B$15+1,"・","")&amp;"5年見直し","")&amp;IF(AND(A403=入力!$B$11,A403&gt;1),IF(OR(A403=入力!$B$15+1,AND(入力!$B$13="有効",A403&gt;1,MOD(A403-1,60)=0)),"・","")&amp;"金利変更","")&amp;IF(AND(OR(AND(入力!$B$13="有効",A403&gt;1,MOD(A403-1,60)=0),AND(A403=入力!$B$11,A403&gt;1)),入力!$B$14="有効",IF(E403=0,ROUND(C403/MAX(1,S402-A403+1),0),ROUND(-PMT(E403/12,MAX(1,S402-A403+1),C403),0))&gt;ROUND(G402*1.25,0),NOT(A403=入力!$B$15+1)),"・上限適用",""))</f>
        <v/>
      </c>
      <c r="Q403" s="35" t="str">
        <f>IF(AND(T402="",A403&lt;=S402),入力!$B$13,"")</f>
        <v>有効</v>
      </c>
      <c r="R403" s="32" t="str">
        <f>IF(AND(AND(T402="",A403&lt;=S402),OR(AND(入力!$B$13="有効",A403&gt;1,MOD(A403-1,60)=0),AND(A403=入力!$B$11,A403&gt;1)),入力!$B$14="有効"),ROUND(G402*1.25,0),"")</f>
        <v/>
      </c>
      <c r="S403" s="36">
        <f t="shared" si="117"/>
        <v>420</v>
      </c>
      <c r="T403" s="35" t="str">
        <f t="shared" si="118"/>
        <v/>
      </c>
      <c r="U403" s="3">
        <f t="shared" si="102"/>
        <v>0</v>
      </c>
      <c r="V403" s="3">
        <f t="shared" si="103"/>
        <v>0</v>
      </c>
      <c r="W403" s="3">
        <f t="shared" si="104"/>
        <v>0</v>
      </c>
      <c r="X403" s="3">
        <f t="shared" si="105"/>
        <v>0</v>
      </c>
      <c r="Y403" s="3">
        <f>0</f>
        <v>0</v>
      </c>
      <c r="Z403" s="3">
        <f t="shared" si="106"/>
        <v>0</v>
      </c>
      <c r="AA403">
        <f>ROUND(IF(A403=入力!$B$15+1,IF(E403=0,ROUND(C403/MAX(1,S402-A403+1),0),ROUND(-PMT(E403/12,MAX(1,S402-A403+1)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,0)</f>
        <v>98997</v>
      </c>
    </row>
    <row r="404" spans="1:27">
      <c r="A404" s="30">
        <f>399</f>
        <v>399</v>
      </c>
      <c r="B404" s="31">
        <f>EDATE(入力!$B$6,A404-1)</f>
        <v>58349</v>
      </c>
      <c r="C404" s="32">
        <f t="shared" si="107"/>
        <v>2126618</v>
      </c>
      <c r="D404" s="32">
        <f t="shared" si="108"/>
        <v>0</v>
      </c>
      <c r="E404" s="33">
        <f>IF(AND(T403="",A404&lt;=S403),IF(A404&lt;入力!$B$11,入力!$B$10,入力!$B$12),0)</f>
        <v>2.5000000000000001E-2</v>
      </c>
      <c r="F404" s="32">
        <f t="shared" si="109"/>
        <v>4430</v>
      </c>
      <c r="G404" s="32">
        <f>ROUND(IF(NOT(AND(T403="",A404&lt;=S403)),0,IF(A404=入力!$B$15+1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),0)</f>
        <v>98997</v>
      </c>
      <c r="H404" s="32">
        <f t="shared" si="110"/>
        <v>98997</v>
      </c>
      <c r="I404" s="32">
        <f t="shared" si="111"/>
        <v>4430</v>
      </c>
      <c r="J404" s="32">
        <f t="shared" si="112"/>
        <v>0</v>
      </c>
      <c r="K404" s="32">
        <f t="shared" si="113"/>
        <v>0</v>
      </c>
      <c r="L404" s="32">
        <f t="shared" si="114"/>
        <v>94567</v>
      </c>
      <c r="M404" s="32">
        <f>IF(AND(AND(T403="",A404&lt;=S403),A404=入力!$B$15),ROUND(MIN(入力!$B$16,MAX(0,C404-L404)),0),0)</f>
        <v>0</v>
      </c>
      <c r="N404" s="32">
        <f t="shared" si="115"/>
        <v>2032051</v>
      </c>
      <c r="O404" s="32">
        <f t="shared" si="116"/>
        <v>12339814</v>
      </c>
      <c r="P404" s="34" t="str">
        <f>IF(NOT(AND(T403="",A404&lt;=S403)),"",IF(A404=入力!$B$15+1,"繰上返済後再計算","")&amp;IF(AND(入力!$B$13="有効",A404&gt;1,MOD(A404-1,60)=0),IF(A404=入力!$B$15+1,"・","")&amp;"5年見直し","")&amp;IF(AND(A404=入力!$B$11,A404&gt;1),IF(OR(A404=入力!$B$15+1,AND(入力!$B$13="有効",A404&gt;1,MOD(A404-1,60)=0)),"・","")&amp;"金利変更","")&amp;IF(AND(OR(AND(入力!$B$13="有効",A404&gt;1,MOD(A404-1,60)=0),AND(A404=入力!$B$11,A404&gt;1)),入力!$B$14="有効",IF(E404=0,ROUND(C404/MAX(1,S403-A404+1),0),ROUND(-PMT(E404/12,MAX(1,S403-A404+1),C404),0))&gt;ROUND(G403*1.25,0),NOT(A404=入力!$B$15+1)),"・上限適用",""))</f>
        <v/>
      </c>
      <c r="Q404" s="35" t="str">
        <f>IF(AND(T403="",A404&lt;=S403),入力!$B$13,"")</f>
        <v>有効</v>
      </c>
      <c r="R404" s="32" t="str">
        <f>IF(AND(AND(T403="",A404&lt;=S403),OR(AND(入力!$B$13="有効",A404&gt;1,MOD(A404-1,60)=0),AND(A404=入力!$B$11,A404&gt;1)),入力!$B$14="有効"),ROUND(G403*1.25,0),"")</f>
        <v/>
      </c>
      <c r="S404" s="36">
        <f t="shared" si="117"/>
        <v>420</v>
      </c>
      <c r="T404" s="35" t="str">
        <f t="shared" si="118"/>
        <v/>
      </c>
      <c r="U404" s="3">
        <f t="shared" si="102"/>
        <v>0</v>
      </c>
      <c r="V404" s="3">
        <f t="shared" si="103"/>
        <v>0</v>
      </c>
      <c r="W404" s="3">
        <f t="shared" si="104"/>
        <v>0</v>
      </c>
      <c r="X404" s="3">
        <f t="shared" si="105"/>
        <v>0</v>
      </c>
      <c r="Y404" s="3">
        <f>0</f>
        <v>0</v>
      </c>
      <c r="Z404" s="3">
        <f t="shared" si="106"/>
        <v>0</v>
      </c>
      <c r="AA404">
        <f>ROUND(IF(A404=入力!$B$15+1,IF(E404=0,ROUND(C404/MAX(1,S403-A404+1),0),ROUND(-PMT(E404/12,MAX(1,S403-A404+1)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,0)</f>
        <v>98997</v>
      </c>
    </row>
    <row r="405" spans="1:27">
      <c r="A405" s="30">
        <f>400</f>
        <v>400</v>
      </c>
      <c r="B405" s="31">
        <f>EDATE(入力!$B$6,A405-1)</f>
        <v>58380</v>
      </c>
      <c r="C405" s="32">
        <f t="shared" si="107"/>
        <v>2032051</v>
      </c>
      <c r="D405" s="32">
        <f t="shared" si="108"/>
        <v>0</v>
      </c>
      <c r="E405" s="33">
        <f>IF(AND(T404="",A405&lt;=S404),IF(A405&lt;入力!$B$11,入力!$B$10,入力!$B$12),0)</f>
        <v>2.5000000000000001E-2</v>
      </c>
      <c r="F405" s="32">
        <f t="shared" si="109"/>
        <v>4233</v>
      </c>
      <c r="G405" s="32">
        <f>ROUND(IF(NOT(AND(T404="",A405&lt;=S404)),0,IF(A405=入力!$B$15+1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),0)</f>
        <v>98997</v>
      </c>
      <c r="H405" s="32">
        <f t="shared" si="110"/>
        <v>98997</v>
      </c>
      <c r="I405" s="32">
        <f t="shared" si="111"/>
        <v>4233</v>
      </c>
      <c r="J405" s="32">
        <f t="shared" si="112"/>
        <v>0</v>
      </c>
      <c r="K405" s="32">
        <f t="shared" si="113"/>
        <v>0</v>
      </c>
      <c r="L405" s="32">
        <f t="shared" si="114"/>
        <v>94764</v>
      </c>
      <c r="M405" s="32">
        <f>IF(AND(AND(T404="",A405&lt;=S404),A405=入力!$B$15),ROUND(MIN(入力!$B$16,MAX(0,C405-L405)),0),0)</f>
        <v>0</v>
      </c>
      <c r="N405" s="32">
        <f t="shared" si="115"/>
        <v>1937287</v>
      </c>
      <c r="O405" s="32">
        <f t="shared" si="116"/>
        <v>12344047</v>
      </c>
      <c r="P405" s="34" t="str">
        <f>IF(NOT(AND(T404="",A405&lt;=S404)),"",IF(A405=入力!$B$15+1,"繰上返済後再計算","")&amp;IF(AND(入力!$B$13="有効",A405&gt;1,MOD(A405-1,60)=0),IF(A405=入力!$B$15+1,"・","")&amp;"5年見直し","")&amp;IF(AND(A405=入力!$B$11,A405&gt;1),IF(OR(A405=入力!$B$15+1,AND(入力!$B$13="有効",A405&gt;1,MOD(A405-1,60)=0)),"・","")&amp;"金利変更","")&amp;IF(AND(OR(AND(入力!$B$13="有効",A405&gt;1,MOD(A405-1,60)=0),AND(A405=入力!$B$11,A405&gt;1)),入力!$B$14="有効",IF(E405=0,ROUND(C405/MAX(1,S404-A405+1),0),ROUND(-PMT(E405/12,MAX(1,S404-A405+1),C405),0))&gt;ROUND(G404*1.25,0),NOT(A405=入力!$B$15+1)),"・上限適用",""))</f>
        <v/>
      </c>
      <c r="Q405" s="35" t="str">
        <f>IF(AND(T404="",A405&lt;=S404),入力!$B$13,"")</f>
        <v>有効</v>
      </c>
      <c r="R405" s="32" t="str">
        <f>IF(AND(AND(T404="",A405&lt;=S404),OR(AND(入力!$B$13="有効",A405&gt;1,MOD(A405-1,60)=0),AND(A405=入力!$B$11,A405&gt;1)),入力!$B$14="有効"),ROUND(G404*1.25,0),"")</f>
        <v/>
      </c>
      <c r="S405" s="36">
        <f t="shared" si="117"/>
        <v>420</v>
      </c>
      <c r="T405" s="35" t="str">
        <f t="shared" si="118"/>
        <v/>
      </c>
      <c r="U405" s="3">
        <f t="shared" si="102"/>
        <v>0</v>
      </c>
      <c r="V405" s="3">
        <f t="shared" si="103"/>
        <v>0</v>
      </c>
      <c r="W405" s="3">
        <f t="shared" si="104"/>
        <v>0</v>
      </c>
      <c r="X405" s="3">
        <f t="shared" si="105"/>
        <v>0</v>
      </c>
      <c r="Y405" s="3">
        <f>0</f>
        <v>0</v>
      </c>
      <c r="Z405" s="3">
        <f t="shared" si="106"/>
        <v>0</v>
      </c>
      <c r="AA405">
        <f>ROUND(IF(A405=入力!$B$15+1,IF(E405=0,ROUND(C405/MAX(1,S404-A405+1),0),ROUND(-PMT(E405/12,MAX(1,S404-A405+1)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,0)</f>
        <v>98997</v>
      </c>
    </row>
    <row r="406" spans="1:27">
      <c r="A406" s="30">
        <f>401</f>
        <v>401</v>
      </c>
      <c r="B406" s="31">
        <f>EDATE(入力!$B$6,A406-1)</f>
        <v>58410</v>
      </c>
      <c r="C406" s="32">
        <f t="shared" si="107"/>
        <v>1937287</v>
      </c>
      <c r="D406" s="32">
        <f t="shared" si="108"/>
        <v>0</v>
      </c>
      <c r="E406" s="33">
        <f>IF(AND(T405="",A406&lt;=S405),IF(A406&lt;入力!$B$11,入力!$B$10,入力!$B$12),0)</f>
        <v>2.5000000000000001E-2</v>
      </c>
      <c r="F406" s="32">
        <f t="shared" si="109"/>
        <v>4036</v>
      </c>
      <c r="G406" s="32">
        <f>ROUND(IF(NOT(AND(T405="",A406&lt;=S405)),0,IF(A406=入力!$B$15+1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),0)</f>
        <v>98997</v>
      </c>
      <c r="H406" s="32">
        <f t="shared" si="110"/>
        <v>98997</v>
      </c>
      <c r="I406" s="32">
        <f t="shared" si="111"/>
        <v>4036</v>
      </c>
      <c r="J406" s="32">
        <f t="shared" si="112"/>
        <v>0</v>
      </c>
      <c r="K406" s="32">
        <f t="shared" si="113"/>
        <v>0</v>
      </c>
      <c r="L406" s="32">
        <f t="shared" si="114"/>
        <v>94961</v>
      </c>
      <c r="M406" s="32">
        <f>IF(AND(AND(T405="",A406&lt;=S405),A406=入力!$B$15),ROUND(MIN(入力!$B$16,MAX(0,C406-L406)),0),0)</f>
        <v>0</v>
      </c>
      <c r="N406" s="32">
        <f t="shared" si="115"/>
        <v>1842326</v>
      </c>
      <c r="O406" s="32">
        <f t="shared" si="116"/>
        <v>12348083</v>
      </c>
      <c r="P406" s="34" t="str">
        <f>IF(NOT(AND(T405="",A406&lt;=S405)),"",IF(A406=入力!$B$15+1,"繰上返済後再計算","")&amp;IF(AND(入力!$B$13="有効",A406&gt;1,MOD(A406-1,60)=0),IF(A406=入力!$B$15+1,"・","")&amp;"5年見直し","")&amp;IF(AND(A406=入力!$B$11,A406&gt;1),IF(OR(A406=入力!$B$15+1,AND(入力!$B$13="有効",A406&gt;1,MOD(A406-1,60)=0)),"・","")&amp;"金利変更","")&amp;IF(AND(OR(AND(入力!$B$13="有効",A406&gt;1,MOD(A406-1,60)=0),AND(A406=入力!$B$11,A406&gt;1)),入力!$B$14="有効",IF(E406=0,ROUND(C406/MAX(1,S405-A406+1),0),ROUND(-PMT(E406/12,MAX(1,S405-A406+1),C406),0))&gt;ROUND(G405*1.25,0),NOT(A406=入力!$B$15+1)),"・上限適用",""))</f>
        <v/>
      </c>
      <c r="Q406" s="35" t="str">
        <f>IF(AND(T405="",A406&lt;=S405),入力!$B$13,"")</f>
        <v>有効</v>
      </c>
      <c r="R406" s="32" t="str">
        <f>IF(AND(AND(T405="",A406&lt;=S405),OR(AND(入力!$B$13="有効",A406&gt;1,MOD(A406-1,60)=0),AND(A406=入力!$B$11,A406&gt;1)),入力!$B$14="有効"),ROUND(G405*1.25,0),"")</f>
        <v/>
      </c>
      <c r="S406" s="36">
        <f t="shared" si="117"/>
        <v>420</v>
      </c>
      <c r="T406" s="35" t="str">
        <f t="shared" si="118"/>
        <v/>
      </c>
      <c r="U406" s="3">
        <f t="shared" si="102"/>
        <v>0</v>
      </c>
      <c r="V406" s="3">
        <f t="shared" si="103"/>
        <v>0</v>
      </c>
      <c r="W406" s="3">
        <f t="shared" si="104"/>
        <v>0</v>
      </c>
      <c r="X406" s="3">
        <f t="shared" si="105"/>
        <v>0</v>
      </c>
      <c r="Y406" s="3">
        <f>0</f>
        <v>0</v>
      </c>
      <c r="Z406" s="3">
        <f t="shared" si="106"/>
        <v>0</v>
      </c>
      <c r="AA406">
        <f>ROUND(IF(A406=入力!$B$15+1,IF(E406=0,ROUND(C406/MAX(1,S405-A406+1),0),ROUND(-PMT(E406/12,MAX(1,S405-A406+1)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,0)</f>
        <v>98997</v>
      </c>
    </row>
    <row r="407" spans="1:27">
      <c r="A407" s="30">
        <f>402</f>
        <v>402</v>
      </c>
      <c r="B407" s="31">
        <f>EDATE(入力!$B$6,A407-1)</f>
        <v>58441</v>
      </c>
      <c r="C407" s="32">
        <f t="shared" si="107"/>
        <v>1842326</v>
      </c>
      <c r="D407" s="32">
        <f t="shared" si="108"/>
        <v>0</v>
      </c>
      <c r="E407" s="33">
        <f>IF(AND(T406="",A407&lt;=S406),IF(A407&lt;入力!$B$11,入力!$B$10,入力!$B$12),0)</f>
        <v>2.5000000000000001E-2</v>
      </c>
      <c r="F407" s="32">
        <f t="shared" si="109"/>
        <v>3838</v>
      </c>
      <c r="G407" s="32">
        <f>ROUND(IF(NOT(AND(T406="",A407&lt;=S406)),0,IF(A407=入力!$B$15+1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),0)</f>
        <v>98997</v>
      </c>
      <c r="H407" s="32">
        <f t="shared" si="110"/>
        <v>98997</v>
      </c>
      <c r="I407" s="32">
        <f t="shared" si="111"/>
        <v>3838</v>
      </c>
      <c r="J407" s="32">
        <f t="shared" si="112"/>
        <v>0</v>
      </c>
      <c r="K407" s="32">
        <f t="shared" si="113"/>
        <v>0</v>
      </c>
      <c r="L407" s="32">
        <f t="shared" si="114"/>
        <v>95159</v>
      </c>
      <c r="M407" s="32">
        <f>IF(AND(AND(T406="",A407&lt;=S406),A407=入力!$B$15),ROUND(MIN(入力!$B$16,MAX(0,C407-L407)),0),0)</f>
        <v>0</v>
      </c>
      <c r="N407" s="32">
        <f t="shared" si="115"/>
        <v>1747167</v>
      </c>
      <c r="O407" s="32">
        <f t="shared" si="116"/>
        <v>12351921</v>
      </c>
      <c r="P407" s="34" t="str">
        <f>IF(NOT(AND(T406="",A407&lt;=S406)),"",IF(A407=入力!$B$15+1,"繰上返済後再計算","")&amp;IF(AND(入力!$B$13="有効",A407&gt;1,MOD(A407-1,60)=0),IF(A407=入力!$B$15+1,"・","")&amp;"5年見直し","")&amp;IF(AND(A407=入力!$B$11,A407&gt;1),IF(OR(A407=入力!$B$15+1,AND(入力!$B$13="有効",A407&gt;1,MOD(A407-1,60)=0)),"・","")&amp;"金利変更","")&amp;IF(AND(OR(AND(入力!$B$13="有効",A407&gt;1,MOD(A407-1,60)=0),AND(A407=入力!$B$11,A407&gt;1)),入力!$B$14="有効",IF(E407=0,ROUND(C407/MAX(1,S406-A407+1),0),ROUND(-PMT(E407/12,MAX(1,S406-A407+1),C407),0))&gt;ROUND(G406*1.25,0),NOT(A407=入力!$B$15+1)),"・上限適用",""))</f>
        <v/>
      </c>
      <c r="Q407" s="35" t="str">
        <f>IF(AND(T406="",A407&lt;=S406),入力!$B$13,"")</f>
        <v>有効</v>
      </c>
      <c r="R407" s="32" t="str">
        <f>IF(AND(AND(T406="",A407&lt;=S406),OR(AND(入力!$B$13="有効",A407&gt;1,MOD(A407-1,60)=0),AND(A407=入力!$B$11,A407&gt;1)),入力!$B$14="有効"),ROUND(G406*1.25,0),"")</f>
        <v/>
      </c>
      <c r="S407" s="36">
        <f t="shared" si="117"/>
        <v>420</v>
      </c>
      <c r="T407" s="35" t="str">
        <f t="shared" si="118"/>
        <v/>
      </c>
      <c r="U407" s="3">
        <f t="shared" si="102"/>
        <v>0</v>
      </c>
      <c r="V407" s="3">
        <f t="shared" si="103"/>
        <v>0</v>
      </c>
      <c r="W407" s="3">
        <f t="shared" si="104"/>
        <v>0</v>
      </c>
      <c r="X407" s="3">
        <f t="shared" si="105"/>
        <v>0</v>
      </c>
      <c r="Y407" s="3">
        <f>0</f>
        <v>0</v>
      </c>
      <c r="Z407" s="3">
        <f t="shared" si="106"/>
        <v>0</v>
      </c>
      <c r="AA407">
        <f>ROUND(IF(A407=入力!$B$15+1,IF(E407=0,ROUND(C407/MAX(1,S406-A407+1),0),ROUND(-PMT(E407/12,MAX(1,S406-A407+1)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,0)</f>
        <v>98997</v>
      </c>
    </row>
    <row r="408" spans="1:27">
      <c r="A408" s="30">
        <f>403</f>
        <v>403</v>
      </c>
      <c r="B408" s="31">
        <f>EDATE(入力!$B$6,A408-1)</f>
        <v>58472</v>
      </c>
      <c r="C408" s="32">
        <f t="shared" si="107"/>
        <v>1747167</v>
      </c>
      <c r="D408" s="32">
        <f t="shared" si="108"/>
        <v>0</v>
      </c>
      <c r="E408" s="33">
        <f>IF(AND(T407="",A408&lt;=S407),IF(A408&lt;入力!$B$11,入力!$B$10,入力!$B$12),0)</f>
        <v>2.5000000000000001E-2</v>
      </c>
      <c r="F408" s="32">
        <f t="shared" si="109"/>
        <v>3640</v>
      </c>
      <c r="G408" s="32">
        <f>ROUND(IF(NOT(AND(T407="",A408&lt;=S407)),0,IF(A408=入力!$B$15+1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),0)</f>
        <v>98997</v>
      </c>
      <c r="H408" s="32">
        <f t="shared" si="110"/>
        <v>98997</v>
      </c>
      <c r="I408" s="32">
        <f t="shared" si="111"/>
        <v>3640</v>
      </c>
      <c r="J408" s="32">
        <f t="shared" si="112"/>
        <v>0</v>
      </c>
      <c r="K408" s="32">
        <f t="shared" si="113"/>
        <v>0</v>
      </c>
      <c r="L408" s="32">
        <f t="shared" si="114"/>
        <v>95357</v>
      </c>
      <c r="M408" s="32">
        <f>IF(AND(AND(T407="",A408&lt;=S407),A408=入力!$B$15),ROUND(MIN(入力!$B$16,MAX(0,C408-L408)),0),0)</f>
        <v>0</v>
      </c>
      <c r="N408" s="32">
        <f t="shared" si="115"/>
        <v>1651810</v>
      </c>
      <c r="O408" s="32">
        <f t="shared" si="116"/>
        <v>12355561</v>
      </c>
      <c r="P408" s="34" t="str">
        <f>IF(NOT(AND(T407="",A408&lt;=S407)),"",IF(A408=入力!$B$15+1,"繰上返済後再計算","")&amp;IF(AND(入力!$B$13="有効",A408&gt;1,MOD(A408-1,60)=0),IF(A408=入力!$B$15+1,"・","")&amp;"5年見直し","")&amp;IF(AND(A408=入力!$B$11,A408&gt;1),IF(OR(A408=入力!$B$15+1,AND(入力!$B$13="有効",A408&gt;1,MOD(A408-1,60)=0)),"・","")&amp;"金利変更","")&amp;IF(AND(OR(AND(入力!$B$13="有効",A408&gt;1,MOD(A408-1,60)=0),AND(A408=入力!$B$11,A408&gt;1)),入力!$B$14="有効",IF(E408=0,ROUND(C408/MAX(1,S407-A408+1),0),ROUND(-PMT(E408/12,MAX(1,S407-A408+1),C408),0))&gt;ROUND(G407*1.25,0),NOT(A408=入力!$B$15+1)),"・上限適用",""))</f>
        <v/>
      </c>
      <c r="Q408" s="35" t="str">
        <f>IF(AND(T407="",A408&lt;=S407),入力!$B$13,"")</f>
        <v>有効</v>
      </c>
      <c r="R408" s="32" t="str">
        <f>IF(AND(AND(T407="",A408&lt;=S407),OR(AND(入力!$B$13="有効",A408&gt;1,MOD(A408-1,60)=0),AND(A408=入力!$B$11,A408&gt;1)),入力!$B$14="有効"),ROUND(G407*1.25,0),"")</f>
        <v/>
      </c>
      <c r="S408" s="36">
        <f t="shared" si="117"/>
        <v>420</v>
      </c>
      <c r="T408" s="35" t="str">
        <f t="shared" si="118"/>
        <v/>
      </c>
      <c r="U408" s="3">
        <f t="shared" si="102"/>
        <v>0</v>
      </c>
      <c r="V408" s="3">
        <f t="shared" si="103"/>
        <v>0</v>
      </c>
      <c r="W408" s="3">
        <f t="shared" si="104"/>
        <v>0</v>
      </c>
      <c r="X408" s="3">
        <f t="shared" si="105"/>
        <v>0</v>
      </c>
      <c r="Y408" s="3">
        <f>0</f>
        <v>0</v>
      </c>
      <c r="Z408" s="3">
        <f t="shared" si="106"/>
        <v>0</v>
      </c>
      <c r="AA408">
        <f>ROUND(IF(A408=入力!$B$15+1,IF(E408=0,ROUND(C408/MAX(1,S407-A408+1),0),ROUND(-PMT(E408/12,MAX(1,S407-A408+1)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,0)</f>
        <v>98997</v>
      </c>
    </row>
    <row r="409" spans="1:27">
      <c r="A409" s="30">
        <f>404</f>
        <v>404</v>
      </c>
      <c r="B409" s="31">
        <f>EDATE(入力!$B$6,A409-1)</f>
        <v>58501</v>
      </c>
      <c r="C409" s="32">
        <f t="shared" si="107"/>
        <v>1651810</v>
      </c>
      <c r="D409" s="32">
        <f t="shared" si="108"/>
        <v>0</v>
      </c>
      <c r="E409" s="33">
        <f>IF(AND(T408="",A409&lt;=S408),IF(A409&lt;入力!$B$11,入力!$B$10,入力!$B$12),0)</f>
        <v>2.5000000000000001E-2</v>
      </c>
      <c r="F409" s="32">
        <f t="shared" si="109"/>
        <v>3441</v>
      </c>
      <c r="G409" s="32">
        <f>ROUND(IF(NOT(AND(T408="",A409&lt;=S408)),0,IF(A409=入力!$B$15+1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),0)</f>
        <v>98997</v>
      </c>
      <c r="H409" s="32">
        <f t="shared" si="110"/>
        <v>98997</v>
      </c>
      <c r="I409" s="32">
        <f t="shared" si="111"/>
        <v>3441</v>
      </c>
      <c r="J409" s="32">
        <f t="shared" si="112"/>
        <v>0</v>
      </c>
      <c r="K409" s="32">
        <f t="shared" si="113"/>
        <v>0</v>
      </c>
      <c r="L409" s="32">
        <f t="shared" si="114"/>
        <v>95556</v>
      </c>
      <c r="M409" s="32">
        <f>IF(AND(AND(T408="",A409&lt;=S408),A409=入力!$B$15),ROUND(MIN(入力!$B$16,MAX(0,C409-L409)),0),0)</f>
        <v>0</v>
      </c>
      <c r="N409" s="32">
        <f t="shared" si="115"/>
        <v>1556254</v>
      </c>
      <c r="O409" s="32">
        <f t="shared" si="116"/>
        <v>12359002</v>
      </c>
      <c r="P409" s="34" t="str">
        <f>IF(NOT(AND(T408="",A409&lt;=S408)),"",IF(A409=入力!$B$15+1,"繰上返済後再計算","")&amp;IF(AND(入力!$B$13="有効",A409&gt;1,MOD(A409-1,60)=0),IF(A409=入力!$B$15+1,"・","")&amp;"5年見直し","")&amp;IF(AND(A409=入力!$B$11,A409&gt;1),IF(OR(A409=入力!$B$15+1,AND(入力!$B$13="有効",A409&gt;1,MOD(A409-1,60)=0)),"・","")&amp;"金利変更","")&amp;IF(AND(OR(AND(入力!$B$13="有効",A409&gt;1,MOD(A409-1,60)=0),AND(A409=入力!$B$11,A409&gt;1)),入力!$B$14="有効",IF(E409=0,ROUND(C409/MAX(1,S408-A409+1),0),ROUND(-PMT(E409/12,MAX(1,S408-A409+1),C409),0))&gt;ROUND(G408*1.25,0),NOT(A409=入力!$B$15+1)),"・上限適用",""))</f>
        <v/>
      </c>
      <c r="Q409" s="35" t="str">
        <f>IF(AND(T408="",A409&lt;=S408),入力!$B$13,"")</f>
        <v>有効</v>
      </c>
      <c r="R409" s="32" t="str">
        <f>IF(AND(AND(T408="",A409&lt;=S408),OR(AND(入力!$B$13="有効",A409&gt;1,MOD(A409-1,60)=0),AND(A409=入力!$B$11,A409&gt;1)),入力!$B$14="有効"),ROUND(G408*1.25,0),"")</f>
        <v/>
      </c>
      <c r="S409" s="36">
        <f t="shared" si="117"/>
        <v>420</v>
      </c>
      <c r="T409" s="35" t="str">
        <f t="shared" si="118"/>
        <v/>
      </c>
      <c r="U409" s="3">
        <f t="shared" si="102"/>
        <v>0</v>
      </c>
      <c r="V409" s="3">
        <f t="shared" si="103"/>
        <v>0</v>
      </c>
      <c r="W409" s="3">
        <f t="shared" si="104"/>
        <v>0</v>
      </c>
      <c r="X409" s="3">
        <f t="shared" si="105"/>
        <v>0</v>
      </c>
      <c r="Y409" s="3">
        <f>0</f>
        <v>0</v>
      </c>
      <c r="Z409" s="3">
        <f t="shared" si="106"/>
        <v>0</v>
      </c>
      <c r="AA409">
        <f>ROUND(IF(A409=入力!$B$15+1,IF(E409=0,ROUND(C409/MAX(1,S408-A409+1),0),ROUND(-PMT(E409/12,MAX(1,S408-A409+1)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,0)</f>
        <v>98997</v>
      </c>
    </row>
    <row r="410" spans="1:27">
      <c r="A410" s="30">
        <f>405</f>
        <v>405</v>
      </c>
      <c r="B410" s="31">
        <f>EDATE(入力!$B$6,A410-1)</f>
        <v>58532</v>
      </c>
      <c r="C410" s="32">
        <f t="shared" si="107"/>
        <v>1556254</v>
      </c>
      <c r="D410" s="32">
        <f t="shared" si="108"/>
        <v>0</v>
      </c>
      <c r="E410" s="33">
        <f>IF(AND(T409="",A410&lt;=S409),IF(A410&lt;入力!$B$11,入力!$B$10,入力!$B$12),0)</f>
        <v>2.5000000000000001E-2</v>
      </c>
      <c r="F410" s="32">
        <f t="shared" si="109"/>
        <v>3242</v>
      </c>
      <c r="G410" s="32">
        <f>ROUND(IF(NOT(AND(T409="",A410&lt;=S409)),0,IF(A410=入力!$B$15+1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),0)</f>
        <v>98997</v>
      </c>
      <c r="H410" s="32">
        <f t="shared" si="110"/>
        <v>98997</v>
      </c>
      <c r="I410" s="32">
        <f t="shared" si="111"/>
        <v>3242</v>
      </c>
      <c r="J410" s="32">
        <f t="shared" si="112"/>
        <v>0</v>
      </c>
      <c r="K410" s="32">
        <f t="shared" si="113"/>
        <v>0</v>
      </c>
      <c r="L410" s="32">
        <f t="shared" si="114"/>
        <v>95755</v>
      </c>
      <c r="M410" s="32">
        <f>IF(AND(AND(T409="",A410&lt;=S409),A410=入力!$B$15),ROUND(MIN(入力!$B$16,MAX(0,C410-L410)),0),0)</f>
        <v>0</v>
      </c>
      <c r="N410" s="32">
        <f t="shared" si="115"/>
        <v>1460499</v>
      </c>
      <c r="O410" s="32">
        <f t="shared" si="116"/>
        <v>12362244</v>
      </c>
      <c r="P410" s="34" t="str">
        <f>IF(NOT(AND(T409="",A410&lt;=S409)),"",IF(A410=入力!$B$15+1,"繰上返済後再計算","")&amp;IF(AND(入力!$B$13="有効",A410&gt;1,MOD(A410-1,60)=0),IF(A410=入力!$B$15+1,"・","")&amp;"5年見直し","")&amp;IF(AND(A410=入力!$B$11,A410&gt;1),IF(OR(A410=入力!$B$15+1,AND(入力!$B$13="有効",A410&gt;1,MOD(A410-1,60)=0)),"・","")&amp;"金利変更","")&amp;IF(AND(OR(AND(入力!$B$13="有効",A410&gt;1,MOD(A410-1,60)=0),AND(A410=入力!$B$11,A410&gt;1)),入力!$B$14="有効",IF(E410=0,ROUND(C410/MAX(1,S409-A410+1),0),ROUND(-PMT(E410/12,MAX(1,S409-A410+1),C410),0))&gt;ROUND(G409*1.25,0),NOT(A410=入力!$B$15+1)),"・上限適用",""))</f>
        <v/>
      </c>
      <c r="Q410" s="35" t="str">
        <f>IF(AND(T409="",A410&lt;=S409),入力!$B$13,"")</f>
        <v>有効</v>
      </c>
      <c r="R410" s="32" t="str">
        <f>IF(AND(AND(T409="",A410&lt;=S409),OR(AND(入力!$B$13="有効",A410&gt;1,MOD(A410-1,60)=0),AND(A410=入力!$B$11,A410&gt;1)),入力!$B$14="有効"),ROUND(G409*1.25,0),"")</f>
        <v/>
      </c>
      <c r="S410" s="36">
        <f t="shared" si="117"/>
        <v>420</v>
      </c>
      <c r="T410" s="35" t="str">
        <f t="shared" si="118"/>
        <v/>
      </c>
      <c r="U410" s="3">
        <f t="shared" si="102"/>
        <v>0</v>
      </c>
      <c r="V410" s="3">
        <f t="shared" si="103"/>
        <v>0</v>
      </c>
      <c r="W410" s="3">
        <f t="shared" si="104"/>
        <v>0</v>
      </c>
      <c r="X410" s="3">
        <f t="shared" si="105"/>
        <v>0</v>
      </c>
      <c r="Y410" s="3">
        <f>0</f>
        <v>0</v>
      </c>
      <c r="Z410" s="3">
        <f t="shared" si="106"/>
        <v>0</v>
      </c>
      <c r="AA410">
        <f>ROUND(IF(A410=入力!$B$15+1,IF(E410=0,ROUND(C410/MAX(1,S409-A410+1),0),ROUND(-PMT(E410/12,MAX(1,S409-A410+1)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,0)</f>
        <v>98997</v>
      </c>
    </row>
    <row r="411" spans="1:27">
      <c r="A411" s="30">
        <f>406</f>
        <v>406</v>
      </c>
      <c r="B411" s="31">
        <f>EDATE(入力!$B$6,A411-1)</f>
        <v>58562</v>
      </c>
      <c r="C411" s="32">
        <f t="shared" si="107"/>
        <v>1460499</v>
      </c>
      <c r="D411" s="32">
        <f t="shared" si="108"/>
        <v>0</v>
      </c>
      <c r="E411" s="33">
        <f>IF(AND(T410="",A411&lt;=S410),IF(A411&lt;入力!$B$11,入力!$B$10,入力!$B$12),0)</f>
        <v>2.5000000000000001E-2</v>
      </c>
      <c r="F411" s="32">
        <f t="shared" si="109"/>
        <v>3043</v>
      </c>
      <c r="G411" s="32">
        <f>ROUND(IF(NOT(AND(T410="",A411&lt;=S410)),0,IF(A411=入力!$B$15+1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),0)</f>
        <v>98997</v>
      </c>
      <c r="H411" s="32">
        <f t="shared" si="110"/>
        <v>98997</v>
      </c>
      <c r="I411" s="32">
        <f t="shared" si="111"/>
        <v>3043</v>
      </c>
      <c r="J411" s="32">
        <f t="shared" si="112"/>
        <v>0</v>
      </c>
      <c r="K411" s="32">
        <f t="shared" si="113"/>
        <v>0</v>
      </c>
      <c r="L411" s="32">
        <f t="shared" si="114"/>
        <v>95954</v>
      </c>
      <c r="M411" s="32">
        <f>IF(AND(AND(T410="",A411&lt;=S410),A411=入力!$B$15),ROUND(MIN(入力!$B$16,MAX(0,C411-L411)),0),0)</f>
        <v>0</v>
      </c>
      <c r="N411" s="32">
        <f t="shared" si="115"/>
        <v>1364545</v>
      </c>
      <c r="O411" s="32">
        <f t="shared" si="116"/>
        <v>12365287</v>
      </c>
      <c r="P411" s="34" t="str">
        <f>IF(NOT(AND(T410="",A411&lt;=S410)),"",IF(A411=入力!$B$15+1,"繰上返済後再計算","")&amp;IF(AND(入力!$B$13="有効",A411&gt;1,MOD(A411-1,60)=0),IF(A411=入力!$B$15+1,"・","")&amp;"5年見直し","")&amp;IF(AND(A411=入力!$B$11,A411&gt;1),IF(OR(A411=入力!$B$15+1,AND(入力!$B$13="有効",A411&gt;1,MOD(A411-1,60)=0)),"・","")&amp;"金利変更","")&amp;IF(AND(OR(AND(入力!$B$13="有効",A411&gt;1,MOD(A411-1,60)=0),AND(A411=入力!$B$11,A411&gt;1)),入力!$B$14="有効",IF(E411=0,ROUND(C411/MAX(1,S410-A411+1),0),ROUND(-PMT(E411/12,MAX(1,S410-A411+1),C411),0))&gt;ROUND(G410*1.25,0),NOT(A411=入力!$B$15+1)),"・上限適用",""))</f>
        <v/>
      </c>
      <c r="Q411" s="35" t="str">
        <f>IF(AND(T410="",A411&lt;=S410),入力!$B$13,"")</f>
        <v>有効</v>
      </c>
      <c r="R411" s="32" t="str">
        <f>IF(AND(AND(T410="",A411&lt;=S410),OR(AND(入力!$B$13="有効",A411&gt;1,MOD(A411-1,60)=0),AND(A411=入力!$B$11,A411&gt;1)),入力!$B$14="有効"),ROUND(G410*1.25,0),"")</f>
        <v/>
      </c>
      <c r="S411" s="36">
        <f t="shared" si="117"/>
        <v>420</v>
      </c>
      <c r="T411" s="35" t="str">
        <f t="shared" si="118"/>
        <v/>
      </c>
      <c r="U411" s="3">
        <f t="shared" si="102"/>
        <v>0</v>
      </c>
      <c r="V411" s="3">
        <f t="shared" si="103"/>
        <v>0</v>
      </c>
      <c r="W411" s="3">
        <f t="shared" si="104"/>
        <v>0</v>
      </c>
      <c r="X411" s="3">
        <f t="shared" si="105"/>
        <v>0</v>
      </c>
      <c r="Y411" s="3">
        <f>0</f>
        <v>0</v>
      </c>
      <c r="Z411" s="3">
        <f t="shared" si="106"/>
        <v>0</v>
      </c>
      <c r="AA411">
        <f>ROUND(IF(A411=入力!$B$15+1,IF(E411=0,ROUND(C411/MAX(1,S410-A411+1),0),ROUND(-PMT(E411/12,MAX(1,S410-A411+1)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,0)</f>
        <v>98997</v>
      </c>
    </row>
    <row r="412" spans="1:27">
      <c r="A412" s="30">
        <f>407</f>
        <v>407</v>
      </c>
      <c r="B412" s="31">
        <f>EDATE(入力!$B$6,A412-1)</f>
        <v>58593</v>
      </c>
      <c r="C412" s="32">
        <f t="shared" si="107"/>
        <v>1364545</v>
      </c>
      <c r="D412" s="32">
        <f t="shared" si="108"/>
        <v>0</v>
      </c>
      <c r="E412" s="33">
        <f>IF(AND(T411="",A412&lt;=S411),IF(A412&lt;入力!$B$11,入力!$B$10,入力!$B$12),0)</f>
        <v>2.5000000000000001E-2</v>
      </c>
      <c r="F412" s="32">
        <f t="shared" si="109"/>
        <v>2843</v>
      </c>
      <c r="G412" s="32">
        <f>ROUND(IF(NOT(AND(T411="",A412&lt;=S411)),0,IF(A412=入力!$B$15+1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),0)</f>
        <v>98997</v>
      </c>
      <c r="H412" s="32">
        <f t="shared" si="110"/>
        <v>98997</v>
      </c>
      <c r="I412" s="32">
        <f t="shared" si="111"/>
        <v>2843</v>
      </c>
      <c r="J412" s="32">
        <f t="shared" si="112"/>
        <v>0</v>
      </c>
      <c r="K412" s="32">
        <f t="shared" si="113"/>
        <v>0</v>
      </c>
      <c r="L412" s="32">
        <f t="shared" si="114"/>
        <v>96154</v>
      </c>
      <c r="M412" s="32">
        <f>IF(AND(AND(T411="",A412&lt;=S411),A412=入力!$B$15),ROUND(MIN(入力!$B$16,MAX(0,C412-L412)),0),0)</f>
        <v>0</v>
      </c>
      <c r="N412" s="32">
        <f t="shared" si="115"/>
        <v>1268391</v>
      </c>
      <c r="O412" s="32">
        <f t="shared" si="116"/>
        <v>12368130</v>
      </c>
      <c r="P412" s="34" t="str">
        <f>IF(NOT(AND(T411="",A412&lt;=S411)),"",IF(A412=入力!$B$15+1,"繰上返済後再計算","")&amp;IF(AND(入力!$B$13="有効",A412&gt;1,MOD(A412-1,60)=0),IF(A412=入力!$B$15+1,"・","")&amp;"5年見直し","")&amp;IF(AND(A412=入力!$B$11,A412&gt;1),IF(OR(A412=入力!$B$15+1,AND(入力!$B$13="有効",A412&gt;1,MOD(A412-1,60)=0)),"・","")&amp;"金利変更","")&amp;IF(AND(OR(AND(入力!$B$13="有効",A412&gt;1,MOD(A412-1,60)=0),AND(A412=入力!$B$11,A412&gt;1)),入力!$B$14="有効",IF(E412=0,ROUND(C412/MAX(1,S411-A412+1),0),ROUND(-PMT(E412/12,MAX(1,S411-A412+1),C412),0))&gt;ROUND(G411*1.25,0),NOT(A412=入力!$B$15+1)),"・上限適用",""))</f>
        <v/>
      </c>
      <c r="Q412" s="35" t="str">
        <f>IF(AND(T411="",A412&lt;=S411),入力!$B$13,"")</f>
        <v>有効</v>
      </c>
      <c r="R412" s="32" t="str">
        <f>IF(AND(AND(T411="",A412&lt;=S411),OR(AND(入力!$B$13="有効",A412&gt;1,MOD(A412-1,60)=0),AND(A412=入力!$B$11,A412&gt;1)),入力!$B$14="有効"),ROUND(G411*1.25,0),"")</f>
        <v/>
      </c>
      <c r="S412" s="36">
        <f t="shared" si="117"/>
        <v>420</v>
      </c>
      <c r="T412" s="35" t="str">
        <f t="shared" si="118"/>
        <v/>
      </c>
      <c r="U412" s="3">
        <f t="shared" si="102"/>
        <v>0</v>
      </c>
      <c r="V412" s="3">
        <f t="shared" si="103"/>
        <v>0</v>
      </c>
      <c r="W412" s="3">
        <f t="shared" si="104"/>
        <v>0</v>
      </c>
      <c r="X412" s="3">
        <f t="shared" si="105"/>
        <v>0</v>
      </c>
      <c r="Y412" s="3">
        <f>0</f>
        <v>0</v>
      </c>
      <c r="Z412" s="3">
        <f t="shared" si="106"/>
        <v>0</v>
      </c>
      <c r="AA412">
        <f>ROUND(IF(A412=入力!$B$15+1,IF(E412=0,ROUND(C412/MAX(1,S411-A412+1),0),ROUND(-PMT(E412/12,MAX(1,S411-A412+1)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,0)</f>
        <v>98997</v>
      </c>
    </row>
    <row r="413" spans="1:27">
      <c r="A413" s="30">
        <f>408</f>
        <v>408</v>
      </c>
      <c r="B413" s="31">
        <f>EDATE(入力!$B$6,A413-1)</f>
        <v>58623</v>
      </c>
      <c r="C413" s="32">
        <f t="shared" si="107"/>
        <v>1268391</v>
      </c>
      <c r="D413" s="32">
        <f t="shared" si="108"/>
        <v>0</v>
      </c>
      <c r="E413" s="33">
        <f>IF(AND(T412="",A413&lt;=S412),IF(A413&lt;入力!$B$11,入力!$B$10,入力!$B$12),0)</f>
        <v>2.5000000000000001E-2</v>
      </c>
      <c r="F413" s="32">
        <f t="shared" si="109"/>
        <v>2642</v>
      </c>
      <c r="G413" s="32">
        <f>ROUND(IF(NOT(AND(T412="",A413&lt;=S412)),0,IF(A413=入力!$B$15+1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),0)</f>
        <v>98997</v>
      </c>
      <c r="H413" s="32">
        <f t="shared" si="110"/>
        <v>98997</v>
      </c>
      <c r="I413" s="32">
        <f t="shared" si="111"/>
        <v>2642</v>
      </c>
      <c r="J413" s="32">
        <f t="shared" si="112"/>
        <v>0</v>
      </c>
      <c r="K413" s="32">
        <f t="shared" si="113"/>
        <v>0</v>
      </c>
      <c r="L413" s="32">
        <f t="shared" si="114"/>
        <v>96355</v>
      </c>
      <c r="M413" s="32">
        <f>IF(AND(AND(T412="",A413&lt;=S412),A413=入力!$B$15),ROUND(MIN(入力!$B$16,MAX(0,C413-L413)),0),0)</f>
        <v>0</v>
      </c>
      <c r="N413" s="32">
        <f t="shared" si="115"/>
        <v>1172036</v>
      </c>
      <c r="O413" s="32">
        <f t="shared" si="116"/>
        <v>12370772</v>
      </c>
      <c r="P413" s="34" t="str">
        <f>IF(NOT(AND(T412="",A413&lt;=S412)),"",IF(A413=入力!$B$15+1,"繰上返済後再計算","")&amp;IF(AND(入力!$B$13="有効",A413&gt;1,MOD(A413-1,60)=0),IF(A413=入力!$B$15+1,"・","")&amp;"5年見直し","")&amp;IF(AND(A413=入力!$B$11,A413&gt;1),IF(OR(A413=入力!$B$15+1,AND(入力!$B$13="有効",A413&gt;1,MOD(A413-1,60)=0)),"・","")&amp;"金利変更","")&amp;IF(AND(OR(AND(入力!$B$13="有効",A413&gt;1,MOD(A413-1,60)=0),AND(A413=入力!$B$11,A413&gt;1)),入力!$B$14="有効",IF(E413=0,ROUND(C413/MAX(1,S412-A413+1),0),ROUND(-PMT(E413/12,MAX(1,S412-A413+1),C413),0))&gt;ROUND(G412*1.25,0),NOT(A413=入力!$B$15+1)),"・上限適用",""))</f>
        <v/>
      </c>
      <c r="Q413" s="35" t="str">
        <f>IF(AND(T412="",A413&lt;=S412),入力!$B$13,"")</f>
        <v>有効</v>
      </c>
      <c r="R413" s="32" t="str">
        <f>IF(AND(AND(T412="",A413&lt;=S412),OR(AND(入力!$B$13="有効",A413&gt;1,MOD(A413-1,60)=0),AND(A413=入力!$B$11,A413&gt;1)),入力!$B$14="有効"),ROUND(G412*1.25,0),"")</f>
        <v/>
      </c>
      <c r="S413" s="36">
        <f t="shared" si="117"/>
        <v>420</v>
      </c>
      <c r="T413" s="35" t="str">
        <f t="shared" si="118"/>
        <v/>
      </c>
      <c r="U413" s="3">
        <f t="shared" si="102"/>
        <v>0</v>
      </c>
      <c r="V413" s="3">
        <f t="shared" si="103"/>
        <v>0</v>
      </c>
      <c r="W413" s="3">
        <f t="shared" si="104"/>
        <v>0</v>
      </c>
      <c r="X413" s="3">
        <f t="shared" si="105"/>
        <v>0</v>
      </c>
      <c r="Y413" s="3">
        <f>0</f>
        <v>0</v>
      </c>
      <c r="Z413" s="3">
        <f t="shared" si="106"/>
        <v>0</v>
      </c>
      <c r="AA413">
        <f>ROUND(IF(A413=入力!$B$15+1,IF(E413=0,ROUND(C413/MAX(1,S412-A413+1),0),ROUND(-PMT(E413/12,MAX(1,S412-A413+1)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,0)</f>
        <v>98997</v>
      </c>
    </row>
    <row r="414" spans="1:27">
      <c r="A414" s="30">
        <f>409</f>
        <v>409</v>
      </c>
      <c r="B414" s="31">
        <f>EDATE(入力!$B$6,A414-1)</f>
        <v>58654</v>
      </c>
      <c r="C414" s="32">
        <f t="shared" si="107"/>
        <v>1172036</v>
      </c>
      <c r="D414" s="32">
        <f t="shared" si="108"/>
        <v>0</v>
      </c>
      <c r="E414" s="33">
        <f>IF(AND(T413="",A414&lt;=S413),IF(A414&lt;入力!$B$11,入力!$B$10,入力!$B$12),0)</f>
        <v>2.5000000000000001E-2</v>
      </c>
      <c r="F414" s="32">
        <f t="shared" si="109"/>
        <v>2442</v>
      </c>
      <c r="G414" s="32">
        <f>ROUND(IF(NOT(AND(T413="",A414&lt;=S413)),0,IF(A414=入力!$B$15+1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),0)</f>
        <v>98997</v>
      </c>
      <c r="H414" s="32">
        <f t="shared" si="110"/>
        <v>98997</v>
      </c>
      <c r="I414" s="32">
        <f t="shared" si="111"/>
        <v>2442</v>
      </c>
      <c r="J414" s="32">
        <f t="shared" si="112"/>
        <v>0</v>
      </c>
      <c r="K414" s="32">
        <f t="shared" si="113"/>
        <v>0</v>
      </c>
      <c r="L414" s="32">
        <f t="shared" si="114"/>
        <v>96555</v>
      </c>
      <c r="M414" s="32">
        <f>IF(AND(AND(T413="",A414&lt;=S413),A414=入力!$B$15),ROUND(MIN(入力!$B$16,MAX(0,C414-L414)),0),0)</f>
        <v>0</v>
      </c>
      <c r="N414" s="32">
        <f t="shared" si="115"/>
        <v>1075481</v>
      </c>
      <c r="O414" s="32">
        <f t="shared" si="116"/>
        <v>12373214</v>
      </c>
      <c r="P414" s="34" t="str">
        <f>IF(NOT(AND(T413="",A414&lt;=S413)),"",IF(A414=入力!$B$15+1,"繰上返済後再計算","")&amp;IF(AND(入力!$B$13="有効",A414&gt;1,MOD(A414-1,60)=0),IF(A414=入力!$B$15+1,"・","")&amp;"5年見直し","")&amp;IF(AND(A414=入力!$B$11,A414&gt;1),IF(OR(A414=入力!$B$15+1,AND(入力!$B$13="有効",A414&gt;1,MOD(A414-1,60)=0)),"・","")&amp;"金利変更","")&amp;IF(AND(OR(AND(入力!$B$13="有効",A414&gt;1,MOD(A414-1,60)=0),AND(A414=入力!$B$11,A414&gt;1)),入力!$B$14="有効",IF(E414=0,ROUND(C414/MAX(1,S413-A414+1),0),ROUND(-PMT(E414/12,MAX(1,S413-A414+1),C414),0))&gt;ROUND(G413*1.25,0),NOT(A414=入力!$B$15+1)),"・上限適用",""))</f>
        <v/>
      </c>
      <c r="Q414" s="35" t="str">
        <f>IF(AND(T413="",A414&lt;=S413),入力!$B$13,"")</f>
        <v>有効</v>
      </c>
      <c r="R414" s="32" t="str">
        <f>IF(AND(AND(T413="",A414&lt;=S413),OR(AND(入力!$B$13="有効",A414&gt;1,MOD(A414-1,60)=0),AND(A414=入力!$B$11,A414&gt;1)),入力!$B$14="有効"),ROUND(G413*1.25,0),"")</f>
        <v/>
      </c>
      <c r="S414" s="36">
        <f t="shared" si="117"/>
        <v>420</v>
      </c>
      <c r="T414" s="35" t="str">
        <f t="shared" si="118"/>
        <v/>
      </c>
      <c r="U414" s="3">
        <f t="shared" si="102"/>
        <v>0</v>
      </c>
      <c r="V414" s="3">
        <f t="shared" si="103"/>
        <v>0</v>
      </c>
      <c r="W414" s="3">
        <f t="shared" si="104"/>
        <v>0</v>
      </c>
      <c r="X414" s="3">
        <f t="shared" si="105"/>
        <v>0</v>
      </c>
      <c r="Y414" s="3">
        <f>0</f>
        <v>0</v>
      </c>
      <c r="Z414" s="3">
        <f t="shared" si="106"/>
        <v>0</v>
      </c>
      <c r="AA414">
        <f>ROUND(IF(A414=入力!$B$15+1,IF(E414=0,ROUND(C414/MAX(1,S413-A414+1),0),ROUND(-PMT(E414/12,MAX(1,S413-A414+1)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,0)</f>
        <v>98997</v>
      </c>
    </row>
    <row r="415" spans="1:27">
      <c r="A415" s="30">
        <f>410</f>
        <v>410</v>
      </c>
      <c r="B415" s="31">
        <f>EDATE(入力!$B$6,A415-1)</f>
        <v>58685</v>
      </c>
      <c r="C415" s="32">
        <f t="shared" si="107"/>
        <v>1075481</v>
      </c>
      <c r="D415" s="32">
        <f t="shared" si="108"/>
        <v>0</v>
      </c>
      <c r="E415" s="33">
        <f>IF(AND(T414="",A415&lt;=S414),IF(A415&lt;入力!$B$11,入力!$B$10,入力!$B$12),0)</f>
        <v>2.5000000000000001E-2</v>
      </c>
      <c r="F415" s="32">
        <f t="shared" si="109"/>
        <v>2241</v>
      </c>
      <c r="G415" s="32">
        <f>ROUND(IF(NOT(AND(T414="",A415&lt;=S414)),0,IF(A415=入力!$B$15+1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),0)</f>
        <v>98997</v>
      </c>
      <c r="H415" s="32">
        <f t="shared" si="110"/>
        <v>98997</v>
      </c>
      <c r="I415" s="32">
        <f t="shared" si="111"/>
        <v>2241</v>
      </c>
      <c r="J415" s="32">
        <f t="shared" si="112"/>
        <v>0</v>
      </c>
      <c r="K415" s="32">
        <f t="shared" si="113"/>
        <v>0</v>
      </c>
      <c r="L415" s="32">
        <f t="shared" si="114"/>
        <v>96756</v>
      </c>
      <c r="M415" s="32">
        <f>IF(AND(AND(T414="",A415&lt;=S414),A415=入力!$B$15),ROUND(MIN(入力!$B$16,MAX(0,C415-L415)),0),0)</f>
        <v>0</v>
      </c>
      <c r="N415" s="32">
        <f t="shared" si="115"/>
        <v>978725</v>
      </c>
      <c r="O415" s="32">
        <f t="shared" si="116"/>
        <v>12375455</v>
      </c>
      <c r="P415" s="34" t="str">
        <f>IF(NOT(AND(T414="",A415&lt;=S414)),"",IF(A415=入力!$B$15+1,"繰上返済後再計算","")&amp;IF(AND(入力!$B$13="有効",A415&gt;1,MOD(A415-1,60)=0),IF(A415=入力!$B$15+1,"・","")&amp;"5年見直し","")&amp;IF(AND(A415=入力!$B$11,A415&gt;1),IF(OR(A415=入力!$B$15+1,AND(入力!$B$13="有効",A415&gt;1,MOD(A415-1,60)=0)),"・","")&amp;"金利変更","")&amp;IF(AND(OR(AND(入力!$B$13="有効",A415&gt;1,MOD(A415-1,60)=0),AND(A415=入力!$B$11,A415&gt;1)),入力!$B$14="有効",IF(E415=0,ROUND(C415/MAX(1,S414-A415+1),0),ROUND(-PMT(E415/12,MAX(1,S414-A415+1),C415),0))&gt;ROUND(G414*1.25,0),NOT(A415=入力!$B$15+1)),"・上限適用",""))</f>
        <v/>
      </c>
      <c r="Q415" s="35" t="str">
        <f>IF(AND(T414="",A415&lt;=S414),入力!$B$13,"")</f>
        <v>有効</v>
      </c>
      <c r="R415" s="32" t="str">
        <f>IF(AND(AND(T414="",A415&lt;=S414),OR(AND(入力!$B$13="有効",A415&gt;1,MOD(A415-1,60)=0),AND(A415=入力!$B$11,A415&gt;1)),入力!$B$14="有効"),ROUND(G414*1.25,0),"")</f>
        <v/>
      </c>
      <c r="S415" s="36">
        <f t="shared" si="117"/>
        <v>420</v>
      </c>
      <c r="T415" s="35" t="str">
        <f t="shared" si="118"/>
        <v/>
      </c>
      <c r="U415" s="3">
        <f t="shared" si="102"/>
        <v>0</v>
      </c>
      <c r="V415" s="3">
        <f t="shared" si="103"/>
        <v>0</v>
      </c>
      <c r="W415" s="3">
        <f t="shared" si="104"/>
        <v>0</v>
      </c>
      <c r="X415" s="3">
        <f t="shared" si="105"/>
        <v>0</v>
      </c>
      <c r="Y415" s="3">
        <f>0</f>
        <v>0</v>
      </c>
      <c r="Z415" s="3">
        <f t="shared" si="106"/>
        <v>0</v>
      </c>
      <c r="AA415">
        <f>ROUND(IF(A415=入力!$B$15+1,IF(E415=0,ROUND(C415/MAX(1,S414-A415+1),0),ROUND(-PMT(E415/12,MAX(1,S414-A415+1)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,0)</f>
        <v>98997</v>
      </c>
    </row>
    <row r="416" spans="1:27">
      <c r="A416" s="30">
        <f>411</f>
        <v>411</v>
      </c>
      <c r="B416" s="31">
        <f>EDATE(入力!$B$6,A416-1)</f>
        <v>58715</v>
      </c>
      <c r="C416" s="32">
        <f t="shared" si="107"/>
        <v>978725</v>
      </c>
      <c r="D416" s="32">
        <f t="shared" si="108"/>
        <v>0</v>
      </c>
      <c r="E416" s="33">
        <f>IF(AND(T415="",A416&lt;=S415),IF(A416&lt;入力!$B$11,入力!$B$10,入力!$B$12),0)</f>
        <v>2.5000000000000001E-2</v>
      </c>
      <c r="F416" s="32">
        <f t="shared" si="109"/>
        <v>2039</v>
      </c>
      <c r="G416" s="32">
        <f>ROUND(IF(NOT(AND(T415="",A416&lt;=S415)),0,IF(A416=入力!$B$15+1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),0)</f>
        <v>98997</v>
      </c>
      <c r="H416" s="32">
        <f t="shared" si="110"/>
        <v>98997</v>
      </c>
      <c r="I416" s="32">
        <f t="shared" si="111"/>
        <v>2039</v>
      </c>
      <c r="J416" s="32">
        <f t="shared" si="112"/>
        <v>0</v>
      </c>
      <c r="K416" s="32">
        <f t="shared" si="113"/>
        <v>0</v>
      </c>
      <c r="L416" s="32">
        <f t="shared" si="114"/>
        <v>96958</v>
      </c>
      <c r="M416" s="32">
        <f>IF(AND(AND(T415="",A416&lt;=S415),A416=入力!$B$15),ROUND(MIN(入力!$B$16,MAX(0,C416-L416)),0),0)</f>
        <v>0</v>
      </c>
      <c r="N416" s="32">
        <f t="shared" si="115"/>
        <v>881767</v>
      </c>
      <c r="O416" s="32">
        <f t="shared" si="116"/>
        <v>12377494</v>
      </c>
      <c r="P416" s="34" t="str">
        <f>IF(NOT(AND(T415="",A416&lt;=S415)),"",IF(A416=入力!$B$15+1,"繰上返済後再計算","")&amp;IF(AND(入力!$B$13="有効",A416&gt;1,MOD(A416-1,60)=0),IF(A416=入力!$B$15+1,"・","")&amp;"5年見直し","")&amp;IF(AND(A416=入力!$B$11,A416&gt;1),IF(OR(A416=入力!$B$15+1,AND(入力!$B$13="有効",A416&gt;1,MOD(A416-1,60)=0)),"・","")&amp;"金利変更","")&amp;IF(AND(OR(AND(入力!$B$13="有効",A416&gt;1,MOD(A416-1,60)=0),AND(A416=入力!$B$11,A416&gt;1)),入力!$B$14="有効",IF(E416=0,ROUND(C416/MAX(1,S415-A416+1),0),ROUND(-PMT(E416/12,MAX(1,S415-A416+1),C416),0))&gt;ROUND(G415*1.25,0),NOT(A416=入力!$B$15+1)),"・上限適用",""))</f>
        <v/>
      </c>
      <c r="Q416" s="35" t="str">
        <f>IF(AND(T415="",A416&lt;=S415),入力!$B$13,"")</f>
        <v>有効</v>
      </c>
      <c r="R416" s="32" t="str">
        <f>IF(AND(AND(T415="",A416&lt;=S415),OR(AND(入力!$B$13="有効",A416&gt;1,MOD(A416-1,60)=0),AND(A416=入力!$B$11,A416&gt;1)),入力!$B$14="有効"),ROUND(G415*1.25,0),"")</f>
        <v/>
      </c>
      <c r="S416" s="36">
        <f t="shared" si="117"/>
        <v>420</v>
      </c>
      <c r="T416" s="35" t="str">
        <f t="shared" si="118"/>
        <v/>
      </c>
      <c r="U416" s="3">
        <f t="shared" si="102"/>
        <v>0</v>
      </c>
      <c r="V416" s="3">
        <f t="shared" si="103"/>
        <v>0</v>
      </c>
      <c r="W416" s="3">
        <f t="shared" si="104"/>
        <v>0</v>
      </c>
      <c r="X416" s="3">
        <f t="shared" si="105"/>
        <v>0</v>
      </c>
      <c r="Y416" s="3">
        <f>0</f>
        <v>0</v>
      </c>
      <c r="Z416" s="3">
        <f t="shared" si="106"/>
        <v>0</v>
      </c>
      <c r="AA416">
        <f>ROUND(IF(A416=入力!$B$15+1,IF(E416=0,ROUND(C416/MAX(1,S415-A416+1),0),ROUND(-PMT(E416/12,MAX(1,S415-A416+1)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,0)</f>
        <v>98997</v>
      </c>
    </row>
    <row r="417" spans="1:27">
      <c r="A417" s="30">
        <f>412</f>
        <v>412</v>
      </c>
      <c r="B417" s="31">
        <f>EDATE(入力!$B$6,A417-1)</f>
        <v>58746</v>
      </c>
      <c r="C417" s="32">
        <f t="shared" si="107"/>
        <v>881767</v>
      </c>
      <c r="D417" s="32">
        <f t="shared" si="108"/>
        <v>0</v>
      </c>
      <c r="E417" s="33">
        <f>IF(AND(T416="",A417&lt;=S416),IF(A417&lt;入力!$B$11,入力!$B$10,入力!$B$12),0)</f>
        <v>2.5000000000000001E-2</v>
      </c>
      <c r="F417" s="32">
        <f t="shared" si="109"/>
        <v>1837</v>
      </c>
      <c r="G417" s="32">
        <f>ROUND(IF(NOT(AND(T416="",A417&lt;=S416)),0,IF(A417=入力!$B$15+1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),0)</f>
        <v>98997</v>
      </c>
      <c r="H417" s="32">
        <f t="shared" si="110"/>
        <v>98997</v>
      </c>
      <c r="I417" s="32">
        <f t="shared" si="111"/>
        <v>1837</v>
      </c>
      <c r="J417" s="32">
        <f t="shared" si="112"/>
        <v>0</v>
      </c>
      <c r="K417" s="32">
        <f t="shared" si="113"/>
        <v>0</v>
      </c>
      <c r="L417" s="32">
        <f t="shared" si="114"/>
        <v>97160</v>
      </c>
      <c r="M417" s="32">
        <f>IF(AND(AND(T416="",A417&lt;=S416),A417=入力!$B$15),ROUND(MIN(入力!$B$16,MAX(0,C417-L417)),0),0)</f>
        <v>0</v>
      </c>
      <c r="N417" s="32">
        <f t="shared" si="115"/>
        <v>784607</v>
      </c>
      <c r="O417" s="32">
        <f t="shared" si="116"/>
        <v>12379331</v>
      </c>
      <c r="P417" s="34" t="str">
        <f>IF(NOT(AND(T416="",A417&lt;=S416)),"",IF(A417=入力!$B$15+1,"繰上返済後再計算","")&amp;IF(AND(入力!$B$13="有効",A417&gt;1,MOD(A417-1,60)=0),IF(A417=入力!$B$15+1,"・","")&amp;"5年見直し","")&amp;IF(AND(A417=入力!$B$11,A417&gt;1),IF(OR(A417=入力!$B$15+1,AND(入力!$B$13="有効",A417&gt;1,MOD(A417-1,60)=0)),"・","")&amp;"金利変更","")&amp;IF(AND(OR(AND(入力!$B$13="有効",A417&gt;1,MOD(A417-1,60)=0),AND(A417=入力!$B$11,A417&gt;1)),入力!$B$14="有効",IF(E417=0,ROUND(C417/MAX(1,S416-A417+1),0),ROUND(-PMT(E417/12,MAX(1,S416-A417+1),C417),0))&gt;ROUND(G416*1.25,0),NOT(A417=入力!$B$15+1)),"・上限適用",""))</f>
        <v/>
      </c>
      <c r="Q417" s="35" t="str">
        <f>IF(AND(T416="",A417&lt;=S416),入力!$B$13,"")</f>
        <v>有効</v>
      </c>
      <c r="R417" s="32" t="str">
        <f>IF(AND(AND(T416="",A417&lt;=S416),OR(AND(入力!$B$13="有効",A417&gt;1,MOD(A417-1,60)=0),AND(A417=入力!$B$11,A417&gt;1)),入力!$B$14="有効"),ROUND(G416*1.25,0),"")</f>
        <v/>
      </c>
      <c r="S417" s="36">
        <f t="shared" si="117"/>
        <v>420</v>
      </c>
      <c r="T417" s="35" t="str">
        <f t="shared" si="118"/>
        <v/>
      </c>
      <c r="U417" s="3">
        <f t="shared" si="102"/>
        <v>0</v>
      </c>
      <c r="V417" s="3">
        <f t="shared" si="103"/>
        <v>0</v>
      </c>
      <c r="W417" s="3">
        <f t="shared" si="104"/>
        <v>0</v>
      </c>
      <c r="X417" s="3">
        <f t="shared" si="105"/>
        <v>0</v>
      </c>
      <c r="Y417" s="3">
        <f>0</f>
        <v>0</v>
      </c>
      <c r="Z417" s="3">
        <f t="shared" si="106"/>
        <v>0</v>
      </c>
      <c r="AA417">
        <f>ROUND(IF(A417=入力!$B$15+1,IF(E417=0,ROUND(C417/MAX(1,S416-A417+1),0),ROUND(-PMT(E417/12,MAX(1,S416-A417+1)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,0)</f>
        <v>98997</v>
      </c>
    </row>
    <row r="418" spans="1:27">
      <c r="A418" s="30">
        <f>413</f>
        <v>413</v>
      </c>
      <c r="B418" s="31">
        <f>EDATE(入力!$B$6,A418-1)</f>
        <v>58776</v>
      </c>
      <c r="C418" s="32">
        <f t="shared" si="107"/>
        <v>784607</v>
      </c>
      <c r="D418" s="32">
        <f t="shared" si="108"/>
        <v>0</v>
      </c>
      <c r="E418" s="33">
        <f>IF(AND(T417="",A418&lt;=S417),IF(A418&lt;入力!$B$11,入力!$B$10,入力!$B$12),0)</f>
        <v>2.5000000000000001E-2</v>
      </c>
      <c r="F418" s="32">
        <f t="shared" si="109"/>
        <v>1635</v>
      </c>
      <c r="G418" s="32">
        <f>ROUND(IF(NOT(AND(T417="",A418&lt;=S417)),0,IF(A418=入力!$B$15+1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),0)</f>
        <v>98997</v>
      </c>
      <c r="H418" s="32">
        <f t="shared" si="110"/>
        <v>98997</v>
      </c>
      <c r="I418" s="32">
        <f t="shared" si="111"/>
        <v>1635</v>
      </c>
      <c r="J418" s="32">
        <f t="shared" si="112"/>
        <v>0</v>
      </c>
      <c r="K418" s="32">
        <f t="shared" si="113"/>
        <v>0</v>
      </c>
      <c r="L418" s="32">
        <f t="shared" si="114"/>
        <v>97362</v>
      </c>
      <c r="M418" s="32">
        <f>IF(AND(AND(T417="",A418&lt;=S417),A418=入力!$B$15),ROUND(MIN(入力!$B$16,MAX(0,C418-L418)),0),0)</f>
        <v>0</v>
      </c>
      <c r="N418" s="32">
        <f t="shared" si="115"/>
        <v>687245</v>
      </c>
      <c r="O418" s="32">
        <f t="shared" si="116"/>
        <v>12380966</v>
      </c>
      <c r="P418" s="34" t="str">
        <f>IF(NOT(AND(T417="",A418&lt;=S417)),"",IF(A418=入力!$B$15+1,"繰上返済後再計算","")&amp;IF(AND(入力!$B$13="有効",A418&gt;1,MOD(A418-1,60)=0),IF(A418=入力!$B$15+1,"・","")&amp;"5年見直し","")&amp;IF(AND(A418=入力!$B$11,A418&gt;1),IF(OR(A418=入力!$B$15+1,AND(入力!$B$13="有効",A418&gt;1,MOD(A418-1,60)=0)),"・","")&amp;"金利変更","")&amp;IF(AND(OR(AND(入力!$B$13="有効",A418&gt;1,MOD(A418-1,60)=0),AND(A418=入力!$B$11,A418&gt;1)),入力!$B$14="有効",IF(E418=0,ROUND(C418/MAX(1,S417-A418+1),0),ROUND(-PMT(E418/12,MAX(1,S417-A418+1),C418),0))&gt;ROUND(G417*1.25,0),NOT(A418=入力!$B$15+1)),"・上限適用",""))</f>
        <v/>
      </c>
      <c r="Q418" s="35" t="str">
        <f>IF(AND(T417="",A418&lt;=S417),入力!$B$13,"")</f>
        <v>有効</v>
      </c>
      <c r="R418" s="32" t="str">
        <f>IF(AND(AND(T417="",A418&lt;=S417),OR(AND(入力!$B$13="有効",A418&gt;1,MOD(A418-1,60)=0),AND(A418=入力!$B$11,A418&gt;1)),入力!$B$14="有効"),ROUND(G417*1.25,0),"")</f>
        <v/>
      </c>
      <c r="S418" s="36">
        <f t="shared" si="117"/>
        <v>420</v>
      </c>
      <c r="T418" s="35" t="str">
        <f t="shared" si="118"/>
        <v/>
      </c>
      <c r="U418" s="3">
        <f t="shared" si="102"/>
        <v>0</v>
      </c>
      <c r="V418" s="3">
        <f t="shared" si="103"/>
        <v>0</v>
      </c>
      <c r="W418" s="3">
        <f t="shared" si="104"/>
        <v>0</v>
      </c>
      <c r="X418" s="3">
        <f t="shared" si="105"/>
        <v>0</v>
      </c>
      <c r="Y418" s="3">
        <f>0</f>
        <v>0</v>
      </c>
      <c r="Z418" s="3">
        <f t="shared" si="106"/>
        <v>0</v>
      </c>
      <c r="AA418">
        <f>ROUND(IF(A418=入力!$B$15+1,IF(E418=0,ROUND(C418/MAX(1,S417-A418+1),0),ROUND(-PMT(E418/12,MAX(1,S417-A418+1)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,0)</f>
        <v>98997</v>
      </c>
    </row>
    <row r="419" spans="1:27">
      <c r="A419" s="30">
        <f>414</f>
        <v>414</v>
      </c>
      <c r="B419" s="31">
        <f>EDATE(入力!$B$6,A419-1)</f>
        <v>58807</v>
      </c>
      <c r="C419" s="32">
        <f t="shared" si="107"/>
        <v>687245</v>
      </c>
      <c r="D419" s="32">
        <f t="shared" si="108"/>
        <v>0</v>
      </c>
      <c r="E419" s="33">
        <f>IF(AND(T418="",A419&lt;=S418),IF(A419&lt;入力!$B$11,入力!$B$10,入力!$B$12),0)</f>
        <v>2.5000000000000001E-2</v>
      </c>
      <c r="F419" s="32">
        <f t="shared" si="109"/>
        <v>1432</v>
      </c>
      <c r="G419" s="32">
        <f>ROUND(IF(NOT(AND(T418="",A419&lt;=S418)),0,IF(A419=入力!$B$15+1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),0)</f>
        <v>98997</v>
      </c>
      <c r="H419" s="32">
        <f t="shared" si="110"/>
        <v>98997</v>
      </c>
      <c r="I419" s="32">
        <f t="shared" si="111"/>
        <v>1432</v>
      </c>
      <c r="J419" s="32">
        <f t="shared" si="112"/>
        <v>0</v>
      </c>
      <c r="K419" s="32">
        <f t="shared" si="113"/>
        <v>0</v>
      </c>
      <c r="L419" s="32">
        <f t="shared" si="114"/>
        <v>97565</v>
      </c>
      <c r="M419" s="32">
        <f>IF(AND(AND(T418="",A419&lt;=S418),A419=入力!$B$15),ROUND(MIN(入力!$B$16,MAX(0,C419-L419)),0),0)</f>
        <v>0</v>
      </c>
      <c r="N419" s="32">
        <f t="shared" si="115"/>
        <v>589680</v>
      </c>
      <c r="O419" s="32">
        <f t="shared" si="116"/>
        <v>12382398</v>
      </c>
      <c r="P419" s="34" t="str">
        <f>IF(NOT(AND(T418="",A419&lt;=S418)),"",IF(A419=入力!$B$15+1,"繰上返済後再計算","")&amp;IF(AND(入力!$B$13="有効",A419&gt;1,MOD(A419-1,60)=0),IF(A419=入力!$B$15+1,"・","")&amp;"5年見直し","")&amp;IF(AND(A419=入力!$B$11,A419&gt;1),IF(OR(A419=入力!$B$15+1,AND(入力!$B$13="有効",A419&gt;1,MOD(A419-1,60)=0)),"・","")&amp;"金利変更","")&amp;IF(AND(OR(AND(入力!$B$13="有効",A419&gt;1,MOD(A419-1,60)=0),AND(A419=入力!$B$11,A419&gt;1)),入力!$B$14="有効",IF(E419=0,ROUND(C419/MAX(1,S418-A419+1),0),ROUND(-PMT(E419/12,MAX(1,S418-A419+1),C419),0))&gt;ROUND(G418*1.25,0),NOT(A419=入力!$B$15+1)),"・上限適用",""))</f>
        <v/>
      </c>
      <c r="Q419" s="35" t="str">
        <f>IF(AND(T418="",A419&lt;=S418),入力!$B$13,"")</f>
        <v>有効</v>
      </c>
      <c r="R419" s="32" t="str">
        <f>IF(AND(AND(T418="",A419&lt;=S418),OR(AND(入力!$B$13="有効",A419&gt;1,MOD(A419-1,60)=0),AND(A419=入力!$B$11,A419&gt;1)),入力!$B$14="有効"),ROUND(G418*1.25,0),"")</f>
        <v/>
      </c>
      <c r="S419" s="36">
        <f t="shared" si="117"/>
        <v>420</v>
      </c>
      <c r="T419" s="35" t="str">
        <f t="shared" si="118"/>
        <v/>
      </c>
      <c r="U419" s="3">
        <f t="shared" si="102"/>
        <v>0</v>
      </c>
      <c r="V419" s="3">
        <f t="shared" si="103"/>
        <v>0</v>
      </c>
      <c r="W419" s="3">
        <f t="shared" si="104"/>
        <v>0</v>
      </c>
      <c r="X419" s="3">
        <f t="shared" si="105"/>
        <v>0</v>
      </c>
      <c r="Y419" s="3">
        <f>0</f>
        <v>0</v>
      </c>
      <c r="Z419" s="3">
        <f t="shared" si="106"/>
        <v>0</v>
      </c>
      <c r="AA419">
        <f>ROUND(IF(A419=入力!$B$15+1,IF(E419=0,ROUND(C419/MAX(1,S418-A419+1),0),ROUND(-PMT(E419/12,MAX(1,S418-A419+1)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,0)</f>
        <v>98997</v>
      </c>
    </row>
    <row r="420" spans="1:27">
      <c r="A420" s="30">
        <f>415</f>
        <v>415</v>
      </c>
      <c r="B420" s="31">
        <f>EDATE(入力!$B$6,A420-1)</f>
        <v>58838</v>
      </c>
      <c r="C420" s="32">
        <f t="shared" si="107"/>
        <v>589680</v>
      </c>
      <c r="D420" s="32">
        <f t="shared" si="108"/>
        <v>0</v>
      </c>
      <c r="E420" s="33">
        <f>IF(AND(T419="",A420&lt;=S419),IF(A420&lt;入力!$B$11,入力!$B$10,入力!$B$12),0)</f>
        <v>2.5000000000000001E-2</v>
      </c>
      <c r="F420" s="32">
        <f t="shared" si="109"/>
        <v>1229</v>
      </c>
      <c r="G420" s="32">
        <f>ROUND(IF(NOT(AND(T419="",A420&lt;=S419)),0,IF(A420=入力!$B$15+1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),0)</f>
        <v>98997</v>
      </c>
      <c r="H420" s="32">
        <f t="shared" si="110"/>
        <v>98997</v>
      </c>
      <c r="I420" s="32">
        <f t="shared" si="111"/>
        <v>1229</v>
      </c>
      <c r="J420" s="32">
        <f t="shared" si="112"/>
        <v>0</v>
      </c>
      <c r="K420" s="32">
        <f t="shared" si="113"/>
        <v>0</v>
      </c>
      <c r="L420" s="32">
        <f t="shared" si="114"/>
        <v>97768</v>
      </c>
      <c r="M420" s="32">
        <f>IF(AND(AND(T419="",A420&lt;=S419),A420=入力!$B$15),ROUND(MIN(入力!$B$16,MAX(0,C420-L420)),0),0)</f>
        <v>0</v>
      </c>
      <c r="N420" s="32">
        <f t="shared" si="115"/>
        <v>491912</v>
      </c>
      <c r="O420" s="32">
        <f t="shared" si="116"/>
        <v>12383627</v>
      </c>
      <c r="P420" s="34" t="str">
        <f>IF(NOT(AND(T419="",A420&lt;=S419)),"",IF(A420=入力!$B$15+1,"繰上返済後再計算","")&amp;IF(AND(入力!$B$13="有効",A420&gt;1,MOD(A420-1,60)=0),IF(A420=入力!$B$15+1,"・","")&amp;"5年見直し","")&amp;IF(AND(A420=入力!$B$11,A420&gt;1),IF(OR(A420=入力!$B$15+1,AND(入力!$B$13="有効",A420&gt;1,MOD(A420-1,60)=0)),"・","")&amp;"金利変更","")&amp;IF(AND(OR(AND(入力!$B$13="有効",A420&gt;1,MOD(A420-1,60)=0),AND(A420=入力!$B$11,A420&gt;1)),入力!$B$14="有効",IF(E420=0,ROUND(C420/MAX(1,S419-A420+1),0),ROUND(-PMT(E420/12,MAX(1,S419-A420+1),C420),0))&gt;ROUND(G419*1.25,0),NOT(A420=入力!$B$15+1)),"・上限適用",""))</f>
        <v/>
      </c>
      <c r="Q420" s="35" t="str">
        <f>IF(AND(T419="",A420&lt;=S419),入力!$B$13,"")</f>
        <v>有効</v>
      </c>
      <c r="R420" s="32" t="str">
        <f>IF(AND(AND(T419="",A420&lt;=S419),OR(AND(入力!$B$13="有効",A420&gt;1,MOD(A420-1,60)=0),AND(A420=入力!$B$11,A420&gt;1)),入力!$B$14="有効"),ROUND(G419*1.25,0),"")</f>
        <v/>
      </c>
      <c r="S420" s="36">
        <f t="shared" si="117"/>
        <v>420</v>
      </c>
      <c r="T420" s="35" t="str">
        <f t="shared" si="118"/>
        <v/>
      </c>
      <c r="U420" s="3">
        <f t="shared" si="102"/>
        <v>0</v>
      </c>
      <c r="V420" s="3">
        <f t="shared" si="103"/>
        <v>0</v>
      </c>
      <c r="W420" s="3">
        <f t="shared" si="104"/>
        <v>0</v>
      </c>
      <c r="X420" s="3">
        <f t="shared" si="105"/>
        <v>0</v>
      </c>
      <c r="Y420" s="3">
        <f>0</f>
        <v>0</v>
      </c>
      <c r="Z420" s="3">
        <f t="shared" si="106"/>
        <v>0</v>
      </c>
      <c r="AA420">
        <f>ROUND(IF(A420=入力!$B$15+1,IF(E420=0,ROUND(C420/MAX(1,S419-A420+1),0),ROUND(-PMT(E420/12,MAX(1,S419-A420+1)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,0)</f>
        <v>98997</v>
      </c>
    </row>
    <row r="421" spans="1:27">
      <c r="A421" s="30">
        <f>416</f>
        <v>416</v>
      </c>
      <c r="B421" s="31">
        <f>EDATE(入力!$B$6,A421-1)</f>
        <v>58866</v>
      </c>
      <c r="C421" s="32">
        <f t="shared" si="107"/>
        <v>491912</v>
      </c>
      <c r="D421" s="32">
        <f t="shared" si="108"/>
        <v>0</v>
      </c>
      <c r="E421" s="33">
        <f>IF(AND(T420="",A421&lt;=S420),IF(A421&lt;入力!$B$11,入力!$B$10,入力!$B$12),0)</f>
        <v>2.5000000000000001E-2</v>
      </c>
      <c r="F421" s="32">
        <f t="shared" si="109"/>
        <v>1025</v>
      </c>
      <c r="G421" s="32">
        <f>ROUND(IF(NOT(AND(T420="",A421&lt;=S420)),0,IF(A421=入力!$B$15+1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),0)</f>
        <v>98997</v>
      </c>
      <c r="H421" s="32">
        <f t="shared" si="110"/>
        <v>98997</v>
      </c>
      <c r="I421" s="32">
        <f t="shared" si="111"/>
        <v>1025</v>
      </c>
      <c r="J421" s="32">
        <f t="shared" si="112"/>
        <v>0</v>
      </c>
      <c r="K421" s="32">
        <f t="shared" si="113"/>
        <v>0</v>
      </c>
      <c r="L421" s="32">
        <f t="shared" si="114"/>
        <v>97972</v>
      </c>
      <c r="M421" s="32">
        <f>IF(AND(AND(T420="",A421&lt;=S420),A421=入力!$B$15),ROUND(MIN(入力!$B$16,MAX(0,C421-L421)),0),0)</f>
        <v>0</v>
      </c>
      <c r="N421" s="32">
        <f t="shared" si="115"/>
        <v>393940</v>
      </c>
      <c r="O421" s="32">
        <f t="shared" si="116"/>
        <v>12384652</v>
      </c>
      <c r="P421" s="34" t="str">
        <f>IF(NOT(AND(T420="",A421&lt;=S420)),"",IF(A421=入力!$B$15+1,"繰上返済後再計算","")&amp;IF(AND(入力!$B$13="有効",A421&gt;1,MOD(A421-1,60)=0),IF(A421=入力!$B$15+1,"・","")&amp;"5年見直し","")&amp;IF(AND(A421=入力!$B$11,A421&gt;1),IF(OR(A421=入力!$B$15+1,AND(入力!$B$13="有効",A421&gt;1,MOD(A421-1,60)=0)),"・","")&amp;"金利変更","")&amp;IF(AND(OR(AND(入力!$B$13="有効",A421&gt;1,MOD(A421-1,60)=0),AND(A421=入力!$B$11,A421&gt;1)),入力!$B$14="有効",IF(E421=0,ROUND(C421/MAX(1,S420-A421+1),0),ROUND(-PMT(E421/12,MAX(1,S420-A421+1),C421),0))&gt;ROUND(G420*1.25,0),NOT(A421=入力!$B$15+1)),"・上限適用",""))</f>
        <v/>
      </c>
      <c r="Q421" s="35" t="str">
        <f>IF(AND(T420="",A421&lt;=S420),入力!$B$13,"")</f>
        <v>有効</v>
      </c>
      <c r="R421" s="32" t="str">
        <f>IF(AND(AND(T420="",A421&lt;=S420),OR(AND(入力!$B$13="有効",A421&gt;1,MOD(A421-1,60)=0),AND(A421=入力!$B$11,A421&gt;1)),入力!$B$14="有効"),ROUND(G420*1.25,0),"")</f>
        <v/>
      </c>
      <c r="S421" s="36">
        <f t="shared" si="117"/>
        <v>420</v>
      </c>
      <c r="T421" s="35" t="str">
        <f t="shared" si="118"/>
        <v/>
      </c>
      <c r="U421" s="3">
        <f t="shared" si="102"/>
        <v>0</v>
      </c>
      <c r="V421" s="3">
        <f t="shared" si="103"/>
        <v>0</v>
      </c>
      <c r="W421" s="3">
        <f t="shared" si="104"/>
        <v>0</v>
      </c>
      <c r="X421" s="3">
        <f t="shared" si="105"/>
        <v>0</v>
      </c>
      <c r="Y421" s="3">
        <f>0</f>
        <v>0</v>
      </c>
      <c r="Z421" s="3">
        <f t="shared" si="106"/>
        <v>0</v>
      </c>
      <c r="AA421">
        <f>ROUND(IF(A421=入力!$B$15+1,IF(E421=0,ROUND(C421/MAX(1,S420-A421+1),0),ROUND(-PMT(E421/12,MAX(1,S420-A421+1)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,0)</f>
        <v>98997</v>
      </c>
    </row>
    <row r="422" spans="1:27">
      <c r="A422" s="30">
        <f>417</f>
        <v>417</v>
      </c>
      <c r="B422" s="31">
        <f>EDATE(入力!$B$6,A422-1)</f>
        <v>58897</v>
      </c>
      <c r="C422" s="32">
        <f t="shared" si="107"/>
        <v>393940</v>
      </c>
      <c r="D422" s="32">
        <f t="shared" si="108"/>
        <v>0</v>
      </c>
      <c r="E422" s="33">
        <f>IF(AND(T421="",A422&lt;=S421),IF(A422&lt;入力!$B$11,入力!$B$10,入力!$B$12),0)</f>
        <v>2.5000000000000001E-2</v>
      </c>
      <c r="F422" s="32">
        <f t="shared" si="109"/>
        <v>821</v>
      </c>
      <c r="G422" s="32">
        <f>ROUND(IF(NOT(AND(T421="",A422&lt;=S421)),0,IF(A422=入力!$B$15+1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),0)</f>
        <v>98997</v>
      </c>
      <c r="H422" s="32">
        <f t="shared" si="110"/>
        <v>98997</v>
      </c>
      <c r="I422" s="32">
        <f t="shared" si="111"/>
        <v>821</v>
      </c>
      <c r="J422" s="32">
        <f t="shared" si="112"/>
        <v>0</v>
      </c>
      <c r="K422" s="32">
        <f t="shared" si="113"/>
        <v>0</v>
      </c>
      <c r="L422" s="32">
        <f t="shared" si="114"/>
        <v>98176</v>
      </c>
      <c r="M422" s="32">
        <f>IF(AND(AND(T421="",A422&lt;=S421),A422=入力!$B$15),ROUND(MIN(入力!$B$16,MAX(0,C422-L422)),0),0)</f>
        <v>0</v>
      </c>
      <c r="N422" s="32">
        <f t="shared" si="115"/>
        <v>295764</v>
      </c>
      <c r="O422" s="32">
        <f t="shared" si="116"/>
        <v>12385473</v>
      </c>
      <c r="P422" s="34" t="str">
        <f>IF(NOT(AND(T421="",A422&lt;=S421)),"",IF(A422=入力!$B$15+1,"繰上返済後再計算","")&amp;IF(AND(入力!$B$13="有効",A422&gt;1,MOD(A422-1,60)=0),IF(A422=入力!$B$15+1,"・","")&amp;"5年見直し","")&amp;IF(AND(A422=入力!$B$11,A422&gt;1),IF(OR(A422=入力!$B$15+1,AND(入力!$B$13="有効",A422&gt;1,MOD(A422-1,60)=0)),"・","")&amp;"金利変更","")&amp;IF(AND(OR(AND(入力!$B$13="有効",A422&gt;1,MOD(A422-1,60)=0),AND(A422=入力!$B$11,A422&gt;1)),入力!$B$14="有効",IF(E422=0,ROUND(C422/MAX(1,S421-A422+1),0),ROUND(-PMT(E422/12,MAX(1,S421-A422+1),C422),0))&gt;ROUND(G421*1.25,0),NOT(A422=入力!$B$15+1)),"・上限適用",""))</f>
        <v/>
      </c>
      <c r="Q422" s="35" t="str">
        <f>IF(AND(T421="",A422&lt;=S421),入力!$B$13,"")</f>
        <v>有効</v>
      </c>
      <c r="R422" s="32" t="str">
        <f>IF(AND(AND(T421="",A422&lt;=S421),OR(AND(入力!$B$13="有効",A422&gt;1,MOD(A422-1,60)=0),AND(A422=入力!$B$11,A422&gt;1)),入力!$B$14="有効"),ROUND(G421*1.25,0),"")</f>
        <v/>
      </c>
      <c r="S422" s="36">
        <f t="shared" si="117"/>
        <v>420</v>
      </c>
      <c r="T422" s="35" t="str">
        <f t="shared" si="118"/>
        <v/>
      </c>
      <c r="U422" s="3">
        <f t="shared" si="102"/>
        <v>0</v>
      </c>
      <c r="V422" s="3">
        <f t="shared" si="103"/>
        <v>0</v>
      </c>
      <c r="W422" s="3">
        <f t="shared" si="104"/>
        <v>0</v>
      </c>
      <c r="X422" s="3">
        <f t="shared" si="105"/>
        <v>0</v>
      </c>
      <c r="Y422" s="3">
        <f>0</f>
        <v>0</v>
      </c>
      <c r="Z422" s="3">
        <f t="shared" si="106"/>
        <v>0</v>
      </c>
      <c r="AA422">
        <f>ROUND(IF(A422=入力!$B$15+1,IF(E422=0,ROUND(C422/MAX(1,S421-A422+1),0),ROUND(-PMT(E422/12,MAX(1,S421-A422+1)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,0)</f>
        <v>98997</v>
      </c>
    </row>
    <row r="423" spans="1:27">
      <c r="A423" s="30">
        <f>418</f>
        <v>418</v>
      </c>
      <c r="B423" s="31">
        <f>EDATE(入力!$B$6,A423-1)</f>
        <v>58927</v>
      </c>
      <c r="C423" s="32">
        <f t="shared" si="107"/>
        <v>295764</v>
      </c>
      <c r="D423" s="32">
        <f t="shared" si="108"/>
        <v>0</v>
      </c>
      <c r="E423" s="33">
        <f>IF(AND(T422="",A423&lt;=S422),IF(A423&lt;入力!$B$11,入力!$B$10,入力!$B$12),0)</f>
        <v>2.5000000000000001E-2</v>
      </c>
      <c r="F423" s="32">
        <f t="shared" si="109"/>
        <v>616</v>
      </c>
      <c r="G423" s="32">
        <f>ROUND(IF(NOT(AND(T422="",A423&lt;=S422)),0,IF(A423=入力!$B$15+1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),0)</f>
        <v>98997</v>
      </c>
      <c r="H423" s="32">
        <f t="shared" si="110"/>
        <v>98997</v>
      </c>
      <c r="I423" s="32">
        <f t="shared" si="111"/>
        <v>616</v>
      </c>
      <c r="J423" s="32">
        <f t="shared" si="112"/>
        <v>0</v>
      </c>
      <c r="K423" s="32">
        <f t="shared" si="113"/>
        <v>0</v>
      </c>
      <c r="L423" s="32">
        <f t="shared" si="114"/>
        <v>98381</v>
      </c>
      <c r="M423" s="32">
        <f>IF(AND(AND(T422="",A423&lt;=S422),A423=入力!$B$15),ROUND(MIN(入力!$B$16,MAX(0,C423-L423)),0),0)</f>
        <v>0</v>
      </c>
      <c r="N423" s="32">
        <f t="shared" si="115"/>
        <v>197383</v>
      </c>
      <c r="O423" s="32">
        <f t="shared" si="116"/>
        <v>12386089</v>
      </c>
      <c r="P423" s="34" t="str">
        <f>IF(NOT(AND(T422="",A423&lt;=S422)),"",IF(A423=入力!$B$15+1,"繰上返済後再計算","")&amp;IF(AND(入力!$B$13="有効",A423&gt;1,MOD(A423-1,60)=0),IF(A423=入力!$B$15+1,"・","")&amp;"5年見直し","")&amp;IF(AND(A423=入力!$B$11,A423&gt;1),IF(OR(A423=入力!$B$15+1,AND(入力!$B$13="有効",A423&gt;1,MOD(A423-1,60)=0)),"・","")&amp;"金利変更","")&amp;IF(AND(OR(AND(入力!$B$13="有効",A423&gt;1,MOD(A423-1,60)=0),AND(A423=入力!$B$11,A423&gt;1)),入力!$B$14="有効",IF(E423=0,ROUND(C423/MAX(1,S422-A423+1),0),ROUND(-PMT(E423/12,MAX(1,S422-A423+1),C423),0))&gt;ROUND(G422*1.25,0),NOT(A423=入力!$B$15+1)),"・上限適用",""))</f>
        <v/>
      </c>
      <c r="Q423" s="35" t="str">
        <f>IF(AND(T422="",A423&lt;=S422),入力!$B$13,"")</f>
        <v>有効</v>
      </c>
      <c r="R423" s="32" t="str">
        <f>IF(AND(AND(T422="",A423&lt;=S422),OR(AND(入力!$B$13="有効",A423&gt;1,MOD(A423-1,60)=0),AND(A423=入力!$B$11,A423&gt;1)),入力!$B$14="有効"),ROUND(G422*1.25,0),"")</f>
        <v/>
      </c>
      <c r="S423" s="36">
        <f t="shared" si="117"/>
        <v>420</v>
      </c>
      <c r="T423" s="35" t="str">
        <f t="shared" si="118"/>
        <v/>
      </c>
      <c r="U423" s="3">
        <f t="shared" si="102"/>
        <v>0</v>
      </c>
      <c r="V423" s="3">
        <f t="shared" si="103"/>
        <v>0</v>
      </c>
      <c r="W423" s="3">
        <f t="shared" si="104"/>
        <v>0</v>
      </c>
      <c r="X423" s="3">
        <f t="shared" si="105"/>
        <v>0</v>
      </c>
      <c r="Y423" s="3">
        <f>0</f>
        <v>0</v>
      </c>
      <c r="Z423" s="3">
        <f t="shared" si="106"/>
        <v>0</v>
      </c>
      <c r="AA423">
        <f>ROUND(IF(A423=入力!$B$15+1,IF(E423=0,ROUND(C423/MAX(1,S422-A423+1),0),ROUND(-PMT(E423/12,MAX(1,S422-A423+1)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,0)</f>
        <v>98997</v>
      </c>
    </row>
    <row r="424" spans="1:27">
      <c r="A424" s="30">
        <f>419</f>
        <v>419</v>
      </c>
      <c r="B424" s="31">
        <f>EDATE(入力!$B$6,A424-1)</f>
        <v>58958</v>
      </c>
      <c r="C424" s="32">
        <f t="shared" si="107"/>
        <v>197383</v>
      </c>
      <c r="D424" s="32">
        <f t="shared" si="108"/>
        <v>0</v>
      </c>
      <c r="E424" s="33">
        <f>IF(AND(T423="",A424&lt;=S423),IF(A424&lt;入力!$B$11,入力!$B$10,入力!$B$12),0)</f>
        <v>2.5000000000000001E-2</v>
      </c>
      <c r="F424" s="32">
        <f t="shared" si="109"/>
        <v>411</v>
      </c>
      <c r="G424" s="32">
        <f>ROUND(IF(NOT(AND(T423="",A424&lt;=S423)),0,IF(A424=入力!$B$15+1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),0)</f>
        <v>98997</v>
      </c>
      <c r="H424" s="32">
        <f t="shared" si="110"/>
        <v>98997</v>
      </c>
      <c r="I424" s="32">
        <f t="shared" si="111"/>
        <v>411</v>
      </c>
      <c r="J424" s="32">
        <f t="shared" si="112"/>
        <v>0</v>
      </c>
      <c r="K424" s="32">
        <f t="shared" si="113"/>
        <v>0</v>
      </c>
      <c r="L424" s="32">
        <f t="shared" si="114"/>
        <v>98586</v>
      </c>
      <c r="M424" s="32">
        <f>IF(AND(AND(T423="",A424&lt;=S423),A424=入力!$B$15),ROUND(MIN(入力!$B$16,MAX(0,C424-L424)),0),0)</f>
        <v>0</v>
      </c>
      <c r="N424" s="32">
        <f t="shared" si="115"/>
        <v>98797</v>
      </c>
      <c r="O424" s="32">
        <f t="shared" si="116"/>
        <v>12386500</v>
      </c>
      <c r="P424" s="34" t="str">
        <f>IF(NOT(AND(T423="",A424&lt;=S423)),"",IF(A424=入力!$B$15+1,"繰上返済後再計算","")&amp;IF(AND(入力!$B$13="有効",A424&gt;1,MOD(A424-1,60)=0),IF(A424=入力!$B$15+1,"・","")&amp;"5年見直し","")&amp;IF(AND(A424=入力!$B$11,A424&gt;1),IF(OR(A424=入力!$B$15+1,AND(入力!$B$13="有効",A424&gt;1,MOD(A424-1,60)=0)),"・","")&amp;"金利変更","")&amp;IF(AND(OR(AND(入力!$B$13="有効",A424&gt;1,MOD(A424-1,60)=0),AND(A424=入力!$B$11,A424&gt;1)),入力!$B$14="有効",IF(E424=0,ROUND(C424/MAX(1,S423-A424+1),0),ROUND(-PMT(E424/12,MAX(1,S423-A424+1),C424),0))&gt;ROUND(G423*1.25,0),NOT(A424=入力!$B$15+1)),"・上限適用",""))</f>
        <v/>
      </c>
      <c r="Q424" s="35" t="str">
        <f>IF(AND(T423="",A424&lt;=S423),入力!$B$13,"")</f>
        <v>有効</v>
      </c>
      <c r="R424" s="32" t="str">
        <f>IF(AND(AND(T423="",A424&lt;=S423),OR(AND(入力!$B$13="有効",A424&gt;1,MOD(A424-1,60)=0),AND(A424=入力!$B$11,A424&gt;1)),入力!$B$14="有効"),ROUND(G423*1.25,0),"")</f>
        <v/>
      </c>
      <c r="S424" s="36">
        <f t="shared" si="117"/>
        <v>420</v>
      </c>
      <c r="T424" s="35" t="str">
        <f t="shared" si="118"/>
        <v/>
      </c>
      <c r="U424" s="3">
        <f t="shared" si="102"/>
        <v>0</v>
      </c>
      <c r="V424" s="3">
        <f t="shared" si="103"/>
        <v>0</v>
      </c>
      <c r="W424" s="3">
        <f t="shared" si="104"/>
        <v>0</v>
      </c>
      <c r="X424" s="3">
        <f t="shared" si="105"/>
        <v>0</v>
      </c>
      <c r="Y424" s="3">
        <f>0</f>
        <v>0</v>
      </c>
      <c r="Z424" s="3">
        <f t="shared" si="106"/>
        <v>0</v>
      </c>
      <c r="AA424">
        <f>ROUND(IF(A424=入力!$B$15+1,IF(E424=0,ROUND(C424/MAX(1,S423-A424+1),0),ROUND(-PMT(E424/12,MAX(1,S423-A424+1)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,0)</f>
        <v>98997</v>
      </c>
    </row>
    <row r="425" spans="1:27">
      <c r="A425" s="30">
        <f>420</f>
        <v>420</v>
      </c>
      <c r="B425" s="31">
        <f>EDATE(入力!$B$6,A425-1)</f>
        <v>58988</v>
      </c>
      <c r="C425" s="32">
        <f t="shared" si="107"/>
        <v>98797</v>
      </c>
      <c r="D425" s="32">
        <f t="shared" si="108"/>
        <v>0</v>
      </c>
      <c r="E425" s="33">
        <f>IF(AND(T424="",A425&lt;=S424),IF(A425&lt;入力!$B$11,入力!$B$10,入力!$B$12),0)</f>
        <v>2.5000000000000001E-2</v>
      </c>
      <c r="F425" s="32">
        <f t="shared" si="109"/>
        <v>206</v>
      </c>
      <c r="G425" s="32">
        <f>ROUND(IF(NOT(AND(T424="",A425&lt;=S424)),0,IF(A425=入力!$B$15+1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),0)</f>
        <v>98997</v>
      </c>
      <c r="H425" s="32">
        <f t="shared" si="110"/>
        <v>98997</v>
      </c>
      <c r="I425" s="32">
        <f t="shared" si="111"/>
        <v>206</v>
      </c>
      <c r="J425" s="32">
        <f t="shared" si="112"/>
        <v>0</v>
      </c>
      <c r="K425" s="32">
        <f t="shared" si="113"/>
        <v>0</v>
      </c>
      <c r="L425" s="32">
        <f t="shared" si="114"/>
        <v>98791</v>
      </c>
      <c r="M425" s="32">
        <f>IF(AND(AND(T424="",A425&lt;=S424),A425=入力!$B$15),ROUND(MIN(入力!$B$16,MAX(0,C425-L425)),0),0)</f>
        <v>0</v>
      </c>
      <c r="N425" s="32">
        <f t="shared" si="115"/>
        <v>6</v>
      </c>
      <c r="O425" s="32">
        <f t="shared" si="116"/>
        <v>12386706</v>
      </c>
      <c r="P425" s="34" t="str">
        <f>IF(NOT(AND(T424="",A425&lt;=S424)),"",IF(A425=入力!$B$15+1,"繰上返済後再計算","")&amp;IF(AND(入力!$B$13="有効",A425&gt;1,MOD(A425-1,60)=0),IF(A425=入力!$B$15+1,"・","")&amp;"5年見直し","")&amp;IF(AND(A425=入力!$B$11,A425&gt;1),IF(OR(A425=入力!$B$15+1,AND(入力!$B$13="有効",A425&gt;1,MOD(A425-1,60)=0)),"・","")&amp;"金利変更","")&amp;IF(AND(OR(AND(入力!$B$13="有効",A425&gt;1,MOD(A425-1,60)=0),AND(A425=入力!$B$11,A425&gt;1)),入力!$B$14="有効",IF(E425=0,ROUND(C425/MAX(1,S424-A425+1),0),ROUND(-PMT(E425/12,MAX(1,S424-A425+1),C425),0))&gt;ROUND(G424*1.25,0),NOT(A425=入力!$B$15+1)),"・上限適用",""))</f>
        <v/>
      </c>
      <c r="Q425" s="35" t="str">
        <f>IF(AND(T424="",A425&lt;=S424),入力!$B$13,"")</f>
        <v>有効</v>
      </c>
      <c r="R425" s="32" t="str">
        <f>IF(AND(AND(T424="",A425&lt;=S424),OR(AND(入力!$B$13="有効",A425&gt;1,MOD(A425-1,60)=0),AND(A425=入力!$B$11,A425&gt;1)),入力!$B$14="有効"),ROUND(G424*1.25,0),"")</f>
        <v/>
      </c>
      <c r="S425" s="36">
        <f t="shared" si="117"/>
        <v>420</v>
      </c>
      <c r="T425" s="35" t="str">
        <f t="shared" si="118"/>
        <v>最終回清算</v>
      </c>
      <c r="U425" s="3">
        <f t="shared" si="102"/>
        <v>0</v>
      </c>
      <c r="V425" s="3">
        <f t="shared" si="103"/>
        <v>0</v>
      </c>
      <c r="W425" s="3">
        <f t="shared" si="104"/>
        <v>0</v>
      </c>
      <c r="X425" s="3">
        <f t="shared" si="105"/>
        <v>0</v>
      </c>
      <c r="Y425" s="3">
        <f>0</f>
        <v>0</v>
      </c>
      <c r="Z425" s="3">
        <f t="shared" si="106"/>
        <v>0</v>
      </c>
      <c r="AA425">
        <f>ROUND(IF(A425=入力!$B$15+1,IF(E425=0,ROUND(C425/MAX(1,S424-A425+1),0),ROUND(-PMT(E425/12,MAX(1,S424-A425+1)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,0)</f>
        <v>98997</v>
      </c>
    </row>
    <row r="426" spans="1:27">
      <c r="A426" s="30">
        <f>421</f>
        <v>421</v>
      </c>
      <c r="B426" s="31">
        <f>EDATE(入力!$B$6,A426-1)</f>
        <v>59019</v>
      </c>
      <c r="C426" s="32">
        <f t="shared" si="107"/>
        <v>0</v>
      </c>
      <c r="D426" s="32">
        <f t="shared" si="108"/>
        <v>0</v>
      </c>
      <c r="E426" s="33">
        <f>IF(AND(T425="",A426&lt;=S425),IF(A426&lt;入力!$B$11,入力!$B$10,入力!$B$12),0)</f>
        <v>0</v>
      </c>
      <c r="F426" s="32">
        <f t="shared" si="109"/>
        <v>0</v>
      </c>
      <c r="G426" s="32">
        <f>ROUND(IF(NOT(AND(T425="",A426&lt;=S425)),0,IF(A426=入力!$B$15+1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),0)</f>
        <v>0</v>
      </c>
      <c r="H426" s="32">
        <f t="shared" si="110"/>
        <v>0</v>
      </c>
      <c r="I426" s="32">
        <f t="shared" si="111"/>
        <v>0</v>
      </c>
      <c r="J426" s="32">
        <f t="shared" si="112"/>
        <v>0</v>
      </c>
      <c r="K426" s="32">
        <f t="shared" si="113"/>
        <v>0</v>
      </c>
      <c r="L426" s="32">
        <f t="shared" si="114"/>
        <v>0</v>
      </c>
      <c r="M426" s="32">
        <f>IF(AND(AND(T425="",A426&lt;=S425),A426=入力!$B$15),ROUND(MIN(入力!$B$16,MAX(0,C426-L426)),0),0)</f>
        <v>0</v>
      </c>
      <c r="N426" s="32">
        <f t="shared" si="115"/>
        <v>0</v>
      </c>
      <c r="O426" s="32">
        <f t="shared" si="116"/>
        <v>12386706</v>
      </c>
      <c r="P426" s="34" t="str">
        <f>IF(NOT(AND(T425="",A426&lt;=S425)),"",IF(A426=入力!$B$15+1,"繰上返済後再計算","")&amp;IF(AND(入力!$B$13="有効",A426&gt;1,MOD(A426-1,60)=0),IF(A426=入力!$B$15+1,"・","")&amp;"5年見直し","")&amp;IF(AND(A426=入力!$B$11,A426&gt;1),IF(OR(A426=入力!$B$15+1,AND(入力!$B$13="有効",A426&gt;1,MOD(A426-1,60)=0)),"・","")&amp;"金利変更","")&amp;IF(AND(OR(AND(入力!$B$13="有効",A426&gt;1,MOD(A426-1,60)=0),AND(A426=入力!$B$11,A426&gt;1)),入力!$B$14="有効",IF(E426=0,ROUND(C426/MAX(1,S425-A426+1),0),ROUND(-PMT(E426/12,MAX(1,S425-A426+1),C426),0))&gt;ROUND(G425*1.25,0),NOT(A426=入力!$B$15+1)),"・上限適用",""))</f>
        <v/>
      </c>
      <c r="Q426" s="35" t="str">
        <f>IF(AND(T425="",A426&lt;=S425),入力!$B$13,"")</f>
        <v/>
      </c>
      <c r="R426" s="32" t="str">
        <f>IF(AND(AND(T425="",A426&lt;=S425),OR(AND(入力!$B$13="有効",A426&gt;1,MOD(A426-1,60)=0),AND(A426=入力!$B$11,A426&gt;1)),入力!$B$14="有効"),ROUND(G425*1.25,0),"")</f>
        <v/>
      </c>
      <c r="S426" s="36">
        <f t="shared" si="117"/>
        <v>420</v>
      </c>
      <c r="T426" s="35" t="str">
        <f t="shared" si="118"/>
        <v/>
      </c>
      <c r="U426" s="3">
        <f t="shared" si="102"/>
        <v>0</v>
      </c>
      <c r="V426" s="3">
        <f t="shared" si="103"/>
        <v>0</v>
      </c>
      <c r="W426" s="3">
        <f t="shared" si="104"/>
        <v>0</v>
      </c>
      <c r="X426" s="3">
        <f t="shared" si="105"/>
        <v>0</v>
      </c>
      <c r="Y426" s="3">
        <f>0</f>
        <v>0</v>
      </c>
      <c r="Z426" s="3">
        <f t="shared" si="106"/>
        <v>0</v>
      </c>
      <c r="AA426">
        <f>ROUND(IF(A426=入力!$B$15+1,IF(E426=0,ROUND(C426/MAX(1,S425-A426+1),0),ROUND(-PMT(E426/12,MAX(1,S425-A426+1)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,0)</f>
        <v>0</v>
      </c>
    </row>
    <row r="427" spans="1:27">
      <c r="A427" s="30">
        <f>422</f>
        <v>422</v>
      </c>
      <c r="B427" s="31">
        <f>EDATE(入力!$B$6,A427-1)</f>
        <v>59050</v>
      </c>
      <c r="C427" s="32">
        <f t="shared" si="107"/>
        <v>0</v>
      </c>
      <c r="D427" s="32">
        <f t="shared" si="108"/>
        <v>0</v>
      </c>
      <c r="E427" s="33">
        <f>IF(AND(T426="",A427&lt;=S426),IF(A427&lt;入力!$B$11,入力!$B$10,入力!$B$12),0)</f>
        <v>0</v>
      </c>
      <c r="F427" s="32">
        <f t="shared" si="109"/>
        <v>0</v>
      </c>
      <c r="G427" s="32">
        <f>ROUND(IF(NOT(AND(T426="",A427&lt;=S426)),0,IF(A427=入力!$B$15+1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),0)</f>
        <v>0</v>
      </c>
      <c r="H427" s="32">
        <f t="shared" si="110"/>
        <v>0</v>
      </c>
      <c r="I427" s="32">
        <f t="shared" si="111"/>
        <v>0</v>
      </c>
      <c r="J427" s="32">
        <f t="shared" si="112"/>
        <v>0</v>
      </c>
      <c r="K427" s="32">
        <f t="shared" si="113"/>
        <v>0</v>
      </c>
      <c r="L427" s="32">
        <f t="shared" si="114"/>
        <v>0</v>
      </c>
      <c r="M427" s="32">
        <f>IF(AND(AND(T426="",A427&lt;=S426),A427=入力!$B$15),ROUND(MIN(入力!$B$16,MAX(0,C427-L427)),0),0)</f>
        <v>0</v>
      </c>
      <c r="N427" s="32">
        <f t="shared" si="115"/>
        <v>0</v>
      </c>
      <c r="O427" s="32">
        <f t="shared" si="116"/>
        <v>12386706</v>
      </c>
      <c r="P427" s="34" t="str">
        <f>IF(NOT(AND(T426="",A427&lt;=S426)),"",IF(A427=入力!$B$15+1,"繰上返済後再計算","")&amp;IF(AND(入力!$B$13="有効",A427&gt;1,MOD(A427-1,60)=0),IF(A427=入力!$B$15+1,"・","")&amp;"5年見直し","")&amp;IF(AND(A427=入力!$B$11,A427&gt;1),IF(OR(A427=入力!$B$15+1,AND(入力!$B$13="有効",A427&gt;1,MOD(A427-1,60)=0)),"・","")&amp;"金利変更","")&amp;IF(AND(OR(AND(入力!$B$13="有効",A427&gt;1,MOD(A427-1,60)=0),AND(A427=入力!$B$11,A427&gt;1)),入力!$B$14="有効",IF(E427=0,ROUND(C427/MAX(1,S426-A427+1),0),ROUND(-PMT(E427/12,MAX(1,S426-A427+1),C427),0))&gt;ROUND(G426*1.25,0),NOT(A427=入力!$B$15+1)),"・上限適用",""))</f>
        <v/>
      </c>
      <c r="Q427" s="35" t="str">
        <f>IF(AND(T426="",A427&lt;=S426),入力!$B$13,"")</f>
        <v/>
      </c>
      <c r="R427" s="32" t="str">
        <f>IF(AND(AND(T426="",A427&lt;=S426),OR(AND(入力!$B$13="有効",A427&gt;1,MOD(A427-1,60)=0),AND(A427=入力!$B$11,A427&gt;1)),入力!$B$14="有効"),ROUND(G426*1.25,0),"")</f>
        <v/>
      </c>
      <c r="S427" s="36">
        <f t="shared" si="117"/>
        <v>420</v>
      </c>
      <c r="T427" s="35" t="str">
        <f t="shared" si="118"/>
        <v/>
      </c>
      <c r="U427" s="3">
        <f t="shared" si="102"/>
        <v>0</v>
      </c>
      <c r="V427" s="3">
        <f t="shared" si="103"/>
        <v>0</v>
      </c>
      <c r="W427" s="3">
        <f t="shared" si="104"/>
        <v>0</v>
      </c>
      <c r="X427" s="3">
        <f t="shared" si="105"/>
        <v>0</v>
      </c>
      <c r="Y427" s="3">
        <f>0</f>
        <v>0</v>
      </c>
      <c r="Z427" s="3">
        <f t="shared" si="106"/>
        <v>0</v>
      </c>
      <c r="AA427">
        <f>ROUND(IF(A427=入力!$B$15+1,IF(E427=0,ROUND(C427/MAX(1,S426-A427+1),0),ROUND(-PMT(E427/12,MAX(1,S426-A427+1)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,0)</f>
        <v>0</v>
      </c>
    </row>
    <row r="428" spans="1:27">
      <c r="A428" s="30">
        <f>423</f>
        <v>423</v>
      </c>
      <c r="B428" s="31">
        <f>EDATE(入力!$B$6,A428-1)</f>
        <v>59080</v>
      </c>
      <c r="C428" s="32">
        <f t="shared" si="107"/>
        <v>0</v>
      </c>
      <c r="D428" s="32">
        <f t="shared" si="108"/>
        <v>0</v>
      </c>
      <c r="E428" s="33">
        <f>IF(AND(T427="",A428&lt;=S427),IF(A428&lt;入力!$B$11,入力!$B$10,入力!$B$12),0)</f>
        <v>0</v>
      </c>
      <c r="F428" s="32">
        <f t="shared" si="109"/>
        <v>0</v>
      </c>
      <c r="G428" s="32">
        <f>ROUND(IF(NOT(AND(T427="",A428&lt;=S427)),0,IF(A428=入力!$B$15+1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),0)</f>
        <v>0</v>
      </c>
      <c r="H428" s="32">
        <f t="shared" si="110"/>
        <v>0</v>
      </c>
      <c r="I428" s="32">
        <f t="shared" si="111"/>
        <v>0</v>
      </c>
      <c r="J428" s="32">
        <f t="shared" si="112"/>
        <v>0</v>
      </c>
      <c r="K428" s="32">
        <f t="shared" si="113"/>
        <v>0</v>
      </c>
      <c r="L428" s="32">
        <f t="shared" si="114"/>
        <v>0</v>
      </c>
      <c r="M428" s="32">
        <f>IF(AND(AND(T427="",A428&lt;=S427),A428=入力!$B$15),ROUND(MIN(入力!$B$16,MAX(0,C428-L428)),0),0)</f>
        <v>0</v>
      </c>
      <c r="N428" s="32">
        <f t="shared" si="115"/>
        <v>0</v>
      </c>
      <c r="O428" s="32">
        <f t="shared" si="116"/>
        <v>12386706</v>
      </c>
      <c r="P428" s="34" t="str">
        <f>IF(NOT(AND(T427="",A428&lt;=S427)),"",IF(A428=入力!$B$15+1,"繰上返済後再計算","")&amp;IF(AND(入力!$B$13="有効",A428&gt;1,MOD(A428-1,60)=0),IF(A428=入力!$B$15+1,"・","")&amp;"5年見直し","")&amp;IF(AND(A428=入力!$B$11,A428&gt;1),IF(OR(A428=入力!$B$15+1,AND(入力!$B$13="有効",A428&gt;1,MOD(A428-1,60)=0)),"・","")&amp;"金利変更","")&amp;IF(AND(OR(AND(入力!$B$13="有効",A428&gt;1,MOD(A428-1,60)=0),AND(A428=入力!$B$11,A428&gt;1)),入力!$B$14="有効",IF(E428=0,ROUND(C428/MAX(1,S427-A428+1),0),ROUND(-PMT(E428/12,MAX(1,S427-A428+1),C428),0))&gt;ROUND(G427*1.25,0),NOT(A428=入力!$B$15+1)),"・上限適用",""))</f>
        <v/>
      </c>
      <c r="Q428" s="35" t="str">
        <f>IF(AND(T427="",A428&lt;=S427),入力!$B$13,"")</f>
        <v/>
      </c>
      <c r="R428" s="32" t="str">
        <f>IF(AND(AND(T427="",A428&lt;=S427),OR(AND(入力!$B$13="有効",A428&gt;1,MOD(A428-1,60)=0),AND(A428=入力!$B$11,A428&gt;1)),入力!$B$14="有効"),ROUND(G427*1.25,0),"")</f>
        <v/>
      </c>
      <c r="S428" s="36">
        <f t="shared" si="117"/>
        <v>420</v>
      </c>
      <c r="T428" s="35" t="str">
        <f t="shared" si="118"/>
        <v/>
      </c>
      <c r="U428" s="3">
        <f t="shared" si="102"/>
        <v>0</v>
      </c>
      <c r="V428" s="3">
        <f t="shared" si="103"/>
        <v>0</v>
      </c>
      <c r="W428" s="3">
        <f t="shared" si="104"/>
        <v>0</v>
      </c>
      <c r="X428" s="3">
        <f t="shared" si="105"/>
        <v>0</v>
      </c>
      <c r="Y428" s="3">
        <f>0</f>
        <v>0</v>
      </c>
      <c r="Z428" s="3">
        <f t="shared" si="106"/>
        <v>0</v>
      </c>
      <c r="AA428">
        <f>ROUND(IF(A428=入力!$B$15+1,IF(E428=0,ROUND(C428/MAX(1,S427-A428+1),0),ROUND(-PMT(E428/12,MAX(1,S427-A428+1)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,0)</f>
        <v>0</v>
      </c>
    </row>
    <row r="429" spans="1:27">
      <c r="A429" s="30">
        <f>424</f>
        <v>424</v>
      </c>
      <c r="B429" s="31">
        <f>EDATE(入力!$B$6,A429-1)</f>
        <v>59111</v>
      </c>
      <c r="C429" s="32">
        <f t="shared" si="107"/>
        <v>0</v>
      </c>
      <c r="D429" s="32">
        <f t="shared" si="108"/>
        <v>0</v>
      </c>
      <c r="E429" s="33">
        <f>IF(AND(T428="",A429&lt;=S428),IF(A429&lt;入力!$B$11,入力!$B$10,入力!$B$12),0)</f>
        <v>0</v>
      </c>
      <c r="F429" s="32">
        <f t="shared" si="109"/>
        <v>0</v>
      </c>
      <c r="G429" s="32">
        <f>ROUND(IF(NOT(AND(T428="",A429&lt;=S428)),0,IF(A429=入力!$B$15+1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),0)</f>
        <v>0</v>
      </c>
      <c r="H429" s="32">
        <f t="shared" si="110"/>
        <v>0</v>
      </c>
      <c r="I429" s="32">
        <f t="shared" si="111"/>
        <v>0</v>
      </c>
      <c r="J429" s="32">
        <f t="shared" si="112"/>
        <v>0</v>
      </c>
      <c r="K429" s="32">
        <f t="shared" si="113"/>
        <v>0</v>
      </c>
      <c r="L429" s="32">
        <f t="shared" si="114"/>
        <v>0</v>
      </c>
      <c r="M429" s="32">
        <f>IF(AND(AND(T428="",A429&lt;=S428),A429=入力!$B$15),ROUND(MIN(入力!$B$16,MAX(0,C429-L429)),0),0)</f>
        <v>0</v>
      </c>
      <c r="N429" s="32">
        <f t="shared" si="115"/>
        <v>0</v>
      </c>
      <c r="O429" s="32">
        <f t="shared" si="116"/>
        <v>12386706</v>
      </c>
      <c r="P429" s="34" t="str">
        <f>IF(NOT(AND(T428="",A429&lt;=S428)),"",IF(A429=入力!$B$15+1,"繰上返済後再計算","")&amp;IF(AND(入力!$B$13="有効",A429&gt;1,MOD(A429-1,60)=0),IF(A429=入力!$B$15+1,"・","")&amp;"5年見直し","")&amp;IF(AND(A429=入力!$B$11,A429&gt;1),IF(OR(A429=入力!$B$15+1,AND(入力!$B$13="有効",A429&gt;1,MOD(A429-1,60)=0)),"・","")&amp;"金利変更","")&amp;IF(AND(OR(AND(入力!$B$13="有効",A429&gt;1,MOD(A429-1,60)=0),AND(A429=入力!$B$11,A429&gt;1)),入力!$B$14="有効",IF(E429=0,ROUND(C429/MAX(1,S428-A429+1),0),ROUND(-PMT(E429/12,MAX(1,S428-A429+1),C429),0))&gt;ROUND(G428*1.25,0),NOT(A429=入力!$B$15+1)),"・上限適用",""))</f>
        <v/>
      </c>
      <c r="Q429" s="35" t="str">
        <f>IF(AND(T428="",A429&lt;=S428),入力!$B$13,"")</f>
        <v/>
      </c>
      <c r="R429" s="32" t="str">
        <f>IF(AND(AND(T428="",A429&lt;=S428),OR(AND(入力!$B$13="有効",A429&gt;1,MOD(A429-1,60)=0),AND(A429=入力!$B$11,A429&gt;1)),入力!$B$14="有効"),ROUND(G428*1.25,0),"")</f>
        <v/>
      </c>
      <c r="S429" s="36">
        <f t="shared" si="117"/>
        <v>420</v>
      </c>
      <c r="T429" s="35" t="str">
        <f t="shared" si="118"/>
        <v/>
      </c>
      <c r="U429" s="3">
        <f t="shared" si="102"/>
        <v>0</v>
      </c>
      <c r="V429" s="3">
        <f t="shared" si="103"/>
        <v>0</v>
      </c>
      <c r="W429" s="3">
        <f t="shared" si="104"/>
        <v>0</v>
      </c>
      <c r="X429" s="3">
        <f t="shared" si="105"/>
        <v>0</v>
      </c>
      <c r="Y429" s="3">
        <f>0</f>
        <v>0</v>
      </c>
      <c r="Z429" s="3">
        <f t="shared" si="106"/>
        <v>0</v>
      </c>
      <c r="AA429">
        <f>ROUND(IF(A429=入力!$B$15+1,IF(E429=0,ROUND(C429/MAX(1,S428-A429+1),0),ROUND(-PMT(E429/12,MAX(1,S428-A429+1)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,0)</f>
        <v>0</v>
      </c>
    </row>
    <row r="430" spans="1:27">
      <c r="A430" s="30">
        <f>425</f>
        <v>425</v>
      </c>
      <c r="B430" s="31">
        <f>EDATE(入力!$B$6,A430-1)</f>
        <v>59141</v>
      </c>
      <c r="C430" s="32">
        <f t="shared" si="107"/>
        <v>0</v>
      </c>
      <c r="D430" s="32">
        <f t="shared" si="108"/>
        <v>0</v>
      </c>
      <c r="E430" s="33">
        <f>IF(AND(T429="",A430&lt;=S429),IF(A430&lt;入力!$B$11,入力!$B$10,入力!$B$12),0)</f>
        <v>0</v>
      </c>
      <c r="F430" s="32">
        <f t="shared" si="109"/>
        <v>0</v>
      </c>
      <c r="G430" s="32">
        <f>ROUND(IF(NOT(AND(T429="",A430&lt;=S429)),0,IF(A430=入力!$B$15+1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),0)</f>
        <v>0</v>
      </c>
      <c r="H430" s="32">
        <f t="shared" si="110"/>
        <v>0</v>
      </c>
      <c r="I430" s="32">
        <f t="shared" si="111"/>
        <v>0</v>
      </c>
      <c r="J430" s="32">
        <f t="shared" si="112"/>
        <v>0</v>
      </c>
      <c r="K430" s="32">
        <f t="shared" si="113"/>
        <v>0</v>
      </c>
      <c r="L430" s="32">
        <f t="shared" si="114"/>
        <v>0</v>
      </c>
      <c r="M430" s="32">
        <f>IF(AND(AND(T429="",A430&lt;=S429),A430=入力!$B$15),ROUND(MIN(入力!$B$16,MAX(0,C430-L430)),0),0)</f>
        <v>0</v>
      </c>
      <c r="N430" s="32">
        <f t="shared" si="115"/>
        <v>0</v>
      </c>
      <c r="O430" s="32">
        <f t="shared" si="116"/>
        <v>12386706</v>
      </c>
      <c r="P430" s="34" t="str">
        <f>IF(NOT(AND(T429="",A430&lt;=S429)),"",IF(A430=入力!$B$15+1,"繰上返済後再計算","")&amp;IF(AND(入力!$B$13="有効",A430&gt;1,MOD(A430-1,60)=0),IF(A430=入力!$B$15+1,"・","")&amp;"5年見直し","")&amp;IF(AND(A430=入力!$B$11,A430&gt;1),IF(OR(A430=入力!$B$15+1,AND(入力!$B$13="有効",A430&gt;1,MOD(A430-1,60)=0)),"・","")&amp;"金利変更","")&amp;IF(AND(OR(AND(入力!$B$13="有効",A430&gt;1,MOD(A430-1,60)=0),AND(A430=入力!$B$11,A430&gt;1)),入力!$B$14="有効",IF(E430=0,ROUND(C430/MAX(1,S429-A430+1),0),ROUND(-PMT(E430/12,MAX(1,S429-A430+1),C430),0))&gt;ROUND(G429*1.25,0),NOT(A430=入力!$B$15+1)),"・上限適用",""))</f>
        <v/>
      </c>
      <c r="Q430" s="35" t="str">
        <f>IF(AND(T429="",A430&lt;=S429),入力!$B$13,"")</f>
        <v/>
      </c>
      <c r="R430" s="32" t="str">
        <f>IF(AND(AND(T429="",A430&lt;=S429),OR(AND(入力!$B$13="有効",A430&gt;1,MOD(A430-1,60)=0),AND(A430=入力!$B$11,A430&gt;1)),入力!$B$14="有効"),ROUND(G429*1.25,0),"")</f>
        <v/>
      </c>
      <c r="S430" s="36">
        <f t="shared" si="117"/>
        <v>420</v>
      </c>
      <c r="T430" s="35" t="str">
        <f t="shared" si="118"/>
        <v/>
      </c>
      <c r="U430" s="3">
        <f t="shared" si="102"/>
        <v>0</v>
      </c>
      <c r="V430" s="3">
        <f t="shared" si="103"/>
        <v>0</v>
      </c>
      <c r="W430" s="3">
        <f t="shared" si="104"/>
        <v>0</v>
      </c>
      <c r="X430" s="3">
        <f t="shared" si="105"/>
        <v>0</v>
      </c>
      <c r="Y430" s="3">
        <f>0</f>
        <v>0</v>
      </c>
      <c r="Z430" s="3">
        <f t="shared" si="106"/>
        <v>0</v>
      </c>
      <c r="AA430">
        <f>ROUND(IF(A430=入力!$B$15+1,IF(E430=0,ROUND(C430/MAX(1,S429-A430+1),0),ROUND(-PMT(E430/12,MAX(1,S429-A430+1)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,0)</f>
        <v>0</v>
      </c>
    </row>
    <row r="431" spans="1:27">
      <c r="A431" s="30">
        <f>426</f>
        <v>426</v>
      </c>
      <c r="B431" s="31">
        <f>EDATE(入力!$B$6,A431-1)</f>
        <v>59172</v>
      </c>
      <c r="C431" s="32">
        <f t="shared" si="107"/>
        <v>0</v>
      </c>
      <c r="D431" s="32">
        <f t="shared" si="108"/>
        <v>0</v>
      </c>
      <c r="E431" s="33">
        <f>IF(AND(T430="",A431&lt;=S430),IF(A431&lt;入力!$B$11,入力!$B$10,入力!$B$12),0)</f>
        <v>0</v>
      </c>
      <c r="F431" s="32">
        <f t="shared" si="109"/>
        <v>0</v>
      </c>
      <c r="G431" s="32">
        <f>ROUND(IF(NOT(AND(T430="",A431&lt;=S430)),0,IF(A431=入力!$B$15+1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),0)</f>
        <v>0</v>
      </c>
      <c r="H431" s="32">
        <f t="shared" si="110"/>
        <v>0</v>
      </c>
      <c r="I431" s="32">
        <f t="shared" si="111"/>
        <v>0</v>
      </c>
      <c r="J431" s="32">
        <f t="shared" si="112"/>
        <v>0</v>
      </c>
      <c r="K431" s="32">
        <f t="shared" si="113"/>
        <v>0</v>
      </c>
      <c r="L431" s="32">
        <f t="shared" si="114"/>
        <v>0</v>
      </c>
      <c r="M431" s="32">
        <f>IF(AND(AND(T430="",A431&lt;=S430),A431=入力!$B$15),ROUND(MIN(入力!$B$16,MAX(0,C431-L431)),0),0)</f>
        <v>0</v>
      </c>
      <c r="N431" s="32">
        <f t="shared" si="115"/>
        <v>0</v>
      </c>
      <c r="O431" s="32">
        <f t="shared" si="116"/>
        <v>12386706</v>
      </c>
      <c r="P431" s="34" t="str">
        <f>IF(NOT(AND(T430="",A431&lt;=S430)),"",IF(A431=入力!$B$15+1,"繰上返済後再計算","")&amp;IF(AND(入力!$B$13="有効",A431&gt;1,MOD(A431-1,60)=0),IF(A431=入力!$B$15+1,"・","")&amp;"5年見直し","")&amp;IF(AND(A431=入力!$B$11,A431&gt;1),IF(OR(A431=入力!$B$15+1,AND(入力!$B$13="有効",A431&gt;1,MOD(A431-1,60)=0)),"・","")&amp;"金利変更","")&amp;IF(AND(OR(AND(入力!$B$13="有効",A431&gt;1,MOD(A431-1,60)=0),AND(A431=入力!$B$11,A431&gt;1)),入力!$B$14="有効",IF(E431=0,ROUND(C431/MAX(1,S430-A431+1),0),ROUND(-PMT(E431/12,MAX(1,S430-A431+1),C431),0))&gt;ROUND(G430*1.25,0),NOT(A431=入力!$B$15+1)),"・上限適用",""))</f>
        <v/>
      </c>
      <c r="Q431" s="35" t="str">
        <f>IF(AND(T430="",A431&lt;=S430),入力!$B$13,"")</f>
        <v/>
      </c>
      <c r="R431" s="32" t="str">
        <f>IF(AND(AND(T430="",A431&lt;=S430),OR(AND(入力!$B$13="有効",A431&gt;1,MOD(A431-1,60)=0),AND(A431=入力!$B$11,A431&gt;1)),入力!$B$14="有効"),ROUND(G430*1.25,0),"")</f>
        <v/>
      </c>
      <c r="S431" s="36">
        <f t="shared" si="117"/>
        <v>420</v>
      </c>
      <c r="T431" s="35" t="str">
        <f t="shared" si="118"/>
        <v/>
      </c>
      <c r="U431" s="3">
        <f t="shared" si="102"/>
        <v>0</v>
      </c>
      <c r="V431" s="3">
        <f t="shared" si="103"/>
        <v>0</v>
      </c>
      <c r="W431" s="3">
        <f t="shared" si="104"/>
        <v>0</v>
      </c>
      <c r="X431" s="3">
        <f t="shared" si="105"/>
        <v>0</v>
      </c>
      <c r="Y431" s="3">
        <f>0</f>
        <v>0</v>
      </c>
      <c r="Z431" s="3">
        <f t="shared" si="106"/>
        <v>0</v>
      </c>
      <c r="AA431">
        <f>ROUND(IF(A431=入力!$B$15+1,IF(E431=0,ROUND(C431/MAX(1,S430-A431+1),0),ROUND(-PMT(E431/12,MAX(1,S430-A431+1)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,0)</f>
        <v>0</v>
      </c>
    </row>
    <row r="432" spans="1:27">
      <c r="A432" s="30">
        <f>427</f>
        <v>427</v>
      </c>
      <c r="B432" s="31">
        <f>EDATE(入力!$B$6,A432-1)</f>
        <v>59203</v>
      </c>
      <c r="C432" s="32">
        <f t="shared" si="107"/>
        <v>0</v>
      </c>
      <c r="D432" s="32">
        <f t="shared" si="108"/>
        <v>0</v>
      </c>
      <c r="E432" s="33">
        <f>IF(AND(T431="",A432&lt;=S431),IF(A432&lt;入力!$B$11,入力!$B$10,入力!$B$12),0)</f>
        <v>0</v>
      </c>
      <c r="F432" s="32">
        <f t="shared" si="109"/>
        <v>0</v>
      </c>
      <c r="G432" s="32">
        <f>ROUND(IF(NOT(AND(T431="",A432&lt;=S431)),0,IF(A432=入力!$B$15+1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),0)</f>
        <v>0</v>
      </c>
      <c r="H432" s="32">
        <f t="shared" si="110"/>
        <v>0</v>
      </c>
      <c r="I432" s="32">
        <f t="shared" si="111"/>
        <v>0</v>
      </c>
      <c r="J432" s="32">
        <f t="shared" si="112"/>
        <v>0</v>
      </c>
      <c r="K432" s="32">
        <f t="shared" si="113"/>
        <v>0</v>
      </c>
      <c r="L432" s="32">
        <f t="shared" si="114"/>
        <v>0</v>
      </c>
      <c r="M432" s="32">
        <f>IF(AND(AND(T431="",A432&lt;=S431),A432=入力!$B$15),ROUND(MIN(入力!$B$16,MAX(0,C432-L432)),0),0)</f>
        <v>0</v>
      </c>
      <c r="N432" s="32">
        <f t="shared" si="115"/>
        <v>0</v>
      </c>
      <c r="O432" s="32">
        <f t="shared" si="116"/>
        <v>12386706</v>
      </c>
      <c r="P432" s="34" t="str">
        <f>IF(NOT(AND(T431="",A432&lt;=S431)),"",IF(A432=入力!$B$15+1,"繰上返済後再計算","")&amp;IF(AND(入力!$B$13="有効",A432&gt;1,MOD(A432-1,60)=0),IF(A432=入力!$B$15+1,"・","")&amp;"5年見直し","")&amp;IF(AND(A432=入力!$B$11,A432&gt;1),IF(OR(A432=入力!$B$15+1,AND(入力!$B$13="有効",A432&gt;1,MOD(A432-1,60)=0)),"・","")&amp;"金利変更","")&amp;IF(AND(OR(AND(入力!$B$13="有効",A432&gt;1,MOD(A432-1,60)=0),AND(A432=入力!$B$11,A432&gt;1)),入力!$B$14="有効",IF(E432=0,ROUND(C432/MAX(1,S431-A432+1),0),ROUND(-PMT(E432/12,MAX(1,S431-A432+1),C432),0))&gt;ROUND(G431*1.25,0),NOT(A432=入力!$B$15+1)),"・上限適用",""))</f>
        <v/>
      </c>
      <c r="Q432" s="35" t="str">
        <f>IF(AND(T431="",A432&lt;=S431),入力!$B$13,"")</f>
        <v/>
      </c>
      <c r="R432" s="32" t="str">
        <f>IF(AND(AND(T431="",A432&lt;=S431),OR(AND(入力!$B$13="有効",A432&gt;1,MOD(A432-1,60)=0),AND(A432=入力!$B$11,A432&gt;1)),入力!$B$14="有効"),ROUND(G431*1.25,0),"")</f>
        <v/>
      </c>
      <c r="S432" s="36">
        <f t="shared" si="117"/>
        <v>420</v>
      </c>
      <c r="T432" s="35" t="str">
        <f t="shared" si="118"/>
        <v/>
      </c>
      <c r="U432" s="3">
        <f t="shared" si="102"/>
        <v>0</v>
      </c>
      <c r="V432" s="3">
        <f t="shared" si="103"/>
        <v>0</v>
      </c>
      <c r="W432" s="3">
        <f t="shared" si="104"/>
        <v>0</v>
      </c>
      <c r="X432" s="3">
        <f t="shared" si="105"/>
        <v>0</v>
      </c>
      <c r="Y432" s="3">
        <f>0</f>
        <v>0</v>
      </c>
      <c r="Z432" s="3">
        <f t="shared" si="106"/>
        <v>0</v>
      </c>
      <c r="AA432">
        <f>ROUND(IF(A432=入力!$B$15+1,IF(E432=0,ROUND(C432/MAX(1,S431-A432+1),0),ROUND(-PMT(E432/12,MAX(1,S431-A432+1)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,0)</f>
        <v>0</v>
      </c>
    </row>
    <row r="433" spans="1:27">
      <c r="A433" s="30">
        <f>428</f>
        <v>428</v>
      </c>
      <c r="B433" s="31">
        <f>EDATE(入力!$B$6,A433-1)</f>
        <v>59231</v>
      </c>
      <c r="C433" s="32">
        <f t="shared" si="107"/>
        <v>0</v>
      </c>
      <c r="D433" s="32">
        <f t="shared" si="108"/>
        <v>0</v>
      </c>
      <c r="E433" s="33">
        <f>IF(AND(T432="",A433&lt;=S432),IF(A433&lt;入力!$B$11,入力!$B$10,入力!$B$12),0)</f>
        <v>0</v>
      </c>
      <c r="F433" s="32">
        <f t="shared" si="109"/>
        <v>0</v>
      </c>
      <c r="G433" s="32">
        <f>ROUND(IF(NOT(AND(T432="",A433&lt;=S432)),0,IF(A433=入力!$B$15+1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),0)</f>
        <v>0</v>
      </c>
      <c r="H433" s="32">
        <f t="shared" si="110"/>
        <v>0</v>
      </c>
      <c r="I433" s="32">
        <f t="shared" si="111"/>
        <v>0</v>
      </c>
      <c r="J433" s="32">
        <f t="shared" si="112"/>
        <v>0</v>
      </c>
      <c r="K433" s="32">
        <f t="shared" si="113"/>
        <v>0</v>
      </c>
      <c r="L433" s="32">
        <f t="shared" si="114"/>
        <v>0</v>
      </c>
      <c r="M433" s="32">
        <f>IF(AND(AND(T432="",A433&lt;=S432),A433=入力!$B$15),ROUND(MIN(入力!$B$16,MAX(0,C433-L433)),0),0)</f>
        <v>0</v>
      </c>
      <c r="N433" s="32">
        <f t="shared" si="115"/>
        <v>0</v>
      </c>
      <c r="O433" s="32">
        <f t="shared" si="116"/>
        <v>12386706</v>
      </c>
      <c r="P433" s="34" t="str">
        <f>IF(NOT(AND(T432="",A433&lt;=S432)),"",IF(A433=入力!$B$15+1,"繰上返済後再計算","")&amp;IF(AND(入力!$B$13="有効",A433&gt;1,MOD(A433-1,60)=0),IF(A433=入力!$B$15+1,"・","")&amp;"5年見直し","")&amp;IF(AND(A433=入力!$B$11,A433&gt;1),IF(OR(A433=入力!$B$15+1,AND(入力!$B$13="有効",A433&gt;1,MOD(A433-1,60)=0)),"・","")&amp;"金利変更","")&amp;IF(AND(OR(AND(入力!$B$13="有効",A433&gt;1,MOD(A433-1,60)=0),AND(A433=入力!$B$11,A433&gt;1)),入力!$B$14="有効",IF(E433=0,ROUND(C433/MAX(1,S432-A433+1),0),ROUND(-PMT(E433/12,MAX(1,S432-A433+1),C433),0))&gt;ROUND(G432*1.25,0),NOT(A433=入力!$B$15+1)),"・上限適用",""))</f>
        <v/>
      </c>
      <c r="Q433" s="35" t="str">
        <f>IF(AND(T432="",A433&lt;=S432),入力!$B$13,"")</f>
        <v/>
      </c>
      <c r="R433" s="32" t="str">
        <f>IF(AND(AND(T432="",A433&lt;=S432),OR(AND(入力!$B$13="有効",A433&gt;1,MOD(A433-1,60)=0),AND(A433=入力!$B$11,A433&gt;1)),入力!$B$14="有効"),ROUND(G432*1.25,0),"")</f>
        <v/>
      </c>
      <c r="S433" s="36">
        <f t="shared" si="117"/>
        <v>420</v>
      </c>
      <c r="T433" s="35" t="str">
        <f t="shared" si="118"/>
        <v/>
      </c>
      <c r="U433" s="3">
        <f t="shared" si="102"/>
        <v>0</v>
      </c>
      <c r="V433" s="3">
        <f t="shared" si="103"/>
        <v>0</v>
      </c>
      <c r="W433" s="3">
        <f t="shared" si="104"/>
        <v>0</v>
      </c>
      <c r="X433" s="3">
        <f t="shared" si="105"/>
        <v>0</v>
      </c>
      <c r="Y433" s="3">
        <f>0</f>
        <v>0</v>
      </c>
      <c r="Z433" s="3">
        <f t="shared" si="106"/>
        <v>0</v>
      </c>
      <c r="AA433">
        <f>ROUND(IF(A433=入力!$B$15+1,IF(E433=0,ROUND(C433/MAX(1,S432-A433+1),0),ROUND(-PMT(E433/12,MAX(1,S432-A433+1)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,0)</f>
        <v>0</v>
      </c>
    </row>
    <row r="434" spans="1:27">
      <c r="A434" s="30">
        <f>429</f>
        <v>429</v>
      </c>
      <c r="B434" s="31">
        <f>EDATE(入力!$B$6,A434-1)</f>
        <v>59262</v>
      </c>
      <c r="C434" s="32">
        <f t="shared" si="107"/>
        <v>0</v>
      </c>
      <c r="D434" s="32">
        <f t="shared" si="108"/>
        <v>0</v>
      </c>
      <c r="E434" s="33">
        <f>IF(AND(T433="",A434&lt;=S433),IF(A434&lt;入力!$B$11,入力!$B$10,入力!$B$12),0)</f>
        <v>0</v>
      </c>
      <c r="F434" s="32">
        <f t="shared" si="109"/>
        <v>0</v>
      </c>
      <c r="G434" s="32">
        <f>ROUND(IF(NOT(AND(T433="",A434&lt;=S433)),0,IF(A434=入力!$B$15+1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),0)</f>
        <v>0</v>
      </c>
      <c r="H434" s="32">
        <f t="shared" si="110"/>
        <v>0</v>
      </c>
      <c r="I434" s="32">
        <f t="shared" si="111"/>
        <v>0</v>
      </c>
      <c r="J434" s="32">
        <f t="shared" si="112"/>
        <v>0</v>
      </c>
      <c r="K434" s="32">
        <f t="shared" si="113"/>
        <v>0</v>
      </c>
      <c r="L434" s="32">
        <f t="shared" si="114"/>
        <v>0</v>
      </c>
      <c r="M434" s="32">
        <f>IF(AND(AND(T433="",A434&lt;=S433),A434=入力!$B$15),ROUND(MIN(入力!$B$16,MAX(0,C434-L434)),0),0)</f>
        <v>0</v>
      </c>
      <c r="N434" s="32">
        <f t="shared" si="115"/>
        <v>0</v>
      </c>
      <c r="O434" s="32">
        <f t="shared" si="116"/>
        <v>12386706</v>
      </c>
      <c r="P434" s="34" t="str">
        <f>IF(NOT(AND(T433="",A434&lt;=S433)),"",IF(A434=入力!$B$15+1,"繰上返済後再計算","")&amp;IF(AND(入力!$B$13="有効",A434&gt;1,MOD(A434-1,60)=0),IF(A434=入力!$B$15+1,"・","")&amp;"5年見直し","")&amp;IF(AND(A434=入力!$B$11,A434&gt;1),IF(OR(A434=入力!$B$15+1,AND(入力!$B$13="有効",A434&gt;1,MOD(A434-1,60)=0)),"・","")&amp;"金利変更","")&amp;IF(AND(OR(AND(入力!$B$13="有効",A434&gt;1,MOD(A434-1,60)=0),AND(A434=入力!$B$11,A434&gt;1)),入力!$B$14="有効",IF(E434=0,ROUND(C434/MAX(1,S433-A434+1),0),ROUND(-PMT(E434/12,MAX(1,S433-A434+1),C434),0))&gt;ROUND(G433*1.25,0),NOT(A434=入力!$B$15+1)),"・上限適用",""))</f>
        <v/>
      </c>
      <c r="Q434" s="35" t="str">
        <f>IF(AND(T433="",A434&lt;=S433),入力!$B$13,"")</f>
        <v/>
      </c>
      <c r="R434" s="32" t="str">
        <f>IF(AND(AND(T433="",A434&lt;=S433),OR(AND(入力!$B$13="有効",A434&gt;1,MOD(A434-1,60)=0),AND(A434=入力!$B$11,A434&gt;1)),入力!$B$14="有効"),ROUND(G433*1.25,0),"")</f>
        <v/>
      </c>
      <c r="S434" s="36">
        <f t="shared" si="117"/>
        <v>420</v>
      </c>
      <c r="T434" s="35" t="str">
        <f t="shared" si="118"/>
        <v/>
      </c>
      <c r="U434" s="3">
        <f t="shared" si="102"/>
        <v>0</v>
      </c>
      <c r="V434" s="3">
        <f t="shared" si="103"/>
        <v>0</v>
      </c>
      <c r="W434" s="3">
        <f t="shared" si="104"/>
        <v>0</v>
      </c>
      <c r="X434" s="3">
        <f t="shared" si="105"/>
        <v>0</v>
      </c>
      <c r="Y434" s="3">
        <f>0</f>
        <v>0</v>
      </c>
      <c r="Z434" s="3">
        <f t="shared" si="106"/>
        <v>0</v>
      </c>
      <c r="AA434">
        <f>ROUND(IF(A434=入力!$B$15+1,IF(E434=0,ROUND(C434/MAX(1,S433-A434+1),0),ROUND(-PMT(E434/12,MAX(1,S433-A434+1)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,0)</f>
        <v>0</v>
      </c>
    </row>
    <row r="435" spans="1:27">
      <c r="A435" s="30">
        <f>430</f>
        <v>430</v>
      </c>
      <c r="B435" s="31">
        <f>EDATE(入力!$B$6,A435-1)</f>
        <v>59292</v>
      </c>
      <c r="C435" s="32">
        <f t="shared" si="107"/>
        <v>0</v>
      </c>
      <c r="D435" s="32">
        <f t="shared" si="108"/>
        <v>0</v>
      </c>
      <c r="E435" s="33">
        <f>IF(AND(T434="",A435&lt;=S434),IF(A435&lt;入力!$B$11,入力!$B$10,入力!$B$12),0)</f>
        <v>0</v>
      </c>
      <c r="F435" s="32">
        <f t="shared" si="109"/>
        <v>0</v>
      </c>
      <c r="G435" s="32">
        <f>ROUND(IF(NOT(AND(T434="",A435&lt;=S434)),0,IF(A435=入力!$B$15+1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),0)</f>
        <v>0</v>
      </c>
      <c r="H435" s="32">
        <f t="shared" si="110"/>
        <v>0</v>
      </c>
      <c r="I435" s="32">
        <f t="shared" si="111"/>
        <v>0</v>
      </c>
      <c r="J435" s="32">
        <f t="shared" si="112"/>
        <v>0</v>
      </c>
      <c r="K435" s="32">
        <f t="shared" si="113"/>
        <v>0</v>
      </c>
      <c r="L435" s="32">
        <f t="shared" si="114"/>
        <v>0</v>
      </c>
      <c r="M435" s="32">
        <f>IF(AND(AND(T434="",A435&lt;=S434),A435=入力!$B$15),ROUND(MIN(入力!$B$16,MAX(0,C435-L435)),0),0)</f>
        <v>0</v>
      </c>
      <c r="N435" s="32">
        <f t="shared" si="115"/>
        <v>0</v>
      </c>
      <c r="O435" s="32">
        <f t="shared" si="116"/>
        <v>12386706</v>
      </c>
      <c r="P435" s="34" t="str">
        <f>IF(NOT(AND(T434="",A435&lt;=S434)),"",IF(A435=入力!$B$15+1,"繰上返済後再計算","")&amp;IF(AND(入力!$B$13="有効",A435&gt;1,MOD(A435-1,60)=0),IF(A435=入力!$B$15+1,"・","")&amp;"5年見直し","")&amp;IF(AND(A435=入力!$B$11,A435&gt;1),IF(OR(A435=入力!$B$15+1,AND(入力!$B$13="有効",A435&gt;1,MOD(A435-1,60)=0)),"・","")&amp;"金利変更","")&amp;IF(AND(OR(AND(入力!$B$13="有効",A435&gt;1,MOD(A435-1,60)=0),AND(A435=入力!$B$11,A435&gt;1)),入力!$B$14="有効",IF(E435=0,ROUND(C435/MAX(1,S434-A435+1),0),ROUND(-PMT(E435/12,MAX(1,S434-A435+1),C435),0))&gt;ROUND(G434*1.25,0),NOT(A435=入力!$B$15+1)),"・上限適用",""))</f>
        <v/>
      </c>
      <c r="Q435" s="35" t="str">
        <f>IF(AND(T434="",A435&lt;=S434),入力!$B$13,"")</f>
        <v/>
      </c>
      <c r="R435" s="32" t="str">
        <f>IF(AND(AND(T434="",A435&lt;=S434),OR(AND(入力!$B$13="有効",A435&gt;1,MOD(A435-1,60)=0),AND(A435=入力!$B$11,A435&gt;1)),入力!$B$14="有効"),ROUND(G434*1.25,0),"")</f>
        <v/>
      </c>
      <c r="S435" s="36">
        <f t="shared" si="117"/>
        <v>420</v>
      </c>
      <c r="T435" s="35" t="str">
        <f t="shared" si="118"/>
        <v/>
      </c>
      <c r="U435" s="3">
        <f t="shared" si="102"/>
        <v>0</v>
      </c>
      <c r="V435" s="3">
        <f t="shared" si="103"/>
        <v>0</v>
      </c>
      <c r="W435" s="3">
        <f t="shared" si="104"/>
        <v>0</v>
      </c>
      <c r="X435" s="3">
        <f t="shared" si="105"/>
        <v>0</v>
      </c>
      <c r="Y435" s="3">
        <f>0</f>
        <v>0</v>
      </c>
      <c r="Z435" s="3">
        <f t="shared" si="106"/>
        <v>0</v>
      </c>
      <c r="AA435">
        <f>ROUND(IF(A435=入力!$B$15+1,IF(E435=0,ROUND(C435/MAX(1,S434-A435+1),0),ROUND(-PMT(E435/12,MAX(1,S434-A435+1)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,0)</f>
        <v>0</v>
      </c>
    </row>
    <row r="436" spans="1:27">
      <c r="A436" s="30">
        <f>431</f>
        <v>431</v>
      </c>
      <c r="B436" s="31">
        <f>EDATE(入力!$B$6,A436-1)</f>
        <v>59323</v>
      </c>
      <c r="C436" s="32">
        <f t="shared" si="107"/>
        <v>0</v>
      </c>
      <c r="D436" s="32">
        <f t="shared" si="108"/>
        <v>0</v>
      </c>
      <c r="E436" s="33">
        <f>IF(AND(T435="",A436&lt;=S435),IF(A436&lt;入力!$B$11,入力!$B$10,入力!$B$12),0)</f>
        <v>0</v>
      </c>
      <c r="F436" s="32">
        <f t="shared" si="109"/>
        <v>0</v>
      </c>
      <c r="G436" s="32">
        <f>ROUND(IF(NOT(AND(T435="",A436&lt;=S435)),0,IF(A436=入力!$B$15+1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),0)</f>
        <v>0</v>
      </c>
      <c r="H436" s="32">
        <f t="shared" si="110"/>
        <v>0</v>
      </c>
      <c r="I436" s="32">
        <f t="shared" si="111"/>
        <v>0</v>
      </c>
      <c r="J436" s="32">
        <f t="shared" si="112"/>
        <v>0</v>
      </c>
      <c r="K436" s="32">
        <f t="shared" si="113"/>
        <v>0</v>
      </c>
      <c r="L436" s="32">
        <f t="shared" si="114"/>
        <v>0</v>
      </c>
      <c r="M436" s="32">
        <f>IF(AND(AND(T435="",A436&lt;=S435),A436=入力!$B$15),ROUND(MIN(入力!$B$16,MAX(0,C436-L436)),0),0)</f>
        <v>0</v>
      </c>
      <c r="N436" s="32">
        <f t="shared" si="115"/>
        <v>0</v>
      </c>
      <c r="O436" s="32">
        <f t="shared" si="116"/>
        <v>12386706</v>
      </c>
      <c r="P436" s="34" t="str">
        <f>IF(NOT(AND(T435="",A436&lt;=S435)),"",IF(A436=入力!$B$15+1,"繰上返済後再計算","")&amp;IF(AND(入力!$B$13="有効",A436&gt;1,MOD(A436-1,60)=0),IF(A436=入力!$B$15+1,"・","")&amp;"5年見直し","")&amp;IF(AND(A436=入力!$B$11,A436&gt;1),IF(OR(A436=入力!$B$15+1,AND(入力!$B$13="有効",A436&gt;1,MOD(A436-1,60)=0)),"・","")&amp;"金利変更","")&amp;IF(AND(OR(AND(入力!$B$13="有効",A436&gt;1,MOD(A436-1,60)=0),AND(A436=入力!$B$11,A436&gt;1)),入力!$B$14="有効",IF(E436=0,ROUND(C436/MAX(1,S435-A436+1),0),ROUND(-PMT(E436/12,MAX(1,S435-A436+1),C436),0))&gt;ROUND(G435*1.25,0),NOT(A436=入力!$B$15+1)),"・上限適用",""))</f>
        <v/>
      </c>
      <c r="Q436" s="35" t="str">
        <f>IF(AND(T435="",A436&lt;=S435),入力!$B$13,"")</f>
        <v/>
      </c>
      <c r="R436" s="32" t="str">
        <f>IF(AND(AND(T435="",A436&lt;=S435),OR(AND(入力!$B$13="有効",A436&gt;1,MOD(A436-1,60)=0),AND(A436=入力!$B$11,A436&gt;1)),入力!$B$14="有効"),ROUND(G435*1.25,0),"")</f>
        <v/>
      </c>
      <c r="S436" s="36">
        <f t="shared" si="117"/>
        <v>420</v>
      </c>
      <c r="T436" s="35" t="str">
        <f t="shared" si="118"/>
        <v/>
      </c>
      <c r="U436" s="3">
        <f t="shared" si="102"/>
        <v>0</v>
      </c>
      <c r="V436" s="3">
        <f t="shared" si="103"/>
        <v>0</v>
      </c>
      <c r="W436" s="3">
        <f t="shared" si="104"/>
        <v>0</v>
      </c>
      <c r="X436" s="3">
        <f t="shared" si="105"/>
        <v>0</v>
      </c>
      <c r="Y436" s="3">
        <f>0</f>
        <v>0</v>
      </c>
      <c r="Z436" s="3">
        <f t="shared" si="106"/>
        <v>0</v>
      </c>
      <c r="AA436">
        <f>ROUND(IF(A436=入力!$B$15+1,IF(E436=0,ROUND(C436/MAX(1,S435-A436+1),0),ROUND(-PMT(E436/12,MAX(1,S435-A436+1)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,0)</f>
        <v>0</v>
      </c>
    </row>
    <row r="437" spans="1:27">
      <c r="A437" s="30">
        <f>432</f>
        <v>432</v>
      </c>
      <c r="B437" s="31">
        <f>EDATE(入力!$B$6,A437-1)</f>
        <v>59353</v>
      </c>
      <c r="C437" s="32">
        <f t="shared" si="107"/>
        <v>0</v>
      </c>
      <c r="D437" s="32">
        <f t="shared" si="108"/>
        <v>0</v>
      </c>
      <c r="E437" s="33">
        <f>IF(AND(T436="",A437&lt;=S436),IF(A437&lt;入力!$B$11,入力!$B$10,入力!$B$12),0)</f>
        <v>0</v>
      </c>
      <c r="F437" s="32">
        <f t="shared" si="109"/>
        <v>0</v>
      </c>
      <c r="G437" s="32">
        <f>ROUND(IF(NOT(AND(T436="",A437&lt;=S436)),0,IF(A437=入力!$B$15+1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),0)</f>
        <v>0</v>
      </c>
      <c r="H437" s="32">
        <f t="shared" si="110"/>
        <v>0</v>
      </c>
      <c r="I437" s="32">
        <f t="shared" si="111"/>
        <v>0</v>
      </c>
      <c r="J437" s="32">
        <f t="shared" si="112"/>
        <v>0</v>
      </c>
      <c r="K437" s="32">
        <f t="shared" si="113"/>
        <v>0</v>
      </c>
      <c r="L437" s="32">
        <f t="shared" si="114"/>
        <v>0</v>
      </c>
      <c r="M437" s="32">
        <f>IF(AND(AND(T436="",A437&lt;=S436),A437=入力!$B$15),ROUND(MIN(入力!$B$16,MAX(0,C437-L437)),0),0)</f>
        <v>0</v>
      </c>
      <c r="N437" s="32">
        <f t="shared" si="115"/>
        <v>0</v>
      </c>
      <c r="O437" s="32">
        <f t="shared" si="116"/>
        <v>12386706</v>
      </c>
      <c r="P437" s="34" t="str">
        <f>IF(NOT(AND(T436="",A437&lt;=S436)),"",IF(A437=入力!$B$15+1,"繰上返済後再計算","")&amp;IF(AND(入力!$B$13="有効",A437&gt;1,MOD(A437-1,60)=0),IF(A437=入力!$B$15+1,"・","")&amp;"5年見直し","")&amp;IF(AND(A437=入力!$B$11,A437&gt;1),IF(OR(A437=入力!$B$15+1,AND(入力!$B$13="有効",A437&gt;1,MOD(A437-1,60)=0)),"・","")&amp;"金利変更","")&amp;IF(AND(OR(AND(入力!$B$13="有効",A437&gt;1,MOD(A437-1,60)=0),AND(A437=入力!$B$11,A437&gt;1)),入力!$B$14="有効",IF(E437=0,ROUND(C437/MAX(1,S436-A437+1),0),ROUND(-PMT(E437/12,MAX(1,S436-A437+1),C437),0))&gt;ROUND(G436*1.25,0),NOT(A437=入力!$B$15+1)),"・上限適用",""))</f>
        <v/>
      </c>
      <c r="Q437" s="35" t="str">
        <f>IF(AND(T436="",A437&lt;=S436),入力!$B$13,"")</f>
        <v/>
      </c>
      <c r="R437" s="32" t="str">
        <f>IF(AND(AND(T436="",A437&lt;=S436),OR(AND(入力!$B$13="有効",A437&gt;1,MOD(A437-1,60)=0),AND(A437=入力!$B$11,A437&gt;1)),入力!$B$14="有効"),ROUND(G436*1.25,0),"")</f>
        <v/>
      </c>
      <c r="S437" s="36">
        <f t="shared" si="117"/>
        <v>420</v>
      </c>
      <c r="T437" s="35" t="str">
        <f t="shared" si="118"/>
        <v/>
      </c>
      <c r="U437" s="3">
        <f t="shared" si="102"/>
        <v>0</v>
      </c>
      <c r="V437" s="3">
        <f t="shared" si="103"/>
        <v>0</v>
      </c>
      <c r="W437" s="3">
        <f t="shared" si="104"/>
        <v>0</v>
      </c>
      <c r="X437" s="3">
        <f t="shared" si="105"/>
        <v>0</v>
      </c>
      <c r="Y437" s="3">
        <f>0</f>
        <v>0</v>
      </c>
      <c r="Z437" s="3">
        <f t="shared" si="106"/>
        <v>0</v>
      </c>
      <c r="AA437">
        <f>ROUND(IF(A437=入力!$B$15+1,IF(E437=0,ROUND(C437/MAX(1,S436-A437+1),0),ROUND(-PMT(E437/12,MAX(1,S436-A437+1)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,0)</f>
        <v>0</v>
      </c>
    </row>
    <row r="438" spans="1:27">
      <c r="A438" s="30">
        <f>433</f>
        <v>433</v>
      </c>
      <c r="B438" s="31">
        <f>EDATE(入力!$B$6,A438-1)</f>
        <v>59384</v>
      </c>
      <c r="C438" s="32">
        <f t="shared" si="107"/>
        <v>0</v>
      </c>
      <c r="D438" s="32">
        <f t="shared" si="108"/>
        <v>0</v>
      </c>
      <c r="E438" s="33">
        <f>IF(AND(T437="",A438&lt;=S437),IF(A438&lt;入力!$B$11,入力!$B$10,入力!$B$12),0)</f>
        <v>0</v>
      </c>
      <c r="F438" s="32">
        <f t="shared" si="109"/>
        <v>0</v>
      </c>
      <c r="G438" s="32">
        <f>ROUND(IF(NOT(AND(T437="",A438&lt;=S437)),0,IF(A438=入力!$B$15+1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),0)</f>
        <v>0</v>
      </c>
      <c r="H438" s="32">
        <f t="shared" si="110"/>
        <v>0</v>
      </c>
      <c r="I438" s="32">
        <f t="shared" si="111"/>
        <v>0</v>
      </c>
      <c r="J438" s="32">
        <f t="shared" si="112"/>
        <v>0</v>
      </c>
      <c r="K438" s="32">
        <f t="shared" si="113"/>
        <v>0</v>
      </c>
      <c r="L438" s="32">
        <f t="shared" si="114"/>
        <v>0</v>
      </c>
      <c r="M438" s="32">
        <f>IF(AND(AND(T437="",A438&lt;=S437),A438=入力!$B$15),ROUND(MIN(入力!$B$16,MAX(0,C438-L438)),0),0)</f>
        <v>0</v>
      </c>
      <c r="N438" s="32">
        <f t="shared" si="115"/>
        <v>0</v>
      </c>
      <c r="O438" s="32">
        <f t="shared" si="116"/>
        <v>12386706</v>
      </c>
      <c r="P438" s="34" t="str">
        <f>IF(NOT(AND(T437="",A438&lt;=S437)),"",IF(A438=入力!$B$15+1,"繰上返済後再計算","")&amp;IF(AND(入力!$B$13="有効",A438&gt;1,MOD(A438-1,60)=0),IF(A438=入力!$B$15+1,"・","")&amp;"5年見直し","")&amp;IF(AND(A438=入力!$B$11,A438&gt;1),IF(OR(A438=入力!$B$15+1,AND(入力!$B$13="有効",A438&gt;1,MOD(A438-1,60)=0)),"・","")&amp;"金利変更","")&amp;IF(AND(OR(AND(入力!$B$13="有効",A438&gt;1,MOD(A438-1,60)=0),AND(A438=入力!$B$11,A438&gt;1)),入力!$B$14="有効",IF(E438=0,ROUND(C438/MAX(1,S437-A438+1),0),ROUND(-PMT(E438/12,MAX(1,S437-A438+1),C438),0))&gt;ROUND(G437*1.25,0),NOT(A438=入力!$B$15+1)),"・上限適用",""))</f>
        <v/>
      </c>
      <c r="Q438" s="35" t="str">
        <f>IF(AND(T437="",A438&lt;=S437),入力!$B$13,"")</f>
        <v/>
      </c>
      <c r="R438" s="32" t="str">
        <f>IF(AND(AND(T437="",A438&lt;=S437),OR(AND(入力!$B$13="有効",A438&gt;1,MOD(A438-1,60)=0),AND(A438=入力!$B$11,A438&gt;1)),入力!$B$14="有効"),ROUND(G437*1.25,0),"")</f>
        <v/>
      </c>
      <c r="S438" s="36">
        <f t="shared" si="117"/>
        <v>420</v>
      </c>
      <c r="T438" s="35" t="str">
        <f t="shared" si="118"/>
        <v/>
      </c>
      <c r="U438" s="3">
        <f t="shared" si="102"/>
        <v>0</v>
      </c>
      <c r="V438" s="3">
        <f t="shared" si="103"/>
        <v>0</v>
      </c>
      <c r="W438" s="3">
        <f t="shared" si="104"/>
        <v>0</v>
      </c>
      <c r="X438" s="3">
        <f t="shared" si="105"/>
        <v>0</v>
      </c>
      <c r="Y438" s="3">
        <f>0</f>
        <v>0</v>
      </c>
      <c r="Z438" s="3">
        <f t="shared" si="106"/>
        <v>0</v>
      </c>
      <c r="AA438">
        <f>ROUND(IF(A438=入力!$B$15+1,IF(E438=0,ROUND(C438/MAX(1,S437-A438+1),0),ROUND(-PMT(E438/12,MAX(1,S437-A438+1)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,0)</f>
        <v>0</v>
      </c>
    </row>
    <row r="439" spans="1:27">
      <c r="A439" s="30">
        <f>434</f>
        <v>434</v>
      </c>
      <c r="B439" s="31">
        <f>EDATE(入力!$B$6,A439-1)</f>
        <v>59415</v>
      </c>
      <c r="C439" s="32">
        <f t="shared" si="107"/>
        <v>0</v>
      </c>
      <c r="D439" s="32">
        <f t="shared" si="108"/>
        <v>0</v>
      </c>
      <c r="E439" s="33">
        <f>IF(AND(T438="",A439&lt;=S438),IF(A439&lt;入力!$B$11,入力!$B$10,入力!$B$12),0)</f>
        <v>0</v>
      </c>
      <c r="F439" s="32">
        <f t="shared" si="109"/>
        <v>0</v>
      </c>
      <c r="G439" s="32">
        <f>ROUND(IF(NOT(AND(T438="",A439&lt;=S438)),0,IF(A439=入力!$B$15+1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),0)</f>
        <v>0</v>
      </c>
      <c r="H439" s="32">
        <f t="shared" si="110"/>
        <v>0</v>
      </c>
      <c r="I439" s="32">
        <f t="shared" si="111"/>
        <v>0</v>
      </c>
      <c r="J439" s="32">
        <f t="shared" si="112"/>
        <v>0</v>
      </c>
      <c r="K439" s="32">
        <f t="shared" si="113"/>
        <v>0</v>
      </c>
      <c r="L439" s="32">
        <f t="shared" si="114"/>
        <v>0</v>
      </c>
      <c r="M439" s="32">
        <f>IF(AND(AND(T438="",A439&lt;=S438),A439=入力!$B$15),ROUND(MIN(入力!$B$16,MAX(0,C439-L439)),0),0)</f>
        <v>0</v>
      </c>
      <c r="N439" s="32">
        <f t="shared" si="115"/>
        <v>0</v>
      </c>
      <c r="O439" s="32">
        <f t="shared" si="116"/>
        <v>12386706</v>
      </c>
      <c r="P439" s="34" t="str">
        <f>IF(NOT(AND(T438="",A439&lt;=S438)),"",IF(A439=入力!$B$15+1,"繰上返済後再計算","")&amp;IF(AND(入力!$B$13="有効",A439&gt;1,MOD(A439-1,60)=0),IF(A439=入力!$B$15+1,"・","")&amp;"5年見直し","")&amp;IF(AND(A439=入力!$B$11,A439&gt;1),IF(OR(A439=入力!$B$15+1,AND(入力!$B$13="有効",A439&gt;1,MOD(A439-1,60)=0)),"・","")&amp;"金利変更","")&amp;IF(AND(OR(AND(入力!$B$13="有効",A439&gt;1,MOD(A439-1,60)=0),AND(A439=入力!$B$11,A439&gt;1)),入力!$B$14="有効",IF(E439=0,ROUND(C439/MAX(1,S438-A439+1),0),ROUND(-PMT(E439/12,MAX(1,S438-A439+1),C439),0))&gt;ROUND(G438*1.25,0),NOT(A439=入力!$B$15+1)),"・上限適用",""))</f>
        <v/>
      </c>
      <c r="Q439" s="35" t="str">
        <f>IF(AND(T438="",A439&lt;=S438),入力!$B$13,"")</f>
        <v/>
      </c>
      <c r="R439" s="32" t="str">
        <f>IF(AND(AND(T438="",A439&lt;=S438),OR(AND(入力!$B$13="有効",A439&gt;1,MOD(A439-1,60)=0),AND(A439=入力!$B$11,A439&gt;1)),入力!$B$14="有効"),ROUND(G438*1.25,0),"")</f>
        <v/>
      </c>
      <c r="S439" s="36">
        <f t="shared" si="117"/>
        <v>420</v>
      </c>
      <c r="T439" s="35" t="str">
        <f t="shared" si="118"/>
        <v/>
      </c>
      <c r="U439" s="3">
        <f t="shared" si="102"/>
        <v>0</v>
      </c>
      <c r="V439" s="3">
        <f t="shared" si="103"/>
        <v>0</v>
      </c>
      <c r="W439" s="3">
        <f t="shared" si="104"/>
        <v>0</v>
      </c>
      <c r="X439" s="3">
        <f t="shared" si="105"/>
        <v>0</v>
      </c>
      <c r="Y439" s="3">
        <f>0</f>
        <v>0</v>
      </c>
      <c r="Z439" s="3">
        <f t="shared" si="106"/>
        <v>0</v>
      </c>
      <c r="AA439">
        <f>ROUND(IF(A439=入力!$B$15+1,IF(E439=0,ROUND(C439/MAX(1,S438-A439+1),0),ROUND(-PMT(E439/12,MAX(1,S438-A439+1)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,0)</f>
        <v>0</v>
      </c>
    </row>
    <row r="440" spans="1:27">
      <c r="A440" s="30">
        <f>435</f>
        <v>435</v>
      </c>
      <c r="B440" s="31">
        <f>EDATE(入力!$B$6,A440-1)</f>
        <v>59445</v>
      </c>
      <c r="C440" s="32">
        <f t="shared" si="107"/>
        <v>0</v>
      </c>
      <c r="D440" s="32">
        <f t="shared" si="108"/>
        <v>0</v>
      </c>
      <c r="E440" s="33">
        <f>IF(AND(T439="",A440&lt;=S439),IF(A440&lt;入力!$B$11,入力!$B$10,入力!$B$12),0)</f>
        <v>0</v>
      </c>
      <c r="F440" s="32">
        <f t="shared" si="109"/>
        <v>0</v>
      </c>
      <c r="G440" s="32">
        <f>ROUND(IF(NOT(AND(T439="",A440&lt;=S439)),0,IF(A440=入力!$B$15+1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),0)</f>
        <v>0</v>
      </c>
      <c r="H440" s="32">
        <f t="shared" si="110"/>
        <v>0</v>
      </c>
      <c r="I440" s="32">
        <f t="shared" si="111"/>
        <v>0</v>
      </c>
      <c r="J440" s="32">
        <f t="shared" si="112"/>
        <v>0</v>
      </c>
      <c r="K440" s="32">
        <f t="shared" si="113"/>
        <v>0</v>
      </c>
      <c r="L440" s="32">
        <f t="shared" si="114"/>
        <v>0</v>
      </c>
      <c r="M440" s="32">
        <f>IF(AND(AND(T439="",A440&lt;=S439),A440=入力!$B$15),ROUND(MIN(入力!$B$16,MAX(0,C440-L440)),0),0)</f>
        <v>0</v>
      </c>
      <c r="N440" s="32">
        <f t="shared" si="115"/>
        <v>0</v>
      </c>
      <c r="O440" s="32">
        <f t="shared" si="116"/>
        <v>12386706</v>
      </c>
      <c r="P440" s="34" t="str">
        <f>IF(NOT(AND(T439="",A440&lt;=S439)),"",IF(A440=入力!$B$15+1,"繰上返済後再計算","")&amp;IF(AND(入力!$B$13="有効",A440&gt;1,MOD(A440-1,60)=0),IF(A440=入力!$B$15+1,"・","")&amp;"5年見直し","")&amp;IF(AND(A440=入力!$B$11,A440&gt;1),IF(OR(A440=入力!$B$15+1,AND(入力!$B$13="有効",A440&gt;1,MOD(A440-1,60)=0)),"・","")&amp;"金利変更","")&amp;IF(AND(OR(AND(入力!$B$13="有効",A440&gt;1,MOD(A440-1,60)=0),AND(A440=入力!$B$11,A440&gt;1)),入力!$B$14="有効",IF(E440=0,ROUND(C440/MAX(1,S439-A440+1),0),ROUND(-PMT(E440/12,MAX(1,S439-A440+1),C440),0))&gt;ROUND(G439*1.25,0),NOT(A440=入力!$B$15+1)),"・上限適用",""))</f>
        <v/>
      </c>
      <c r="Q440" s="35" t="str">
        <f>IF(AND(T439="",A440&lt;=S439),入力!$B$13,"")</f>
        <v/>
      </c>
      <c r="R440" s="32" t="str">
        <f>IF(AND(AND(T439="",A440&lt;=S439),OR(AND(入力!$B$13="有効",A440&gt;1,MOD(A440-1,60)=0),AND(A440=入力!$B$11,A440&gt;1)),入力!$B$14="有効"),ROUND(G439*1.25,0),"")</f>
        <v/>
      </c>
      <c r="S440" s="36">
        <f t="shared" si="117"/>
        <v>420</v>
      </c>
      <c r="T440" s="35" t="str">
        <f t="shared" si="118"/>
        <v/>
      </c>
      <c r="U440" s="3">
        <f t="shared" si="102"/>
        <v>0</v>
      </c>
      <c r="V440" s="3">
        <f t="shared" si="103"/>
        <v>0</v>
      </c>
      <c r="W440" s="3">
        <f t="shared" si="104"/>
        <v>0</v>
      </c>
      <c r="X440" s="3">
        <f t="shared" si="105"/>
        <v>0</v>
      </c>
      <c r="Y440" s="3">
        <f>0</f>
        <v>0</v>
      </c>
      <c r="Z440" s="3">
        <f t="shared" si="106"/>
        <v>0</v>
      </c>
      <c r="AA440">
        <f>ROUND(IF(A440=入力!$B$15+1,IF(E440=0,ROUND(C440/MAX(1,S439-A440+1),0),ROUND(-PMT(E440/12,MAX(1,S439-A440+1)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,0)</f>
        <v>0</v>
      </c>
    </row>
    <row r="441" spans="1:27">
      <c r="A441" s="30">
        <f>436</f>
        <v>436</v>
      </c>
      <c r="B441" s="31">
        <f>EDATE(入力!$B$6,A441-1)</f>
        <v>59476</v>
      </c>
      <c r="C441" s="32">
        <f t="shared" si="107"/>
        <v>0</v>
      </c>
      <c r="D441" s="32">
        <f t="shared" si="108"/>
        <v>0</v>
      </c>
      <c r="E441" s="33">
        <f>IF(AND(T440="",A441&lt;=S440),IF(A441&lt;入力!$B$11,入力!$B$10,入力!$B$12),0)</f>
        <v>0</v>
      </c>
      <c r="F441" s="32">
        <f t="shared" si="109"/>
        <v>0</v>
      </c>
      <c r="G441" s="32">
        <f>ROUND(IF(NOT(AND(T440="",A441&lt;=S440)),0,IF(A441=入力!$B$15+1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),0)</f>
        <v>0</v>
      </c>
      <c r="H441" s="32">
        <f t="shared" si="110"/>
        <v>0</v>
      </c>
      <c r="I441" s="32">
        <f t="shared" si="111"/>
        <v>0</v>
      </c>
      <c r="J441" s="32">
        <f t="shared" si="112"/>
        <v>0</v>
      </c>
      <c r="K441" s="32">
        <f t="shared" si="113"/>
        <v>0</v>
      </c>
      <c r="L441" s="32">
        <f t="shared" si="114"/>
        <v>0</v>
      </c>
      <c r="M441" s="32">
        <f>IF(AND(AND(T440="",A441&lt;=S440),A441=入力!$B$15),ROUND(MIN(入力!$B$16,MAX(0,C441-L441)),0),0)</f>
        <v>0</v>
      </c>
      <c r="N441" s="32">
        <f t="shared" si="115"/>
        <v>0</v>
      </c>
      <c r="O441" s="32">
        <f t="shared" si="116"/>
        <v>12386706</v>
      </c>
      <c r="P441" s="34" t="str">
        <f>IF(NOT(AND(T440="",A441&lt;=S440)),"",IF(A441=入力!$B$15+1,"繰上返済後再計算","")&amp;IF(AND(入力!$B$13="有効",A441&gt;1,MOD(A441-1,60)=0),IF(A441=入力!$B$15+1,"・","")&amp;"5年見直し","")&amp;IF(AND(A441=入力!$B$11,A441&gt;1),IF(OR(A441=入力!$B$15+1,AND(入力!$B$13="有効",A441&gt;1,MOD(A441-1,60)=0)),"・","")&amp;"金利変更","")&amp;IF(AND(OR(AND(入力!$B$13="有効",A441&gt;1,MOD(A441-1,60)=0),AND(A441=入力!$B$11,A441&gt;1)),入力!$B$14="有効",IF(E441=0,ROUND(C441/MAX(1,S440-A441+1),0),ROUND(-PMT(E441/12,MAX(1,S440-A441+1),C441),0))&gt;ROUND(G440*1.25,0),NOT(A441=入力!$B$15+1)),"・上限適用",""))</f>
        <v/>
      </c>
      <c r="Q441" s="35" t="str">
        <f>IF(AND(T440="",A441&lt;=S440),入力!$B$13,"")</f>
        <v/>
      </c>
      <c r="R441" s="32" t="str">
        <f>IF(AND(AND(T440="",A441&lt;=S440),OR(AND(入力!$B$13="有効",A441&gt;1,MOD(A441-1,60)=0),AND(A441=入力!$B$11,A441&gt;1)),入力!$B$14="有効"),ROUND(G440*1.25,0),"")</f>
        <v/>
      </c>
      <c r="S441" s="36">
        <f t="shared" si="117"/>
        <v>420</v>
      </c>
      <c r="T441" s="35" t="str">
        <f t="shared" si="118"/>
        <v/>
      </c>
      <c r="U441" s="3">
        <f t="shared" si="102"/>
        <v>0</v>
      </c>
      <c r="V441" s="3">
        <f t="shared" si="103"/>
        <v>0</v>
      </c>
      <c r="W441" s="3">
        <f t="shared" si="104"/>
        <v>0</v>
      </c>
      <c r="X441" s="3">
        <f t="shared" si="105"/>
        <v>0</v>
      </c>
      <c r="Y441" s="3">
        <f>0</f>
        <v>0</v>
      </c>
      <c r="Z441" s="3">
        <f t="shared" si="106"/>
        <v>0</v>
      </c>
      <c r="AA441">
        <f>ROUND(IF(A441=入力!$B$15+1,IF(E441=0,ROUND(C441/MAX(1,S440-A441+1),0),ROUND(-PMT(E441/12,MAX(1,S440-A441+1)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,0)</f>
        <v>0</v>
      </c>
    </row>
    <row r="442" spans="1:27">
      <c r="A442" s="30">
        <f>437</f>
        <v>437</v>
      </c>
      <c r="B442" s="31">
        <f>EDATE(入力!$B$6,A442-1)</f>
        <v>59506</v>
      </c>
      <c r="C442" s="32">
        <f t="shared" si="107"/>
        <v>0</v>
      </c>
      <c r="D442" s="32">
        <f t="shared" si="108"/>
        <v>0</v>
      </c>
      <c r="E442" s="33">
        <f>IF(AND(T441="",A442&lt;=S441),IF(A442&lt;入力!$B$11,入力!$B$10,入力!$B$12),0)</f>
        <v>0</v>
      </c>
      <c r="F442" s="32">
        <f t="shared" si="109"/>
        <v>0</v>
      </c>
      <c r="G442" s="32">
        <f>ROUND(IF(NOT(AND(T441="",A442&lt;=S441)),0,IF(A442=入力!$B$15+1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),0)</f>
        <v>0</v>
      </c>
      <c r="H442" s="32">
        <f t="shared" si="110"/>
        <v>0</v>
      </c>
      <c r="I442" s="32">
        <f t="shared" si="111"/>
        <v>0</v>
      </c>
      <c r="J442" s="32">
        <f t="shared" si="112"/>
        <v>0</v>
      </c>
      <c r="K442" s="32">
        <f t="shared" si="113"/>
        <v>0</v>
      </c>
      <c r="L442" s="32">
        <f t="shared" si="114"/>
        <v>0</v>
      </c>
      <c r="M442" s="32">
        <f>IF(AND(AND(T441="",A442&lt;=S441),A442=入力!$B$15),ROUND(MIN(入力!$B$16,MAX(0,C442-L442)),0),0)</f>
        <v>0</v>
      </c>
      <c r="N442" s="32">
        <f t="shared" si="115"/>
        <v>0</v>
      </c>
      <c r="O442" s="32">
        <f t="shared" si="116"/>
        <v>12386706</v>
      </c>
      <c r="P442" s="34" t="str">
        <f>IF(NOT(AND(T441="",A442&lt;=S441)),"",IF(A442=入力!$B$15+1,"繰上返済後再計算","")&amp;IF(AND(入力!$B$13="有効",A442&gt;1,MOD(A442-1,60)=0),IF(A442=入力!$B$15+1,"・","")&amp;"5年見直し","")&amp;IF(AND(A442=入力!$B$11,A442&gt;1),IF(OR(A442=入力!$B$15+1,AND(入力!$B$13="有効",A442&gt;1,MOD(A442-1,60)=0)),"・","")&amp;"金利変更","")&amp;IF(AND(OR(AND(入力!$B$13="有効",A442&gt;1,MOD(A442-1,60)=0),AND(A442=入力!$B$11,A442&gt;1)),入力!$B$14="有効",IF(E442=0,ROUND(C442/MAX(1,S441-A442+1),0),ROUND(-PMT(E442/12,MAX(1,S441-A442+1),C442),0))&gt;ROUND(G441*1.25,0),NOT(A442=入力!$B$15+1)),"・上限適用",""))</f>
        <v/>
      </c>
      <c r="Q442" s="35" t="str">
        <f>IF(AND(T441="",A442&lt;=S441),入力!$B$13,"")</f>
        <v/>
      </c>
      <c r="R442" s="32" t="str">
        <f>IF(AND(AND(T441="",A442&lt;=S441),OR(AND(入力!$B$13="有効",A442&gt;1,MOD(A442-1,60)=0),AND(A442=入力!$B$11,A442&gt;1)),入力!$B$14="有効"),ROUND(G441*1.25,0),"")</f>
        <v/>
      </c>
      <c r="S442" s="36">
        <f t="shared" si="117"/>
        <v>420</v>
      </c>
      <c r="T442" s="35" t="str">
        <f t="shared" si="118"/>
        <v/>
      </c>
      <c r="U442" s="3">
        <f t="shared" si="102"/>
        <v>0</v>
      </c>
      <c r="V442" s="3">
        <f t="shared" si="103"/>
        <v>0</v>
      </c>
      <c r="W442" s="3">
        <f t="shared" si="104"/>
        <v>0</v>
      </c>
      <c r="X442" s="3">
        <f t="shared" si="105"/>
        <v>0</v>
      </c>
      <c r="Y442" s="3">
        <f>0</f>
        <v>0</v>
      </c>
      <c r="Z442" s="3">
        <f t="shared" si="106"/>
        <v>0</v>
      </c>
      <c r="AA442">
        <f>ROUND(IF(A442=入力!$B$15+1,IF(E442=0,ROUND(C442/MAX(1,S441-A442+1),0),ROUND(-PMT(E442/12,MAX(1,S441-A442+1)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,0)</f>
        <v>0</v>
      </c>
    </row>
    <row r="443" spans="1:27">
      <c r="A443" s="30">
        <f>438</f>
        <v>438</v>
      </c>
      <c r="B443" s="31">
        <f>EDATE(入力!$B$6,A443-1)</f>
        <v>59537</v>
      </c>
      <c r="C443" s="32">
        <f t="shared" si="107"/>
        <v>0</v>
      </c>
      <c r="D443" s="32">
        <f t="shared" si="108"/>
        <v>0</v>
      </c>
      <c r="E443" s="33">
        <f>IF(AND(T442="",A443&lt;=S442),IF(A443&lt;入力!$B$11,入力!$B$10,入力!$B$12),0)</f>
        <v>0</v>
      </c>
      <c r="F443" s="32">
        <f t="shared" si="109"/>
        <v>0</v>
      </c>
      <c r="G443" s="32">
        <f>ROUND(IF(NOT(AND(T442="",A443&lt;=S442)),0,IF(A443=入力!$B$15+1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),0)</f>
        <v>0</v>
      </c>
      <c r="H443" s="32">
        <f t="shared" si="110"/>
        <v>0</v>
      </c>
      <c r="I443" s="32">
        <f t="shared" si="111"/>
        <v>0</v>
      </c>
      <c r="J443" s="32">
        <f t="shared" si="112"/>
        <v>0</v>
      </c>
      <c r="K443" s="32">
        <f t="shared" si="113"/>
        <v>0</v>
      </c>
      <c r="L443" s="32">
        <f t="shared" si="114"/>
        <v>0</v>
      </c>
      <c r="M443" s="32">
        <f>IF(AND(AND(T442="",A443&lt;=S442),A443=入力!$B$15),ROUND(MIN(入力!$B$16,MAX(0,C443-L443)),0),0)</f>
        <v>0</v>
      </c>
      <c r="N443" s="32">
        <f t="shared" si="115"/>
        <v>0</v>
      </c>
      <c r="O443" s="32">
        <f t="shared" si="116"/>
        <v>12386706</v>
      </c>
      <c r="P443" s="34" t="str">
        <f>IF(NOT(AND(T442="",A443&lt;=S442)),"",IF(A443=入力!$B$15+1,"繰上返済後再計算","")&amp;IF(AND(入力!$B$13="有効",A443&gt;1,MOD(A443-1,60)=0),IF(A443=入力!$B$15+1,"・","")&amp;"5年見直し","")&amp;IF(AND(A443=入力!$B$11,A443&gt;1),IF(OR(A443=入力!$B$15+1,AND(入力!$B$13="有効",A443&gt;1,MOD(A443-1,60)=0)),"・","")&amp;"金利変更","")&amp;IF(AND(OR(AND(入力!$B$13="有効",A443&gt;1,MOD(A443-1,60)=0),AND(A443=入力!$B$11,A443&gt;1)),入力!$B$14="有効",IF(E443=0,ROUND(C443/MAX(1,S442-A443+1),0),ROUND(-PMT(E443/12,MAX(1,S442-A443+1),C443),0))&gt;ROUND(G442*1.25,0),NOT(A443=入力!$B$15+1)),"・上限適用",""))</f>
        <v/>
      </c>
      <c r="Q443" s="35" t="str">
        <f>IF(AND(T442="",A443&lt;=S442),入力!$B$13,"")</f>
        <v/>
      </c>
      <c r="R443" s="32" t="str">
        <f>IF(AND(AND(T442="",A443&lt;=S442),OR(AND(入力!$B$13="有効",A443&gt;1,MOD(A443-1,60)=0),AND(A443=入力!$B$11,A443&gt;1)),入力!$B$14="有効"),ROUND(G442*1.25,0),"")</f>
        <v/>
      </c>
      <c r="S443" s="36">
        <f t="shared" si="117"/>
        <v>420</v>
      </c>
      <c r="T443" s="35" t="str">
        <f t="shared" si="118"/>
        <v/>
      </c>
      <c r="U443" s="3">
        <f t="shared" si="102"/>
        <v>0</v>
      </c>
      <c r="V443" s="3">
        <f t="shared" si="103"/>
        <v>0</v>
      </c>
      <c r="W443" s="3">
        <f t="shared" si="104"/>
        <v>0</v>
      </c>
      <c r="X443" s="3">
        <f t="shared" si="105"/>
        <v>0</v>
      </c>
      <c r="Y443" s="3">
        <f>0</f>
        <v>0</v>
      </c>
      <c r="Z443" s="3">
        <f t="shared" si="106"/>
        <v>0</v>
      </c>
      <c r="AA443">
        <f>ROUND(IF(A443=入力!$B$15+1,IF(E443=0,ROUND(C443/MAX(1,S442-A443+1),0),ROUND(-PMT(E443/12,MAX(1,S442-A443+1)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,0)</f>
        <v>0</v>
      </c>
    </row>
    <row r="444" spans="1:27">
      <c r="A444" s="30">
        <f>439</f>
        <v>439</v>
      </c>
      <c r="B444" s="31">
        <f>EDATE(入力!$B$6,A444-1)</f>
        <v>59568</v>
      </c>
      <c r="C444" s="32">
        <f t="shared" si="107"/>
        <v>0</v>
      </c>
      <c r="D444" s="32">
        <f t="shared" si="108"/>
        <v>0</v>
      </c>
      <c r="E444" s="33">
        <f>IF(AND(T443="",A444&lt;=S443),IF(A444&lt;入力!$B$11,入力!$B$10,入力!$B$12),0)</f>
        <v>0</v>
      </c>
      <c r="F444" s="32">
        <f t="shared" si="109"/>
        <v>0</v>
      </c>
      <c r="G444" s="32">
        <f>ROUND(IF(NOT(AND(T443="",A444&lt;=S443)),0,IF(A444=入力!$B$15+1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),0)</f>
        <v>0</v>
      </c>
      <c r="H444" s="32">
        <f t="shared" si="110"/>
        <v>0</v>
      </c>
      <c r="I444" s="32">
        <f t="shared" si="111"/>
        <v>0</v>
      </c>
      <c r="J444" s="32">
        <f t="shared" si="112"/>
        <v>0</v>
      </c>
      <c r="K444" s="32">
        <f t="shared" si="113"/>
        <v>0</v>
      </c>
      <c r="L444" s="32">
        <f t="shared" si="114"/>
        <v>0</v>
      </c>
      <c r="M444" s="32">
        <f>IF(AND(AND(T443="",A444&lt;=S443),A444=入力!$B$15),ROUND(MIN(入力!$B$16,MAX(0,C444-L444)),0),0)</f>
        <v>0</v>
      </c>
      <c r="N444" s="32">
        <f t="shared" si="115"/>
        <v>0</v>
      </c>
      <c r="O444" s="32">
        <f t="shared" si="116"/>
        <v>12386706</v>
      </c>
      <c r="P444" s="34" t="str">
        <f>IF(NOT(AND(T443="",A444&lt;=S443)),"",IF(A444=入力!$B$15+1,"繰上返済後再計算","")&amp;IF(AND(入力!$B$13="有効",A444&gt;1,MOD(A444-1,60)=0),IF(A444=入力!$B$15+1,"・","")&amp;"5年見直し","")&amp;IF(AND(A444=入力!$B$11,A444&gt;1),IF(OR(A444=入力!$B$15+1,AND(入力!$B$13="有効",A444&gt;1,MOD(A444-1,60)=0)),"・","")&amp;"金利変更","")&amp;IF(AND(OR(AND(入力!$B$13="有効",A444&gt;1,MOD(A444-1,60)=0),AND(A444=入力!$B$11,A444&gt;1)),入力!$B$14="有効",IF(E444=0,ROUND(C444/MAX(1,S443-A444+1),0),ROUND(-PMT(E444/12,MAX(1,S443-A444+1),C444),0))&gt;ROUND(G443*1.25,0),NOT(A444=入力!$B$15+1)),"・上限適用",""))</f>
        <v/>
      </c>
      <c r="Q444" s="35" t="str">
        <f>IF(AND(T443="",A444&lt;=S443),入力!$B$13,"")</f>
        <v/>
      </c>
      <c r="R444" s="32" t="str">
        <f>IF(AND(AND(T443="",A444&lt;=S443),OR(AND(入力!$B$13="有効",A444&gt;1,MOD(A444-1,60)=0),AND(A444=入力!$B$11,A444&gt;1)),入力!$B$14="有効"),ROUND(G443*1.25,0),"")</f>
        <v/>
      </c>
      <c r="S444" s="36">
        <f t="shared" si="117"/>
        <v>420</v>
      </c>
      <c r="T444" s="35" t="str">
        <f t="shared" si="118"/>
        <v/>
      </c>
      <c r="U444" s="3">
        <f t="shared" si="102"/>
        <v>0</v>
      </c>
      <c r="V444" s="3">
        <f t="shared" si="103"/>
        <v>0</v>
      </c>
      <c r="W444" s="3">
        <f t="shared" si="104"/>
        <v>0</v>
      </c>
      <c r="X444" s="3">
        <f t="shared" si="105"/>
        <v>0</v>
      </c>
      <c r="Y444" s="3">
        <f>0</f>
        <v>0</v>
      </c>
      <c r="Z444" s="3">
        <f t="shared" si="106"/>
        <v>0</v>
      </c>
      <c r="AA444">
        <f>ROUND(IF(A444=入力!$B$15+1,IF(E444=0,ROUND(C444/MAX(1,S443-A444+1),0),ROUND(-PMT(E444/12,MAX(1,S443-A444+1)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,0)</f>
        <v>0</v>
      </c>
    </row>
    <row r="445" spans="1:27">
      <c r="A445" s="30">
        <f>440</f>
        <v>440</v>
      </c>
      <c r="B445" s="31">
        <f>EDATE(入力!$B$6,A445-1)</f>
        <v>59596</v>
      </c>
      <c r="C445" s="32">
        <f t="shared" si="107"/>
        <v>0</v>
      </c>
      <c r="D445" s="32">
        <f t="shared" si="108"/>
        <v>0</v>
      </c>
      <c r="E445" s="33">
        <f>IF(AND(T444="",A445&lt;=S444),IF(A445&lt;入力!$B$11,入力!$B$10,入力!$B$12),0)</f>
        <v>0</v>
      </c>
      <c r="F445" s="32">
        <f t="shared" si="109"/>
        <v>0</v>
      </c>
      <c r="G445" s="32">
        <f>ROUND(IF(NOT(AND(T444="",A445&lt;=S444)),0,IF(A445=入力!$B$15+1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),0)</f>
        <v>0</v>
      </c>
      <c r="H445" s="32">
        <f t="shared" si="110"/>
        <v>0</v>
      </c>
      <c r="I445" s="32">
        <f t="shared" si="111"/>
        <v>0</v>
      </c>
      <c r="J445" s="32">
        <f t="shared" si="112"/>
        <v>0</v>
      </c>
      <c r="K445" s="32">
        <f t="shared" si="113"/>
        <v>0</v>
      </c>
      <c r="L445" s="32">
        <f t="shared" si="114"/>
        <v>0</v>
      </c>
      <c r="M445" s="32">
        <f>IF(AND(AND(T444="",A445&lt;=S444),A445=入力!$B$15),ROUND(MIN(入力!$B$16,MAX(0,C445-L445)),0),0)</f>
        <v>0</v>
      </c>
      <c r="N445" s="32">
        <f t="shared" si="115"/>
        <v>0</v>
      </c>
      <c r="O445" s="32">
        <f t="shared" si="116"/>
        <v>12386706</v>
      </c>
      <c r="P445" s="34" t="str">
        <f>IF(NOT(AND(T444="",A445&lt;=S444)),"",IF(A445=入力!$B$15+1,"繰上返済後再計算","")&amp;IF(AND(入力!$B$13="有効",A445&gt;1,MOD(A445-1,60)=0),IF(A445=入力!$B$15+1,"・","")&amp;"5年見直し","")&amp;IF(AND(A445=入力!$B$11,A445&gt;1),IF(OR(A445=入力!$B$15+1,AND(入力!$B$13="有効",A445&gt;1,MOD(A445-1,60)=0)),"・","")&amp;"金利変更","")&amp;IF(AND(OR(AND(入力!$B$13="有効",A445&gt;1,MOD(A445-1,60)=0),AND(A445=入力!$B$11,A445&gt;1)),入力!$B$14="有効",IF(E445=0,ROUND(C445/MAX(1,S444-A445+1),0),ROUND(-PMT(E445/12,MAX(1,S444-A445+1),C445),0))&gt;ROUND(G444*1.25,0),NOT(A445=入力!$B$15+1)),"・上限適用",""))</f>
        <v/>
      </c>
      <c r="Q445" s="35" t="str">
        <f>IF(AND(T444="",A445&lt;=S444),入力!$B$13,"")</f>
        <v/>
      </c>
      <c r="R445" s="32" t="str">
        <f>IF(AND(AND(T444="",A445&lt;=S444),OR(AND(入力!$B$13="有効",A445&gt;1,MOD(A445-1,60)=0),AND(A445=入力!$B$11,A445&gt;1)),入力!$B$14="有効"),ROUND(G444*1.25,0),"")</f>
        <v/>
      </c>
      <c r="S445" s="36">
        <f t="shared" si="117"/>
        <v>420</v>
      </c>
      <c r="T445" s="35" t="str">
        <f t="shared" si="118"/>
        <v/>
      </c>
      <c r="U445" s="3">
        <f t="shared" si="102"/>
        <v>0</v>
      </c>
      <c r="V445" s="3">
        <f t="shared" si="103"/>
        <v>0</v>
      </c>
      <c r="W445" s="3">
        <f t="shared" si="104"/>
        <v>0</v>
      </c>
      <c r="X445" s="3">
        <f t="shared" si="105"/>
        <v>0</v>
      </c>
      <c r="Y445" s="3">
        <f>0</f>
        <v>0</v>
      </c>
      <c r="Z445" s="3">
        <f t="shared" si="106"/>
        <v>0</v>
      </c>
      <c r="AA445">
        <f>ROUND(IF(A445=入力!$B$15+1,IF(E445=0,ROUND(C445/MAX(1,S444-A445+1),0),ROUND(-PMT(E445/12,MAX(1,S444-A445+1)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,0)</f>
        <v>0</v>
      </c>
    </row>
    <row r="446" spans="1:27">
      <c r="A446" s="30">
        <f>441</f>
        <v>441</v>
      </c>
      <c r="B446" s="31">
        <f>EDATE(入力!$B$6,A446-1)</f>
        <v>59627</v>
      </c>
      <c r="C446" s="32">
        <f t="shared" si="107"/>
        <v>0</v>
      </c>
      <c r="D446" s="32">
        <f t="shared" si="108"/>
        <v>0</v>
      </c>
      <c r="E446" s="33">
        <f>IF(AND(T445="",A446&lt;=S445),IF(A446&lt;入力!$B$11,入力!$B$10,入力!$B$12),0)</f>
        <v>0</v>
      </c>
      <c r="F446" s="32">
        <f t="shared" si="109"/>
        <v>0</v>
      </c>
      <c r="G446" s="32">
        <f>ROUND(IF(NOT(AND(T445="",A446&lt;=S445)),0,IF(A446=入力!$B$15+1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),0)</f>
        <v>0</v>
      </c>
      <c r="H446" s="32">
        <f t="shared" si="110"/>
        <v>0</v>
      </c>
      <c r="I446" s="32">
        <f t="shared" si="111"/>
        <v>0</v>
      </c>
      <c r="J446" s="32">
        <f t="shared" si="112"/>
        <v>0</v>
      </c>
      <c r="K446" s="32">
        <f t="shared" si="113"/>
        <v>0</v>
      </c>
      <c r="L446" s="32">
        <f t="shared" si="114"/>
        <v>0</v>
      </c>
      <c r="M446" s="32">
        <f>IF(AND(AND(T445="",A446&lt;=S445),A446=入力!$B$15),ROUND(MIN(入力!$B$16,MAX(0,C446-L446)),0),0)</f>
        <v>0</v>
      </c>
      <c r="N446" s="32">
        <f t="shared" si="115"/>
        <v>0</v>
      </c>
      <c r="O446" s="32">
        <f t="shared" si="116"/>
        <v>12386706</v>
      </c>
      <c r="P446" s="34" t="str">
        <f>IF(NOT(AND(T445="",A446&lt;=S445)),"",IF(A446=入力!$B$15+1,"繰上返済後再計算","")&amp;IF(AND(入力!$B$13="有効",A446&gt;1,MOD(A446-1,60)=0),IF(A446=入力!$B$15+1,"・","")&amp;"5年見直し","")&amp;IF(AND(A446=入力!$B$11,A446&gt;1),IF(OR(A446=入力!$B$15+1,AND(入力!$B$13="有効",A446&gt;1,MOD(A446-1,60)=0)),"・","")&amp;"金利変更","")&amp;IF(AND(OR(AND(入力!$B$13="有効",A446&gt;1,MOD(A446-1,60)=0),AND(A446=入力!$B$11,A446&gt;1)),入力!$B$14="有効",IF(E446=0,ROUND(C446/MAX(1,S445-A446+1),0),ROUND(-PMT(E446/12,MAX(1,S445-A446+1),C446),0))&gt;ROUND(G445*1.25,0),NOT(A446=入力!$B$15+1)),"・上限適用",""))</f>
        <v/>
      </c>
      <c r="Q446" s="35" t="str">
        <f>IF(AND(T445="",A446&lt;=S445),入力!$B$13,"")</f>
        <v/>
      </c>
      <c r="R446" s="32" t="str">
        <f>IF(AND(AND(T445="",A446&lt;=S445),OR(AND(入力!$B$13="有効",A446&gt;1,MOD(A446-1,60)=0),AND(A446=入力!$B$11,A446&gt;1)),入力!$B$14="有効"),ROUND(G445*1.25,0),"")</f>
        <v/>
      </c>
      <c r="S446" s="36">
        <f t="shared" si="117"/>
        <v>420</v>
      </c>
      <c r="T446" s="35" t="str">
        <f t="shared" si="118"/>
        <v/>
      </c>
      <c r="U446" s="3">
        <f t="shared" si="102"/>
        <v>0</v>
      </c>
      <c r="V446" s="3">
        <f t="shared" si="103"/>
        <v>0</v>
      </c>
      <c r="W446" s="3">
        <f t="shared" si="104"/>
        <v>0</v>
      </c>
      <c r="X446" s="3">
        <f t="shared" si="105"/>
        <v>0</v>
      </c>
      <c r="Y446" s="3">
        <f>0</f>
        <v>0</v>
      </c>
      <c r="Z446" s="3">
        <f t="shared" si="106"/>
        <v>0</v>
      </c>
      <c r="AA446">
        <f>ROUND(IF(A446=入力!$B$15+1,IF(E446=0,ROUND(C446/MAX(1,S445-A446+1),0),ROUND(-PMT(E446/12,MAX(1,S445-A446+1)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,0)</f>
        <v>0</v>
      </c>
    </row>
    <row r="447" spans="1:27">
      <c r="A447" s="30">
        <f>442</f>
        <v>442</v>
      </c>
      <c r="B447" s="31">
        <f>EDATE(入力!$B$6,A447-1)</f>
        <v>59657</v>
      </c>
      <c r="C447" s="32">
        <f t="shared" si="107"/>
        <v>0</v>
      </c>
      <c r="D447" s="32">
        <f t="shared" si="108"/>
        <v>0</v>
      </c>
      <c r="E447" s="33">
        <f>IF(AND(T446="",A447&lt;=S446),IF(A447&lt;入力!$B$11,入力!$B$10,入力!$B$12),0)</f>
        <v>0</v>
      </c>
      <c r="F447" s="32">
        <f t="shared" si="109"/>
        <v>0</v>
      </c>
      <c r="G447" s="32">
        <f>ROUND(IF(NOT(AND(T446="",A447&lt;=S446)),0,IF(A447=入力!$B$15+1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),0)</f>
        <v>0</v>
      </c>
      <c r="H447" s="32">
        <f t="shared" si="110"/>
        <v>0</v>
      </c>
      <c r="I447" s="32">
        <f t="shared" si="111"/>
        <v>0</v>
      </c>
      <c r="J447" s="32">
        <f t="shared" si="112"/>
        <v>0</v>
      </c>
      <c r="K447" s="32">
        <f t="shared" si="113"/>
        <v>0</v>
      </c>
      <c r="L447" s="32">
        <f t="shared" si="114"/>
        <v>0</v>
      </c>
      <c r="M447" s="32">
        <f>IF(AND(AND(T446="",A447&lt;=S446),A447=入力!$B$15),ROUND(MIN(入力!$B$16,MAX(0,C447-L447)),0),0)</f>
        <v>0</v>
      </c>
      <c r="N447" s="32">
        <f t="shared" si="115"/>
        <v>0</v>
      </c>
      <c r="O447" s="32">
        <f t="shared" si="116"/>
        <v>12386706</v>
      </c>
      <c r="P447" s="34" t="str">
        <f>IF(NOT(AND(T446="",A447&lt;=S446)),"",IF(A447=入力!$B$15+1,"繰上返済後再計算","")&amp;IF(AND(入力!$B$13="有効",A447&gt;1,MOD(A447-1,60)=0),IF(A447=入力!$B$15+1,"・","")&amp;"5年見直し","")&amp;IF(AND(A447=入力!$B$11,A447&gt;1),IF(OR(A447=入力!$B$15+1,AND(入力!$B$13="有効",A447&gt;1,MOD(A447-1,60)=0)),"・","")&amp;"金利変更","")&amp;IF(AND(OR(AND(入力!$B$13="有効",A447&gt;1,MOD(A447-1,60)=0),AND(A447=入力!$B$11,A447&gt;1)),入力!$B$14="有効",IF(E447=0,ROUND(C447/MAX(1,S446-A447+1),0),ROUND(-PMT(E447/12,MAX(1,S446-A447+1),C447),0))&gt;ROUND(G446*1.25,0),NOT(A447=入力!$B$15+1)),"・上限適用",""))</f>
        <v/>
      </c>
      <c r="Q447" s="35" t="str">
        <f>IF(AND(T446="",A447&lt;=S446),入力!$B$13,"")</f>
        <v/>
      </c>
      <c r="R447" s="32" t="str">
        <f>IF(AND(AND(T446="",A447&lt;=S446),OR(AND(入力!$B$13="有効",A447&gt;1,MOD(A447-1,60)=0),AND(A447=入力!$B$11,A447&gt;1)),入力!$B$14="有効"),ROUND(G446*1.25,0),"")</f>
        <v/>
      </c>
      <c r="S447" s="36">
        <f t="shared" si="117"/>
        <v>420</v>
      </c>
      <c r="T447" s="35" t="str">
        <f t="shared" si="118"/>
        <v/>
      </c>
      <c r="U447" s="3">
        <f t="shared" si="102"/>
        <v>0</v>
      </c>
      <c r="V447" s="3">
        <f t="shared" si="103"/>
        <v>0</v>
      </c>
      <c r="W447" s="3">
        <f t="shared" si="104"/>
        <v>0</v>
      </c>
      <c r="X447" s="3">
        <f t="shared" si="105"/>
        <v>0</v>
      </c>
      <c r="Y447" s="3">
        <f>0</f>
        <v>0</v>
      </c>
      <c r="Z447" s="3">
        <f t="shared" si="106"/>
        <v>0</v>
      </c>
      <c r="AA447">
        <f>ROUND(IF(A447=入力!$B$15+1,IF(E447=0,ROUND(C447/MAX(1,S446-A447+1),0),ROUND(-PMT(E447/12,MAX(1,S446-A447+1)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,0)</f>
        <v>0</v>
      </c>
    </row>
    <row r="448" spans="1:27">
      <c r="A448" s="30">
        <f>443</f>
        <v>443</v>
      </c>
      <c r="B448" s="31">
        <f>EDATE(入力!$B$6,A448-1)</f>
        <v>59688</v>
      </c>
      <c r="C448" s="32">
        <f t="shared" si="107"/>
        <v>0</v>
      </c>
      <c r="D448" s="32">
        <f t="shared" si="108"/>
        <v>0</v>
      </c>
      <c r="E448" s="33">
        <f>IF(AND(T447="",A448&lt;=S447),IF(A448&lt;入力!$B$11,入力!$B$10,入力!$B$12),0)</f>
        <v>0</v>
      </c>
      <c r="F448" s="32">
        <f t="shared" si="109"/>
        <v>0</v>
      </c>
      <c r="G448" s="32">
        <f>ROUND(IF(NOT(AND(T447="",A448&lt;=S447)),0,IF(A448=入力!$B$15+1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),0)</f>
        <v>0</v>
      </c>
      <c r="H448" s="32">
        <f t="shared" si="110"/>
        <v>0</v>
      </c>
      <c r="I448" s="32">
        <f t="shared" si="111"/>
        <v>0</v>
      </c>
      <c r="J448" s="32">
        <f t="shared" si="112"/>
        <v>0</v>
      </c>
      <c r="K448" s="32">
        <f t="shared" si="113"/>
        <v>0</v>
      </c>
      <c r="L448" s="32">
        <f t="shared" si="114"/>
        <v>0</v>
      </c>
      <c r="M448" s="32">
        <f>IF(AND(AND(T447="",A448&lt;=S447),A448=入力!$B$15),ROUND(MIN(入力!$B$16,MAX(0,C448-L448)),0),0)</f>
        <v>0</v>
      </c>
      <c r="N448" s="32">
        <f t="shared" si="115"/>
        <v>0</v>
      </c>
      <c r="O448" s="32">
        <f t="shared" si="116"/>
        <v>12386706</v>
      </c>
      <c r="P448" s="34" t="str">
        <f>IF(NOT(AND(T447="",A448&lt;=S447)),"",IF(A448=入力!$B$15+1,"繰上返済後再計算","")&amp;IF(AND(入力!$B$13="有効",A448&gt;1,MOD(A448-1,60)=0),IF(A448=入力!$B$15+1,"・","")&amp;"5年見直し","")&amp;IF(AND(A448=入力!$B$11,A448&gt;1),IF(OR(A448=入力!$B$15+1,AND(入力!$B$13="有効",A448&gt;1,MOD(A448-1,60)=0)),"・","")&amp;"金利変更","")&amp;IF(AND(OR(AND(入力!$B$13="有効",A448&gt;1,MOD(A448-1,60)=0),AND(A448=入力!$B$11,A448&gt;1)),入力!$B$14="有効",IF(E448=0,ROUND(C448/MAX(1,S447-A448+1),0),ROUND(-PMT(E448/12,MAX(1,S447-A448+1),C448),0))&gt;ROUND(G447*1.25,0),NOT(A448=入力!$B$15+1)),"・上限適用",""))</f>
        <v/>
      </c>
      <c r="Q448" s="35" t="str">
        <f>IF(AND(T447="",A448&lt;=S447),入力!$B$13,"")</f>
        <v/>
      </c>
      <c r="R448" s="32" t="str">
        <f>IF(AND(AND(T447="",A448&lt;=S447),OR(AND(入力!$B$13="有効",A448&gt;1,MOD(A448-1,60)=0),AND(A448=入力!$B$11,A448&gt;1)),入力!$B$14="有効"),ROUND(G447*1.25,0),"")</f>
        <v/>
      </c>
      <c r="S448" s="36">
        <f t="shared" si="117"/>
        <v>420</v>
      </c>
      <c r="T448" s="35" t="str">
        <f t="shared" si="118"/>
        <v/>
      </c>
      <c r="U448" s="3">
        <f t="shared" si="102"/>
        <v>0</v>
      </c>
      <c r="V448" s="3">
        <f t="shared" si="103"/>
        <v>0</v>
      </c>
      <c r="W448" s="3">
        <f t="shared" si="104"/>
        <v>0</v>
      </c>
      <c r="X448" s="3">
        <f t="shared" si="105"/>
        <v>0</v>
      </c>
      <c r="Y448" s="3">
        <f>0</f>
        <v>0</v>
      </c>
      <c r="Z448" s="3">
        <f t="shared" si="106"/>
        <v>0</v>
      </c>
      <c r="AA448">
        <f>ROUND(IF(A448=入力!$B$15+1,IF(E448=0,ROUND(C448/MAX(1,S447-A448+1),0),ROUND(-PMT(E448/12,MAX(1,S447-A448+1)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,0)</f>
        <v>0</v>
      </c>
    </row>
    <row r="449" spans="1:27">
      <c r="A449" s="30">
        <f>444</f>
        <v>444</v>
      </c>
      <c r="B449" s="31">
        <f>EDATE(入力!$B$6,A449-1)</f>
        <v>59718</v>
      </c>
      <c r="C449" s="32">
        <f t="shared" si="107"/>
        <v>0</v>
      </c>
      <c r="D449" s="32">
        <f t="shared" si="108"/>
        <v>0</v>
      </c>
      <c r="E449" s="33">
        <f>IF(AND(T448="",A449&lt;=S448),IF(A449&lt;入力!$B$11,入力!$B$10,入力!$B$12),0)</f>
        <v>0</v>
      </c>
      <c r="F449" s="32">
        <f t="shared" si="109"/>
        <v>0</v>
      </c>
      <c r="G449" s="32">
        <f>ROUND(IF(NOT(AND(T448="",A449&lt;=S448)),0,IF(A449=入力!$B$15+1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),0)</f>
        <v>0</v>
      </c>
      <c r="H449" s="32">
        <f t="shared" si="110"/>
        <v>0</v>
      </c>
      <c r="I449" s="32">
        <f t="shared" si="111"/>
        <v>0</v>
      </c>
      <c r="J449" s="32">
        <f t="shared" si="112"/>
        <v>0</v>
      </c>
      <c r="K449" s="32">
        <f t="shared" si="113"/>
        <v>0</v>
      </c>
      <c r="L449" s="32">
        <f t="shared" si="114"/>
        <v>0</v>
      </c>
      <c r="M449" s="32">
        <f>IF(AND(AND(T448="",A449&lt;=S448),A449=入力!$B$15),ROUND(MIN(入力!$B$16,MAX(0,C449-L449)),0),0)</f>
        <v>0</v>
      </c>
      <c r="N449" s="32">
        <f t="shared" si="115"/>
        <v>0</v>
      </c>
      <c r="O449" s="32">
        <f t="shared" si="116"/>
        <v>12386706</v>
      </c>
      <c r="P449" s="34" t="str">
        <f>IF(NOT(AND(T448="",A449&lt;=S448)),"",IF(A449=入力!$B$15+1,"繰上返済後再計算","")&amp;IF(AND(入力!$B$13="有効",A449&gt;1,MOD(A449-1,60)=0),IF(A449=入力!$B$15+1,"・","")&amp;"5年見直し","")&amp;IF(AND(A449=入力!$B$11,A449&gt;1),IF(OR(A449=入力!$B$15+1,AND(入力!$B$13="有効",A449&gt;1,MOD(A449-1,60)=0)),"・","")&amp;"金利変更","")&amp;IF(AND(OR(AND(入力!$B$13="有効",A449&gt;1,MOD(A449-1,60)=0),AND(A449=入力!$B$11,A449&gt;1)),入力!$B$14="有効",IF(E449=0,ROUND(C449/MAX(1,S448-A449+1),0),ROUND(-PMT(E449/12,MAX(1,S448-A449+1),C449),0))&gt;ROUND(G448*1.25,0),NOT(A449=入力!$B$15+1)),"・上限適用",""))</f>
        <v/>
      </c>
      <c r="Q449" s="35" t="str">
        <f>IF(AND(T448="",A449&lt;=S448),入力!$B$13,"")</f>
        <v/>
      </c>
      <c r="R449" s="32" t="str">
        <f>IF(AND(AND(T448="",A449&lt;=S448),OR(AND(入力!$B$13="有効",A449&gt;1,MOD(A449-1,60)=0),AND(A449=入力!$B$11,A449&gt;1)),入力!$B$14="有効"),ROUND(G448*1.25,0),"")</f>
        <v/>
      </c>
      <c r="S449" s="36">
        <f t="shared" si="117"/>
        <v>420</v>
      </c>
      <c r="T449" s="35" t="str">
        <f t="shared" si="118"/>
        <v/>
      </c>
      <c r="U449" s="3">
        <f t="shared" si="102"/>
        <v>0</v>
      </c>
      <c r="V449" s="3">
        <f t="shared" si="103"/>
        <v>0</v>
      </c>
      <c r="W449" s="3">
        <f t="shared" si="104"/>
        <v>0</v>
      </c>
      <c r="X449" s="3">
        <f t="shared" si="105"/>
        <v>0</v>
      </c>
      <c r="Y449" s="3">
        <f>0</f>
        <v>0</v>
      </c>
      <c r="Z449" s="3">
        <f t="shared" si="106"/>
        <v>0</v>
      </c>
      <c r="AA449">
        <f>ROUND(IF(A449=入力!$B$15+1,IF(E449=0,ROUND(C449/MAX(1,S448-A449+1),0),ROUND(-PMT(E449/12,MAX(1,S448-A449+1)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,0)</f>
        <v>0</v>
      </c>
    </row>
    <row r="450" spans="1:27">
      <c r="A450" s="30">
        <f>445</f>
        <v>445</v>
      </c>
      <c r="B450" s="31">
        <f>EDATE(入力!$B$6,A450-1)</f>
        <v>59749</v>
      </c>
      <c r="C450" s="32">
        <f t="shared" si="107"/>
        <v>0</v>
      </c>
      <c r="D450" s="32">
        <f t="shared" si="108"/>
        <v>0</v>
      </c>
      <c r="E450" s="33">
        <f>IF(AND(T449="",A450&lt;=S449),IF(A450&lt;入力!$B$11,入力!$B$10,入力!$B$12),0)</f>
        <v>0</v>
      </c>
      <c r="F450" s="32">
        <f t="shared" si="109"/>
        <v>0</v>
      </c>
      <c r="G450" s="32">
        <f>ROUND(IF(NOT(AND(T449="",A450&lt;=S449)),0,IF(A450=入力!$B$15+1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),0)</f>
        <v>0</v>
      </c>
      <c r="H450" s="32">
        <f t="shared" si="110"/>
        <v>0</v>
      </c>
      <c r="I450" s="32">
        <f t="shared" si="111"/>
        <v>0</v>
      </c>
      <c r="J450" s="32">
        <f t="shared" si="112"/>
        <v>0</v>
      </c>
      <c r="K450" s="32">
        <f t="shared" si="113"/>
        <v>0</v>
      </c>
      <c r="L450" s="32">
        <f t="shared" si="114"/>
        <v>0</v>
      </c>
      <c r="M450" s="32">
        <f>IF(AND(AND(T449="",A450&lt;=S449),A450=入力!$B$15),ROUND(MIN(入力!$B$16,MAX(0,C450-L450)),0),0)</f>
        <v>0</v>
      </c>
      <c r="N450" s="32">
        <f t="shared" si="115"/>
        <v>0</v>
      </c>
      <c r="O450" s="32">
        <f t="shared" si="116"/>
        <v>12386706</v>
      </c>
      <c r="P450" s="34" t="str">
        <f>IF(NOT(AND(T449="",A450&lt;=S449)),"",IF(A450=入力!$B$15+1,"繰上返済後再計算","")&amp;IF(AND(入力!$B$13="有効",A450&gt;1,MOD(A450-1,60)=0),IF(A450=入力!$B$15+1,"・","")&amp;"5年見直し","")&amp;IF(AND(A450=入力!$B$11,A450&gt;1),IF(OR(A450=入力!$B$15+1,AND(入力!$B$13="有効",A450&gt;1,MOD(A450-1,60)=0)),"・","")&amp;"金利変更","")&amp;IF(AND(OR(AND(入力!$B$13="有効",A450&gt;1,MOD(A450-1,60)=0),AND(A450=入力!$B$11,A450&gt;1)),入力!$B$14="有効",IF(E450=0,ROUND(C450/MAX(1,S449-A450+1),0),ROUND(-PMT(E450/12,MAX(1,S449-A450+1),C450),0))&gt;ROUND(G449*1.25,0),NOT(A450=入力!$B$15+1)),"・上限適用",""))</f>
        <v/>
      </c>
      <c r="Q450" s="35" t="str">
        <f>IF(AND(T449="",A450&lt;=S449),入力!$B$13,"")</f>
        <v/>
      </c>
      <c r="R450" s="32" t="str">
        <f>IF(AND(AND(T449="",A450&lt;=S449),OR(AND(入力!$B$13="有効",A450&gt;1,MOD(A450-1,60)=0),AND(A450=入力!$B$11,A450&gt;1)),入力!$B$14="有効"),ROUND(G449*1.25,0),"")</f>
        <v/>
      </c>
      <c r="S450" s="36">
        <f t="shared" si="117"/>
        <v>420</v>
      </c>
      <c r="T450" s="35" t="str">
        <f t="shared" si="118"/>
        <v/>
      </c>
      <c r="U450" s="3">
        <f t="shared" si="102"/>
        <v>0</v>
      </c>
      <c r="V450" s="3">
        <f t="shared" si="103"/>
        <v>0</v>
      </c>
      <c r="W450" s="3">
        <f t="shared" si="104"/>
        <v>0</v>
      </c>
      <c r="X450" s="3">
        <f t="shared" si="105"/>
        <v>0</v>
      </c>
      <c r="Y450" s="3">
        <f>0</f>
        <v>0</v>
      </c>
      <c r="Z450" s="3">
        <f t="shared" si="106"/>
        <v>0</v>
      </c>
      <c r="AA450">
        <f>ROUND(IF(A450=入力!$B$15+1,IF(E450=0,ROUND(C450/MAX(1,S449-A450+1),0),ROUND(-PMT(E450/12,MAX(1,S449-A450+1)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,0)</f>
        <v>0</v>
      </c>
    </row>
    <row r="451" spans="1:27">
      <c r="A451" s="30">
        <f>446</f>
        <v>446</v>
      </c>
      <c r="B451" s="31">
        <f>EDATE(入力!$B$6,A451-1)</f>
        <v>59780</v>
      </c>
      <c r="C451" s="32">
        <f t="shared" si="107"/>
        <v>0</v>
      </c>
      <c r="D451" s="32">
        <f t="shared" si="108"/>
        <v>0</v>
      </c>
      <c r="E451" s="33">
        <f>IF(AND(T450="",A451&lt;=S450),IF(A451&lt;入力!$B$11,入力!$B$10,入力!$B$12),0)</f>
        <v>0</v>
      </c>
      <c r="F451" s="32">
        <f t="shared" si="109"/>
        <v>0</v>
      </c>
      <c r="G451" s="32">
        <f>ROUND(IF(NOT(AND(T450="",A451&lt;=S450)),0,IF(A451=入力!$B$15+1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),0)</f>
        <v>0</v>
      </c>
      <c r="H451" s="32">
        <f t="shared" si="110"/>
        <v>0</v>
      </c>
      <c r="I451" s="32">
        <f t="shared" si="111"/>
        <v>0</v>
      </c>
      <c r="J451" s="32">
        <f t="shared" si="112"/>
        <v>0</v>
      </c>
      <c r="K451" s="32">
        <f t="shared" si="113"/>
        <v>0</v>
      </c>
      <c r="L451" s="32">
        <f t="shared" si="114"/>
        <v>0</v>
      </c>
      <c r="M451" s="32">
        <f>IF(AND(AND(T450="",A451&lt;=S450),A451=入力!$B$15),ROUND(MIN(入力!$B$16,MAX(0,C451-L451)),0),0)</f>
        <v>0</v>
      </c>
      <c r="N451" s="32">
        <f t="shared" si="115"/>
        <v>0</v>
      </c>
      <c r="O451" s="32">
        <f t="shared" si="116"/>
        <v>12386706</v>
      </c>
      <c r="P451" s="34" t="str">
        <f>IF(NOT(AND(T450="",A451&lt;=S450)),"",IF(A451=入力!$B$15+1,"繰上返済後再計算","")&amp;IF(AND(入力!$B$13="有効",A451&gt;1,MOD(A451-1,60)=0),IF(A451=入力!$B$15+1,"・","")&amp;"5年見直し","")&amp;IF(AND(A451=入力!$B$11,A451&gt;1),IF(OR(A451=入力!$B$15+1,AND(入力!$B$13="有効",A451&gt;1,MOD(A451-1,60)=0)),"・","")&amp;"金利変更","")&amp;IF(AND(OR(AND(入力!$B$13="有効",A451&gt;1,MOD(A451-1,60)=0),AND(A451=入力!$B$11,A451&gt;1)),入力!$B$14="有効",IF(E451=0,ROUND(C451/MAX(1,S450-A451+1),0),ROUND(-PMT(E451/12,MAX(1,S450-A451+1),C451),0))&gt;ROUND(G450*1.25,0),NOT(A451=入力!$B$15+1)),"・上限適用",""))</f>
        <v/>
      </c>
      <c r="Q451" s="35" t="str">
        <f>IF(AND(T450="",A451&lt;=S450),入力!$B$13,"")</f>
        <v/>
      </c>
      <c r="R451" s="32" t="str">
        <f>IF(AND(AND(T450="",A451&lt;=S450),OR(AND(入力!$B$13="有効",A451&gt;1,MOD(A451-1,60)=0),AND(A451=入力!$B$11,A451&gt;1)),入力!$B$14="有効"),ROUND(G450*1.25,0),"")</f>
        <v/>
      </c>
      <c r="S451" s="36">
        <f t="shared" si="117"/>
        <v>420</v>
      </c>
      <c r="T451" s="35" t="str">
        <f t="shared" si="118"/>
        <v/>
      </c>
      <c r="U451" s="3">
        <f t="shared" si="102"/>
        <v>0</v>
      </c>
      <c r="V451" s="3">
        <f t="shared" si="103"/>
        <v>0</v>
      </c>
      <c r="W451" s="3">
        <f t="shared" si="104"/>
        <v>0</v>
      </c>
      <c r="X451" s="3">
        <f t="shared" si="105"/>
        <v>0</v>
      </c>
      <c r="Y451" s="3">
        <f>0</f>
        <v>0</v>
      </c>
      <c r="Z451" s="3">
        <f t="shared" si="106"/>
        <v>0</v>
      </c>
      <c r="AA451">
        <f>ROUND(IF(A451=入力!$B$15+1,IF(E451=0,ROUND(C451/MAX(1,S450-A451+1),0),ROUND(-PMT(E451/12,MAX(1,S450-A451+1)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,0)</f>
        <v>0</v>
      </c>
    </row>
    <row r="452" spans="1:27">
      <c r="A452" s="30">
        <f>447</f>
        <v>447</v>
      </c>
      <c r="B452" s="31">
        <f>EDATE(入力!$B$6,A452-1)</f>
        <v>59810</v>
      </c>
      <c r="C452" s="32">
        <f t="shared" si="107"/>
        <v>0</v>
      </c>
      <c r="D452" s="32">
        <f t="shared" si="108"/>
        <v>0</v>
      </c>
      <c r="E452" s="33">
        <f>IF(AND(T451="",A452&lt;=S451),IF(A452&lt;入力!$B$11,入力!$B$10,入力!$B$12),0)</f>
        <v>0</v>
      </c>
      <c r="F452" s="32">
        <f t="shared" si="109"/>
        <v>0</v>
      </c>
      <c r="G452" s="32">
        <f>ROUND(IF(NOT(AND(T451="",A452&lt;=S451)),0,IF(A452=入力!$B$15+1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),0)</f>
        <v>0</v>
      </c>
      <c r="H452" s="32">
        <f t="shared" si="110"/>
        <v>0</v>
      </c>
      <c r="I452" s="32">
        <f t="shared" si="111"/>
        <v>0</v>
      </c>
      <c r="J452" s="32">
        <f t="shared" si="112"/>
        <v>0</v>
      </c>
      <c r="K452" s="32">
        <f t="shared" si="113"/>
        <v>0</v>
      </c>
      <c r="L452" s="32">
        <f t="shared" si="114"/>
        <v>0</v>
      </c>
      <c r="M452" s="32">
        <f>IF(AND(AND(T451="",A452&lt;=S451),A452=入力!$B$15),ROUND(MIN(入力!$B$16,MAX(0,C452-L452)),0),0)</f>
        <v>0</v>
      </c>
      <c r="N452" s="32">
        <f t="shared" si="115"/>
        <v>0</v>
      </c>
      <c r="O452" s="32">
        <f t="shared" si="116"/>
        <v>12386706</v>
      </c>
      <c r="P452" s="34" t="str">
        <f>IF(NOT(AND(T451="",A452&lt;=S451)),"",IF(A452=入力!$B$15+1,"繰上返済後再計算","")&amp;IF(AND(入力!$B$13="有効",A452&gt;1,MOD(A452-1,60)=0),IF(A452=入力!$B$15+1,"・","")&amp;"5年見直し","")&amp;IF(AND(A452=入力!$B$11,A452&gt;1),IF(OR(A452=入力!$B$15+1,AND(入力!$B$13="有効",A452&gt;1,MOD(A452-1,60)=0)),"・","")&amp;"金利変更","")&amp;IF(AND(OR(AND(入力!$B$13="有効",A452&gt;1,MOD(A452-1,60)=0),AND(A452=入力!$B$11,A452&gt;1)),入力!$B$14="有効",IF(E452=0,ROUND(C452/MAX(1,S451-A452+1),0),ROUND(-PMT(E452/12,MAX(1,S451-A452+1),C452),0))&gt;ROUND(G451*1.25,0),NOT(A452=入力!$B$15+1)),"・上限適用",""))</f>
        <v/>
      </c>
      <c r="Q452" s="35" t="str">
        <f>IF(AND(T451="",A452&lt;=S451),入力!$B$13,"")</f>
        <v/>
      </c>
      <c r="R452" s="32" t="str">
        <f>IF(AND(AND(T451="",A452&lt;=S451),OR(AND(入力!$B$13="有効",A452&gt;1,MOD(A452-1,60)=0),AND(A452=入力!$B$11,A452&gt;1)),入力!$B$14="有効"),ROUND(G451*1.25,0),"")</f>
        <v/>
      </c>
      <c r="S452" s="36">
        <f t="shared" si="117"/>
        <v>420</v>
      </c>
      <c r="T452" s="35" t="str">
        <f t="shared" si="118"/>
        <v/>
      </c>
      <c r="U452" s="3">
        <f t="shared" si="102"/>
        <v>0</v>
      </c>
      <c r="V452" s="3">
        <f t="shared" si="103"/>
        <v>0</v>
      </c>
      <c r="W452" s="3">
        <f t="shared" si="104"/>
        <v>0</v>
      </c>
      <c r="X452" s="3">
        <f t="shared" si="105"/>
        <v>0</v>
      </c>
      <c r="Y452" s="3">
        <f>0</f>
        <v>0</v>
      </c>
      <c r="Z452" s="3">
        <f t="shared" si="106"/>
        <v>0</v>
      </c>
      <c r="AA452">
        <f>ROUND(IF(A452=入力!$B$15+1,IF(E452=0,ROUND(C452/MAX(1,S451-A452+1),0),ROUND(-PMT(E452/12,MAX(1,S451-A452+1)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,0)</f>
        <v>0</v>
      </c>
    </row>
    <row r="453" spans="1:27">
      <c r="A453" s="30">
        <f>448</f>
        <v>448</v>
      </c>
      <c r="B453" s="31">
        <f>EDATE(入力!$B$6,A453-1)</f>
        <v>59841</v>
      </c>
      <c r="C453" s="32">
        <f t="shared" si="107"/>
        <v>0</v>
      </c>
      <c r="D453" s="32">
        <f t="shared" si="108"/>
        <v>0</v>
      </c>
      <c r="E453" s="33">
        <f>IF(AND(T452="",A453&lt;=S452),IF(A453&lt;入力!$B$11,入力!$B$10,入力!$B$12),0)</f>
        <v>0</v>
      </c>
      <c r="F453" s="32">
        <f t="shared" si="109"/>
        <v>0</v>
      </c>
      <c r="G453" s="32">
        <f>ROUND(IF(NOT(AND(T452="",A453&lt;=S452)),0,IF(A453=入力!$B$15+1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),0)</f>
        <v>0</v>
      </c>
      <c r="H453" s="32">
        <f t="shared" si="110"/>
        <v>0</v>
      </c>
      <c r="I453" s="32">
        <f t="shared" si="111"/>
        <v>0</v>
      </c>
      <c r="J453" s="32">
        <f t="shared" si="112"/>
        <v>0</v>
      </c>
      <c r="K453" s="32">
        <f t="shared" si="113"/>
        <v>0</v>
      </c>
      <c r="L453" s="32">
        <f t="shared" si="114"/>
        <v>0</v>
      </c>
      <c r="M453" s="32">
        <f>IF(AND(AND(T452="",A453&lt;=S452),A453=入力!$B$15),ROUND(MIN(入力!$B$16,MAX(0,C453-L453)),0),0)</f>
        <v>0</v>
      </c>
      <c r="N453" s="32">
        <f t="shared" si="115"/>
        <v>0</v>
      </c>
      <c r="O453" s="32">
        <f t="shared" si="116"/>
        <v>12386706</v>
      </c>
      <c r="P453" s="34" t="str">
        <f>IF(NOT(AND(T452="",A453&lt;=S452)),"",IF(A453=入力!$B$15+1,"繰上返済後再計算","")&amp;IF(AND(入力!$B$13="有効",A453&gt;1,MOD(A453-1,60)=0),IF(A453=入力!$B$15+1,"・","")&amp;"5年見直し","")&amp;IF(AND(A453=入力!$B$11,A453&gt;1),IF(OR(A453=入力!$B$15+1,AND(入力!$B$13="有効",A453&gt;1,MOD(A453-1,60)=0)),"・","")&amp;"金利変更","")&amp;IF(AND(OR(AND(入力!$B$13="有効",A453&gt;1,MOD(A453-1,60)=0),AND(A453=入力!$B$11,A453&gt;1)),入力!$B$14="有効",IF(E453=0,ROUND(C453/MAX(1,S452-A453+1),0),ROUND(-PMT(E453/12,MAX(1,S452-A453+1),C453),0))&gt;ROUND(G452*1.25,0),NOT(A453=入力!$B$15+1)),"・上限適用",""))</f>
        <v/>
      </c>
      <c r="Q453" s="35" t="str">
        <f>IF(AND(T452="",A453&lt;=S452),入力!$B$13,"")</f>
        <v/>
      </c>
      <c r="R453" s="32" t="str">
        <f>IF(AND(AND(T452="",A453&lt;=S452),OR(AND(入力!$B$13="有効",A453&gt;1,MOD(A453-1,60)=0),AND(A453=入力!$B$11,A453&gt;1)),入力!$B$14="有効"),ROUND(G452*1.25,0),"")</f>
        <v/>
      </c>
      <c r="S453" s="36">
        <f t="shared" si="117"/>
        <v>420</v>
      </c>
      <c r="T453" s="35" t="str">
        <f t="shared" si="118"/>
        <v/>
      </c>
      <c r="U453" s="3">
        <f t="shared" si="102"/>
        <v>0</v>
      </c>
      <c r="V453" s="3">
        <f t="shared" si="103"/>
        <v>0</v>
      </c>
      <c r="W453" s="3">
        <f t="shared" si="104"/>
        <v>0</v>
      </c>
      <c r="X453" s="3">
        <f t="shared" si="105"/>
        <v>0</v>
      </c>
      <c r="Y453" s="3">
        <f>0</f>
        <v>0</v>
      </c>
      <c r="Z453" s="3">
        <f t="shared" si="106"/>
        <v>0</v>
      </c>
      <c r="AA453">
        <f>ROUND(IF(A453=入力!$B$15+1,IF(E453=0,ROUND(C453/MAX(1,S452-A453+1),0),ROUND(-PMT(E453/12,MAX(1,S452-A453+1)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,0)</f>
        <v>0</v>
      </c>
    </row>
    <row r="454" spans="1:27">
      <c r="A454" s="30">
        <f>449</f>
        <v>449</v>
      </c>
      <c r="B454" s="31">
        <f>EDATE(入力!$B$6,A454-1)</f>
        <v>59871</v>
      </c>
      <c r="C454" s="32">
        <f t="shared" si="107"/>
        <v>0</v>
      </c>
      <c r="D454" s="32">
        <f t="shared" si="108"/>
        <v>0</v>
      </c>
      <c r="E454" s="33">
        <f>IF(AND(T453="",A454&lt;=S453),IF(A454&lt;入力!$B$11,入力!$B$10,入力!$B$12),0)</f>
        <v>0</v>
      </c>
      <c r="F454" s="32">
        <f t="shared" si="109"/>
        <v>0</v>
      </c>
      <c r="G454" s="32">
        <f>ROUND(IF(NOT(AND(T453="",A454&lt;=S453)),0,IF(A454=入力!$B$15+1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),0)</f>
        <v>0</v>
      </c>
      <c r="H454" s="32">
        <f t="shared" si="110"/>
        <v>0</v>
      </c>
      <c r="I454" s="32">
        <f t="shared" si="111"/>
        <v>0</v>
      </c>
      <c r="J454" s="32">
        <f t="shared" si="112"/>
        <v>0</v>
      </c>
      <c r="K454" s="32">
        <f t="shared" si="113"/>
        <v>0</v>
      </c>
      <c r="L454" s="32">
        <f t="shared" si="114"/>
        <v>0</v>
      </c>
      <c r="M454" s="32">
        <f>IF(AND(AND(T453="",A454&lt;=S453),A454=入力!$B$15),ROUND(MIN(入力!$B$16,MAX(0,C454-L454)),0),0)</f>
        <v>0</v>
      </c>
      <c r="N454" s="32">
        <f t="shared" si="115"/>
        <v>0</v>
      </c>
      <c r="O454" s="32">
        <f t="shared" si="116"/>
        <v>12386706</v>
      </c>
      <c r="P454" s="34" t="str">
        <f>IF(NOT(AND(T453="",A454&lt;=S453)),"",IF(A454=入力!$B$15+1,"繰上返済後再計算","")&amp;IF(AND(入力!$B$13="有効",A454&gt;1,MOD(A454-1,60)=0),IF(A454=入力!$B$15+1,"・","")&amp;"5年見直し","")&amp;IF(AND(A454=入力!$B$11,A454&gt;1),IF(OR(A454=入力!$B$15+1,AND(入力!$B$13="有効",A454&gt;1,MOD(A454-1,60)=0)),"・","")&amp;"金利変更","")&amp;IF(AND(OR(AND(入力!$B$13="有効",A454&gt;1,MOD(A454-1,60)=0),AND(A454=入力!$B$11,A454&gt;1)),入力!$B$14="有効",IF(E454=0,ROUND(C454/MAX(1,S453-A454+1),0),ROUND(-PMT(E454/12,MAX(1,S453-A454+1),C454),0))&gt;ROUND(G453*1.25,0),NOT(A454=入力!$B$15+1)),"・上限適用",""))</f>
        <v/>
      </c>
      <c r="Q454" s="35" t="str">
        <f>IF(AND(T453="",A454&lt;=S453),入力!$B$13,"")</f>
        <v/>
      </c>
      <c r="R454" s="32" t="str">
        <f>IF(AND(AND(T453="",A454&lt;=S453),OR(AND(入力!$B$13="有効",A454&gt;1,MOD(A454-1,60)=0),AND(A454=入力!$B$11,A454&gt;1)),入力!$B$14="有効"),ROUND(G453*1.25,0),"")</f>
        <v/>
      </c>
      <c r="S454" s="36">
        <f t="shared" si="117"/>
        <v>420</v>
      </c>
      <c r="T454" s="35" t="str">
        <f t="shared" si="118"/>
        <v/>
      </c>
      <c r="U454" s="3">
        <f t="shared" ref="U454:U517" si="119">ABS(I454-MIN(H454,D454+F454))</f>
        <v>0</v>
      </c>
      <c r="V454" s="3">
        <f t="shared" ref="V454:V517" si="120">ABS(L454-(H454-I454))</f>
        <v>0</v>
      </c>
      <c r="W454" s="3">
        <f t="shared" ref="W454:W517" si="121">ABS(K454-(D454+J454))</f>
        <v>0</v>
      </c>
      <c r="X454" s="3">
        <f t="shared" ref="X454:X517" si="122">ABS(F454-ROUND(F454,0))+ABS(G454-ROUND(G454,0))+ABS(H454-ROUND(H454,0))+ABS(I454-ROUND(I454,0))+ABS(J454-ROUND(J454,0))+ABS(K454-ROUND(K454,0))+ABS(L454-ROUND(L454,0))+ABS(M454-ROUND(M454,0))+ABS(N454-ROUND(N454,0))+ABS(O454-ROUND(O454,0))</f>
        <v>0</v>
      </c>
      <c r="Y454" s="3">
        <f>0</f>
        <v>0</v>
      </c>
      <c r="Z454" s="3">
        <f t="shared" ref="Z454:Z517" si="123">SUM(--ISERROR(A454),--ISERROR(B454),--ISERROR(C454),--ISERROR(D454),--ISERROR(E454),--ISERROR(F454),--ISERROR(G454),--ISERROR(H454),--ISERROR(I454),--ISERROR(J454),--ISERROR(K454),--ISERROR(L454),--ISERROR(M454),--ISERROR(N454),--ISERROR(O454),--ISERROR(P454),--ISERROR(Q454),--ISERROR(R454),--ISERROR(S454),--ISERROR(T454))</f>
        <v>0</v>
      </c>
      <c r="AA454">
        <f>ROUND(IF(A454=入力!$B$15+1,IF(E454=0,ROUND(C454/MAX(1,S453-A454+1),0),ROUND(-PMT(E454/12,MAX(1,S453-A454+1)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,0)</f>
        <v>0</v>
      </c>
    </row>
    <row r="455" spans="1:27">
      <c r="A455" s="30">
        <f>450</f>
        <v>450</v>
      </c>
      <c r="B455" s="31">
        <f>EDATE(入力!$B$6,A455-1)</f>
        <v>59902</v>
      </c>
      <c r="C455" s="32">
        <f t="shared" ref="C455:C518" si="124">IF(AND(T454="",A455&lt;=S454),N454,0)</f>
        <v>0</v>
      </c>
      <c r="D455" s="32">
        <f t="shared" ref="D455:D518" si="125">IF(AND(T454="",A455&lt;=S454),K454,0)</f>
        <v>0</v>
      </c>
      <c r="E455" s="33">
        <f>IF(AND(T454="",A455&lt;=S454),IF(A455&lt;入力!$B$11,入力!$B$10,入力!$B$12),0)</f>
        <v>0</v>
      </c>
      <c r="F455" s="32">
        <f t="shared" ref="F455:F518" si="126">IF(AND(T454="",A455&lt;=S454),ROUND(C455*E455/12,0),0)</f>
        <v>0</v>
      </c>
      <c r="G455" s="32">
        <f>ROUND(IF(NOT(AND(T454="",A455&lt;=S454)),0,IF(A455=入力!$B$15+1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),0)</f>
        <v>0</v>
      </c>
      <c r="H455" s="32">
        <f t="shared" ref="H455:H518" si="127">IF(AND(T454="",A455&lt;=S454),ROUND(MIN(G455,C455+D455+F455),0),0)</f>
        <v>0</v>
      </c>
      <c r="I455" s="32">
        <f t="shared" ref="I455:I518" si="128">IF(AND(T454="",A455&lt;=S454),ROUND(MIN(H455,D455+F455),0),0)</f>
        <v>0</v>
      </c>
      <c r="J455" s="32">
        <f t="shared" ref="J455:J518" si="129">IF(AND(T454="",A455&lt;=S454),ROUND(F455-I455,0),0)</f>
        <v>0</v>
      </c>
      <c r="K455" s="32">
        <f t="shared" ref="K455:K518" si="130">IF(AND(T454="",A455&lt;=S454),ROUND(D455+J455,0),0)</f>
        <v>0</v>
      </c>
      <c r="L455" s="32">
        <f t="shared" ref="L455:L518" si="131">IF(AND(T454="",A455&lt;=S454),ROUND(H455-I455,0),0)</f>
        <v>0</v>
      </c>
      <c r="M455" s="32">
        <f>IF(AND(AND(T454="",A455&lt;=S454),A455=入力!$B$15),ROUND(MIN(入力!$B$16,MAX(0,C455-L455)),0),0)</f>
        <v>0</v>
      </c>
      <c r="N455" s="32">
        <f t="shared" ref="N455:N518" si="132">IF(AND(T454="",A455&lt;=S454),ROUND(MAX(0,C455-L455-M455),0),0)</f>
        <v>0</v>
      </c>
      <c r="O455" s="32">
        <f t="shared" ref="O455:O518" si="133">IF(AND(T454="",A455&lt;=S454),ROUND(O454+F455,0),O454)</f>
        <v>12386706</v>
      </c>
      <c r="P455" s="34" t="str">
        <f>IF(NOT(AND(T454="",A455&lt;=S454)),"",IF(A455=入力!$B$15+1,"繰上返済後再計算","")&amp;IF(AND(入力!$B$13="有効",A455&gt;1,MOD(A455-1,60)=0),IF(A455=入力!$B$15+1,"・","")&amp;"5年見直し","")&amp;IF(AND(A455=入力!$B$11,A455&gt;1),IF(OR(A455=入力!$B$15+1,AND(入力!$B$13="有効",A455&gt;1,MOD(A455-1,60)=0)),"・","")&amp;"金利変更","")&amp;IF(AND(OR(AND(入力!$B$13="有効",A455&gt;1,MOD(A455-1,60)=0),AND(A455=入力!$B$11,A455&gt;1)),入力!$B$14="有効",IF(E455=0,ROUND(C455/MAX(1,S454-A455+1),0),ROUND(-PMT(E455/12,MAX(1,S454-A455+1),C455),0))&gt;ROUND(G454*1.25,0),NOT(A455=入力!$B$15+1)),"・上限適用",""))</f>
        <v/>
      </c>
      <c r="Q455" s="35" t="str">
        <f>IF(AND(T454="",A455&lt;=S454),入力!$B$13,"")</f>
        <v/>
      </c>
      <c r="R455" s="32" t="str">
        <f>IF(AND(AND(T454="",A455&lt;=S454),OR(AND(入力!$B$13="有効",A455&gt;1,MOD(A455-1,60)=0),AND(A455=入力!$B$11,A455&gt;1)),入力!$B$14="有効"),ROUND(G454*1.25,0),"")</f>
        <v/>
      </c>
      <c r="S455" s="36">
        <f t="shared" ref="S455:S518" si="134">S454</f>
        <v>420</v>
      </c>
      <c r="T455" s="35" t="str">
        <f t="shared" ref="T455:T518" si="135">IF(NOT(AND(T454="",A455&lt;=S454)),"",IF(AND(N455=0,K455=0),"完済",IF(A455=S455,"最終回清算","")))</f>
        <v/>
      </c>
      <c r="U455" s="3">
        <f t="shared" si="119"/>
        <v>0</v>
      </c>
      <c r="V455" s="3">
        <f t="shared" si="120"/>
        <v>0</v>
      </c>
      <c r="W455" s="3">
        <f t="shared" si="121"/>
        <v>0</v>
      </c>
      <c r="X455" s="3">
        <f t="shared" si="122"/>
        <v>0</v>
      </c>
      <c r="Y455" s="3">
        <f>0</f>
        <v>0</v>
      </c>
      <c r="Z455" s="3">
        <f t="shared" si="123"/>
        <v>0</v>
      </c>
      <c r="AA455">
        <f>ROUND(IF(A455=入力!$B$15+1,IF(E455=0,ROUND(C455/MAX(1,S454-A455+1),0),ROUND(-PMT(E455/12,MAX(1,S454-A455+1)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,0)</f>
        <v>0</v>
      </c>
    </row>
    <row r="456" spans="1:27">
      <c r="A456" s="30">
        <f>451</f>
        <v>451</v>
      </c>
      <c r="B456" s="31">
        <f>EDATE(入力!$B$6,A456-1)</f>
        <v>59933</v>
      </c>
      <c r="C456" s="32">
        <f t="shared" si="124"/>
        <v>0</v>
      </c>
      <c r="D456" s="32">
        <f t="shared" si="125"/>
        <v>0</v>
      </c>
      <c r="E456" s="33">
        <f>IF(AND(T455="",A456&lt;=S455),IF(A456&lt;入力!$B$11,入力!$B$10,入力!$B$12),0)</f>
        <v>0</v>
      </c>
      <c r="F456" s="32">
        <f t="shared" si="126"/>
        <v>0</v>
      </c>
      <c r="G456" s="32">
        <f>ROUND(IF(NOT(AND(T455="",A456&lt;=S455)),0,IF(A456=入力!$B$15+1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),0)</f>
        <v>0</v>
      </c>
      <c r="H456" s="32">
        <f t="shared" si="127"/>
        <v>0</v>
      </c>
      <c r="I456" s="32">
        <f t="shared" si="128"/>
        <v>0</v>
      </c>
      <c r="J456" s="32">
        <f t="shared" si="129"/>
        <v>0</v>
      </c>
      <c r="K456" s="32">
        <f t="shared" si="130"/>
        <v>0</v>
      </c>
      <c r="L456" s="32">
        <f t="shared" si="131"/>
        <v>0</v>
      </c>
      <c r="M456" s="32">
        <f>IF(AND(AND(T455="",A456&lt;=S455),A456=入力!$B$15),ROUND(MIN(入力!$B$16,MAX(0,C456-L456)),0),0)</f>
        <v>0</v>
      </c>
      <c r="N456" s="32">
        <f t="shared" si="132"/>
        <v>0</v>
      </c>
      <c r="O456" s="32">
        <f t="shared" si="133"/>
        <v>12386706</v>
      </c>
      <c r="P456" s="34" t="str">
        <f>IF(NOT(AND(T455="",A456&lt;=S455)),"",IF(A456=入力!$B$15+1,"繰上返済後再計算","")&amp;IF(AND(入力!$B$13="有効",A456&gt;1,MOD(A456-1,60)=0),IF(A456=入力!$B$15+1,"・","")&amp;"5年見直し","")&amp;IF(AND(A456=入力!$B$11,A456&gt;1),IF(OR(A456=入力!$B$15+1,AND(入力!$B$13="有効",A456&gt;1,MOD(A456-1,60)=0)),"・","")&amp;"金利変更","")&amp;IF(AND(OR(AND(入力!$B$13="有効",A456&gt;1,MOD(A456-1,60)=0),AND(A456=入力!$B$11,A456&gt;1)),入力!$B$14="有効",IF(E456=0,ROUND(C456/MAX(1,S455-A456+1),0),ROUND(-PMT(E456/12,MAX(1,S455-A456+1),C456),0))&gt;ROUND(G455*1.25,0),NOT(A456=入力!$B$15+1)),"・上限適用",""))</f>
        <v/>
      </c>
      <c r="Q456" s="35" t="str">
        <f>IF(AND(T455="",A456&lt;=S455),入力!$B$13,"")</f>
        <v/>
      </c>
      <c r="R456" s="32" t="str">
        <f>IF(AND(AND(T455="",A456&lt;=S455),OR(AND(入力!$B$13="有効",A456&gt;1,MOD(A456-1,60)=0),AND(A456=入力!$B$11,A456&gt;1)),入力!$B$14="有効"),ROUND(G455*1.25,0),"")</f>
        <v/>
      </c>
      <c r="S456" s="36">
        <f t="shared" si="134"/>
        <v>420</v>
      </c>
      <c r="T456" s="35" t="str">
        <f t="shared" si="135"/>
        <v/>
      </c>
      <c r="U456" s="3">
        <f t="shared" si="119"/>
        <v>0</v>
      </c>
      <c r="V456" s="3">
        <f t="shared" si="120"/>
        <v>0</v>
      </c>
      <c r="W456" s="3">
        <f t="shared" si="121"/>
        <v>0</v>
      </c>
      <c r="X456" s="3">
        <f t="shared" si="122"/>
        <v>0</v>
      </c>
      <c r="Y456" s="3">
        <f>0</f>
        <v>0</v>
      </c>
      <c r="Z456" s="3">
        <f t="shared" si="123"/>
        <v>0</v>
      </c>
      <c r="AA456">
        <f>ROUND(IF(A456=入力!$B$15+1,IF(E456=0,ROUND(C456/MAX(1,S455-A456+1),0),ROUND(-PMT(E456/12,MAX(1,S455-A456+1)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,0)</f>
        <v>0</v>
      </c>
    </row>
    <row r="457" spans="1:27">
      <c r="A457" s="30">
        <f>452</f>
        <v>452</v>
      </c>
      <c r="B457" s="31">
        <f>EDATE(入力!$B$6,A457-1)</f>
        <v>59962</v>
      </c>
      <c r="C457" s="32">
        <f t="shared" si="124"/>
        <v>0</v>
      </c>
      <c r="D457" s="32">
        <f t="shared" si="125"/>
        <v>0</v>
      </c>
      <c r="E457" s="33">
        <f>IF(AND(T456="",A457&lt;=S456),IF(A457&lt;入力!$B$11,入力!$B$10,入力!$B$12),0)</f>
        <v>0</v>
      </c>
      <c r="F457" s="32">
        <f t="shared" si="126"/>
        <v>0</v>
      </c>
      <c r="G457" s="32">
        <f>ROUND(IF(NOT(AND(T456="",A457&lt;=S456)),0,IF(A457=入力!$B$15+1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),0)</f>
        <v>0</v>
      </c>
      <c r="H457" s="32">
        <f t="shared" si="127"/>
        <v>0</v>
      </c>
      <c r="I457" s="32">
        <f t="shared" si="128"/>
        <v>0</v>
      </c>
      <c r="J457" s="32">
        <f t="shared" si="129"/>
        <v>0</v>
      </c>
      <c r="K457" s="32">
        <f t="shared" si="130"/>
        <v>0</v>
      </c>
      <c r="L457" s="32">
        <f t="shared" si="131"/>
        <v>0</v>
      </c>
      <c r="M457" s="32">
        <f>IF(AND(AND(T456="",A457&lt;=S456),A457=入力!$B$15),ROUND(MIN(入力!$B$16,MAX(0,C457-L457)),0),0)</f>
        <v>0</v>
      </c>
      <c r="N457" s="32">
        <f t="shared" si="132"/>
        <v>0</v>
      </c>
      <c r="O457" s="32">
        <f t="shared" si="133"/>
        <v>12386706</v>
      </c>
      <c r="P457" s="34" t="str">
        <f>IF(NOT(AND(T456="",A457&lt;=S456)),"",IF(A457=入力!$B$15+1,"繰上返済後再計算","")&amp;IF(AND(入力!$B$13="有効",A457&gt;1,MOD(A457-1,60)=0),IF(A457=入力!$B$15+1,"・","")&amp;"5年見直し","")&amp;IF(AND(A457=入力!$B$11,A457&gt;1),IF(OR(A457=入力!$B$15+1,AND(入力!$B$13="有効",A457&gt;1,MOD(A457-1,60)=0)),"・","")&amp;"金利変更","")&amp;IF(AND(OR(AND(入力!$B$13="有効",A457&gt;1,MOD(A457-1,60)=0),AND(A457=入力!$B$11,A457&gt;1)),入力!$B$14="有効",IF(E457=0,ROUND(C457/MAX(1,S456-A457+1),0),ROUND(-PMT(E457/12,MAX(1,S456-A457+1),C457),0))&gt;ROUND(G456*1.25,0),NOT(A457=入力!$B$15+1)),"・上限適用",""))</f>
        <v/>
      </c>
      <c r="Q457" s="35" t="str">
        <f>IF(AND(T456="",A457&lt;=S456),入力!$B$13,"")</f>
        <v/>
      </c>
      <c r="R457" s="32" t="str">
        <f>IF(AND(AND(T456="",A457&lt;=S456),OR(AND(入力!$B$13="有効",A457&gt;1,MOD(A457-1,60)=0),AND(A457=入力!$B$11,A457&gt;1)),入力!$B$14="有効"),ROUND(G456*1.25,0),"")</f>
        <v/>
      </c>
      <c r="S457" s="36">
        <f t="shared" si="134"/>
        <v>420</v>
      </c>
      <c r="T457" s="35" t="str">
        <f t="shared" si="135"/>
        <v/>
      </c>
      <c r="U457" s="3">
        <f t="shared" si="119"/>
        <v>0</v>
      </c>
      <c r="V457" s="3">
        <f t="shared" si="120"/>
        <v>0</v>
      </c>
      <c r="W457" s="3">
        <f t="shared" si="121"/>
        <v>0</v>
      </c>
      <c r="X457" s="3">
        <f t="shared" si="122"/>
        <v>0</v>
      </c>
      <c r="Y457" s="3">
        <f>0</f>
        <v>0</v>
      </c>
      <c r="Z457" s="3">
        <f t="shared" si="123"/>
        <v>0</v>
      </c>
      <c r="AA457">
        <f>ROUND(IF(A457=入力!$B$15+1,IF(E457=0,ROUND(C457/MAX(1,S456-A457+1),0),ROUND(-PMT(E457/12,MAX(1,S456-A457+1)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,0)</f>
        <v>0</v>
      </c>
    </row>
    <row r="458" spans="1:27">
      <c r="A458" s="30">
        <f>453</f>
        <v>453</v>
      </c>
      <c r="B458" s="31">
        <f>EDATE(入力!$B$6,A458-1)</f>
        <v>59993</v>
      </c>
      <c r="C458" s="32">
        <f t="shared" si="124"/>
        <v>0</v>
      </c>
      <c r="D458" s="32">
        <f t="shared" si="125"/>
        <v>0</v>
      </c>
      <c r="E458" s="33">
        <f>IF(AND(T457="",A458&lt;=S457),IF(A458&lt;入力!$B$11,入力!$B$10,入力!$B$12),0)</f>
        <v>0</v>
      </c>
      <c r="F458" s="32">
        <f t="shared" si="126"/>
        <v>0</v>
      </c>
      <c r="G458" s="32">
        <f>ROUND(IF(NOT(AND(T457="",A458&lt;=S457)),0,IF(A458=入力!$B$15+1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),0)</f>
        <v>0</v>
      </c>
      <c r="H458" s="32">
        <f t="shared" si="127"/>
        <v>0</v>
      </c>
      <c r="I458" s="32">
        <f t="shared" si="128"/>
        <v>0</v>
      </c>
      <c r="J458" s="32">
        <f t="shared" si="129"/>
        <v>0</v>
      </c>
      <c r="K458" s="32">
        <f t="shared" si="130"/>
        <v>0</v>
      </c>
      <c r="L458" s="32">
        <f t="shared" si="131"/>
        <v>0</v>
      </c>
      <c r="M458" s="32">
        <f>IF(AND(AND(T457="",A458&lt;=S457),A458=入力!$B$15),ROUND(MIN(入力!$B$16,MAX(0,C458-L458)),0),0)</f>
        <v>0</v>
      </c>
      <c r="N458" s="32">
        <f t="shared" si="132"/>
        <v>0</v>
      </c>
      <c r="O458" s="32">
        <f t="shared" si="133"/>
        <v>12386706</v>
      </c>
      <c r="P458" s="34" t="str">
        <f>IF(NOT(AND(T457="",A458&lt;=S457)),"",IF(A458=入力!$B$15+1,"繰上返済後再計算","")&amp;IF(AND(入力!$B$13="有効",A458&gt;1,MOD(A458-1,60)=0),IF(A458=入力!$B$15+1,"・","")&amp;"5年見直し","")&amp;IF(AND(A458=入力!$B$11,A458&gt;1),IF(OR(A458=入力!$B$15+1,AND(入力!$B$13="有効",A458&gt;1,MOD(A458-1,60)=0)),"・","")&amp;"金利変更","")&amp;IF(AND(OR(AND(入力!$B$13="有効",A458&gt;1,MOD(A458-1,60)=0),AND(A458=入力!$B$11,A458&gt;1)),入力!$B$14="有効",IF(E458=0,ROUND(C458/MAX(1,S457-A458+1),0),ROUND(-PMT(E458/12,MAX(1,S457-A458+1),C458),0))&gt;ROUND(G457*1.25,0),NOT(A458=入力!$B$15+1)),"・上限適用",""))</f>
        <v/>
      </c>
      <c r="Q458" s="35" t="str">
        <f>IF(AND(T457="",A458&lt;=S457),入力!$B$13,"")</f>
        <v/>
      </c>
      <c r="R458" s="32" t="str">
        <f>IF(AND(AND(T457="",A458&lt;=S457),OR(AND(入力!$B$13="有効",A458&gt;1,MOD(A458-1,60)=0),AND(A458=入力!$B$11,A458&gt;1)),入力!$B$14="有効"),ROUND(G457*1.25,0),"")</f>
        <v/>
      </c>
      <c r="S458" s="36">
        <f t="shared" si="134"/>
        <v>420</v>
      </c>
      <c r="T458" s="35" t="str">
        <f t="shared" si="135"/>
        <v/>
      </c>
      <c r="U458" s="3">
        <f t="shared" si="119"/>
        <v>0</v>
      </c>
      <c r="V458" s="3">
        <f t="shared" si="120"/>
        <v>0</v>
      </c>
      <c r="W458" s="3">
        <f t="shared" si="121"/>
        <v>0</v>
      </c>
      <c r="X458" s="3">
        <f t="shared" si="122"/>
        <v>0</v>
      </c>
      <c r="Y458" s="3">
        <f>0</f>
        <v>0</v>
      </c>
      <c r="Z458" s="3">
        <f t="shared" si="123"/>
        <v>0</v>
      </c>
      <c r="AA458">
        <f>ROUND(IF(A458=入力!$B$15+1,IF(E458=0,ROUND(C458/MAX(1,S457-A458+1),0),ROUND(-PMT(E458/12,MAX(1,S457-A458+1)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,0)</f>
        <v>0</v>
      </c>
    </row>
    <row r="459" spans="1:27">
      <c r="A459" s="30">
        <f>454</f>
        <v>454</v>
      </c>
      <c r="B459" s="31">
        <f>EDATE(入力!$B$6,A459-1)</f>
        <v>60023</v>
      </c>
      <c r="C459" s="32">
        <f t="shared" si="124"/>
        <v>0</v>
      </c>
      <c r="D459" s="32">
        <f t="shared" si="125"/>
        <v>0</v>
      </c>
      <c r="E459" s="33">
        <f>IF(AND(T458="",A459&lt;=S458),IF(A459&lt;入力!$B$11,入力!$B$10,入力!$B$12),0)</f>
        <v>0</v>
      </c>
      <c r="F459" s="32">
        <f t="shared" si="126"/>
        <v>0</v>
      </c>
      <c r="G459" s="32">
        <f>ROUND(IF(NOT(AND(T458="",A459&lt;=S458)),0,IF(A459=入力!$B$15+1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),0)</f>
        <v>0</v>
      </c>
      <c r="H459" s="32">
        <f t="shared" si="127"/>
        <v>0</v>
      </c>
      <c r="I459" s="32">
        <f t="shared" si="128"/>
        <v>0</v>
      </c>
      <c r="J459" s="32">
        <f t="shared" si="129"/>
        <v>0</v>
      </c>
      <c r="K459" s="32">
        <f t="shared" si="130"/>
        <v>0</v>
      </c>
      <c r="L459" s="32">
        <f t="shared" si="131"/>
        <v>0</v>
      </c>
      <c r="M459" s="32">
        <f>IF(AND(AND(T458="",A459&lt;=S458),A459=入力!$B$15),ROUND(MIN(入力!$B$16,MAX(0,C459-L459)),0),0)</f>
        <v>0</v>
      </c>
      <c r="N459" s="32">
        <f t="shared" si="132"/>
        <v>0</v>
      </c>
      <c r="O459" s="32">
        <f t="shared" si="133"/>
        <v>12386706</v>
      </c>
      <c r="P459" s="34" t="str">
        <f>IF(NOT(AND(T458="",A459&lt;=S458)),"",IF(A459=入力!$B$15+1,"繰上返済後再計算","")&amp;IF(AND(入力!$B$13="有効",A459&gt;1,MOD(A459-1,60)=0),IF(A459=入力!$B$15+1,"・","")&amp;"5年見直し","")&amp;IF(AND(A459=入力!$B$11,A459&gt;1),IF(OR(A459=入力!$B$15+1,AND(入力!$B$13="有効",A459&gt;1,MOD(A459-1,60)=0)),"・","")&amp;"金利変更","")&amp;IF(AND(OR(AND(入力!$B$13="有効",A459&gt;1,MOD(A459-1,60)=0),AND(A459=入力!$B$11,A459&gt;1)),入力!$B$14="有効",IF(E459=0,ROUND(C459/MAX(1,S458-A459+1),0),ROUND(-PMT(E459/12,MAX(1,S458-A459+1),C459),0))&gt;ROUND(G458*1.25,0),NOT(A459=入力!$B$15+1)),"・上限適用",""))</f>
        <v/>
      </c>
      <c r="Q459" s="35" t="str">
        <f>IF(AND(T458="",A459&lt;=S458),入力!$B$13,"")</f>
        <v/>
      </c>
      <c r="R459" s="32" t="str">
        <f>IF(AND(AND(T458="",A459&lt;=S458),OR(AND(入力!$B$13="有効",A459&gt;1,MOD(A459-1,60)=0),AND(A459=入力!$B$11,A459&gt;1)),入力!$B$14="有効"),ROUND(G458*1.25,0),"")</f>
        <v/>
      </c>
      <c r="S459" s="36">
        <f t="shared" si="134"/>
        <v>420</v>
      </c>
      <c r="T459" s="35" t="str">
        <f t="shared" si="135"/>
        <v/>
      </c>
      <c r="U459" s="3">
        <f t="shared" si="119"/>
        <v>0</v>
      </c>
      <c r="V459" s="3">
        <f t="shared" si="120"/>
        <v>0</v>
      </c>
      <c r="W459" s="3">
        <f t="shared" si="121"/>
        <v>0</v>
      </c>
      <c r="X459" s="3">
        <f t="shared" si="122"/>
        <v>0</v>
      </c>
      <c r="Y459" s="3">
        <f>0</f>
        <v>0</v>
      </c>
      <c r="Z459" s="3">
        <f t="shared" si="123"/>
        <v>0</v>
      </c>
      <c r="AA459">
        <f>ROUND(IF(A459=入力!$B$15+1,IF(E459=0,ROUND(C459/MAX(1,S458-A459+1),0),ROUND(-PMT(E459/12,MAX(1,S458-A459+1)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,0)</f>
        <v>0</v>
      </c>
    </row>
    <row r="460" spans="1:27">
      <c r="A460" s="30">
        <f>455</f>
        <v>455</v>
      </c>
      <c r="B460" s="31">
        <f>EDATE(入力!$B$6,A460-1)</f>
        <v>60054</v>
      </c>
      <c r="C460" s="32">
        <f t="shared" si="124"/>
        <v>0</v>
      </c>
      <c r="D460" s="32">
        <f t="shared" si="125"/>
        <v>0</v>
      </c>
      <c r="E460" s="33">
        <f>IF(AND(T459="",A460&lt;=S459),IF(A460&lt;入力!$B$11,入力!$B$10,入力!$B$12),0)</f>
        <v>0</v>
      </c>
      <c r="F460" s="32">
        <f t="shared" si="126"/>
        <v>0</v>
      </c>
      <c r="G460" s="32">
        <f>ROUND(IF(NOT(AND(T459="",A460&lt;=S459)),0,IF(A460=入力!$B$15+1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),0)</f>
        <v>0</v>
      </c>
      <c r="H460" s="32">
        <f t="shared" si="127"/>
        <v>0</v>
      </c>
      <c r="I460" s="32">
        <f t="shared" si="128"/>
        <v>0</v>
      </c>
      <c r="J460" s="32">
        <f t="shared" si="129"/>
        <v>0</v>
      </c>
      <c r="K460" s="32">
        <f t="shared" si="130"/>
        <v>0</v>
      </c>
      <c r="L460" s="32">
        <f t="shared" si="131"/>
        <v>0</v>
      </c>
      <c r="M460" s="32">
        <f>IF(AND(AND(T459="",A460&lt;=S459),A460=入力!$B$15),ROUND(MIN(入力!$B$16,MAX(0,C460-L460)),0),0)</f>
        <v>0</v>
      </c>
      <c r="N460" s="32">
        <f t="shared" si="132"/>
        <v>0</v>
      </c>
      <c r="O460" s="32">
        <f t="shared" si="133"/>
        <v>12386706</v>
      </c>
      <c r="P460" s="34" t="str">
        <f>IF(NOT(AND(T459="",A460&lt;=S459)),"",IF(A460=入力!$B$15+1,"繰上返済後再計算","")&amp;IF(AND(入力!$B$13="有効",A460&gt;1,MOD(A460-1,60)=0),IF(A460=入力!$B$15+1,"・","")&amp;"5年見直し","")&amp;IF(AND(A460=入力!$B$11,A460&gt;1),IF(OR(A460=入力!$B$15+1,AND(入力!$B$13="有効",A460&gt;1,MOD(A460-1,60)=0)),"・","")&amp;"金利変更","")&amp;IF(AND(OR(AND(入力!$B$13="有効",A460&gt;1,MOD(A460-1,60)=0),AND(A460=入力!$B$11,A460&gt;1)),入力!$B$14="有効",IF(E460=0,ROUND(C460/MAX(1,S459-A460+1),0),ROUND(-PMT(E460/12,MAX(1,S459-A460+1),C460),0))&gt;ROUND(G459*1.25,0),NOT(A460=入力!$B$15+1)),"・上限適用",""))</f>
        <v/>
      </c>
      <c r="Q460" s="35" t="str">
        <f>IF(AND(T459="",A460&lt;=S459),入力!$B$13,"")</f>
        <v/>
      </c>
      <c r="R460" s="32" t="str">
        <f>IF(AND(AND(T459="",A460&lt;=S459),OR(AND(入力!$B$13="有効",A460&gt;1,MOD(A460-1,60)=0),AND(A460=入力!$B$11,A460&gt;1)),入力!$B$14="有効"),ROUND(G459*1.25,0),"")</f>
        <v/>
      </c>
      <c r="S460" s="36">
        <f t="shared" si="134"/>
        <v>420</v>
      </c>
      <c r="T460" s="35" t="str">
        <f t="shared" si="135"/>
        <v/>
      </c>
      <c r="U460" s="3">
        <f t="shared" si="119"/>
        <v>0</v>
      </c>
      <c r="V460" s="3">
        <f t="shared" si="120"/>
        <v>0</v>
      </c>
      <c r="W460" s="3">
        <f t="shared" si="121"/>
        <v>0</v>
      </c>
      <c r="X460" s="3">
        <f t="shared" si="122"/>
        <v>0</v>
      </c>
      <c r="Y460" s="3">
        <f>0</f>
        <v>0</v>
      </c>
      <c r="Z460" s="3">
        <f t="shared" si="123"/>
        <v>0</v>
      </c>
      <c r="AA460">
        <f>ROUND(IF(A460=入力!$B$15+1,IF(E460=0,ROUND(C460/MAX(1,S459-A460+1),0),ROUND(-PMT(E460/12,MAX(1,S459-A460+1)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,0)</f>
        <v>0</v>
      </c>
    </row>
    <row r="461" spans="1:27">
      <c r="A461" s="30">
        <f>456</f>
        <v>456</v>
      </c>
      <c r="B461" s="31">
        <f>EDATE(入力!$B$6,A461-1)</f>
        <v>60084</v>
      </c>
      <c r="C461" s="32">
        <f t="shared" si="124"/>
        <v>0</v>
      </c>
      <c r="D461" s="32">
        <f t="shared" si="125"/>
        <v>0</v>
      </c>
      <c r="E461" s="33">
        <f>IF(AND(T460="",A461&lt;=S460),IF(A461&lt;入力!$B$11,入力!$B$10,入力!$B$12),0)</f>
        <v>0</v>
      </c>
      <c r="F461" s="32">
        <f t="shared" si="126"/>
        <v>0</v>
      </c>
      <c r="G461" s="32">
        <f>ROUND(IF(NOT(AND(T460="",A461&lt;=S460)),0,IF(A461=入力!$B$15+1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),0)</f>
        <v>0</v>
      </c>
      <c r="H461" s="32">
        <f t="shared" si="127"/>
        <v>0</v>
      </c>
      <c r="I461" s="32">
        <f t="shared" si="128"/>
        <v>0</v>
      </c>
      <c r="J461" s="32">
        <f t="shared" si="129"/>
        <v>0</v>
      </c>
      <c r="K461" s="32">
        <f t="shared" si="130"/>
        <v>0</v>
      </c>
      <c r="L461" s="32">
        <f t="shared" si="131"/>
        <v>0</v>
      </c>
      <c r="M461" s="32">
        <f>IF(AND(AND(T460="",A461&lt;=S460),A461=入力!$B$15),ROUND(MIN(入力!$B$16,MAX(0,C461-L461)),0),0)</f>
        <v>0</v>
      </c>
      <c r="N461" s="32">
        <f t="shared" si="132"/>
        <v>0</v>
      </c>
      <c r="O461" s="32">
        <f t="shared" si="133"/>
        <v>12386706</v>
      </c>
      <c r="P461" s="34" t="str">
        <f>IF(NOT(AND(T460="",A461&lt;=S460)),"",IF(A461=入力!$B$15+1,"繰上返済後再計算","")&amp;IF(AND(入力!$B$13="有効",A461&gt;1,MOD(A461-1,60)=0),IF(A461=入力!$B$15+1,"・","")&amp;"5年見直し","")&amp;IF(AND(A461=入力!$B$11,A461&gt;1),IF(OR(A461=入力!$B$15+1,AND(入力!$B$13="有効",A461&gt;1,MOD(A461-1,60)=0)),"・","")&amp;"金利変更","")&amp;IF(AND(OR(AND(入力!$B$13="有効",A461&gt;1,MOD(A461-1,60)=0),AND(A461=入力!$B$11,A461&gt;1)),入力!$B$14="有効",IF(E461=0,ROUND(C461/MAX(1,S460-A461+1),0),ROUND(-PMT(E461/12,MAX(1,S460-A461+1),C461),0))&gt;ROUND(G460*1.25,0),NOT(A461=入力!$B$15+1)),"・上限適用",""))</f>
        <v/>
      </c>
      <c r="Q461" s="35" t="str">
        <f>IF(AND(T460="",A461&lt;=S460),入力!$B$13,"")</f>
        <v/>
      </c>
      <c r="R461" s="32" t="str">
        <f>IF(AND(AND(T460="",A461&lt;=S460),OR(AND(入力!$B$13="有効",A461&gt;1,MOD(A461-1,60)=0),AND(A461=入力!$B$11,A461&gt;1)),入力!$B$14="有効"),ROUND(G460*1.25,0),"")</f>
        <v/>
      </c>
      <c r="S461" s="36">
        <f t="shared" si="134"/>
        <v>420</v>
      </c>
      <c r="T461" s="35" t="str">
        <f t="shared" si="135"/>
        <v/>
      </c>
      <c r="U461" s="3">
        <f t="shared" si="119"/>
        <v>0</v>
      </c>
      <c r="V461" s="3">
        <f t="shared" si="120"/>
        <v>0</v>
      </c>
      <c r="W461" s="3">
        <f t="shared" si="121"/>
        <v>0</v>
      </c>
      <c r="X461" s="3">
        <f t="shared" si="122"/>
        <v>0</v>
      </c>
      <c r="Y461" s="3">
        <f>0</f>
        <v>0</v>
      </c>
      <c r="Z461" s="3">
        <f t="shared" si="123"/>
        <v>0</v>
      </c>
      <c r="AA461">
        <f>ROUND(IF(A461=入力!$B$15+1,IF(E461=0,ROUND(C461/MAX(1,S460-A461+1),0),ROUND(-PMT(E461/12,MAX(1,S460-A461+1)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,0)</f>
        <v>0</v>
      </c>
    </row>
    <row r="462" spans="1:27">
      <c r="A462" s="30">
        <f>457</f>
        <v>457</v>
      </c>
      <c r="B462" s="31">
        <f>EDATE(入力!$B$6,A462-1)</f>
        <v>60115</v>
      </c>
      <c r="C462" s="32">
        <f t="shared" si="124"/>
        <v>0</v>
      </c>
      <c r="D462" s="32">
        <f t="shared" si="125"/>
        <v>0</v>
      </c>
      <c r="E462" s="33">
        <f>IF(AND(T461="",A462&lt;=S461),IF(A462&lt;入力!$B$11,入力!$B$10,入力!$B$12),0)</f>
        <v>0</v>
      </c>
      <c r="F462" s="32">
        <f t="shared" si="126"/>
        <v>0</v>
      </c>
      <c r="G462" s="32">
        <f>ROUND(IF(NOT(AND(T461="",A462&lt;=S461)),0,IF(A462=入力!$B$15+1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),0)</f>
        <v>0</v>
      </c>
      <c r="H462" s="32">
        <f t="shared" si="127"/>
        <v>0</v>
      </c>
      <c r="I462" s="32">
        <f t="shared" si="128"/>
        <v>0</v>
      </c>
      <c r="J462" s="32">
        <f t="shared" si="129"/>
        <v>0</v>
      </c>
      <c r="K462" s="32">
        <f t="shared" si="130"/>
        <v>0</v>
      </c>
      <c r="L462" s="32">
        <f t="shared" si="131"/>
        <v>0</v>
      </c>
      <c r="M462" s="32">
        <f>IF(AND(AND(T461="",A462&lt;=S461),A462=入力!$B$15),ROUND(MIN(入力!$B$16,MAX(0,C462-L462)),0),0)</f>
        <v>0</v>
      </c>
      <c r="N462" s="32">
        <f t="shared" si="132"/>
        <v>0</v>
      </c>
      <c r="O462" s="32">
        <f t="shared" si="133"/>
        <v>12386706</v>
      </c>
      <c r="P462" s="34" t="str">
        <f>IF(NOT(AND(T461="",A462&lt;=S461)),"",IF(A462=入力!$B$15+1,"繰上返済後再計算","")&amp;IF(AND(入力!$B$13="有効",A462&gt;1,MOD(A462-1,60)=0),IF(A462=入力!$B$15+1,"・","")&amp;"5年見直し","")&amp;IF(AND(A462=入力!$B$11,A462&gt;1),IF(OR(A462=入力!$B$15+1,AND(入力!$B$13="有効",A462&gt;1,MOD(A462-1,60)=0)),"・","")&amp;"金利変更","")&amp;IF(AND(OR(AND(入力!$B$13="有効",A462&gt;1,MOD(A462-1,60)=0),AND(A462=入力!$B$11,A462&gt;1)),入力!$B$14="有効",IF(E462=0,ROUND(C462/MAX(1,S461-A462+1),0),ROUND(-PMT(E462/12,MAX(1,S461-A462+1),C462),0))&gt;ROUND(G461*1.25,0),NOT(A462=入力!$B$15+1)),"・上限適用",""))</f>
        <v/>
      </c>
      <c r="Q462" s="35" t="str">
        <f>IF(AND(T461="",A462&lt;=S461),入力!$B$13,"")</f>
        <v/>
      </c>
      <c r="R462" s="32" t="str">
        <f>IF(AND(AND(T461="",A462&lt;=S461),OR(AND(入力!$B$13="有効",A462&gt;1,MOD(A462-1,60)=0),AND(A462=入力!$B$11,A462&gt;1)),入力!$B$14="有効"),ROUND(G461*1.25,0),"")</f>
        <v/>
      </c>
      <c r="S462" s="36">
        <f t="shared" si="134"/>
        <v>420</v>
      </c>
      <c r="T462" s="35" t="str">
        <f t="shared" si="135"/>
        <v/>
      </c>
      <c r="U462" s="3">
        <f t="shared" si="119"/>
        <v>0</v>
      </c>
      <c r="V462" s="3">
        <f t="shared" si="120"/>
        <v>0</v>
      </c>
      <c r="W462" s="3">
        <f t="shared" si="121"/>
        <v>0</v>
      </c>
      <c r="X462" s="3">
        <f t="shared" si="122"/>
        <v>0</v>
      </c>
      <c r="Y462" s="3">
        <f>0</f>
        <v>0</v>
      </c>
      <c r="Z462" s="3">
        <f t="shared" si="123"/>
        <v>0</v>
      </c>
      <c r="AA462">
        <f>ROUND(IF(A462=入力!$B$15+1,IF(E462=0,ROUND(C462/MAX(1,S461-A462+1),0),ROUND(-PMT(E462/12,MAX(1,S461-A462+1)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,0)</f>
        <v>0</v>
      </c>
    </row>
    <row r="463" spans="1:27">
      <c r="A463" s="30">
        <f>458</f>
        <v>458</v>
      </c>
      <c r="B463" s="31">
        <f>EDATE(入力!$B$6,A463-1)</f>
        <v>60146</v>
      </c>
      <c r="C463" s="32">
        <f t="shared" si="124"/>
        <v>0</v>
      </c>
      <c r="D463" s="32">
        <f t="shared" si="125"/>
        <v>0</v>
      </c>
      <c r="E463" s="33">
        <f>IF(AND(T462="",A463&lt;=S462),IF(A463&lt;入力!$B$11,入力!$B$10,入力!$B$12),0)</f>
        <v>0</v>
      </c>
      <c r="F463" s="32">
        <f t="shared" si="126"/>
        <v>0</v>
      </c>
      <c r="G463" s="32">
        <f>ROUND(IF(NOT(AND(T462="",A463&lt;=S462)),0,IF(A463=入力!$B$15+1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),0)</f>
        <v>0</v>
      </c>
      <c r="H463" s="32">
        <f t="shared" si="127"/>
        <v>0</v>
      </c>
      <c r="I463" s="32">
        <f t="shared" si="128"/>
        <v>0</v>
      </c>
      <c r="J463" s="32">
        <f t="shared" si="129"/>
        <v>0</v>
      </c>
      <c r="K463" s="32">
        <f t="shared" si="130"/>
        <v>0</v>
      </c>
      <c r="L463" s="32">
        <f t="shared" si="131"/>
        <v>0</v>
      </c>
      <c r="M463" s="32">
        <f>IF(AND(AND(T462="",A463&lt;=S462),A463=入力!$B$15),ROUND(MIN(入力!$B$16,MAX(0,C463-L463)),0),0)</f>
        <v>0</v>
      </c>
      <c r="N463" s="32">
        <f t="shared" si="132"/>
        <v>0</v>
      </c>
      <c r="O463" s="32">
        <f t="shared" si="133"/>
        <v>12386706</v>
      </c>
      <c r="P463" s="34" t="str">
        <f>IF(NOT(AND(T462="",A463&lt;=S462)),"",IF(A463=入力!$B$15+1,"繰上返済後再計算","")&amp;IF(AND(入力!$B$13="有効",A463&gt;1,MOD(A463-1,60)=0),IF(A463=入力!$B$15+1,"・","")&amp;"5年見直し","")&amp;IF(AND(A463=入力!$B$11,A463&gt;1),IF(OR(A463=入力!$B$15+1,AND(入力!$B$13="有効",A463&gt;1,MOD(A463-1,60)=0)),"・","")&amp;"金利変更","")&amp;IF(AND(OR(AND(入力!$B$13="有効",A463&gt;1,MOD(A463-1,60)=0),AND(A463=入力!$B$11,A463&gt;1)),入力!$B$14="有効",IF(E463=0,ROUND(C463/MAX(1,S462-A463+1),0),ROUND(-PMT(E463/12,MAX(1,S462-A463+1),C463),0))&gt;ROUND(G462*1.25,0),NOT(A463=入力!$B$15+1)),"・上限適用",""))</f>
        <v/>
      </c>
      <c r="Q463" s="35" t="str">
        <f>IF(AND(T462="",A463&lt;=S462),入力!$B$13,"")</f>
        <v/>
      </c>
      <c r="R463" s="32" t="str">
        <f>IF(AND(AND(T462="",A463&lt;=S462),OR(AND(入力!$B$13="有効",A463&gt;1,MOD(A463-1,60)=0),AND(A463=入力!$B$11,A463&gt;1)),入力!$B$14="有効"),ROUND(G462*1.25,0),"")</f>
        <v/>
      </c>
      <c r="S463" s="36">
        <f t="shared" si="134"/>
        <v>420</v>
      </c>
      <c r="T463" s="35" t="str">
        <f t="shared" si="135"/>
        <v/>
      </c>
      <c r="U463" s="3">
        <f t="shared" si="119"/>
        <v>0</v>
      </c>
      <c r="V463" s="3">
        <f t="shared" si="120"/>
        <v>0</v>
      </c>
      <c r="W463" s="3">
        <f t="shared" si="121"/>
        <v>0</v>
      </c>
      <c r="X463" s="3">
        <f t="shared" si="122"/>
        <v>0</v>
      </c>
      <c r="Y463" s="3">
        <f>0</f>
        <v>0</v>
      </c>
      <c r="Z463" s="3">
        <f t="shared" si="123"/>
        <v>0</v>
      </c>
      <c r="AA463">
        <f>ROUND(IF(A463=入力!$B$15+1,IF(E463=0,ROUND(C463/MAX(1,S462-A463+1),0),ROUND(-PMT(E463/12,MAX(1,S462-A463+1)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,0)</f>
        <v>0</v>
      </c>
    </row>
    <row r="464" spans="1:27">
      <c r="A464" s="30">
        <f>459</f>
        <v>459</v>
      </c>
      <c r="B464" s="31">
        <f>EDATE(入力!$B$6,A464-1)</f>
        <v>60176</v>
      </c>
      <c r="C464" s="32">
        <f t="shared" si="124"/>
        <v>0</v>
      </c>
      <c r="D464" s="32">
        <f t="shared" si="125"/>
        <v>0</v>
      </c>
      <c r="E464" s="33">
        <f>IF(AND(T463="",A464&lt;=S463),IF(A464&lt;入力!$B$11,入力!$B$10,入力!$B$12),0)</f>
        <v>0</v>
      </c>
      <c r="F464" s="32">
        <f t="shared" si="126"/>
        <v>0</v>
      </c>
      <c r="G464" s="32">
        <f>ROUND(IF(NOT(AND(T463="",A464&lt;=S463)),0,IF(A464=入力!$B$15+1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),0)</f>
        <v>0</v>
      </c>
      <c r="H464" s="32">
        <f t="shared" si="127"/>
        <v>0</v>
      </c>
      <c r="I464" s="32">
        <f t="shared" si="128"/>
        <v>0</v>
      </c>
      <c r="J464" s="32">
        <f t="shared" si="129"/>
        <v>0</v>
      </c>
      <c r="K464" s="32">
        <f t="shared" si="130"/>
        <v>0</v>
      </c>
      <c r="L464" s="32">
        <f t="shared" si="131"/>
        <v>0</v>
      </c>
      <c r="M464" s="32">
        <f>IF(AND(AND(T463="",A464&lt;=S463),A464=入力!$B$15),ROUND(MIN(入力!$B$16,MAX(0,C464-L464)),0),0)</f>
        <v>0</v>
      </c>
      <c r="N464" s="32">
        <f t="shared" si="132"/>
        <v>0</v>
      </c>
      <c r="O464" s="32">
        <f t="shared" si="133"/>
        <v>12386706</v>
      </c>
      <c r="P464" s="34" t="str">
        <f>IF(NOT(AND(T463="",A464&lt;=S463)),"",IF(A464=入力!$B$15+1,"繰上返済後再計算","")&amp;IF(AND(入力!$B$13="有効",A464&gt;1,MOD(A464-1,60)=0),IF(A464=入力!$B$15+1,"・","")&amp;"5年見直し","")&amp;IF(AND(A464=入力!$B$11,A464&gt;1),IF(OR(A464=入力!$B$15+1,AND(入力!$B$13="有効",A464&gt;1,MOD(A464-1,60)=0)),"・","")&amp;"金利変更","")&amp;IF(AND(OR(AND(入力!$B$13="有効",A464&gt;1,MOD(A464-1,60)=0),AND(A464=入力!$B$11,A464&gt;1)),入力!$B$14="有効",IF(E464=0,ROUND(C464/MAX(1,S463-A464+1),0),ROUND(-PMT(E464/12,MAX(1,S463-A464+1),C464),0))&gt;ROUND(G463*1.25,0),NOT(A464=入力!$B$15+1)),"・上限適用",""))</f>
        <v/>
      </c>
      <c r="Q464" s="35" t="str">
        <f>IF(AND(T463="",A464&lt;=S463),入力!$B$13,"")</f>
        <v/>
      </c>
      <c r="R464" s="32" t="str">
        <f>IF(AND(AND(T463="",A464&lt;=S463),OR(AND(入力!$B$13="有効",A464&gt;1,MOD(A464-1,60)=0),AND(A464=入力!$B$11,A464&gt;1)),入力!$B$14="有効"),ROUND(G463*1.25,0),"")</f>
        <v/>
      </c>
      <c r="S464" s="36">
        <f t="shared" si="134"/>
        <v>420</v>
      </c>
      <c r="T464" s="35" t="str">
        <f t="shared" si="135"/>
        <v/>
      </c>
      <c r="U464" s="3">
        <f t="shared" si="119"/>
        <v>0</v>
      </c>
      <c r="V464" s="3">
        <f t="shared" si="120"/>
        <v>0</v>
      </c>
      <c r="W464" s="3">
        <f t="shared" si="121"/>
        <v>0</v>
      </c>
      <c r="X464" s="3">
        <f t="shared" si="122"/>
        <v>0</v>
      </c>
      <c r="Y464" s="3">
        <f>0</f>
        <v>0</v>
      </c>
      <c r="Z464" s="3">
        <f t="shared" si="123"/>
        <v>0</v>
      </c>
      <c r="AA464">
        <f>ROUND(IF(A464=入力!$B$15+1,IF(E464=0,ROUND(C464/MAX(1,S463-A464+1),0),ROUND(-PMT(E464/12,MAX(1,S463-A464+1)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,0)</f>
        <v>0</v>
      </c>
    </row>
    <row r="465" spans="1:27">
      <c r="A465" s="30">
        <f>460</f>
        <v>460</v>
      </c>
      <c r="B465" s="31">
        <f>EDATE(入力!$B$6,A465-1)</f>
        <v>60207</v>
      </c>
      <c r="C465" s="32">
        <f t="shared" si="124"/>
        <v>0</v>
      </c>
      <c r="D465" s="32">
        <f t="shared" si="125"/>
        <v>0</v>
      </c>
      <c r="E465" s="33">
        <f>IF(AND(T464="",A465&lt;=S464),IF(A465&lt;入力!$B$11,入力!$B$10,入力!$B$12),0)</f>
        <v>0</v>
      </c>
      <c r="F465" s="32">
        <f t="shared" si="126"/>
        <v>0</v>
      </c>
      <c r="G465" s="32">
        <f>ROUND(IF(NOT(AND(T464="",A465&lt;=S464)),0,IF(A465=入力!$B$15+1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),0)</f>
        <v>0</v>
      </c>
      <c r="H465" s="32">
        <f t="shared" si="127"/>
        <v>0</v>
      </c>
      <c r="I465" s="32">
        <f t="shared" si="128"/>
        <v>0</v>
      </c>
      <c r="J465" s="32">
        <f t="shared" si="129"/>
        <v>0</v>
      </c>
      <c r="K465" s="32">
        <f t="shared" si="130"/>
        <v>0</v>
      </c>
      <c r="L465" s="32">
        <f t="shared" si="131"/>
        <v>0</v>
      </c>
      <c r="M465" s="32">
        <f>IF(AND(AND(T464="",A465&lt;=S464),A465=入力!$B$15),ROUND(MIN(入力!$B$16,MAX(0,C465-L465)),0),0)</f>
        <v>0</v>
      </c>
      <c r="N465" s="32">
        <f t="shared" si="132"/>
        <v>0</v>
      </c>
      <c r="O465" s="32">
        <f t="shared" si="133"/>
        <v>12386706</v>
      </c>
      <c r="P465" s="34" t="str">
        <f>IF(NOT(AND(T464="",A465&lt;=S464)),"",IF(A465=入力!$B$15+1,"繰上返済後再計算","")&amp;IF(AND(入力!$B$13="有効",A465&gt;1,MOD(A465-1,60)=0),IF(A465=入力!$B$15+1,"・","")&amp;"5年見直し","")&amp;IF(AND(A465=入力!$B$11,A465&gt;1),IF(OR(A465=入力!$B$15+1,AND(入力!$B$13="有効",A465&gt;1,MOD(A465-1,60)=0)),"・","")&amp;"金利変更","")&amp;IF(AND(OR(AND(入力!$B$13="有効",A465&gt;1,MOD(A465-1,60)=0),AND(A465=入力!$B$11,A465&gt;1)),入力!$B$14="有効",IF(E465=0,ROUND(C465/MAX(1,S464-A465+1),0),ROUND(-PMT(E465/12,MAX(1,S464-A465+1),C465),0))&gt;ROUND(G464*1.25,0),NOT(A465=入力!$B$15+1)),"・上限適用",""))</f>
        <v/>
      </c>
      <c r="Q465" s="35" t="str">
        <f>IF(AND(T464="",A465&lt;=S464),入力!$B$13,"")</f>
        <v/>
      </c>
      <c r="R465" s="32" t="str">
        <f>IF(AND(AND(T464="",A465&lt;=S464),OR(AND(入力!$B$13="有効",A465&gt;1,MOD(A465-1,60)=0),AND(A465=入力!$B$11,A465&gt;1)),入力!$B$14="有効"),ROUND(G464*1.25,0),"")</f>
        <v/>
      </c>
      <c r="S465" s="36">
        <f t="shared" si="134"/>
        <v>420</v>
      </c>
      <c r="T465" s="35" t="str">
        <f t="shared" si="135"/>
        <v/>
      </c>
      <c r="U465" s="3">
        <f t="shared" si="119"/>
        <v>0</v>
      </c>
      <c r="V465" s="3">
        <f t="shared" si="120"/>
        <v>0</v>
      </c>
      <c r="W465" s="3">
        <f t="shared" si="121"/>
        <v>0</v>
      </c>
      <c r="X465" s="3">
        <f t="shared" si="122"/>
        <v>0</v>
      </c>
      <c r="Y465" s="3">
        <f>0</f>
        <v>0</v>
      </c>
      <c r="Z465" s="3">
        <f t="shared" si="123"/>
        <v>0</v>
      </c>
      <c r="AA465">
        <f>ROUND(IF(A465=入力!$B$15+1,IF(E465=0,ROUND(C465/MAX(1,S464-A465+1),0),ROUND(-PMT(E465/12,MAX(1,S464-A465+1)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,0)</f>
        <v>0</v>
      </c>
    </row>
    <row r="466" spans="1:27">
      <c r="A466" s="30">
        <f>461</f>
        <v>461</v>
      </c>
      <c r="B466" s="31">
        <f>EDATE(入力!$B$6,A466-1)</f>
        <v>60237</v>
      </c>
      <c r="C466" s="32">
        <f t="shared" si="124"/>
        <v>0</v>
      </c>
      <c r="D466" s="32">
        <f t="shared" si="125"/>
        <v>0</v>
      </c>
      <c r="E466" s="33">
        <f>IF(AND(T465="",A466&lt;=S465),IF(A466&lt;入力!$B$11,入力!$B$10,入力!$B$12),0)</f>
        <v>0</v>
      </c>
      <c r="F466" s="32">
        <f t="shared" si="126"/>
        <v>0</v>
      </c>
      <c r="G466" s="32">
        <f>ROUND(IF(NOT(AND(T465="",A466&lt;=S465)),0,IF(A466=入力!$B$15+1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),0)</f>
        <v>0</v>
      </c>
      <c r="H466" s="32">
        <f t="shared" si="127"/>
        <v>0</v>
      </c>
      <c r="I466" s="32">
        <f t="shared" si="128"/>
        <v>0</v>
      </c>
      <c r="J466" s="32">
        <f t="shared" si="129"/>
        <v>0</v>
      </c>
      <c r="K466" s="32">
        <f t="shared" si="130"/>
        <v>0</v>
      </c>
      <c r="L466" s="32">
        <f t="shared" si="131"/>
        <v>0</v>
      </c>
      <c r="M466" s="32">
        <f>IF(AND(AND(T465="",A466&lt;=S465),A466=入力!$B$15),ROUND(MIN(入力!$B$16,MAX(0,C466-L466)),0),0)</f>
        <v>0</v>
      </c>
      <c r="N466" s="32">
        <f t="shared" si="132"/>
        <v>0</v>
      </c>
      <c r="O466" s="32">
        <f t="shared" si="133"/>
        <v>12386706</v>
      </c>
      <c r="P466" s="34" t="str">
        <f>IF(NOT(AND(T465="",A466&lt;=S465)),"",IF(A466=入力!$B$15+1,"繰上返済後再計算","")&amp;IF(AND(入力!$B$13="有効",A466&gt;1,MOD(A466-1,60)=0),IF(A466=入力!$B$15+1,"・","")&amp;"5年見直し","")&amp;IF(AND(A466=入力!$B$11,A466&gt;1),IF(OR(A466=入力!$B$15+1,AND(入力!$B$13="有効",A466&gt;1,MOD(A466-1,60)=0)),"・","")&amp;"金利変更","")&amp;IF(AND(OR(AND(入力!$B$13="有効",A466&gt;1,MOD(A466-1,60)=0),AND(A466=入力!$B$11,A466&gt;1)),入力!$B$14="有効",IF(E466=0,ROUND(C466/MAX(1,S465-A466+1),0),ROUND(-PMT(E466/12,MAX(1,S465-A466+1),C466),0))&gt;ROUND(G465*1.25,0),NOT(A466=入力!$B$15+1)),"・上限適用",""))</f>
        <v/>
      </c>
      <c r="Q466" s="35" t="str">
        <f>IF(AND(T465="",A466&lt;=S465),入力!$B$13,"")</f>
        <v/>
      </c>
      <c r="R466" s="32" t="str">
        <f>IF(AND(AND(T465="",A466&lt;=S465),OR(AND(入力!$B$13="有効",A466&gt;1,MOD(A466-1,60)=0),AND(A466=入力!$B$11,A466&gt;1)),入力!$B$14="有効"),ROUND(G465*1.25,0),"")</f>
        <v/>
      </c>
      <c r="S466" s="36">
        <f t="shared" si="134"/>
        <v>420</v>
      </c>
      <c r="T466" s="35" t="str">
        <f t="shared" si="135"/>
        <v/>
      </c>
      <c r="U466" s="3">
        <f t="shared" si="119"/>
        <v>0</v>
      </c>
      <c r="V466" s="3">
        <f t="shared" si="120"/>
        <v>0</v>
      </c>
      <c r="W466" s="3">
        <f t="shared" si="121"/>
        <v>0</v>
      </c>
      <c r="X466" s="3">
        <f t="shared" si="122"/>
        <v>0</v>
      </c>
      <c r="Y466" s="3">
        <f>0</f>
        <v>0</v>
      </c>
      <c r="Z466" s="3">
        <f t="shared" si="123"/>
        <v>0</v>
      </c>
      <c r="AA466">
        <f>ROUND(IF(A466=入力!$B$15+1,IF(E466=0,ROUND(C466/MAX(1,S465-A466+1),0),ROUND(-PMT(E466/12,MAX(1,S465-A466+1)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,0)</f>
        <v>0</v>
      </c>
    </row>
    <row r="467" spans="1:27">
      <c r="A467" s="30">
        <f>462</f>
        <v>462</v>
      </c>
      <c r="B467" s="31">
        <f>EDATE(入力!$B$6,A467-1)</f>
        <v>60268</v>
      </c>
      <c r="C467" s="32">
        <f t="shared" si="124"/>
        <v>0</v>
      </c>
      <c r="D467" s="32">
        <f t="shared" si="125"/>
        <v>0</v>
      </c>
      <c r="E467" s="33">
        <f>IF(AND(T466="",A467&lt;=S466),IF(A467&lt;入力!$B$11,入力!$B$10,入力!$B$12),0)</f>
        <v>0</v>
      </c>
      <c r="F467" s="32">
        <f t="shared" si="126"/>
        <v>0</v>
      </c>
      <c r="G467" s="32">
        <f>ROUND(IF(NOT(AND(T466="",A467&lt;=S466)),0,IF(A467=入力!$B$15+1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),0)</f>
        <v>0</v>
      </c>
      <c r="H467" s="32">
        <f t="shared" si="127"/>
        <v>0</v>
      </c>
      <c r="I467" s="32">
        <f t="shared" si="128"/>
        <v>0</v>
      </c>
      <c r="J467" s="32">
        <f t="shared" si="129"/>
        <v>0</v>
      </c>
      <c r="K467" s="32">
        <f t="shared" si="130"/>
        <v>0</v>
      </c>
      <c r="L467" s="32">
        <f t="shared" si="131"/>
        <v>0</v>
      </c>
      <c r="M467" s="32">
        <f>IF(AND(AND(T466="",A467&lt;=S466),A467=入力!$B$15),ROUND(MIN(入力!$B$16,MAX(0,C467-L467)),0),0)</f>
        <v>0</v>
      </c>
      <c r="N467" s="32">
        <f t="shared" si="132"/>
        <v>0</v>
      </c>
      <c r="O467" s="32">
        <f t="shared" si="133"/>
        <v>12386706</v>
      </c>
      <c r="P467" s="34" t="str">
        <f>IF(NOT(AND(T466="",A467&lt;=S466)),"",IF(A467=入力!$B$15+1,"繰上返済後再計算","")&amp;IF(AND(入力!$B$13="有効",A467&gt;1,MOD(A467-1,60)=0),IF(A467=入力!$B$15+1,"・","")&amp;"5年見直し","")&amp;IF(AND(A467=入力!$B$11,A467&gt;1),IF(OR(A467=入力!$B$15+1,AND(入力!$B$13="有効",A467&gt;1,MOD(A467-1,60)=0)),"・","")&amp;"金利変更","")&amp;IF(AND(OR(AND(入力!$B$13="有効",A467&gt;1,MOD(A467-1,60)=0),AND(A467=入力!$B$11,A467&gt;1)),入力!$B$14="有効",IF(E467=0,ROUND(C467/MAX(1,S466-A467+1),0),ROUND(-PMT(E467/12,MAX(1,S466-A467+1),C467),0))&gt;ROUND(G466*1.25,0),NOT(A467=入力!$B$15+1)),"・上限適用",""))</f>
        <v/>
      </c>
      <c r="Q467" s="35" t="str">
        <f>IF(AND(T466="",A467&lt;=S466),入力!$B$13,"")</f>
        <v/>
      </c>
      <c r="R467" s="32" t="str">
        <f>IF(AND(AND(T466="",A467&lt;=S466),OR(AND(入力!$B$13="有効",A467&gt;1,MOD(A467-1,60)=0),AND(A467=入力!$B$11,A467&gt;1)),入力!$B$14="有効"),ROUND(G466*1.25,0),"")</f>
        <v/>
      </c>
      <c r="S467" s="36">
        <f t="shared" si="134"/>
        <v>420</v>
      </c>
      <c r="T467" s="35" t="str">
        <f t="shared" si="135"/>
        <v/>
      </c>
      <c r="U467" s="3">
        <f t="shared" si="119"/>
        <v>0</v>
      </c>
      <c r="V467" s="3">
        <f t="shared" si="120"/>
        <v>0</v>
      </c>
      <c r="W467" s="3">
        <f t="shared" si="121"/>
        <v>0</v>
      </c>
      <c r="X467" s="3">
        <f t="shared" si="122"/>
        <v>0</v>
      </c>
      <c r="Y467" s="3">
        <f>0</f>
        <v>0</v>
      </c>
      <c r="Z467" s="3">
        <f t="shared" si="123"/>
        <v>0</v>
      </c>
      <c r="AA467">
        <f>ROUND(IF(A467=入力!$B$15+1,IF(E467=0,ROUND(C467/MAX(1,S466-A467+1),0),ROUND(-PMT(E467/12,MAX(1,S466-A467+1)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,0)</f>
        <v>0</v>
      </c>
    </row>
    <row r="468" spans="1:27">
      <c r="A468" s="30">
        <f>463</f>
        <v>463</v>
      </c>
      <c r="B468" s="31">
        <f>EDATE(入力!$B$6,A468-1)</f>
        <v>60299</v>
      </c>
      <c r="C468" s="32">
        <f t="shared" si="124"/>
        <v>0</v>
      </c>
      <c r="D468" s="32">
        <f t="shared" si="125"/>
        <v>0</v>
      </c>
      <c r="E468" s="33">
        <f>IF(AND(T467="",A468&lt;=S467),IF(A468&lt;入力!$B$11,入力!$B$10,入力!$B$12),0)</f>
        <v>0</v>
      </c>
      <c r="F468" s="32">
        <f t="shared" si="126"/>
        <v>0</v>
      </c>
      <c r="G468" s="32">
        <f>ROUND(IF(NOT(AND(T467="",A468&lt;=S467)),0,IF(A468=入力!$B$15+1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),0)</f>
        <v>0</v>
      </c>
      <c r="H468" s="32">
        <f t="shared" si="127"/>
        <v>0</v>
      </c>
      <c r="I468" s="32">
        <f t="shared" si="128"/>
        <v>0</v>
      </c>
      <c r="J468" s="32">
        <f t="shared" si="129"/>
        <v>0</v>
      </c>
      <c r="K468" s="32">
        <f t="shared" si="130"/>
        <v>0</v>
      </c>
      <c r="L468" s="32">
        <f t="shared" si="131"/>
        <v>0</v>
      </c>
      <c r="M468" s="32">
        <f>IF(AND(AND(T467="",A468&lt;=S467),A468=入力!$B$15),ROUND(MIN(入力!$B$16,MAX(0,C468-L468)),0),0)</f>
        <v>0</v>
      </c>
      <c r="N468" s="32">
        <f t="shared" si="132"/>
        <v>0</v>
      </c>
      <c r="O468" s="32">
        <f t="shared" si="133"/>
        <v>12386706</v>
      </c>
      <c r="P468" s="34" t="str">
        <f>IF(NOT(AND(T467="",A468&lt;=S467)),"",IF(A468=入力!$B$15+1,"繰上返済後再計算","")&amp;IF(AND(入力!$B$13="有効",A468&gt;1,MOD(A468-1,60)=0),IF(A468=入力!$B$15+1,"・","")&amp;"5年見直し","")&amp;IF(AND(A468=入力!$B$11,A468&gt;1),IF(OR(A468=入力!$B$15+1,AND(入力!$B$13="有効",A468&gt;1,MOD(A468-1,60)=0)),"・","")&amp;"金利変更","")&amp;IF(AND(OR(AND(入力!$B$13="有効",A468&gt;1,MOD(A468-1,60)=0),AND(A468=入力!$B$11,A468&gt;1)),入力!$B$14="有効",IF(E468=0,ROUND(C468/MAX(1,S467-A468+1),0),ROUND(-PMT(E468/12,MAX(1,S467-A468+1),C468),0))&gt;ROUND(G467*1.25,0),NOT(A468=入力!$B$15+1)),"・上限適用",""))</f>
        <v/>
      </c>
      <c r="Q468" s="35" t="str">
        <f>IF(AND(T467="",A468&lt;=S467),入力!$B$13,"")</f>
        <v/>
      </c>
      <c r="R468" s="32" t="str">
        <f>IF(AND(AND(T467="",A468&lt;=S467),OR(AND(入力!$B$13="有効",A468&gt;1,MOD(A468-1,60)=0),AND(A468=入力!$B$11,A468&gt;1)),入力!$B$14="有効"),ROUND(G467*1.25,0),"")</f>
        <v/>
      </c>
      <c r="S468" s="36">
        <f t="shared" si="134"/>
        <v>420</v>
      </c>
      <c r="T468" s="35" t="str">
        <f t="shared" si="135"/>
        <v/>
      </c>
      <c r="U468" s="3">
        <f t="shared" si="119"/>
        <v>0</v>
      </c>
      <c r="V468" s="3">
        <f t="shared" si="120"/>
        <v>0</v>
      </c>
      <c r="W468" s="3">
        <f t="shared" si="121"/>
        <v>0</v>
      </c>
      <c r="X468" s="3">
        <f t="shared" si="122"/>
        <v>0</v>
      </c>
      <c r="Y468" s="3">
        <f>0</f>
        <v>0</v>
      </c>
      <c r="Z468" s="3">
        <f t="shared" si="123"/>
        <v>0</v>
      </c>
      <c r="AA468">
        <f>ROUND(IF(A468=入力!$B$15+1,IF(E468=0,ROUND(C468/MAX(1,S467-A468+1),0),ROUND(-PMT(E468/12,MAX(1,S467-A468+1)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,0)</f>
        <v>0</v>
      </c>
    </row>
    <row r="469" spans="1:27">
      <c r="A469" s="30">
        <f>464</f>
        <v>464</v>
      </c>
      <c r="B469" s="31">
        <f>EDATE(入力!$B$6,A469-1)</f>
        <v>60327</v>
      </c>
      <c r="C469" s="32">
        <f t="shared" si="124"/>
        <v>0</v>
      </c>
      <c r="D469" s="32">
        <f t="shared" si="125"/>
        <v>0</v>
      </c>
      <c r="E469" s="33">
        <f>IF(AND(T468="",A469&lt;=S468),IF(A469&lt;入力!$B$11,入力!$B$10,入力!$B$12),0)</f>
        <v>0</v>
      </c>
      <c r="F469" s="32">
        <f t="shared" si="126"/>
        <v>0</v>
      </c>
      <c r="G469" s="32">
        <f>ROUND(IF(NOT(AND(T468="",A469&lt;=S468)),0,IF(A469=入力!$B$15+1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),0)</f>
        <v>0</v>
      </c>
      <c r="H469" s="32">
        <f t="shared" si="127"/>
        <v>0</v>
      </c>
      <c r="I469" s="32">
        <f t="shared" si="128"/>
        <v>0</v>
      </c>
      <c r="J469" s="32">
        <f t="shared" si="129"/>
        <v>0</v>
      </c>
      <c r="K469" s="32">
        <f t="shared" si="130"/>
        <v>0</v>
      </c>
      <c r="L469" s="32">
        <f t="shared" si="131"/>
        <v>0</v>
      </c>
      <c r="M469" s="32">
        <f>IF(AND(AND(T468="",A469&lt;=S468),A469=入力!$B$15),ROUND(MIN(入力!$B$16,MAX(0,C469-L469)),0),0)</f>
        <v>0</v>
      </c>
      <c r="N469" s="32">
        <f t="shared" si="132"/>
        <v>0</v>
      </c>
      <c r="O469" s="32">
        <f t="shared" si="133"/>
        <v>12386706</v>
      </c>
      <c r="P469" s="34" t="str">
        <f>IF(NOT(AND(T468="",A469&lt;=S468)),"",IF(A469=入力!$B$15+1,"繰上返済後再計算","")&amp;IF(AND(入力!$B$13="有効",A469&gt;1,MOD(A469-1,60)=0),IF(A469=入力!$B$15+1,"・","")&amp;"5年見直し","")&amp;IF(AND(A469=入力!$B$11,A469&gt;1),IF(OR(A469=入力!$B$15+1,AND(入力!$B$13="有効",A469&gt;1,MOD(A469-1,60)=0)),"・","")&amp;"金利変更","")&amp;IF(AND(OR(AND(入力!$B$13="有効",A469&gt;1,MOD(A469-1,60)=0),AND(A469=入力!$B$11,A469&gt;1)),入力!$B$14="有効",IF(E469=0,ROUND(C469/MAX(1,S468-A469+1),0),ROUND(-PMT(E469/12,MAX(1,S468-A469+1),C469),0))&gt;ROUND(G468*1.25,0),NOT(A469=入力!$B$15+1)),"・上限適用",""))</f>
        <v/>
      </c>
      <c r="Q469" s="35" t="str">
        <f>IF(AND(T468="",A469&lt;=S468),入力!$B$13,"")</f>
        <v/>
      </c>
      <c r="R469" s="32" t="str">
        <f>IF(AND(AND(T468="",A469&lt;=S468),OR(AND(入力!$B$13="有効",A469&gt;1,MOD(A469-1,60)=0),AND(A469=入力!$B$11,A469&gt;1)),入力!$B$14="有効"),ROUND(G468*1.25,0),"")</f>
        <v/>
      </c>
      <c r="S469" s="36">
        <f t="shared" si="134"/>
        <v>420</v>
      </c>
      <c r="T469" s="35" t="str">
        <f t="shared" si="135"/>
        <v/>
      </c>
      <c r="U469" s="3">
        <f t="shared" si="119"/>
        <v>0</v>
      </c>
      <c r="V469" s="3">
        <f t="shared" si="120"/>
        <v>0</v>
      </c>
      <c r="W469" s="3">
        <f t="shared" si="121"/>
        <v>0</v>
      </c>
      <c r="X469" s="3">
        <f t="shared" si="122"/>
        <v>0</v>
      </c>
      <c r="Y469" s="3">
        <f>0</f>
        <v>0</v>
      </c>
      <c r="Z469" s="3">
        <f t="shared" si="123"/>
        <v>0</v>
      </c>
      <c r="AA469">
        <f>ROUND(IF(A469=入力!$B$15+1,IF(E469=0,ROUND(C469/MAX(1,S468-A469+1),0),ROUND(-PMT(E469/12,MAX(1,S468-A469+1)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,0)</f>
        <v>0</v>
      </c>
    </row>
    <row r="470" spans="1:27">
      <c r="A470" s="30">
        <f>465</f>
        <v>465</v>
      </c>
      <c r="B470" s="31">
        <f>EDATE(入力!$B$6,A470-1)</f>
        <v>60358</v>
      </c>
      <c r="C470" s="32">
        <f t="shared" si="124"/>
        <v>0</v>
      </c>
      <c r="D470" s="32">
        <f t="shared" si="125"/>
        <v>0</v>
      </c>
      <c r="E470" s="33">
        <f>IF(AND(T469="",A470&lt;=S469),IF(A470&lt;入力!$B$11,入力!$B$10,入力!$B$12),0)</f>
        <v>0</v>
      </c>
      <c r="F470" s="32">
        <f t="shared" si="126"/>
        <v>0</v>
      </c>
      <c r="G470" s="32">
        <f>ROUND(IF(NOT(AND(T469="",A470&lt;=S469)),0,IF(A470=入力!$B$15+1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),0)</f>
        <v>0</v>
      </c>
      <c r="H470" s="32">
        <f t="shared" si="127"/>
        <v>0</v>
      </c>
      <c r="I470" s="32">
        <f t="shared" si="128"/>
        <v>0</v>
      </c>
      <c r="J470" s="32">
        <f t="shared" si="129"/>
        <v>0</v>
      </c>
      <c r="K470" s="32">
        <f t="shared" si="130"/>
        <v>0</v>
      </c>
      <c r="L470" s="32">
        <f t="shared" si="131"/>
        <v>0</v>
      </c>
      <c r="M470" s="32">
        <f>IF(AND(AND(T469="",A470&lt;=S469),A470=入力!$B$15),ROUND(MIN(入力!$B$16,MAX(0,C470-L470)),0),0)</f>
        <v>0</v>
      </c>
      <c r="N470" s="32">
        <f t="shared" si="132"/>
        <v>0</v>
      </c>
      <c r="O470" s="32">
        <f t="shared" si="133"/>
        <v>12386706</v>
      </c>
      <c r="P470" s="34" t="str">
        <f>IF(NOT(AND(T469="",A470&lt;=S469)),"",IF(A470=入力!$B$15+1,"繰上返済後再計算","")&amp;IF(AND(入力!$B$13="有効",A470&gt;1,MOD(A470-1,60)=0),IF(A470=入力!$B$15+1,"・","")&amp;"5年見直し","")&amp;IF(AND(A470=入力!$B$11,A470&gt;1),IF(OR(A470=入力!$B$15+1,AND(入力!$B$13="有効",A470&gt;1,MOD(A470-1,60)=0)),"・","")&amp;"金利変更","")&amp;IF(AND(OR(AND(入力!$B$13="有効",A470&gt;1,MOD(A470-1,60)=0),AND(A470=入力!$B$11,A470&gt;1)),入力!$B$14="有効",IF(E470=0,ROUND(C470/MAX(1,S469-A470+1),0),ROUND(-PMT(E470/12,MAX(1,S469-A470+1),C470),0))&gt;ROUND(G469*1.25,0),NOT(A470=入力!$B$15+1)),"・上限適用",""))</f>
        <v/>
      </c>
      <c r="Q470" s="35" t="str">
        <f>IF(AND(T469="",A470&lt;=S469),入力!$B$13,"")</f>
        <v/>
      </c>
      <c r="R470" s="32" t="str">
        <f>IF(AND(AND(T469="",A470&lt;=S469),OR(AND(入力!$B$13="有効",A470&gt;1,MOD(A470-1,60)=0),AND(A470=入力!$B$11,A470&gt;1)),入力!$B$14="有効"),ROUND(G469*1.25,0),"")</f>
        <v/>
      </c>
      <c r="S470" s="36">
        <f t="shared" si="134"/>
        <v>420</v>
      </c>
      <c r="T470" s="35" t="str">
        <f t="shared" si="135"/>
        <v/>
      </c>
      <c r="U470" s="3">
        <f t="shared" si="119"/>
        <v>0</v>
      </c>
      <c r="V470" s="3">
        <f t="shared" si="120"/>
        <v>0</v>
      </c>
      <c r="W470" s="3">
        <f t="shared" si="121"/>
        <v>0</v>
      </c>
      <c r="X470" s="3">
        <f t="shared" si="122"/>
        <v>0</v>
      </c>
      <c r="Y470" s="3">
        <f>0</f>
        <v>0</v>
      </c>
      <c r="Z470" s="3">
        <f t="shared" si="123"/>
        <v>0</v>
      </c>
      <c r="AA470">
        <f>ROUND(IF(A470=入力!$B$15+1,IF(E470=0,ROUND(C470/MAX(1,S469-A470+1),0),ROUND(-PMT(E470/12,MAX(1,S469-A470+1)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,0)</f>
        <v>0</v>
      </c>
    </row>
    <row r="471" spans="1:27">
      <c r="A471" s="30">
        <f>466</f>
        <v>466</v>
      </c>
      <c r="B471" s="31">
        <f>EDATE(入力!$B$6,A471-1)</f>
        <v>60388</v>
      </c>
      <c r="C471" s="32">
        <f t="shared" si="124"/>
        <v>0</v>
      </c>
      <c r="D471" s="32">
        <f t="shared" si="125"/>
        <v>0</v>
      </c>
      <c r="E471" s="33">
        <f>IF(AND(T470="",A471&lt;=S470),IF(A471&lt;入力!$B$11,入力!$B$10,入力!$B$12),0)</f>
        <v>0</v>
      </c>
      <c r="F471" s="32">
        <f t="shared" si="126"/>
        <v>0</v>
      </c>
      <c r="G471" s="32">
        <f>ROUND(IF(NOT(AND(T470="",A471&lt;=S470)),0,IF(A471=入力!$B$15+1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),0)</f>
        <v>0</v>
      </c>
      <c r="H471" s="32">
        <f t="shared" si="127"/>
        <v>0</v>
      </c>
      <c r="I471" s="32">
        <f t="shared" si="128"/>
        <v>0</v>
      </c>
      <c r="J471" s="32">
        <f t="shared" si="129"/>
        <v>0</v>
      </c>
      <c r="K471" s="32">
        <f t="shared" si="130"/>
        <v>0</v>
      </c>
      <c r="L471" s="32">
        <f t="shared" si="131"/>
        <v>0</v>
      </c>
      <c r="M471" s="32">
        <f>IF(AND(AND(T470="",A471&lt;=S470),A471=入力!$B$15),ROUND(MIN(入力!$B$16,MAX(0,C471-L471)),0),0)</f>
        <v>0</v>
      </c>
      <c r="N471" s="32">
        <f t="shared" si="132"/>
        <v>0</v>
      </c>
      <c r="O471" s="32">
        <f t="shared" si="133"/>
        <v>12386706</v>
      </c>
      <c r="P471" s="34" t="str">
        <f>IF(NOT(AND(T470="",A471&lt;=S470)),"",IF(A471=入力!$B$15+1,"繰上返済後再計算","")&amp;IF(AND(入力!$B$13="有効",A471&gt;1,MOD(A471-1,60)=0),IF(A471=入力!$B$15+1,"・","")&amp;"5年見直し","")&amp;IF(AND(A471=入力!$B$11,A471&gt;1),IF(OR(A471=入力!$B$15+1,AND(入力!$B$13="有効",A471&gt;1,MOD(A471-1,60)=0)),"・","")&amp;"金利変更","")&amp;IF(AND(OR(AND(入力!$B$13="有効",A471&gt;1,MOD(A471-1,60)=0),AND(A471=入力!$B$11,A471&gt;1)),入力!$B$14="有効",IF(E471=0,ROUND(C471/MAX(1,S470-A471+1),0),ROUND(-PMT(E471/12,MAX(1,S470-A471+1),C471),0))&gt;ROUND(G470*1.25,0),NOT(A471=入力!$B$15+1)),"・上限適用",""))</f>
        <v/>
      </c>
      <c r="Q471" s="35" t="str">
        <f>IF(AND(T470="",A471&lt;=S470),入力!$B$13,"")</f>
        <v/>
      </c>
      <c r="R471" s="32" t="str">
        <f>IF(AND(AND(T470="",A471&lt;=S470),OR(AND(入力!$B$13="有効",A471&gt;1,MOD(A471-1,60)=0),AND(A471=入力!$B$11,A471&gt;1)),入力!$B$14="有効"),ROUND(G470*1.25,0),"")</f>
        <v/>
      </c>
      <c r="S471" s="36">
        <f t="shared" si="134"/>
        <v>420</v>
      </c>
      <c r="T471" s="35" t="str">
        <f t="shared" si="135"/>
        <v/>
      </c>
      <c r="U471" s="3">
        <f t="shared" si="119"/>
        <v>0</v>
      </c>
      <c r="V471" s="3">
        <f t="shared" si="120"/>
        <v>0</v>
      </c>
      <c r="W471" s="3">
        <f t="shared" si="121"/>
        <v>0</v>
      </c>
      <c r="X471" s="3">
        <f t="shared" si="122"/>
        <v>0</v>
      </c>
      <c r="Y471" s="3">
        <f>0</f>
        <v>0</v>
      </c>
      <c r="Z471" s="3">
        <f t="shared" si="123"/>
        <v>0</v>
      </c>
      <c r="AA471">
        <f>ROUND(IF(A471=入力!$B$15+1,IF(E471=0,ROUND(C471/MAX(1,S470-A471+1),0),ROUND(-PMT(E471/12,MAX(1,S470-A471+1)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,0)</f>
        <v>0</v>
      </c>
    </row>
    <row r="472" spans="1:27">
      <c r="A472" s="30">
        <f>467</f>
        <v>467</v>
      </c>
      <c r="B472" s="31">
        <f>EDATE(入力!$B$6,A472-1)</f>
        <v>60419</v>
      </c>
      <c r="C472" s="32">
        <f t="shared" si="124"/>
        <v>0</v>
      </c>
      <c r="D472" s="32">
        <f t="shared" si="125"/>
        <v>0</v>
      </c>
      <c r="E472" s="33">
        <f>IF(AND(T471="",A472&lt;=S471),IF(A472&lt;入力!$B$11,入力!$B$10,入力!$B$12),0)</f>
        <v>0</v>
      </c>
      <c r="F472" s="32">
        <f t="shared" si="126"/>
        <v>0</v>
      </c>
      <c r="G472" s="32">
        <f>ROUND(IF(NOT(AND(T471="",A472&lt;=S471)),0,IF(A472=入力!$B$15+1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),0)</f>
        <v>0</v>
      </c>
      <c r="H472" s="32">
        <f t="shared" si="127"/>
        <v>0</v>
      </c>
      <c r="I472" s="32">
        <f t="shared" si="128"/>
        <v>0</v>
      </c>
      <c r="J472" s="32">
        <f t="shared" si="129"/>
        <v>0</v>
      </c>
      <c r="K472" s="32">
        <f t="shared" si="130"/>
        <v>0</v>
      </c>
      <c r="L472" s="32">
        <f t="shared" si="131"/>
        <v>0</v>
      </c>
      <c r="M472" s="32">
        <f>IF(AND(AND(T471="",A472&lt;=S471),A472=入力!$B$15),ROUND(MIN(入力!$B$16,MAX(0,C472-L472)),0),0)</f>
        <v>0</v>
      </c>
      <c r="N472" s="32">
        <f t="shared" si="132"/>
        <v>0</v>
      </c>
      <c r="O472" s="32">
        <f t="shared" si="133"/>
        <v>12386706</v>
      </c>
      <c r="P472" s="34" t="str">
        <f>IF(NOT(AND(T471="",A472&lt;=S471)),"",IF(A472=入力!$B$15+1,"繰上返済後再計算","")&amp;IF(AND(入力!$B$13="有効",A472&gt;1,MOD(A472-1,60)=0),IF(A472=入力!$B$15+1,"・","")&amp;"5年見直し","")&amp;IF(AND(A472=入力!$B$11,A472&gt;1),IF(OR(A472=入力!$B$15+1,AND(入力!$B$13="有効",A472&gt;1,MOD(A472-1,60)=0)),"・","")&amp;"金利変更","")&amp;IF(AND(OR(AND(入力!$B$13="有効",A472&gt;1,MOD(A472-1,60)=0),AND(A472=入力!$B$11,A472&gt;1)),入力!$B$14="有効",IF(E472=0,ROUND(C472/MAX(1,S471-A472+1),0),ROUND(-PMT(E472/12,MAX(1,S471-A472+1),C472),0))&gt;ROUND(G471*1.25,0),NOT(A472=入力!$B$15+1)),"・上限適用",""))</f>
        <v/>
      </c>
      <c r="Q472" s="35" t="str">
        <f>IF(AND(T471="",A472&lt;=S471),入力!$B$13,"")</f>
        <v/>
      </c>
      <c r="R472" s="32" t="str">
        <f>IF(AND(AND(T471="",A472&lt;=S471),OR(AND(入力!$B$13="有効",A472&gt;1,MOD(A472-1,60)=0),AND(A472=入力!$B$11,A472&gt;1)),入力!$B$14="有効"),ROUND(G471*1.25,0),"")</f>
        <v/>
      </c>
      <c r="S472" s="36">
        <f t="shared" si="134"/>
        <v>420</v>
      </c>
      <c r="T472" s="35" t="str">
        <f t="shared" si="135"/>
        <v/>
      </c>
      <c r="U472" s="3">
        <f t="shared" si="119"/>
        <v>0</v>
      </c>
      <c r="V472" s="3">
        <f t="shared" si="120"/>
        <v>0</v>
      </c>
      <c r="W472" s="3">
        <f t="shared" si="121"/>
        <v>0</v>
      </c>
      <c r="X472" s="3">
        <f t="shared" si="122"/>
        <v>0</v>
      </c>
      <c r="Y472" s="3">
        <f>0</f>
        <v>0</v>
      </c>
      <c r="Z472" s="3">
        <f t="shared" si="123"/>
        <v>0</v>
      </c>
      <c r="AA472">
        <f>ROUND(IF(A472=入力!$B$15+1,IF(E472=0,ROUND(C472/MAX(1,S471-A472+1),0),ROUND(-PMT(E472/12,MAX(1,S471-A472+1)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,0)</f>
        <v>0</v>
      </c>
    </row>
    <row r="473" spans="1:27">
      <c r="A473" s="30">
        <f>468</f>
        <v>468</v>
      </c>
      <c r="B473" s="31">
        <f>EDATE(入力!$B$6,A473-1)</f>
        <v>60449</v>
      </c>
      <c r="C473" s="32">
        <f t="shared" si="124"/>
        <v>0</v>
      </c>
      <c r="D473" s="32">
        <f t="shared" si="125"/>
        <v>0</v>
      </c>
      <c r="E473" s="33">
        <f>IF(AND(T472="",A473&lt;=S472),IF(A473&lt;入力!$B$11,入力!$B$10,入力!$B$12),0)</f>
        <v>0</v>
      </c>
      <c r="F473" s="32">
        <f t="shared" si="126"/>
        <v>0</v>
      </c>
      <c r="G473" s="32">
        <f>ROUND(IF(NOT(AND(T472="",A473&lt;=S472)),0,IF(A473=入力!$B$15+1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),0)</f>
        <v>0</v>
      </c>
      <c r="H473" s="32">
        <f t="shared" si="127"/>
        <v>0</v>
      </c>
      <c r="I473" s="32">
        <f t="shared" si="128"/>
        <v>0</v>
      </c>
      <c r="J473" s="32">
        <f t="shared" si="129"/>
        <v>0</v>
      </c>
      <c r="K473" s="32">
        <f t="shared" si="130"/>
        <v>0</v>
      </c>
      <c r="L473" s="32">
        <f t="shared" si="131"/>
        <v>0</v>
      </c>
      <c r="M473" s="32">
        <f>IF(AND(AND(T472="",A473&lt;=S472),A473=入力!$B$15),ROUND(MIN(入力!$B$16,MAX(0,C473-L473)),0),0)</f>
        <v>0</v>
      </c>
      <c r="N473" s="32">
        <f t="shared" si="132"/>
        <v>0</v>
      </c>
      <c r="O473" s="32">
        <f t="shared" si="133"/>
        <v>12386706</v>
      </c>
      <c r="P473" s="34" t="str">
        <f>IF(NOT(AND(T472="",A473&lt;=S472)),"",IF(A473=入力!$B$15+1,"繰上返済後再計算","")&amp;IF(AND(入力!$B$13="有効",A473&gt;1,MOD(A473-1,60)=0),IF(A473=入力!$B$15+1,"・","")&amp;"5年見直し","")&amp;IF(AND(A473=入力!$B$11,A473&gt;1),IF(OR(A473=入力!$B$15+1,AND(入力!$B$13="有効",A473&gt;1,MOD(A473-1,60)=0)),"・","")&amp;"金利変更","")&amp;IF(AND(OR(AND(入力!$B$13="有効",A473&gt;1,MOD(A473-1,60)=0),AND(A473=入力!$B$11,A473&gt;1)),入力!$B$14="有効",IF(E473=0,ROUND(C473/MAX(1,S472-A473+1),0),ROUND(-PMT(E473/12,MAX(1,S472-A473+1),C473),0))&gt;ROUND(G472*1.25,0),NOT(A473=入力!$B$15+1)),"・上限適用",""))</f>
        <v/>
      </c>
      <c r="Q473" s="35" t="str">
        <f>IF(AND(T472="",A473&lt;=S472),入力!$B$13,"")</f>
        <v/>
      </c>
      <c r="R473" s="32" t="str">
        <f>IF(AND(AND(T472="",A473&lt;=S472),OR(AND(入力!$B$13="有効",A473&gt;1,MOD(A473-1,60)=0),AND(A473=入力!$B$11,A473&gt;1)),入力!$B$14="有効"),ROUND(G472*1.25,0),"")</f>
        <v/>
      </c>
      <c r="S473" s="36">
        <f t="shared" si="134"/>
        <v>420</v>
      </c>
      <c r="T473" s="35" t="str">
        <f t="shared" si="135"/>
        <v/>
      </c>
      <c r="U473" s="3">
        <f t="shared" si="119"/>
        <v>0</v>
      </c>
      <c r="V473" s="3">
        <f t="shared" si="120"/>
        <v>0</v>
      </c>
      <c r="W473" s="3">
        <f t="shared" si="121"/>
        <v>0</v>
      </c>
      <c r="X473" s="3">
        <f t="shared" si="122"/>
        <v>0</v>
      </c>
      <c r="Y473" s="3">
        <f>0</f>
        <v>0</v>
      </c>
      <c r="Z473" s="3">
        <f t="shared" si="123"/>
        <v>0</v>
      </c>
      <c r="AA473">
        <f>ROUND(IF(A473=入力!$B$15+1,IF(E473=0,ROUND(C473/MAX(1,S472-A473+1),0),ROUND(-PMT(E473/12,MAX(1,S472-A473+1)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,0)</f>
        <v>0</v>
      </c>
    </row>
    <row r="474" spans="1:27">
      <c r="A474" s="30">
        <f>469</f>
        <v>469</v>
      </c>
      <c r="B474" s="31">
        <f>EDATE(入力!$B$6,A474-1)</f>
        <v>60480</v>
      </c>
      <c r="C474" s="32">
        <f t="shared" si="124"/>
        <v>0</v>
      </c>
      <c r="D474" s="32">
        <f t="shared" si="125"/>
        <v>0</v>
      </c>
      <c r="E474" s="33">
        <f>IF(AND(T473="",A474&lt;=S473),IF(A474&lt;入力!$B$11,入力!$B$10,入力!$B$12),0)</f>
        <v>0</v>
      </c>
      <c r="F474" s="32">
        <f t="shared" si="126"/>
        <v>0</v>
      </c>
      <c r="G474" s="32">
        <f>ROUND(IF(NOT(AND(T473="",A474&lt;=S473)),0,IF(A474=入力!$B$15+1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),0)</f>
        <v>0</v>
      </c>
      <c r="H474" s="32">
        <f t="shared" si="127"/>
        <v>0</v>
      </c>
      <c r="I474" s="32">
        <f t="shared" si="128"/>
        <v>0</v>
      </c>
      <c r="J474" s="32">
        <f t="shared" si="129"/>
        <v>0</v>
      </c>
      <c r="K474" s="32">
        <f t="shared" si="130"/>
        <v>0</v>
      </c>
      <c r="L474" s="32">
        <f t="shared" si="131"/>
        <v>0</v>
      </c>
      <c r="M474" s="32">
        <f>IF(AND(AND(T473="",A474&lt;=S473),A474=入力!$B$15),ROUND(MIN(入力!$B$16,MAX(0,C474-L474)),0),0)</f>
        <v>0</v>
      </c>
      <c r="N474" s="32">
        <f t="shared" si="132"/>
        <v>0</v>
      </c>
      <c r="O474" s="32">
        <f t="shared" si="133"/>
        <v>12386706</v>
      </c>
      <c r="P474" s="34" t="str">
        <f>IF(NOT(AND(T473="",A474&lt;=S473)),"",IF(A474=入力!$B$15+1,"繰上返済後再計算","")&amp;IF(AND(入力!$B$13="有効",A474&gt;1,MOD(A474-1,60)=0),IF(A474=入力!$B$15+1,"・","")&amp;"5年見直し","")&amp;IF(AND(A474=入力!$B$11,A474&gt;1),IF(OR(A474=入力!$B$15+1,AND(入力!$B$13="有効",A474&gt;1,MOD(A474-1,60)=0)),"・","")&amp;"金利変更","")&amp;IF(AND(OR(AND(入力!$B$13="有効",A474&gt;1,MOD(A474-1,60)=0),AND(A474=入力!$B$11,A474&gt;1)),入力!$B$14="有効",IF(E474=0,ROUND(C474/MAX(1,S473-A474+1),0),ROUND(-PMT(E474/12,MAX(1,S473-A474+1),C474),0))&gt;ROUND(G473*1.25,0),NOT(A474=入力!$B$15+1)),"・上限適用",""))</f>
        <v/>
      </c>
      <c r="Q474" s="35" t="str">
        <f>IF(AND(T473="",A474&lt;=S473),入力!$B$13,"")</f>
        <v/>
      </c>
      <c r="R474" s="32" t="str">
        <f>IF(AND(AND(T473="",A474&lt;=S473),OR(AND(入力!$B$13="有効",A474&gt;1,MOD(A474-1,60)=0),AND(A474=入力!$B$11,A474&gt;1)),入力!$B$14="有効"),ROUND(G473*1.25,0),"")</f>
        <v/>
      </c>
      <c r="S474" s="36">
        <f t="shared" si="134"/>
        <v>420</v>
      </c>
      <c r="T474" s="35" t="str">
        <f t="shared" si="135"/>
        <v/>
      </c>
      <c r="U474" s="3">
        <f t="shared" si="119"/>
        <v>0</v>
      </c>
      <c r="V474" s="3">
        <f t="shared" si="120"/>
        <v>0</v>
      </c>
      <c r="W474" s="3">
        <f t="shared" si="121"/>
        <v>0</v>
      </c>
      <c r="X474" s="3">
        <f t="shared" si="122"/>
        <v>0</v>
      </c>
      <c r="Y474" s="3">
        <f>0</f>
        <v>0</v>
      </c>
      <c r="Z474" s="3">
        <f t="shared" si="123"/>
        <v>0</v>
      </c>
      <c r="AA474">
        <f>ROUND(IF(A474=入力!$B$15+1,IF(E474=0,ROUND(C474/MAX(1,S473-A474+1),0),ROUND(-PMT(E474/12,MAX(1,S473-A474+1)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,0)</f>
        <v>0</v>
      </c>
    </row>
    <row r="475" spans="1:27">
      <c r="A475" s="30">
        <f>470</f>
        <v>470</v>
      </c>
      <c r="B475" s="31">
        <f>EDATE(入力!$B$6,A475-1)</f>
        <v>60511</v>
      </c>
      <c r="C475" s="32">
        <f t="shared" si="124"/>
        <v>0</v>
      </c>
      <c r="D475" s="32">
        <f t="shared" si="125"/>
        <v>0</v>
      </c>
      <c r="E475" s="33">
        <f>IF(AND(T474="",A475&lt;=S474),IF(A475&lt;入力!$B$11,入力!$B$10,入力!$B$12),0)</f>
        <v>0</v>
      </c>
      <c r="F475" s="32">
        <f t="shared" si="126"/>
        <v>0</v>
      </c>
      <c r="G475" s="32">
        <f>ROUND(IF(NOT(AND(T474="",A475&lt;=S474)),0,IF(A475=入力!$B$15+1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),0)</f>
        <v>0</v>
      </c>
      <c r="H475" s="32">
        <f t="shared" si="127"/>
        <v>0</v>
      </c>
      <c r="I475" s="32">
        <f t="shared" si="128"/>
        <v>0</v>
      </c>
      <c r="J475" s="32">
        <f t="shared" si="129"/>
        <v>0</v>
      </c>
      <c r="K475" s="32">
        <f t="shared" si="130"/>
        <v>0</v>
      </c>
      <c r="L475" s="32">
        <f t="shared" si="131"/>
        <v>0</v>
      </c>
      <c r="M475" s="32">
        <f>IF(AND(AND(T474="",A475&lt;=S474),A475=入力!$B$15),ROUND(MIN(入力!$B$16,MAX(0,C475-L475)),0),0)</f>
        <v>0</v>
      </c>
      <c r="N475" s="32">
        <f t="shared" si="132"/>
        <v>0</v>
      </c>
      <c r="O475" s="32">
        <f t="shared" si="133"/>
        <v>12386706</v>
      </c>
      <c r="P475" s="34" t="str">
        <f>IF(NOT(AND(T474="",A475&lt;=S474)),"",IF(A475=入力!$B$15+1,"繰上返済後再計算","")&amp;IF(AND(入力!$B$13="有効",A475&gt;1,MOD(A475-1,60)=0),IF(A475=入力!$B$15+1,"・","")&amp;"5年見直し","")&amp;IF(AND(A475=入力!$B$11,A475&gt;1),IF(OR(A475=入力!$B$15+1,AND(入力!$B$13="有効",A475&gt;1,MOD(A475-1,60)=0)),"・","")&amp;"金利変更","")&amp;IF(AND(OR(AND(入力!$B$13="有効",A475&gt;1,MOD(A475-1,60)=0),AND(A475=入力!$B$11,A475&gt;1)),入力!$B$14="有効",IF(E475=0,ROUND(C475/MAX(1,S474-A475+1),0),ROUND(-PMT(E475/12,MAX(1,S474-A475+1),C475),0))&gt;ROUND(G474*1.25,0),NOT(A475=入力!$B$15+1)),"・上限適用",""))</f>
        <v/>
      </c>
      <c r="Q475" s="35" t="str">
        <f>IF(AND(T474="",A475&lt;=S474),入力!$B$13,"")</f>
        <v/>
      </c>
      <c r="R475" s="32" t="str">
        <f>IF(AND(AND(T474="",A475&lt;=S474),OR(AND(入力!$B$13="有効",A475&gt;1,MOD(A475-1,60)=0),AND(A475=入力!$B$11,A475&gt;1)),入力!$B$14="有効"),ROUND(G474*1.25,0),"")</f>
        <v/>
      </c>
      <c r="S475" s="36">
        <f t="shared" si="134"/>
        <v>420</v>
      </c>
      <c r="T475" s="35" t="str">
        <f t="shared" si="135"/>
        <v/>
      </c>
      <c r="U475" s="3">
        <f t="shared" si="119"/>
        <v>0</v>
      </c>
      <c r="V475" s="3">
        <f t="shared" si="120"/>
        <v>0</v>
      </c>
      <c r="W475" s="3">
        <f t="shared" si="121"/>
        <v>0</v>
      </c>
      <c r="X475" s="3">
        <f t="shared" si="122"/>
        <v>0</v>
      </c>
      <c r="Y475" s="3">
        <f>0</f>
        <v>0</v>
      </c>
      <c r="Z475" s="3">
        <f t="shared" si="123"/>
        <v>0</v>
      </c>
      <c r="AA475">
        <f>ROUND(IF(A475=入力!$B$15+1,IF(E475=0,ROUND(C475/MAX(1,S474-A475+1),0),ROUND(-PMT(E475/12,MAX(1,S474-A475+1)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,0)</f>
        <v>0</v>
      </c>
    </row>
    <row r="476" spans="1:27">
      <c r="A476" s="30">
        <f>471</f>
        <v>471</v>
      </c>
      <c r="B476" s="31">
        <f>EDATE(入力!$B$6,A476-1)</f>
        <v>60541</v>
      </c>
      <c r="C476" s="32">
        <f t="shared" si="124"/>
        <v>0</v>
      </c>
      <c r="D476" s="32">
        <f t="shared" si="125"/>
        <v>0</v>
      </c>
      <c r="E476" s="33">
        <f>IF(AND(T475="",A476&lt;=S475),IF(A476&lt;入力!$B$11,入力!$B$10,入力!$B$12),0)</f>
        <v>0</v>
      </c>
      <c r="F476" s="32">
        <f t="shared" si="126"/>
        <v>0</v>
      </c>
      <c r="G476" s="32">
        <f>ROUND(IF(NOT(AND(T475="",A476&lt;=S475)),0,IF(A476=入力!$B$15+1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),0)</f>
        <v>0</v>
      </c>
      <c r="H476" s="32">
        <f t="shared" si="127"/>
        <v>0</v>
      </c>
      <c r="I476" s="32">
        <f t="shared" si="128"/>
        <v>0</v>
      </c>
      <c r="J476" s="32">
        <f t="shared" si="129"/>
        <v>0</v>
      </c>
      <c r="K476" s="32">
        <f t="shared" si="130"/>
        <v>0</v>
      </c>
      <c r="L476" s="32">
        <f t="shared" si="131"/>
        <v>0</v>
      </c>
      <c r="M476" s="32">
        <f>IF(AND(AND(T475="",A476&lt;=S475),A476=入力!$B$15),ROUND(MIN(入力!$B$16,MAX(0,C476-L476)),0),0)</f>
        <v>0</v>
      </c>
      <c r="N476" s="32">
        <f t="shared" si="132"/>
        <v>0</v>
      </c>
      <c r="O476" s="32">
        <f t="shared" si="133"/>
        <v>12386706</v>
      </c>
      <c r="P476" s="34" t="str">
        <f>IF(NOT(AND(T475="",A476&lt;=S475)),"",IF(A476=入力!$B$15+1,"繰上返済後再計算","")&amp;IF(AND(入力!$B$13="有効",A476&gt;1,MOD(A476-1,60)=0),IF(A476=入力!$B$15+1,"・","")&amp;"5年見直し","")&amp;IF(AND(A476=入力!$B$11,A476&gt;1),IF(OR(A476=入力!$B$15+1,AND(入力!$B$13="有効",A476&gt;1,MOD(A476-1,60)=0)),"・","")&amp;"金利変更","")&amp;IF(AND(OR(AND(入力!$B$13="有効",A476&gt;1,MOD(A476-1,60)=0),AND(A476=入力!$B$11,A476&gt;1)),入力!$B$14="有効",IF(E476=0,ROUND(C476/MAX(1,S475-A476+1),0),ROUND(-PMT(E476/12,MAX(1,S475-A476+1),C476),0))&gt;ROUND(G475*1.25,0),NOT(A476=入力!$B$15+1)),"・上限適用",""))</f>
        <v/>
      </c>
      <c r="Q476" s="35" t="str">
        <f>IF(AND(T475="",A476&lt;=S475),入力!$B$13,"")</f>
        <v/>
      </c>
      <c r="R476" s="32" t="str">
        <f>IF(AND(AND(T475="",A476&lt;=S475),OR(AND(入力!$B$13="有効",A476&gt;1,MOD(A476-1,60)=0),AND(A476=入力!$B$11,A476&gt;1)),入力!$B$14="有効"),ROUND(G475*1.25,0),"")</f>
        <v/>
      </c>
      <c r="S476" s="36">
        <f t="shared" si="134"/>
        <v>420</v>
      </c>
      <c r="T476" s="35" t="str">
        <f t="shared" si="135"/>
        <v/>
      </c>
      <c r="U476" s="3">
        <f t="shared" si="119"/>
        <v>0</v>
      </c>
      <c r="V476" s="3">
        <f t="shared" si="120"/>
        <v>0</v>
      </c>
      <c r="W476" s="3">
        <f t="shared" si="121"/>
        <v>0</v>
      </c>
      <c r="X476" s="3">
        <f t="shared" si="122"/>
        <v>0</v>
      </c>
      <c r="Y476" s="3">
        <f>0</f>
        <v>0</v>
      </c>
      <c r="Z476" s="3">
        <f t="shared" si="123"/>
        <v>0</v>
      </c>
      <c r="AA476">
        <f>ROUND(IF(A476=入力!$B$15+1,IF(E476=0,ROUND(C476/MAX(1,S475-A476+1),0),ROUND(-PMT(E476/12,MAX(1,S475-A476+1)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,0)</f>
        <v>0</v>
      </c>
    </row>
    <row r="477" spans="1:27">
      <c r="A477" s="30">
        <f>472</f>
        <v>472</v>
      </c>
      <c r="B477" s="31">
        <f>EDATE(入力!$B$6,A477-1)</f>
        <v>60572</v>
      </c>
      <c r="C477" s="32">
        <f t="shared" si="124"/>
        <v>0</v>
      </c>
      <c r="D477" s="32">
        <f t="shared" si="125"/>
        <v>0</v>
      </c>
      <c r="E477" s="33">
        <f>IF(AND(T476="",A477&lt;=S476),IF(A477&lt;入力!$B$11,入力!$B$10,入力!$B$12),0)</f>
        <v>0</v>
      </c>
      <c r="F477" s="32">
        <f t="shared" si="126"/>
        <v>0</v>
      </c>
      <c r="G477" s="32">
        <f>ROUND(IF(NOT(AND(T476="",A477&lt;=S476)),0,IF(A477=入力!$B$15+1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),0)</f>
        <v>0</v>
      </c>
      <c r="H477" s="32">
        <f t="shared" si="127"/>
        <v>0</v>
      </c>
      <c r="I477" s="32">
        <f t="shared" si="128"/>
        <v>0</v>
      </c>
      <c r="J477" s="32">
        <f t="shared" si="129"/>
        <v>0</v>
      </c>
      <c r="K477" s="32">
        <f t="shared" si="130"/>
        <v>0</v>
      </c>
      <c r="L477" s="32">
        <f t="shared" si="131"/>
        <v>0</v>
      </c>
      <c r="M477" s="32">
        <f>IF(AND(AND(T476="",A477&lt;=S476),A477=入力!$B$15),ROUND(MIN(入力!$B$16,MAX(0,C477-L477)),0),0)</f>
        <v>0</v>
      </c>
      <c r="N477" s="32">
        <f t="shared" si="132"/>
        <v>0</v>
      </c>
      <c r="O477" s="32">
        <f t="shared" si="133"/>
        <v>12386706</v>
      </c>
      <c r="P477" s="34" t="str">
        <f>IF(NOT(AND(T476="",A477&lt;=S476)),"",IF(A477=入力!$B$15+1,"繰上返済後再計算","")&amp;IF(AND(入力!$B$13="有効",A477&gt;1,MOD(A477-1,60)=0),IF(A477=入力!$B$15+1,"・","")&amp;"5年見直し","")&amp;IF(AND(A477=入力!$B$11,A477&gt;1),IF(OR(A477=入力!$B$15+1,AND(入力!$B$13="有効",A477&gt;1,MOD(A477-1,60)=0)),"・","")&amp;"金利変更","")&amp;IF(AND(OR(AND(入力!$B$13="有効",A477&gt;1,MOD(A477-1,60)=0),AND(A477=入力!$B$11,A477&gt;1)),入力!$B$14="有効",IF(E477=0,ROUND(C477/MAX(1,S476-A477+1),0),ROUND(-PMT(E477/12,MAX(1,S476-A477+1),C477),0))&gt;ROUND(G476*1.25,0),NOT(A477=入力!$B$15+1)),"・上限適用",""))</f>
        <v/>
      </c>
      <c r="Q477" s="35" t="str">
        <f>IF(AND(T476="",A477&lt;=S476),入力!$B$13,"")</f>
        <v/>
      </c>
      <c r="R477" s="32" t="str">
        <f>IF(AND(AND(T476="",A477&lt;=S476),OR(AND(入力!$B$13="有効",A477&gt;1,MOD(A477-1,60)=0),AND(A477=入力!$B$11,A477&gt;1)),入力!$B$14="有効"),ROUND(G476*1.25,0),"")</f>
        <v/>
      </c>
      <c r="S477" s="36">
        <f t="shared" si="134"/>
        <v>420</v>
      </c>
      <c r="T477" s="35" t="str">
        <f t="shared" si="135"/>
        <v/>
      </c>
      <c r="U477" s="3">
        <f t="shared" si="119"/>
        <v>0</v>
      </c>
      <c r="V477" s="3">
        <f t="shared" si="120"/>
        <v>0</v>
      </c>
      <c r="W477" s="3">
        <f t="shared" si="121"/>
        <v>0</v>
      </c>
      <c r="X477" s="3">
        <f t="shared" si="122"/>
        <v>0</v>
      </c>
      <c r="Y477" s="3">
        <f>0</f>
        <v>0</v>
      </c>
      <c r="Z477" s="3">
        <f t="shared" si="123"/>
        <v>0</v>
      </c>
      <c r="AA477">
        <f>ROUND(IF(A477=入力!$B$15+1,IF(E477=0,ROUND(C477/MAX(1,S476-A477+1),0),ROUND(-PMT(E477/12,MAX(1,S476-A477+1)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,0)</f>
        <v>0</v>
      </c>
    </row>
    <row r="478" spans="1:27">
      <c r="A478" s="30">
        <f>473</f>
        <v>473</v>
      </c>
      <c r="B478" s="31">
        <f>EDATE(入力!$B$6,A478-1)</f>
        <v>60602</v>
      </c>
      <c r="C478" s="32">
        <f t="shared" si="124"/>
        <v>0</v>
      </c>
      <c r="D478" s="32">
        <f t="shared" si="125"/>
        <v>0</v>
      </c>
      <c r="E478" s="33">
        <f>IF(AND(T477="",A478&lt;=S477),IF(A478&lt;入力!$B$11,入力!$B$10,入力!$B$12),0)</f>
        <v>0</v>
      </c>
      <c r="F478" s="32">
        <f t="shared" si="126"/>
        <v>0</v>
      </c>
      <c r="G478" s="32">
        <f>ROUND(IF(NOT(AND(T477="",A478&lt;=S477)),0,IF(A478=入力!$B$15+1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),0)</f>
        <v>0</v>
      </c>
      <c r="H478" s="32">
        <f t="shared" si="127"/>
        <v>0</v>
      </c>
      <c r="I478" s="32">
        <f t="shared" si="128"/>
        <v>0</v>
      </c>
      <c r="J478" s="32">
        <f t="shared" si="129"/>
        <v>0</v>
      </c>
      <c r="K478" s="32">
        <f t="shared" si="130"/>
        <v>0</v>
      </c>
      <c r="L478" s="32">
        <f t="shared" si="131"/>
        <v>0</v>
      </c>
      <c r="M478" s="32">
        <f>IF(AND(AND(T477="",A478&lt;=S477),A478=入力!$B$15),ROUND(MIN(入力!$B$16,MAX(0,C478-L478)),0),0)</f>
        <v>0</v>
      </c>
      <c r="N478" s="32">
        <f t="shared" si="132"/>
        <v>0</v>
      </c>
      <c r="O478" s="32">
        <f t="shared" si="133"/>
        <v>12386706</v>
      </c>
      <c r="P478" s="34" t="str">
        <f>IF(NOT(AND(T477="",A478&lt;=S477)),"",IF(A478=入力!$B$15+1,"繰上返済後再計算","")&amp;IF(AND(入力!$B$13="有効",A478&gt;1,MOD(A478-1,60)=0),IF(A478=入力!$B$15+1,"・","")&amp;"5年見直し","")&amp;IF(AND(A478=入力!$B$11,A478&gt;1),IF(OR(A478=入力!$B$15+1,AND(入力!$B$13="有効",A478&gt;1,MOD(A478-1,60)=0)),"・","")&amp;"金利変更","")&amp;IF(AND(OR(AND(入力!$B$13="有効",A478&gt;1,MOD(A478-1,60)=0),AND(A478=入力!$B$11,A478&gt;1)),入力!$B$14="有効",IF(E478=0,ROUND(C478/MAX(1,S477-A478+1),0),ROUND(-PMT(E478/12,MAX(1,S477-A478+1),C478),0))&gt;ROUND(G477*1.25,0),NOT(A478=入力!$B$15+1)),"・上限適用",""))</f>
        <v/>
      </c>
      <c r="Q478" s="35" t="str">
        <f>IF(AND(T477="",A478&lt;=S477),入力!$B$13,"")</f>
        <v/>
      </c>
      <c r="R478" s="32" t="str">
        <f>IF(AND(AND(T477="",A478&lt;=S477),OR(AND(入力!$B$13="有効",A478&gt;1,MOD(A478-1,60)=0),AND(A478=入力!$B$11,A478&gt;1)),入力!$B$14="有効"),ROUND(G477*1.25,0),"")</f>
        <v/>
      </c>
      <c r="S478" s="36">
        <f t="shared" si="134"/>
        <v>420</v>
      </c>
      <c r="T478" s="35" t="str">
        <f t="shared" si="135"/>
        <v/>
      </c>
      <c r="U478" s="3">
        <f t="shared" si="119"/>
        <v>0</v>
      </c>
      <c r="V478" s="3">
        <f t="shared" si="120"/>
        <v>0</v>
      </c>
      <c r="W478" s="3">
        <f t="shared" si="121"/>
        <v>0</v>
      </c>
      <c r="X478" s="3">
        <f t="shared" si="122"/>
        <v>0</v>
      </c>
      <c r="Y478" s="3">
        <f>0</f>
        <v>0</v>
      </c>
      <c r="Z478" s="3">
        <f t="shared" si="123"/>
        <v>0</v>
      </c>
      <c r="AA478">
        <f>ROUND(IF(A478=入力!$B$15+1,IF(E478=0,ROUND(C478/MAX(1,S477-A478+1),0),ROUND(-PMT(E478/12,MAX(1,S477-A478+1)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,0)</f>
        <v>0</v>
      </c>
    </row>
    <row r="479" spans="1:27">
      <c r="A479" s="30">
        <f>474</f>
        <v>474</v>
      </c>
      <c r="B479" s="31">
        <f>EDATE(入力!$B$6,A479-1)</f>
        <v>60633</v>
      </c>
      <c r="C479" s="32">
        <f t="shared" si="124"/>
        <v>0</v>
      </c>
      <c r="D479" s="32">
        <f t="shared" si="125"/>
        <v>0</v>
      </c>
      <c r="E479" s="33">
        <f>IF(AND(T478="",A479&lt;=S478),IF(A479&lt;入力!$B$11,入力!$B$10,入力!$B$12),0)</f>
        <v>0</v>
      </c>
      <c r="F479" s="32">
        <f t="shared" si="126"/>
        <v>0</v>
      </c>
      <c r="G479" s="32">
        <f>ROUND(IF(NOT(AND(T478="",A479&lt;=S478)),0,IF(A479=入力!$B$15+1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),0)</f>
        <v>0</v>
      </c>
      <c r="H479" s="32">
        <f t="shared" si="127"/>
        <v>0</v>
      </c>
      <c r="I479" s="32">
        <f t="shared" si="128"/>
        <v>0</v>
      </c>
      <c r="J479" s="32">
        <f t="shared" si="129"/>
        <v>0</v>
      </c>
      <c r="K479" s="32">
        <f t="shared" si="130"/>
        <v>0</v>
      </c>
      <c r="L479" s="32">
        <f t="shared" si="131"/>
        <v>0</v>
      </c>
      <c r="M479" s="32">
        <f>IF(AND(AND(T478="",A479&lt;=S478),A479=入力!$B$15),ROUND(MIN(入力!$B$16,MAX(0,C479-L479)),0),0)</f>
        <v>0</v>
      </c>
      <c r="N479" s="32">
        <f t="shared" si="132"/>
        <v>0</v>
      </c>
      <c r="O479" s="32">
        <f t="shared" si="133"/>
        <v>12386706</v>
      </c>
      <c r="P479" s="34" t="str">
        <f>IF(NOT(AND(T478="",A479&lt;=S478)),"",IF(A479=入力!$B$15+1,"繰上返済後再計算","")&amp;IF(AND(入力!$B$13="有効",A479&gt;1,MOD(A479-1,60)=0),IF(A479=入力!$B$15+1,"・","")&amp;"5年見直し","")&amp;IF(AND(A479=入力!$B$11,A479&gt;1),IF(OR(A479=入力!$B$15+1,AND(入力!$B$13="有効",A479&gt;1,MOD(A479-1,60)=0)),"・","")&amp;"金利変更","")&amp;IF(AND(OR(AND(入力!$B$13="有効",A479&gt;1,MOD(A479-1,60)=0),AND(A479=入力!$B$11,A479&gt;1)),入力!$B$14="有効",IF(E479=0,ROUND(C479/MAX(1,S478-A479+1),0),ROUND(-PMT(E479/12,MAX(1,S478-A479+1),C479),0))&gt;ROUND(G478*1.25,0),NOT(A479=入力!$B$15+1)),"・上限適用",""))</f>
        <v/>
      </c>
      <c r="Q479" s="35" t="str">
        <f>IF(AND(T478="",A479&lt;=S478),入力!$B$13,"")</f>
        <v/>
      </c>
      <c r="R479" s="32" t="str">
        <f>IF(AND(AND(T478="",A479&lt;=S478),OR(AND(入力!$B$13="有効",A479&gt;1,MOD(A479-1,60)=0),AND(A479=入力!$B$11,A479&gt;1)),入力!$B$14="有効"),ROUND(G478*1.25,0),"")</f>
        <v/>
      </c>
      <c r="S479" s="36">
        <f t="shared" si="134"/>
        <v>420</v>
      </c>
      <c r="T479" s="35" t="str">
        <f t="shared" si="135"/>
        <v/>
      </c>
      <c r="U479" s="3">
        <f t="shared" si="119"/>
        <v>0</v>
      </c>
      <c r="V479" s="3">
        <f t="shared" si="120"/>
        <v>0</v>
      </c>
      <c r="W479" s="3">
        <f t="shared" si="121"/>
        <v>0</v>
      </c>
      <c r="X479" s="3">
        <f t="shared" si="122"/>
        <v>0</v>
      </c>
      <c r="Y479" s="3">
        <f>0</f>
        <v>0</v>
      </c>
      <c r="Z479" s="3">
        <f t="shared" si="123"/>
        <v>0</v>
      </c>
      <c r="AA479">
        <f>ROUND(IF(A479=入力!$B$15+1,IF(E479=0,ROUND(C479/MAX(1,S478-A479+1),0),ROUND(-PMT(E479/12,MAX(1,S478-A479+1)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,0)</f>
        <v>0</v>
      </c>
    </row>
    <row r="480" spans="1:27">
      <c r="A480" s="30">
        <f>475</f>
        <v>475</v>
      </c>
      <c r="B480" s="31">
        <f>EDATE(入力!$B$6,A480-1)</f>
        <v>60664</v>
      </c>
      <c r="C480" s="32">
        <f t="shared" si="124"/>
        <v>0</v>
      </c>
      <c r="D480" s="32">
        <f t="shared" si="125"/>
        <v>0</v>
      </c>
      <c r="E480" s="33">
        <f>IF(AND(T479="",A480&lt;=S479),IF(A480&lt;入力!$B$11,入力!$B$10,入力!$B$12),0)</f>
        <v>0</v>
      </c>
      <c r="F480" s="32">
        <f t="shared" si="126"/>
        <v>0</v>
      </c>
      <c r="G480" s="32">
        <f>ROUND(IF(NOT(AND(T479="",A480&lt;=S479)),0,IF(A480=入力!$B$15+1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),0)</f>
        <v>0</v>
      </c>
      <c r="H480" s="32">
        <f t="shared" si="127"/>
        <v>0</v>
      </c>
      <c r="I480" s="32">
        <f t="shared" si="128"/>
        <v>0</v>
      </c>
      <c r="J480" s="32">
        <f t="shared" si="129"/>
        <v>0</v>
      </c>
      <c r="K480" s="32">
        <f t="shared" si="130"/>
        <v>0</v>
      </c>
      <c r="L480" s="32">
        <f t="shared" si="131"/>
        <v>0</v>
      </c>
      <c r="M480" s="32">
        <f>IF(AND(AND(T479="",A480&lt;=S479),A480=入力!$B$15),ROUND(MIN(入力!$B$16,MAX(0,C480-L480)),0),0)</f>
        <v>0</v>
      </c>
      <c r="N480" s="32">
        <f t="shared" si="132"/>
        <v>0</v>
      </c>
      <c r="O480" s="32">
        <f t="shared" si="133"/>
        <v>12386706</v>
      </c>
      <c r="P480" s="34" t="str">
        <f>IF(NOT(AND(T479="",A480&lt;=S479)),"",IF(A480=入力!$B$15+1,"繰上返済後再計算","")&amp;IF(AND(入力!$B$13="有効",A480&gt;1,MOD(A480-1,60)=0),IF(A480=入力!$B$15+1,"・","")&amp;"5年見直し","")&amp;IF(AND(A480=入力!$B$11,A480&gt;1),IF(OR(A480=入力!$B$15+1,AND(入力!$B$13="有効",A480&gt;1,MOD(A480-1,60)=0)),"・","")&amp;"金利変更","")&amp;IF(AND(OR(AND(入力!$B$13="有効",A480&gt;1,MOD(A480-1,60)=0),AND(A480=入力!$B$11,A480&gt;1)),入力!$B$14="有効",IF(E480=0,ROUND(C480/MAX(1,S479-A480+1),0),ROUND(-PMT(E480/12,MAX(1,S479-A480+1),C480),0))&gt;ROUND(G479*1.25,0),NOT(A480=入力!$B$15+1)),"・上限適用",""))</f>
        <v/>
      </c>
      <c r="Q480" s="35" t="str">
        <f>IF(AND(T479="",A480&lt;=S479),入力!$B$13,"")</f>
        <v/>
      </c>
      <c r="R480" s="32" t="str">
        <f>IF(AND(AND(T479="",A480&lt;=S479),OR(AND(入力!$B$13="有効",A480&gt;1,MOD(A480-1,60)=0),AND(A480=入力!$B$11,A480&gt;1)),入力!$B$14="有効"),ROUND(G479*1.25,0),"")</f>
        <v/>
      </c>
      <c r="S480" s="36">
        <f t="shared" si="134"/>
        <v>420</v>
      </c>
      <c r="T480" s="35" t="str">
        <f t="shared" si="135"/>
        <v/>
      </c>
      <c r="U480" s="3">
        <f t="shared" si="119"/>
        <v>0</v>
      </c>
      <c r="V480" s="3">
        <f t="shared" si="120"/>
        <v>0</v>
      </c>
      <c r="W480" s="3">
        <f t="shared" si="121"/>
        <v>0</v>
      </c>
      <c r="X480" s="3">
        <f t="shared" si="122"/>
        <v>0</v>
      </c>
      <c r="Y480" s="3">
        <f>0</f>
        <v>0</v>
      </c>
      <c r="Z480" s="3">
        <f t="shared" si="123"/>
        <v>0</v>
      </c>
      <c r="AA480">
        <f>ROUND(IF(A480=入力!$B$15+1,IF(E480=0,ROUND(C480/MAX(1,S479-A480+1),0),ROUND(-PMT(E480/12,MAX(1,S479-A480+1)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,0)</f>
        <v>0</v>
      </c>
    </row>
    <row r="481" spans="1:27">
      <c r="A481" s="30">
        <f>476</f>
        <v>476</v>
      </c>
      <c r="B481" s="31">
        <f>EDATE(入力!$B$6,A481-1)</f>
        <v>60692</v>
      </c>
      <c r="C481" s="32">
        <f t="shared" si="124"/>
        <v>0</v>
      </c>
      <c r="D481" s="32">
        <f t="shared" si="125"/>
        <v>0</v>
      </c>
      <c r="E481" s="33">
        <f>IF(AND(T480="",A481&lt;=S480),IF(A481&lt;入力!$B$11,入力!$B$10,入力!$B$12),0)</f>
        <v>0</v>
      </c>
      <c r="F481" s="32">
        <f t="shared" si="126"/>
        <v>0</v>
      </c>
      <c r="G481" s="32">
        <f>ROUND(IF(NOT(AND(T480="",A481&lt;=S480)),0,IF(A481=入力!$B$15+1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),0)</f>
        <v>0</v>
      </c>
      <c r="H481" s="32">
        <f t="shared" si="127"/>
        <v>0</v>
      </c>
      <c r="I481" s="32">
        <f t="shared" si="128"/>
        <v>0</v>
      </c>
      <c r="J481" s="32">
        <f t="shared" si="129"/>
        <v>0</v>
      </c>
      <c r="K481" s="32">
        <f t="shared" si="130"/>
        <v>0</v>
      </c>
      <c r="L481" s="32">
        <f t="shared" si="131"/>
        <v>0</v>
      </c>
      <c r="M481" s="32">
        <f>IF(AND(AND(T480="",A481&lt;=S480),A481=入力!$B$15),ROUND(MIN(入力!$B$16,MAX(0,C481-L481)),0),0)</f>
        <v>0</v>
      </c>
      <c r="N481" s="32">
        <f t="shared" si="132"/>
        <v>0</v>
      </c>
      <c r="O481" s="32">
        <f t="shared" si="133"/>
        <v>12386706</v>
      </c>
      <c r="P481" s="34" t="str">
        <f>IF(NOT(AND(T480="",A481&lt;=S480)),"",IF(A481=入力!$B$15+1,"繰上返済後再計算","")&amp;IF(AND(入力!$B$13="有効",A481&gt;1,MOD(A481-1,60)=0),IF(A481=入力!$B$15+1,"・","")&amp;"5年見直し","")&amp;IF(AND(A481=入力!$B$11,A481&gt;1),IF(OR(A481=入力!$B$15+1,AND(入力!$B$13="有効",A481&gt;1,MOD(A481-1,60)=0)),"・","")&amp;"金利変更","")&amp;IF(AND(OR(AND(入力!$B$13="有効",A481&gt;1,MOD(A481-1,60)=0),AND(A481=入力!$B$11,A481&gt;1)),入力!$B$14="有効",IF(E481=0,ROUND(C481/MAX(1,S480-A481+1),0),ROUND(-PMT(E481/12,MAX(1,S480-A481+1),C481),0))&gt;ROUND(G480*1.25,0),NOT(A481=入力!$B$15+1)),"・上限適用",""))</f>
        <v/>
      </c>
      <c r="Q481" s="35" t="str">
        <f>IF(AND(T480="",A481&lt;=S480),入力!$B$13,"")</f>
        <v/>
      </c>
      <c r="R481" s="32" t="str">
        <f>IF(AND(AND(T480="",A481&lt;=S480),OR(AND(入力!$B$13="有効",A481&gt;1,MOD(A481-1,60)=0),AND(A481=入力!$B$11,A481&gt;1)),入力!$B$14="有効"),ROUND(G480*1.25,0),"")</f>
        <v/>
      </c>
      <c r="S481" s="36">
        <f t="shared" si="134"/>
        <v>420</v>
      </c>
      <c r="T481" s="35" t="str">
        <f t="shared" si="135"/>
        <v/>
      </c>
      <c r="U481" s="3">
        <f t="shared" si="119"/>
        <v>0</v>
      </c>
      <c r="V481" s="3">
        <f t="shared" si="120"/>
        <v>0</v>
      </c>
      <c r="W481" s="3">
        <f t="shared" si="121"/>
        <v>0</v>
      </c>
      <c r="X481" s="3">
        <f t="shared" si="122"/>
        <v>0</v>
      </c>
      <c r="Y481" s="3">
        <f>0</f>
        <v>0</v>
      </c>
      <c r="Z481" s="3">
        <f t="shared" si="123"/>
        <v>0</v>
      </c>
      <c r="AA481">
        <f>ROUND(IF(A481=入力!$B$15+1,IF(E481=0,ROUND(C481/MAX(1,S480-A481+1),0),ROUND(-PMT(E481/12,MAX(1,S480-A481+1)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,0)</f>
        <v>0</v>
      </c>
    </row>
    <row r="482" spans="1:27">
      <c r="A482" s="30">
        <f>477</f>
        <v>477</v>
      </c>
      <c r="B482" s="31">
        <f>EDATE(入力!$B$6,A482-1)</f>
        <v>60723</v>
      </c>
      <c r="C482" s="32">
        <f t="shared" si="124"/>
        <v>0</v>
      </c>
      <c r="D482" s="32">
        <f t="shared" si="125"/>
        <v>0</v>
      </c>
      <c r="E482" s="33">
        <f>IF(AND(T481="",A482&lt;=S481),IF(A482&lt;入力!$B$11,入力!$B$10,入力!$B$12),0)</f>
        <v>0</v>
      </c>
      <c r="F482" s="32">
        <f t="shared" si="126"/>
        <v>0</v>
      </c>
      <c r="G482" s="32">
        <f>ROUND(IF(NOT(AND(T481="",A482&lt;=S481)),0,IF(A482=入力!$B$15+1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),0)</f>
        <v>0</v>
      </c>
      <c r="H482" s="32">
        <f t="shared" si="127"/>
        <v>0</v>
      </c>
      <c r="I482" s="32">
        <f t="shared" si="128"/>
        <v>0</v>
      </c>
      <c r="J482" s="32">
        <f t="shared" si="129"/>
        <v>0</v>
      </c>
      <c r="K482" s="32">
        <f t="shared" si="130"/>
        <v>0</v>
      </c>
      <c r="L482" s="32">
        <f t="shared" si="131"/>
        <v>0</v>
      </c>
      <c r="M482" s="32">
        <f>IF(AND(AND(T481="",A482&lt;=S481),A482=入力!$B$15),ROUND(MIN(入力!$B$16,MAX(0,C482-L482)),0),0)</f>
        <v>0</v>
      </c>
      <c r="N482" s="32">
        <f t="shared" si="132"/>
        <v>0</v>
      </c>
      <c r="O482" s="32">
        <f t="shared" si="133"/>
        <v>12386706</v>
      </c>
      <c r="P482" s="34" t="str">
        <f>IF(NOT(AND(T481="",A482&lt;=S481)),"",IF(A482=入力!$B$15+1,"繰上返済後再計算","")&amp;IF(AND(入力!$B$13="有効",A482&gt;1,MOD(A482-1,60)=0),IF(A482=入力!$B$15+1,"・","")&amp;"5年見直し","")&amp;IF(AND(A482=入力!$B$11,A482&gt;1),IF(OR(A482=入力!$B$15+1,AND(入力!$B$13="有効",A482&gt;1,MOD(A482-1,60)=0)),"・","")&amp;"金利変更","")&amp;IF(AND(OR(AND(入力!$B$13="有効",A482&gt;1,MOD(A482-1,60)=0),AND(A482=入力!$B$11,A482&gt;1)),入力!$B$14="有効",IF(E482=0,ROUND(C482/MAX(1,S481-A482+1),0),ROUND(-PMT(E482/12,MAX(1,S481-A482+1),C482),0))&gt;ROUND(G481*1.25,0),NOT(A482=入力!$B$15+1)),"・上限適用",""))</f>
        <v/>
      </c>
      <c r="Q482" s="35" t="str">
        <f>IF(AND(T481="",A482&lt;=S481),入力!$B$13,"")</f>
        <v/>
      </c>
      <c r="R482" s="32" t="str">
        <f>IF(AND(AND(T481="",A482&lt;=S481),OR(AND(入力!$B$13="有効",A482&gt;1,MOD(A482-1,60)=0),AND(A482=入力!$B$11,A482&gt;1)),入力!$B$14="有効"),ROUND(G481*1.25,0),"")</f>
        <v/>
      </c>
      <c r="S482" s="36">
        <f t="shared" si="134"/>
        <v>420</v>
      </c>
      <c r="T482" s="35" t="str">
        <f t="shared" si="135"/>
        <v/>
      </c>
      <c r="U482" s="3">
        <f t="shared" si="119"/>
        <v>0</v>
      </c>
      <c r="V482" s="3">
        <f t="shared" si="120"/>
        <v>0</v>
      </c>
      <c r="W482" s="3">
        <f t="shared" si="121"/>
        <v>0</v>
      </c>
      <c r="X482" s="3">
        <f t="shared" si="122"/>
        <v>0</v>
      </c>
      <c r="Y482" s="3">
        <f>0</f>
        <v>0</v>
      </c>
      <c r="Z482" s="3">
        <f t="shared" si="123"/>
        <v>0</v>
      </c>
      <c r="AA482">
        <f>ROUND(IF(A482=入力!$B$15+1,IF(E482=0,ROUND(C482/MAX(1,S481-A482+1),0),ROUND(-PMT(E482/12,MAX(1,S481-A482+1)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,0)</f>
        <v>0</v>
      </c>
    </row>
    <row r="483" spans="1:27">
      <c r="A483" s="30">
        <f>478</f>
        <v>478</v>
      </c>
      <c r="B483" s="31">
        <f>EDATE(入力!$B$6,A483-1)</f>
        <v>60753</v>
      </c>
      <c r="C483" s="32">
        <f t="shared" si="124"/>
        <v>0</v>
      </c>
      <c r="D483" s="32">
        <f t="shared" si="125"/>
        <v>0</v>
      </c>
      <c r="E483" s="33">
        <f>IF(AND(T482="",A483&lt;=S482),IF(A483&lt;入力!$B$11,入力!$B$10,入力!$B$12),0)</f>
        <v>0</v>
      </c>
      <c r="F483" s="32">
        <f t="shared" si="126"/>
        <v>0</v>
      </c>
      <c r="G483" s="32">
        <f>ROUND(IF(NOT(AND(T482="",A483&lt;=S482)),0,IF(A483=入力!$B$15+1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),0)</f>
        <v>0</v>
      </c>
      <c r="H483" s="32">
        <f t="shared" si="127"/>
        <v>0</v>
      </c>
      <c r="I483" s="32">
        <f t="shared" si="128"/>
        <v>0</v>
      </c>
      <c r="J483" s="32">
        <f t="shared" si="129"/>
        <v>0</v>
      </c>
      <c r="K483" s="32">
        <f t="shared" si="130"/>
        <v>0</v>
      </c>
      <c r="L483" s="32">
        <f t="shared" si="131"/>
        <v>0</v>
      </c>
      <c r="M483" s="32">
        <f>IF(AND(AND(T482="",A483&lt;=S482),A483=入力!$B$15),ROUND(MIN(入力!$B$16,MAX(0,C483-L483)),0),0)</f>
        <v>0</v>
      </c>
      <c r="N483" s="32">
        <f t="shared" si="132"/>
        <v>0</v>
      </c>
      <c r="O483" s="32">
        <f t="shared" si="133"/>
        <v>12386706</v>
      </c>
      <c r="P483" s="34" t="str">
        <f>IF(NOT(AND(T482="",A483&lt;=S482)),"",IF(A483=入力!$B$15+1,"繰上返済後再計算","")&amp;IF(AND(入力!$B$13="有効",A483&gt;1,MOD(A483-1,60)=0),IF(A483=入力!$B$15+1,"・","")&amp;"5年見直し","")&amp;IF(AND(A483=入力!$B$11,A483&gt;1),IF(OR(A483=入力!$B$15+1,AND(入力!$B$13="有効",A483&gt;1,MOD(A483-1,60)=0)),"・","")&amp;"金利変更","")&amp;IF(AND(OR(AND(入力!$B$13="有効",A483&gt;1,MOD(A483-1,60)=0),AND(A483=入力!$B$11,A483&gt;1)),入力!$B$14="有効",IF(E483=0,ROUND(C483/MAX(1,S482-A483+1),0),ROUND(-PMT(E483/12,MAX(1,S482-A483+1),C483),0))&gt;ROUND(G482*1.25,0),NOT(A483=入力!$B$15+1)),"・上限適用",""))</f>
        <v/>
      </c>
      <c r="Q483" s="35" t="str">
        <f>IF(AND(T482="",A483&lt;=S482),入力!$B$13,"")</f>
        <v/>
      </c>
      <c r="R483" s="32" t="str">
        <f>IF(AND(AND(T482="",A483&lt;=S482),OR(AND(入力!$B$13="有効",A483&gt;1,MOD(A483-1,60)=0),AND(A483=入力!$B$11,A483&gt;1)),入力!$B$14="有効"),ROUND(G482*1.25,0),"")</f>
        <v/>
      </c>
      <c r="S483" s="36">
        <f t="shared" si="134"/>
        <v>420</v>
      </c>
      <c r="T483" s="35" t="str">
        <f t="shared" si="135"/>
        <v/>
      </c>
      <c r="U483" s="3">
        <f t="shared" si="119"/>
        <v>0</v>
      </c>
      <c r="V483" s="3">
        <f t="shared" si="120"/>
        <v>0</v>
      </c>
      <c r="W483" s="3">
        <f t="shared" si="121"/>
        <v>0</v>
      </c>
      <c r="X483" s="3">
        <f t="shared" si="122"/>
        <v>0</v>
      </c>
      <c r="Y483" s="3">
        <f>0</f>
        <v>0</v>
      </c>
      <c r="Z483" s="3">
        <f t="shared" si="123"/>
        <v>0</v>
      </c>
      <c r="AA483">
        <f>ROUND(IF(A483=入力!$B$15+1,IF(E483=0,ROUND(C483/MAX(1,S482-A483+1),0),ROUND(-PMT(E483/12,MAX(1,S482-A483+1)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,0)</f>
        <v>0</v>
      </c>
    </row>
    <row r="484" spans="1:27">
      <c r="A484" s="30">
        <f>479</f>
        <v>479</v>
      </c>
      <c r="B484" s="31">
        <f>EDATE(入力!$B$6,A484-1)</f>
        <v>60784</v>
      </c>
      <c r="C484" s="32">
        <f t="shared" si="124"/>
        <v>0</v>
      </c>
      <c r="D484" s="32">
        <f t="shared" si="125"/>
        <v>0</v>
      </c>
      <c r="E484" s="33">
        <f>IF(AND(T483="",A484&lt;=S483),IF(A484&lt;入力!$B$11,入力!$B$10,入力!$B$12),0)</f>
        <v>0</v>
      </c>
      <c r="F484" s="32">
        <f t="shared" si="126"/>
        <v>0</v>
      </c>
      <c r="G484" s="32">
        <f>ROUND(IF(NOT(AND(T483="",A484&lt;=S483)),0,IF(A484=入力!$B$15+1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),0)</f>
        <v>0</v>
      </c>
      <c r="H484" s="32">
        <f t="shared" si="127"/>
        <v>0</v>
      </c>
      <c r="I484" s="32">
        <f t="shared" si="128"/>
        <v>0</v>
      </c>
      <c r="J484" s="32">
        <f t="shared" si="129"/>
        <v>0</v>
      </c>
      <c r="K484" s="32">
        <f t="shared" si="130"/>
        <v>0</v>
      </c>
      <c r="L484" s="32">
        <f t="shared" si="131"/>
        <v>0</v>
      </c>
      <c r="M484" s="32">
        <f>IF(AND(AND(T483="",A484&lt;=S483),A484=入力!$B$15),ROUND(MIN(入力!$B$16,MAX(0,C484-L484)),0),0)</f>
        <v>0</v>
      </c>
      <c r="N484" s="32">
        <f t="shared" si="132"/>
        <v>0</v>
      </c>
      <c r="O484" s="32">
        <f t="shared" si="133"/>
        <v>12386706</v>
      </c>
      <c r="P484" s="34" t="str">
        <f>IF(NOT(AND(T483="",A484&lt;=S483)),"",IF(A484=入力!$B$15+1,"繰上返済後再計算","")&amp;IF(AND(入力!$B$13="有効",A484&gt;1,MOD(A484-1,60)=0),IF(A484=入力!$B$15+1,"・","")&amp;"5年見直し","")&amp;IF(AND(A484=入力!$B$11,A484&gt;1),IF(OR(A484=入力!$B$15+1,AND(入力!$B$13="有効",A484&gt;1,MOD(A484-1,60)=0)),"・","")&amp;"金利変更","")&amp;IF(AND(OR(AND(入力!$B$13="有効",A484&gt;1,MOD(A484-1,60)=0),AND(A484=入力!$B$11,A484&gt;1)),入力!$B$14="有効",IF(E484=0,ROUND(C484/MAX(1,S483-A484+1),0),ROUND(-PMT(E484/12,MAX(1,S483-A484+1),C484),0))&gt;ROUND(G483*1.25,0),NOT(A484=入力!$B$15+1)),"・上限適用",""))</f>
        <v/>
      </c>
      <c r="Q484" s="35" t="str">
        <f>IF(AND(T483="",A484&lt;=S483),入力!$B$13,"")</f>
        <v/>
      </c>
      <c r="R484" s="32" t="str">
        <f>IF(AND(AND(T483="",A484&lt;=S483),OR(AND(入力!$B$13="有効",A484&gt;1,MOD(A484-1,60)=0),AND(A484=入力!$B$11,A484&gt;1)),入力!$B$14="有効"),ROUND(G483*1.25,0),"")</f>
        <v/>
      </c>
      <c r="S484" s="36">
        <f t="shared" si="134"/>
        <v>420</v>
      </c>
      <c r="T484" s="35" t="str">
        <f t="shared" si="135"/>
        <v/>
      </c>
      <c r="U484" s="3">
        <f t="shared" si="119"/>
        <v>0</v>
      </c>
      <c r="V484" s="3">
        <f t="shared" si="120"/>
        <v>0</v>
      </c>
      <c r="W484" s="3">
        <f t="shared" si="121"/>
        <v>0</v>
      </c>
      <c r="X484" s="3">
        <f t="shared" si="122"/>
        <v>0</v>
      </c>
      <c r="Y484" s="3">
        <f>0</f>
        <v>0</v>
      </c>
      <c r="Z484" s="3">
        <f t="shared" si="123"/>
        <v>0</v>
      </c>
      <c r="AA484">
        <f>ROUND(IF(A484=入力!$B$15+1,IF(E484=0,ROUND(C484/MAX(1,S483-A484+1),0),ROUND(-PMT(E484/12,MAX(1,S483-A484+1)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,0)</f>
        <v>0</v>
      </c>
    </row>
    <row r="485" spans="1:27">
      <c r="A485" s="30">
        <f>480</f>
        <v>480</v>
      </c>
      <c r="B485" s="31">
        <f>EDATE(入力!$B$6,A485-1)</f>
        <v>60814</v>
      </c>
      <c r="C485" s="32">
        <f t="shared" si="124"/>
        <v>0</v>
      </c>
      <c r="D485" s="32">
        <f t="shared" si="125"/>
        <v>0</v>
      </c>
      <c r="E485" s="33">
        <f>IF(AND(T484="",A485&lt;=S484),IF(A485&lt;入力!$B$11,入力!$B$10,入力!$B$12),0)</f>
        <v>0</v>
      </c>
      <c r="F485" s="32">
        <f t="shared" si="126"/>
        <v>0</v>
      </c>
      <c r="G485" s="32">
        <f>ROUND(IF(NOT(AND(T484="",A485&lt;=S484)),0,IF(A485=入力!$B$15+1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),0)</f>
        <v>0</v>
      </c>
      <c r="H485" s="32">
        <f t="shared" si="127"/>
        <v>0</v>
      </c>
      <c r="I485" s="32">
        <f t="shared" si="128"/>
        <v>0</v>
      </c>
      <c r="J485" s="32">
        <f t="shared" si="129"/>
        <v>0</v>
      </c>
      <c r="K485" s="32">
        <f t="shared" si="130"/>
        <v>0</v>
      </c>
      <c r="L485" s="32">
        <f t="shared" si="131"/>
        <v>0</v>
      </c>
      <c r="M485" s="32">
        <f>IF(AND(AND(T484="",A485&lt;=S484),A485=入力!$B$15),ROUND(MIN(入力!$B$16,MAX(0,C485-L485)),0),0)</f>
        <v>0</v>
      </c>
      <c r="N485" s="32">
        <f t="shared" si="132"/>
        <v>0</v>
      </c>
      <c r="O485" s="32">
        <f t="shared" si="133"/>
        <v>12386706</v>
      </c>
      <c r="P485" s="34" t="str">
        <f>IF(NOT(AND(T484="",A485&lt;=S484)),"",IF(A485=入力!$B$15+1,"繰上返済後再計算","")&amp;IF(AND(入力!$B$13="有効",A485&gt;1,MOD(A485-1,60)=0),IF(A485=入力!$B$15+1,"・","")&amp;"5年見直し","")&amp;IF(AND(A485=入力!$B$11,A485&gt;1),IF(OR(A485=入力!$B$15+1,AND(入力!$B$13="有効",A485&gt;1,MOD(A485-1,60)=0)),"・","")&amp;"金利変更","")&amp;IF(AND(OR(AND(入力!$B$13="有効",A485&gt;1,MOD(A485-1,60)=0),AND(A485=入力!$B$11,A485&gt;1)),入力!$B$14="有効",IF(E485=0,ROUND(C485/MAX(1,S484-A485+1),0),ROUND(-PMT(E485/12,MAX(1,S484-A485+1),C485),0))&gt;ROUND(G484*1.25,0),NOT(A485=入力!$B$15+1)),"・上限適用",""))</f>
        <v/>
      </c>
      <c r="Q485" s="35" t="str">
        <f>IF(AND(T484="",A485&lt;=S484),入力!$B$13,"")</f>
        <v/>
      </c>
      <c r="R485" s="32" t="str">
        <f>IF(AND(AND(T484="",A485&lt;=S484),OR(AND(入力!$B$13="有効",A485&gt;1,MOD(A485-1,60)=0),AND(A485=入力!$B$11,A485&gt;1)),入力!$B$14="有効"),ROUND(G484*1.25,0),"")</f>
        <v/>
      </c>
      <c r="S485" s="36">
        <f t="shared" si="134"/>
        <v>420</v>
      </c>
      <c r="T485" s="35" t="str">
        <f t="shared" si="135"/>
        <v/>
      </c>
      <c r="U485" s="3">
        <f t="shared" si="119"/>
        <v>0</v>
      </c>
      <c r="V485" s="3">
        <f t="shared" si="120"/>
        <v>0</v>
      </c>
      <c r="W485" s="3">
        <f t="shared" si="121"/>
        <v>0</v>
      </c>
      <c r="X485" s="3">
        <f t="shared" si="122"/>
        <v>0</v>
      </c>
      <c r="Y485" s="3">
        <f>0</f>
        <v>0</v>
      </c>
      <c r="Z485" s="3">
        <f t="shared" si="123"/>
        <v>0</v>
      </c>
      <c r="AA485">
        <f>ROUND(IF(A485=入力!$B$15+1,IF(E485=0,ROUND(C485/MAX(1,S484-A485+1),0),ROUND(-PMT(E485/12,MAX(1,S484-A485+1)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,0)</f>
        <v>0</v>
      </c>
    </row>
    <row r="486" spans="1:27">
      <c r="A486" s="30">
        <f>481</f>
        <v>481</v>
      </c>
      <c r="B486" s="31">
        <f>EDATE(入力!$B$6,A486-1)</f>
        <v>60845</v>
      </c>
      <c r="C486" s="32">
        <f t="shared" si="124"/>
        <v>0</v>
      </c>
      <c r="D486" s="32">
        <f t="shared" si="125"/>
        <v>0</v>
      </c>
      <c r="E486" s="33">
        <f>IF(AND(T485="",A486&lt;=S485),IF(A486&lt;入力!$B$11,入力!$B$10,入力!$B$12),0)</f>
        <v>0</v>
      </c>
      <c r="F486" s="32">
        <f t="shared" si="126"/>
        <v>0</v>
      </c>
      <c r="G486" s="32">
        <f>ROUND(IF(NOT(AND(T485="",A486&lt;=S485)),0,IF(A486=入力!$B$15+1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),0)</f>
        <v>0</v>
      </c>
      <c r="H486" s="32">
        <f t="shared" si="127"/>
        <v>0</v>
      </c>
      <c r="I486" s="32">
        <f t="shared" si="128"/>
        <v>0</v>
      </c>
      <c r="J486" s="32">
        <f t="shared" si="129"/>
        <v>0</v>
      </c>
      <c r="K486" s="32">
        <f t="shared" si="130"/>
        <v>0</v>
      </c>
      <c r="L486" s="32">
        <f t="shared" si="131"/>
        <v>0</v>
      </c>
      <c r="M486" s="32">
        <f>IF(AND(AND(T485="",A486&lt;=S485),A486=入力!$B$15),ROUND(MIN(入力!$B$16,MAX(0,C486-L486)),0),0)</f>
        <v>0</v>
      </c>
      <c r="N486" s="32">
        <f t="shared" si="132"/>
        <v>0</v>
      </c>
      <c r="O486" s="32">
        <f t="shared" si="133"/>
        <v>12386706</v>
      </c>
      <c r="P486" s="34" t="str">
        <f>IF(NOT(AND(T485="",A486&lt;=S485)),"",IF(A486=入力!$B$15+1,"繰上返済後再計算","")&amp;IF(AND(入力!$B$13="有効",A486&gt;1,MOD(A486-1,60)=0),IF(A486=入力!$B$15+1,"・","")&amp;"5年見直し","")&amp;IF(AND(A486=入力!$B$11,A486&gt;1),IF(OR(A486=入力!$B$15+1,AND(入力!$B$13="有効",A486&gt;1,MOD(A486-1,60)=0)),"・","")&amp;"金利変更","")&amp;IF(AND(OR(AND(入力!$B$13="有効",A486&gt;1,MOD(A486-1,60)=0),AND(A486=入力!$B$11,A486&gt;1)),入力!$B$14="有効",IF(E486=0,ROUND(C486/MAX(1,S485-A486+1),0),ROUND(-PMT(E486/12,MAX(1,S485-A486+1),C486),0))&gt;ROUND(G485*1.25,0),NOT(A486=入力!$B$15+1)),"・上限適用",""))</f>
        <v/>
      </c>
      <c r="Q486" s="35" t="str">
        <f>IF(AND(T485="",A486&lt;=S485),入力!$B$13,"")</f>
        <v/>
      </c>
      <c r="R486" s="32" t="str">
        <f>IF(AND(AND(T485="",A486&lt;=S485),OR(AND(入力!$B$13="有効",A486&gt;1,MOD(A486-1,60)=0),AND(A486=入力!$B$11,A486&gt;1)),入力!$B$14="有効"),ROUND(G485*1.25,0),"")</f>
        <v/>
      </c>
      <c r="S486" s="36">
        <f t="shared" si="134"/>
        <v>420</v>
      </c>
      <c r="T486" s="35" t="str">
        <f t="shared" si="135"/>
        <v/>
      </c>
      <c r="U486" s="3">
        <f t="shared" si="119"/>
        <v>0</v>
      </c>
      <c r="V486" s="3">
        <f t="shared" si="120"/>
        <v>0</v>
      </c>
      <c r="W486" s="3">
        <f t="shared" si="121"/>
        <v>0</v>
      </c>
      <c r="X486" s="3">
        <f t="shared" si="122"/>
        <v>0</v>
      </c>
      <c r="Y486" s="3">
        <f>0</f>
        <v>0</v>
      </c>
      <c r="Z486" s="3">
        <f t="shared" si="123"/>
        <v>0</v>
      </c>
      <c r="AA486">
        <f>ROUND(IF(A486=入力!$B$15+1,IF(E486=0,ROUND(C486/MAX(1,S485-A486+1),0),ROUND(-PMT(E486/12,MAX(1,S485-A486+1)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,0)</f>
        <v>0</v>
      </c>
    </row>
    <row r="487" spans="1:27">
      <c r="A487" s="30">
        <f>482</f>
        <v>482</v>
      </c>
      <c r="B487" s="31">
        <f>EDATE(入力!$B$6,A487-1)</f>
        <v>60876</v>
      </c>
      <c r="C487" s="32">
        <f t="shared" si="124"/>
        <v>0</v>
      </c>
      <c r="D487" s="32">
        <f t="shared" si="125"/>
        <v>0</v>
      </c>
      <c r="E487" s="33">
        <f>IF(AND(T486="",A487&lt;=S486),IF(A487&lt;入力!$B$11,入力!$B$10,入力!$B$12),0)</f>
        <v>0</v>
      </c>
      <c r="F487" s="32">
        <f t="shared" si="126"/>
        <v>0</v>
      </c>
      <c r="G487" s="32">
        <f>ROUND(IF(NOT(AND(T486="",A487&lt;=S486)),0,IF(A487=入力!$B$15+1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),0)</f>
        <v>0</v>
      </c>
      <c r="H487" s="32">
        <f t="shared" si="127"/>
        <v>0</v>
      </c>
      <c r="I487" s="32">
        <f t="shared" si="128"/>
        <v>0</v>
      </c>
      <c r="J487" s="32">
        <f t="shared" si="129"/>
        <v>0</v>
      </c>
      <c r="K487" s="32">
        <f t="shared" si="130"/>
        <v>0</v>
      </c>
      <c r="L487" s="32">
        <f t="shared" si="131"/>
        <v>0</v>
      </c>
      <c r="M487" s="32">
        <f>IF(AND(AND(T486="",A487&lt;=S486),A487=入力!$B$15),ROUND(MIN(入力!$B$16,MAX(0,C487-L487)),0),0)</f>
        <v>0</v>
      </c>
      <c r="N487" s="32">
        <f t="shared" si="132"/>
        <v>0</v>
      </c>
      <c r="O487" s="32">
        <f t="shared" si="133"/>
        <v>12386706</v>
      </c>
      <c r="P487" s="34" t="str">
        <f>IF(NOT(AND(T486="",A487&lt;=S486)),"",IF(A487=入力!$B$15+1,"繰上返済後再計算","")&amp;IF(AND(入力!$B$13="有効",A487&gt;1,MOD(A487-1,60)=0),IF(A487=入力!$B$15+1,"・","")&amp;"5年見直し","")&amp;IF(AND(A487=入力!$B$11,A487&gt;1),IF(OR(A487=入力!$B$15+1,AND(入力!$B$13="有効",A487&gt;1,MOD(A487-1,60)=0)),"・","")&amp;"金利変更","")&amp;IF(AND(OR(AND(入力!$B$13="有効",A487&gt;1,MOD(A487-1,60)=0),AND(A487=入力!$B$11,A487&gt;1)),入力!$B$14="有効",IF(E487=0,ROUND(C487/MAX(1,S486-A487+1),0),ROUND(-PMT(E487/12,MAX(1,S486-A487+1),C487),0))&gt;ROUND(G486*1.25,0),NOT(A487=入力!$B$15+1)),"・上限適用",""))</f>
        <v/>
      </c>
      <c r="Q487" s="35" t="str">
        <f>IF(AND(T486="",A487&lt;=S486),入力!$B$13,"")</f>
        <v/>
      </c>
      <c r="R487" s="32" t="str">
        <f>IF(AND(AND(T486="",A487&lt;=S486),OR(AND(入力!$B$13="有効",A487&gt;1,MOD(A487-1,60)=0),AND(A487=入力!$B$11,A487&gt;1)),入力!$B$14="有効"),ROUND(G486*1.25,0),"")</f>
        <v/>
      </c>
      <c r="S487" s="36">
        <f t="shared" si="134"/>
        <v>420</v>
      </c>
      <c r="T487" s="35" t="str">
        <f t="shared" si="135"/>
        <v/>
      </c>
      <c r="U487" s="3">
        <f t="shared" si="119"/>
        <v>0</v>
      </c>
      <c r="V487" s="3">
        <f t="shared" si="120"/>
        <v>0</v>
      </c>
      <c r="W487" s="3">
        <f t="shared" si="121"/>
        <v>0</v>
      </c>
      <c r="X487" s="3">
        <f t="shared" si="122"/>
        <v>0</v>
      </c>
      <c r="Y487" s="3">
        <f>0</f>
        <v>0</v>
      </c>
      <c r="Z487" s="3">
        <f t="shared" si="123"/>
        <v>0</v>
      </c>
      <c r="AA487">
        <f>ROUND(IF(A487=入力!$B$15+1,IF(E487=0,ROUND(C487/MAX(1,S486-A487+1),0),ROUND(-PMT(E487/12,MAX(1,S486-A487+1)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,0)</f>
        <v>0</v>
      </c>
    </row>
    <row r="488" spans="1:27">
      <c r="A488" s="30">
        <f>483</f>
        <v>483</v>
      </c>
      <c r="B488" s="31">
        <f>EDATE(入力!$B$6,A488-1)</f>
        <v>60906</v>
      </c>
      <c r="C488" s="32">
        <f t="shared" si="124"/>
        <v>0</v>
      </c>
      <c r="D488" s="32">
        <f t="shared" si="125"/>
        <v>0</v>
      </c>
      <c r="E488" s="33">
        <f>IF(AND(T487="",A488&lt;=S487),IF(A488&lt;入力!$B$11,入力!$B$10,入力!$B$12),0)</f>
        <v>0</v>
      </c>
      <c r="F488" s="32">
        <f t="shared" si="126"/>
        <v>0</v>
      </c>
      <c r="G488" s="32">
        <f>ROUND(IF(NOT(AND(T487="",A488&lt;=S487)),0,IF(A488=入力!$B$15+1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),0)</f>
        <v>0</v>
      </c>
      <c r="H488" s="32">
        <f t="shared" si="127"/>
        <v>0</v>
      </c>
      <c r="I488" s="32">
        <f t="shared" si="128"/>
        <v>0</v>
      </c>
      <c r="J488" s="32">
        <f t="shared" si="129"/>
        <v>0</v>
      </c>
      <c r="K488" s="32">
        <f t="shared" si="130"/>
        <v>0</v>
      </c>
      <c r="L488" s="32">
        <f t="shared" si="131"/>
        <v>0</v>
      </c>
      <c r="M488" s="32">
        <f>IF(AND(AND(T487="",A488&lt;=S487),A488=入力!$B$15),ROUND(MIN(入力!$B$16,MAX(0,C488-L488)),0),0)</f>
        <v>0</v>
      </c>
      <c r="N488" s="32">
        <f t="shared" si="132"/>
        <v>0</v>
      </c>
      <c r="O488" s="32">
        <f t="shared" si="133"/>
        <v>12386706</v>
      </c>
      <c r="P488" s="34" t="str">
        <f>IF(NOT(AND(T487="",A488&lt;=S487)),"",IF(A488=入力!$B$15+1,"繰上返済後再計算","")&amp;IF(AND(入力!$B$13="有効",A488&gt;1,MOD(A488-1,60)=0),IF(A488=入力!$B$15+1,"・","")&amp;"5年見直し","")&amp;IF(AND(A488=入力!$B$11,A488&gt;1),IF(OR(A488=入力!$B$15+1,AND(入力!$B$13="有効",A488&gt;1,MOD(A488-1,60)=0)),"・","")&amp;"金利変更","")&amp;IF(AND(OR(AND(入力!$B$13="有効",A488&gt;1,MOD(A488-1,60)=0),AND(A488=入力!$B$11,A488&gt;1)),入力!$B$14="有効",IF(E488=0,ROUND(C488/MAX(1,S487-A488+1),0),ROUND(-PMT(E488/12,MAX(1,S487-A488+1),C488),0))&gt;ROUND(G487*1.25,0),NOT(A488=入力!$B$15+1)),"・上限適用",""))</f>
        <v/>
      </c>
      <c r="Q488" s="35" t="str">
        <f>IF(AND(T487="",A488&lt;=S487),入力!$B$13,"")</f>
        <v/>
      </c>
      <c r="R488" s="32" t="str">
        <f>IF(AND(AND(T487="",A488&lt;=S487),OR(AND(入力!$B$13="有効",A488&gt;1,MOD(A488-1,60)=0),AND(A488=入力!$B$11,A488&gt;1)),入力!$B$14="有効"),ROUND(G487*1.25,0),"")</f>
        <v/>
      </c>
      <c r="S488" s="36">
        <f t="shared" si="134"/>
        <v>420</v>
      </c>
      <c r="T488" s="35" t="str">
        <f t="shared" si="135"/>
        <v/>
      </c>
      <c r="U488" s="3">
        <f t="shared" si="119"/>
        <v>0</v>
      </c>
      <c r="V488" s="3">
        <f t="shared" si="120"/>
        <v>0</v>
      </c>
      <c r="W488" s="3">
        <f t="shared" si="121"/>
        <v>0</v>
      </c>
      <c r="X488" s="3">
        <f t="shared" si="122"/>
        <v>0</v>
      </c>
      <c r="Y488" s="3">
        <f>0</f>
        <v>0</v>
      </c>
      <c r="Z488" s="3">
        <f t="shared" si="123"/>
        <v>0</v>
      </c>
      <c r="AA488">
        <f>ROUND(IF(A488=入力!$B$15+1,IF(E488=0,ROUND(C488/MAX(1,S487-A488+1),0),ROUND(-PMT(E488/12,MAX(1,S487-A488+1)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,0)</f>
        <v>0</v>
      </c>
    </row>
    <row r="489" spans="1:27">
      <c r="A489" s="30">
        <f>484</f>
        <v>484</v>
      </c>
      <c r="B489" s="31">
        <f>EDATE(入力!$B$6,A489-1)</f>
        <v>60937</v>
      </c>
      <c r="C489" s="32">
        <f t="shared" si="124"/>
        <v>0</v>
      </c>
      <c r="D489" s="32">
        <f t="shared" si="125"/>
        <v>0</v>
      </c>
      <c r="E489" s="33">
        <f>IF(AND(T488="",A489&lt;=S488),IF(A489&lt;入力!$B$11,入力!$B$10,入力!$B$12),0)</f>
        <v>0</v>
      </c>
      <c r="F489" s="32">
        <f t="shared" si="126"/>
        <v>0</v>
      </c>
      <c r="G489" s="32">
        <f>ROUND(IF(NOT(AND(T488="",A489&lt;=S488)),0,IF(A489=入力!$B$15+1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),0)</f>
        <v>0</v>
      </c>
      <c r="H489" s="32">
        <f t="shared" si="127"/>
        <v>0</v>
      </c>
      <c r="I489" s="32">
        <f t="shared" si="128"/>
        <v>0</v>
      </c>
      <c r="J489" s="32">
        <f t="shared" si="129"/>
        <v>0</v>
      </c>
      <c r="K489" s="32">
        <f t="shared" si="130"/>
        <v>0</v>
      </c>
      <c r="L489" s="32">
        <f t="shared" si="131"/>
        <v>0</v>
      </c>
      <c r="M489" s="32">
        <f>IF(AND(AND(T488="",A489&lt;=S488),A489=入力!$B$15),ROUND(MIN(入力!$B$16,MAX(0,C489-L489)),0),0)</f>
        <v>0</v>
      </c>
      <c r="N489" s="32">
        <f t="shared" si="132"/>
        <v>0</v>
      </c>
      <c r="O489" s="32">
        <f t="shared" si="133"/>
        <v>12386706</v>
      </c>
      <c r="P489" s="34" t="str">
        <f>IF(NOT(AND(T488="",A489&lt;=S488)),"",IF(A489=入力!$B$15+1,"繰上返済後再計算","")&amp;IF(AND(入力!$B$13="有効",A489&gt;1,MOD(A489-1,60)=0),IF(A489=入力!$B$15+1,"・","")&amp;"5年見直し","")&amp;IF(AND(A489=入力!$B$11,A489&gt;1),IF(OR(A489=入力!$B$15+1,AND(入力!$B$13="有効",A489&gt;1,MOD(A489-1,60)=0)),"・","")&amp;"金利変更","")&amp;IF(AND(OR(AND(入力!$B$13="有効",A489&gt;1,MOD(A489-1,60)=0),AND(A489=入力!$B$11,A489&gt;1)),入力!$B$14="有効",IF(E489=0,ROUND(C489/MAX(1,S488-A489+1),0),ROUND(-PMT(E489/12,MAX(1,S488-A489+1),C489),0))&gt;ROUND(G488*1.25,0),NOT(A489=入力!$B$15+1)),"・上限適用",""))</f>
        <v/>
      </c>
      <c r="Q489" s="35" t="str">
        <f>IF(AND(T488="",A489&lt;=S488),入力!$B$13,"")</f>
        <v/>
      </c>
      <c r="R489" s="32" t="str">
        <f>IF(AND(AND(T488="",A489&lt;=S488),OR(AND(入力!$B$13="有効",A489&gt;1,MOD(A489-1,60)=0),AND(A489=入力!$B$11,A489&gt;1)),入力!$B$14="有効"),ROUND(G488*1.25,0),"")</f>
        <v/>
      </c>
      <c r="S489" s="36">
        <f t="shared" si="134"/>
        <v>420</v>
      </c>
      <c r="T489" s="35" t="str">
        <f t="shared" si="135"/>
        <v/>
      </c>
      <c r="U489" s="3">
        <f t="shared" si="119"/>
        <v>0</v>
      </c>
      <c r="V489" s="3">
        <f t="shared" si="120"/>
        <v>0</v>
      </c>
      <c r="W489" s="3">
        <f t="shared" si="121"/>
        <v>0</v>
      </c>
      <c r="X489" s="3">
        <f t="shared" si="122"/>
        <v>0</v>
      </c>
      <c r="Y489" s="3">
        <f>0</f>
        <v>0</v>
      </c>
      <c r="Z489" s="3">
        <f t="shared" si="123"/>
        <v>0</v>
      </c>
      <c r="AA489">
        <f>ROUND(IF(A489=入力!$B$15+1,IF(E489=0,ROUND(C489/MAX(1,S488-A489+1),0),ROUND(-PMT(E489/12,MAX(1,S488-A489+1)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,0)</f>
        <v>0</v>
      </c>
    </row>
    <row r="490" spans="1:27">
      <c r="A490" s="30">
        <f>485</f>
        <v>485</v>
      </c>
      <c r="B490" s="31">
        <f>EDATE(入力!$B$6,A490-1)</f>
        <v>60967</v>
      </c>
      <c r="C490" s="32">
        <f t="shared" si="124"/>
        <v>0</v>
      </c>
      <c r="D490" s="32">
        <f t="shared" si="125"/>
        <v>0</v>
      </c>
      <c r="E490" s="33">
        <f>IF(AND(T489="",A490&lt;=S489),IF(A490&lt;入力!$B$11,入力!$B$10,入力!$B$12),0)</f>
        <v>0</v>
      </c>
      <c r="F490" s="32">
        <f t="shared" si="126"/>
        <v>0</v>
      </c>
      <c r="G490" s="32">
        <f>ROUND(IF(NOT(AND(T489="",A490&lt;=S489)),0,IF(A490=入力!$B$15+1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),0)</f>
        <v>0</v>
      </c>
      <c r="H490" s="32">
        <f t="shared" si="127"/>
        <v>0</v>
      </c>
      <c r="I490" s="32">
        <f t="shared" si="128"/>
        <v>0</v>
      </c>
      <c r="J490" s="32">
        <f t="shared" si="129"/>
        <v>0</v>
      </c>
      <c r="K490" s="32">
        <f t="shared" si="130"/>
        <v>0</v>
      </c>
      <c r="L490" s="32">
        <f t="shared" si="131"/>
        <v>0</v>
      </c>
      <c r="M490" s="32">
        <f>IF(AND(AND(T489="",A490&lt;=S489),A490=入力!$B$15),ROUND(MIN(入力!$B$16,MAX(0,C490-L490)),0),0)</f>
        <v>0</v>
      </c>
      <c r="N490" s="32">
        <f t="shared" si="132"/>
        <v>0</v>
      </c>
      <c r="O490" s="32">
        <f t="shared" si="133"/>
        <v>12386706</v>
      </c>
      <c r="P490" s="34" t="str">
        <f>IF(NOT(AND(T489="",A490&lt;=S489)),"",IF(A490=入力!$B$15+1,"繰上返済後再計算","")&amp;IF(AND(入力!$B$13="有効",A490&gt;1,MOD(A490-1,60)=0),IF(A490=入力!$B$15+1,"・","")&amp;"5年見直し","")&amp;IF(AND(A490=入力!$B$11,A490&gt;1),IF(OR(A490=入力!$B$15+1,AND(入力!$B$13="有効",A490&gt;1,MOD(A490-1,60)=0)),"・","")&amp;"金利変更","")&amp;IF(AND(OR(AND(入力!$B$13="有効",A490&gt;1,MOD(A490-1,60)=0),AND(A490=入力!$B$11,A490&gt;1)),入力!$B$14="有効",IF(E490=0,ROUND(C490/MAX(1,S489-A490+1),0),ROUND(-PMT(E490/12,MAX(1,S489-A490+1),C490),0))&gt;ROUND(G489*1.25,0),NOT(A490=入力!$B$15+1)),"・上限適用",""))</f>
        <v/>
      </c>
      <c r="Q490" s="35" t="str">
        <f>IF(AND(T489="",A490&lt;=S489),入力!$B$13,"")</f>
        <v/>
      </c>
      <c r="R490" s="32" t="str">
        <f>IF(AND(AND(T489="",A490&lt;=S489),OR(AND(入力!$B$13="有効",A490&gt;1,MOD(A490-1,60)=0),AND(A490=入力!$B$11,A490&gt;1)),入力!$B$14="有効"),ROUND(G489*1.25,0),"")</f>
        <v/>
      </c>
      <c r="S490" s="36">
        <f t="shared" si="134"/>
        <v>420</v>
      </c>
      <c r="T490" s="35" t="str">
        <f t="shared" si="135"/>
        <v/>
      </c>
      <c r="U490" s="3">
        <f t="shared" si="119"/>
        <v>0</v>
      </c>
      <c r="V490" s="3">
        <f t="shared" si="120"/>
        <v>0</v>
      </c>
      <c r="W490" s="3">
        <f t="shared" si="121"/>
        <v>0</v>
      </c>
      <c r="X490" s="3">
        <f t="shared" si="122"/>
        <v>0</v>
      </c>
      <c r="Y490" s="3">
        <f>0</f>
        <v>0</v>
      </c>
      <c r="Z490" s="3">
        <f t="shared" si="123"/>
        <v>0</v>
      </c>
      <c r="AA490">
        <f>ROUND(IF(A490=入力!$B$15+1,IF(E490=0,ROUND(C490/MAX(1,S489-A490+1),0),ROUND(-PMT(E490/12,MAX(1,S489-A490+1)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,0)</f>
        <v>0</v>
      </c>
    </row>
    <row r="491" spans="1:27">
      <c r="A491" s="30">
        <f>486</f>
        <v>486</v>
      </c>
      <c r="B491" s="31">
        <f>EDATE(入力!$B$6,A491-1)</f>
        <v>60998</v>
      </c>
      <c r="C491" s="32">
        <f t="shared" si="124"/>
        <v>0</v>
      </c>
      <c r="D491" s="32">
        <f t="shared" si="125"/>
        <v>0</v>
      </c>
      <c r="E491" s="33">
        <f>IF(AND(T490="",A491&lt;=S490),IF(A491&lt;入力!$B$11,入力!$B$10,入力!$B$12),0)</f>
        <v>0</v>
      </c>
      <c r="F491" s="32">
        <f t="shared" si="126"/>
        <v>0</v>
      </c>
      <c r="G491" s="32">
        <f>ROUND(IF(NOT(AND(T490="",A491&lt;=S490)),0,IF(A491=入力!$B$15+1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),0)</f>
        <v>0</v>
      </c>
      <c r="H491" s="32">
        <f t="shared" si="127"/>
        <v>0</v>
      </c>
      <c r="I491" s="32">
        <f t="shared" si="128"/>
        <v>0</v>
      </c>
      <c r="J491" s="32">
        <f t="shared" si="129"/>
        <v>0</v>
      </c>
      <c r="K491" s="32">
        <f t="shared" si="130"/>
        <v>0</v>
      </c>
      <c r="L491" s="32">
        <f t="shared" si="131"/>
        <v>0</v>
      </c>
      <c r="M491" s="32">
        <f>IF(AND(AND(T490="",A491&lt;=S490),A491=入力!$B$15),ROUND(MIN(入力!$B$16,MAX(0,C491-L491)),0),0)</f>
        <v>0</v>
      </c>
      <c r="N491" s="32">
        <f t="shared" si="132"/>
        <v>0</v>
      </c>
      <c r="O491" s="32">
        <f t="shared" si="133"/>
        <v>12386706</v>
      </c>
      <c r="P491" s="34" t="str">
        <f>IF(NOT(AND(T490="",A491&lt;=S490)),"",IF(A491=入力!$B$15+1,"繰上返済後再計算","")&amp;IF(AND(入力!$B$13="有効",A491&gt;1,MOD(A491-1,60)=0),IF(A491=入力!$B$15+1,"・","")&amp;"5年見直し","")&amp;IF(AND(A491=入力!$B$11,A491&gt;1),IF(OR(A491=入力!$B$15+1,AND(入力!$B$13="有効",A491&gt;1,MOD(A491-1,60)=0)),"・","")&amp;"金利変更","")&amp;IF(AND(OR(AND(入力!$B$13="有効",A491&gt;1,MOD(A491-1,60)=0),AND(A491=入力!$B$11,A491&gt;1)),入力!$B$14="有効",IF(E491=0,ROUND(C491/MAX(1,S490-A491+1),0),ROUND(-PMT(E491/12,MAX(1,S490-A491+1),C491),0))&gt;ROUND(G490*1.25,0),NOT(A491=入力!$B$15+1)),"・上限適用",""))</f>
        <v/>
      </c>
      <c r="Q491" s="35" t="str">
        <f>IF(AND(T490="",A491&lt;=S490),入力!$B$13,"")</f>
        <v/>
      </c>
      <c r="R491" s="32" t="str">
        <f>IF(AND(AND(T490="",A491&lt;=S490),OR(AND(入力!$B$13="有効",A491&gt;1,MOD(A491-1,60)=0),AND(A491=入力!$B$11,A491&gt;1)),入力!$B$14="有効"),ROUND(G490*1.25,0),"")</f>
        <v/>
      </c>
      <c r="S491" s="36">
        <f t="shared" si="134"/>
        <v>420</v>
      </c>
      <c r="T491" s="35" t="str">
        <f t="shared" si="135"/>
        <v/>
      </c>
      <c r="U491" s="3">
        <f t="shared" si="119"/>
        <v>0</v>
      </c>
      <c r="V491" s="3">
        <f t="shared" si="120"/>
        <v>0</v>
      </c>
      <c r="W491" s="3">
        <f t="shared" si="121"/>
        <v>0</v>
      </c>
      <c r="X491" s="3">
        <f t="shared" si="122"/>
        <v>0</v>
      </c>
      <c r="Y491" s="3">
        <f>0</f>
        <v>0</v>
      </c>
      <c r="Z491" s="3">
        <f t="shared" si="123"/>
        <v>0</v>
      </c>
      <c r="AA491">
        <f>ROUND(IF(A491=入力!$B$15+1,IF(E491=0,ROUND(C491/MAX(1,S490-A491+1),0),ROUND(-PMT(E491/12,MAX(1,S490-A491+1)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,0)</f>
        <v>0</v>
      </c>
    </row>
    <row r="492" spans="1:27">
      <c r="A492" s="30">
        <f>487</f>
        <v>487</v>
      </c>
      <c r="B492" s="31">
        <f>EDATE(入力!$B$6,A492-1)</f>
        <v>61029</v>
      </c>
      <c r="C492" s="32">
        <f t="shared" si="124"/>
        <v>0</v>
      </c>
      <c r="D492" s="32">
        <f t="shared" si="125"/>
        <v>0</v>
      </c>
      <c r="E492" s="33">
        <f>IF(AND(T491="",A492&lt;=S491),IF(A492&lt;入力!$B$11,入力!$B$10,入力!$B$12),0)</f>
        <v>0</v>
      </c>
      <c r="F492" s="32">
        <f t="shared" si="126"/>
        <v>0</v>
      </c>
      <c r="G492" s="32">
        <f>ROUND(IF(NOT(AND(T491="",A492&lt;=S491)),0,IF(A492=入力!$B$15+1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),0)</f>
        <v>0</v>
      </c>
      <c r="H492" s="32">
        <f t="shared" si="127"/>
        <v>0</v>
      </c>
      <c r="I492" s="32">
        <f t="shared" si="128"/>
        <v>0</v>
      </c>
      <c r="J492" s="32">
        <f t="shared" si="129"/>
        <v>0</v>
      </c>
      <c r="K492" s="32">
        <f t="shared" si="130"/>
        <v>0</v>
      </c>
      <c r="L492" s="32">
        <f t="shared" si="131"/>
        <v>0</v>
      </c>
      <c r="M492" s="32">
        <f>IF(AND(AND(T491="",A492&lt;=S491),A492=入力!$B$15),ROUND(MIN(入力!$B$16,MAX(0,C492-L492)),0),0)</f>
        <v>0</v>
      </c>
      <c r="N492" s="32">
        <f t="shared" si="132"/>
        <v>0</v>
      </c>
      <c r="O492" s="32">
        <f t="shared" si="133"/>
        <v>12386706</v>
      </c>
      <c r="P492" s="34" t="str">
        <f>IF(NOT(AND(T491="",A492&lt;=S491)),"",IF(A492=入力!$B$15+1,"繰上返済後再計算","")&amp;IF(AND(入力!$B$13="有効",A492&gt;1,MOD(A492-1,60)=0),IF(A492=入力!$B$15+1,"・","")&amp;"5年見直し","")&amp;IF(AND(A492=入力!$B$11,A492&gt;1),IF(OR(A492=入力!$B$15+1,AND(入力!$B$13="有効",A492&gt;1,MOD(A492-1,60)=0)),"・","")&amp;"金利変更","")&amp;IF(AND(OR(AND(入力!$B$13="有効",A492&gt;1,MOD(A492-1,60)=0),AND(A492=入力!$B$11,A492&gt;1)),入力!$B$14="有効",IF(E492=0,ROUND(C492/MAX(1,S491-A492+1),0),ROUND(-PMT(E492/12,MAX(1,S491-A492+1),C492),0))&gt;ROUND(G491*1.25,0),NOT(A492=入力!$B$15+1)),"・上限適用",""))</f>
        <v/>
      </c>
      <c r="Q492" s="35" t="str">
        <f>IF(AND(T491="",A492&lt;=S491),入力!$B$13,"")</f>
        <v/>
      </c>
      <c r="R492" s="32" t="str">
        <f>IF(AND(AND(T491="",A492&lt;=S491),OR(AND(入力!$B$13="有効",A492&gt;1,MOD(A492-1,60)=0),AND(A492=入力!$B$11,A492&gt;1)),入力!$B$14="有効"),ROUND(G491*1.25,0),"")</f>
        <v/>
      </c>
      <c r="S492" s="36">
        <f t="shared" si="134"/>
        <v>420</v>
      </c>
      <c r="T492" s="35" t="str">
        <f t="shared" si="135"/>
        <v/>
      </c>
      <c r="U492" s="3">
        <f t="shared" si="119"/>
        <v>0</v>
      </c>
      <c r="V492" s="3">
        <f t="shared" si="120"/>
        <v>0</v>
      </c>
      <c r="W492" s="3">
        <f t="shared" si="121"/>
        <v>0</v>
      </c>
      <c r="X492" s="3">
        <f t="shared" si="122"/>
        <v>0</v>
      </c>
      <c r="Y492" s="3">
        <f>0</f>
        <v>0</v>
      </c>
      <c r="Z492" s="3">
        <f t="shared" si="123"/>
        <v>0</v>
      </c>
      <c r="AA492">
        <f>ROUND(IF(A492=入力!$B$15+1,IF(E492=0,ROUND(C492/MAX(1,S491-A492+1),0),ROUND(-PMT(E492/12,MAX(1,S491-A492+1)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,0)</f>
        <v>0</v>
      </c>
    </row>
    <row r="493" spans="1:27">
      <c r="A493" s="30">
        <f>488</f>
        <v>488</v>
      </c>
      <c r="B493" s="31">
        <f>EDATE(入力!$B$6,A493-1)</f>
        <v>61057</v>
      </c>
      <c r="C493" s="32">
        <f t="shared" si="124"/>
        <v>0</v>
      </c>
      <c r="D493" s="32">
        <f t="shared" si="125"/>
        <v>0</v>
      </c>
      <c r="E493" s="33">
        <f>IF(AND(T492="",A493&lt;=S492),IF(A493&lt;入力!$B$11,入力!$B$10,入力!$B$12),0)</f>
        <v>0</v>
      </c>
      <c r="F493" s="32">
        <f t="shared" si="126"/>
        <v>0</v>
      </c>
      <c r="G493" s="32">
        <f>ROUND(IF(NOT(AND(T492="",A493&lt;=S492)),0,IF(A493=入力!$B$15+1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),0)</f>
        <v>0</v>
      </c>
      <c r="H493" s="32">
        <f t="shared" si="127"/>
        <v>0</v>
      </c>
      <c r="I493" s="32">
        <f t="shared" si="128"/>
        <v>0</v>
      </c>
      <c r="J493" s="32">
        <f t="shared" si="129"/>
        <v>0</v>
      </c>
      <c r="K493" s="32">
        <f t="shared" si="130"/>
        <v>0</v>
      </c>
      <c r="L493" s="32">
        <f t="shared" si="131"/>
        <v>0</v>
      </c>
      <c r="M493" s="32">
        <f>IF(AND(AND(T492="",A493&lt;=S492),A493=入力!$B$15),ROUND(MIN(入力!$B$16,MAX(0,C493-L493)),0),0)</f>
        <v>0</v>
      </c>
      <c r="N493" s="32">
        <f t="shared" si="132"/>
        <v>0</v>
      </c>
      <c r="O493" s="32">
        <f t="shared" si="133"/>
        <v>12386706</v>
      </c>
      <c r="P493" s="34" t="str">
        <f>IF(NOT(AND(T492="",A493&lt;=S492)),"",IF(A493=入力!$B$15+1,"繰上返済後再計算","")&amp;IF(AND(入力!$B$13="有効",A493&gt;1,MOD(A493-1,60)=0),IF(A493=入力!$B$15+1,"・","")&amp;"5年見直し","")&amp;IF(AND(A493=入力!$B$11,A493&gt;1),IF(OR(A493=入力!$B$15+1,AND(入力!$B$13="有効",A493&gt;1,MOD(A493-1,60)=0)),"・","")&amp;"金利変更","")&amp;IF(AND(OR(AND(入力!$B$13="有効",A493&gt;1,MOD(A493-1,60)=0),AND(A493=入力!$B$11,A493&gt;1)),入力!$B$14="有効",IF(E493=0,ROUND(C493/MAX(1,S492-A493+1),0),ROUND(-PMT(E493/12,MAX(1,S492-A493+1),C493),0))&gt;ROUND(G492*1.25,0),NOT(A493=入力!$B$15+1)),"・上限適用",""))</f>
        <v/>
      </c>
      <c r="Q493" s="35" t="str">
        <f>IF(AND(T492="",A493&lt;=S492),入力!$B$13,"")</f>
        <v/>
      </c>
      <c r="R493" s="32" t="str">
        <f>IF(AND(AND(T492="",A493&lt;=S492),OR(AND(入力!$B$13="有効",A493&gt;1,MOD(A493-1,60)=0),AND(A493=入力!$B$11,A493&gt;1)),入力!$B$14="有効"),ROUND(G492*1.25,0),"")</f>
        <v/>
      </c>
      <c r="S493" s="36">
        <f t="shared" si="134"/>
        <v>420</v>
      </c>
      <c r="T493" s="35" t="str">
        <f t="shared" si="135"/>
        <v/>
      </c>
      <c r="U493" s="3">
        <f t="shared" si="119"/>
        <v>0</v>
      </c>
      <c r="V493" s="3">
        <f t="shared" si="120"/>
        <v>0</v>
      </c>
      <c r="W493" s="3">
        <f t="shared" si="121"/>
        <v>0</v>
      </c>
      <c r="X493" s="3">
        <f t="shared" si="122"/>
        <v>0</v>
      </c>
      <c r="Y493" s="3">
        <f>0</f>
        <v>0</v>
      </c>
      <c r="Z493" s="3">
        <f t="shared" si="123"/>
        <v>0</v>
      </c>
      <c r="AA493">
        <f>ROUND(IF(A493=入力!$B$15+1,IF(E493=0,ROUND(C493/MAX(1,S492-A493+1),0),ROUND(-PMT(E493/12,MAX(1,S492-A493+1)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,0)</f>
        <v>0</v>
      </c>
    </row>
    <row r="494" spans="1:27">
      <c r="A494" s="30">
        <f>489</f>
        <v>489</v>
      </c>
      <c r="B494" s="31">
        <f>EDATE(入力!$B$6,A494-1)</f>
        <v>61088</v>
      </c>
      <c r="C494" s="32">
        <f t="shared" si="124"/>
        <v>0</v>
      </c>
      <c r="D494" s="32">
        <f t="shared" si="125"/>
        <v>0</v>
      </c>
      <c r="E494" s="33">
        <f>IF(AND(T493="",A494&lt;=S493),IF(A494&lt;入力!$B$11,入力!$B$10,入力!$B$12),0)</f>
        <v>0</v>
      </c>
      <c r="F494" s="32">
        <f t="shared" si="126"/>
        <v>0</v>
      </c>
      <c r="G494" s="32">
        <f>ROUND(IF(NOT(AND(T493="",A494&lt;=S493)),0,IF(A494=入力!$B$15+1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),0)</f>
        <v>0</v>
      </c>
      <c r="H494" s="32">
        <f t="shared" si="127"/>
        <v>0</v>
      </c>
      <c r="I494" s="32">
        <f t="shared" si="128"/>
        <v>0</v>
      </c>
      <c r="J494" s="32">
        <f t="shared" si="129"/>
        <v>0</v>
      </c>
      <c r="K494" s="32">
        <f t="shared" si="130"/>
        <v>0</v>
      </c>
      <c r="L494" s="32">
        <f t="shared" si="131"/>
        <v>0</v>
      </c>
      <c r="M494" s="32">
        <f>IF(AND(AND(T493="",A494&lt;=S493),A494=入力!$B$15),ROUND(MIN(入力!$B$16,MAX(0,C494-L494)),0),0)</f>
        <v>0</v>
      </c>
      <c r="N494" s="32">
        <f t="shared" si="132"/>
        <v>0</v>
      </c>
      <c r="O494" s="32">
        <f t="shared" si="133"/>
        <v>12386706</v>
      </c>
      <c r="P494" s="34" t="str">
        <f>IF(NOT(AND(T493="",A494&lt;=S493)),"",IF(A494=入力!$B$15+1,"繰上返済後再計算","")&amp;IF(AND(入力!$B$13="有効",A494&gt;1,MOD(A494-1,60)=0),IF(A494=入力!$B$15+1,"・","")&amp;"5年見直し","")&amp;IF(AND(A494=入力!$B$11,A494&gt;1),IF(OR(A494=入力!$B$15+1,AND(入力!$B$13="有効",A494&gt;1,MOD(A494-1,60)=0)),"・","")&amp;"金利変更","")&amp;IF(AND(OR(AND(入力!$B$13="有効",A494&gt;1,MOD(A494-1,60)=0),AND(A494=入力!$B$11,A494&gt;1)),入力!$B$14="有効",IF(E494=0,ROUND(C494/MAX(1,S493-A494+1),0),ROUND(-PMT(E494/12,MAX(1,S493-A494+1),C494),0))&gt;ROUND(G493*1.25,0),NOT(A494=入力!$B$15+1)),"・上限適用",""))</f>
        <v/>
      </c>
      <c r="Q494" s="35" t="str">
        <f>IF(AND(T493="",A494&lt;=S493),入力!$B$13,"")</f>
        <v/>
      </c>
      <c r="R494" s="32" t="str">
        <f>IF(AND(AND(T493="",A494&lt;=S493),OR(AND(入力!$B$13="有効",A494&gt;1,MOD(A494-1,60)=0),AND(A494=入力!$B$11,A494&gt;1)),入力!$B$14="有効"),ROUND(G493*1.25,0),"")</f>
        <v/>
      </c>
      <c r="S494" s="36">
        <f t="shared" si="134"/>
        <v>420</v>
      </c>
      <c r="T494" s="35" t="str">
        <f t="shared" si="135"/>
        <v/>
      </c>
      <c r="U494" s="3">
        <f t="shared" si="119"/>
        <v>0</v>
      </c>
      <c r="V494" s="3">
        <f t="shared" si="120"/>
        <v>0</v>
      </c>
      <c r="W494" s="3">
        <f t="shared" si="121"/>
        <v>0</v>
      </c>
      <c r="X494" s="3">
        <f t="shared" si="122"/>
        <v>0</v>
      </c>
      <c r="Y494" s="3">
        <f>0</f>
        <v>0</v>
      </c>
      <c r="Z494" s="3">
        <f t="shared" si="123"/>
        <v>0</v>
      </c>
      <c r="AA494">
        <f>ROUND(IF(A494=入力!$B$15+1,IF(E494=0,ROUND(C494/MAX(1,S493-A494+1),0),ROUND(-PMT(E494/12,MAX(1,S493-A494+1)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,0)</f>
        <v>0</v>
      </c>
    </row>
    <row r="495" spans="1:27">
      <c r="A495" s="30">
        <f>490</f>
        <v>490</v>
      </c>
      <c r="B495" s="31">
        <f>EDATE(入力!$B$6,A495-1)</f>
        <v>61118</v>
      </c>
      <c r="C495" s="32">
        <f t="shared" si="124"/>
        <v>0</v>
      </c>
      <c r="D495" s="32">
        <f t="shared" si="125"/>
        <v>0</v>
      </c>
      <c r="E495" s="33">
        <f>IF(AND(T494="",A495&lt;=S494),IF(A495&lt;入力!$B$11,入力!$B$10,入力!$B$12),0)</f>
        <v>0</v>
      </c>
      <c r="F495" s="32">
        <f t="shared" si="126"/>
        <v>0</v>
      </c>
      <c r="G495" s="32">
        <f>ROUND(IF(NOT(AND(T494="",A495&lt;=S494)),0,IF(A495=入力!$B$15+1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),0)</f>
        <v>0</v>
      </c>
      <c r="H495" s="32">
        <f t="shared" si="127"/>
        <v>0</v>
      </c>
      <c r="I495" s="32">
        <f t="shared" si="128"/>
        <v>0</v>
      </c>
      <c r="J495" s="32">
        <f t="shared" si="129"/>
        <v>0</v>
      </c>
      <c r="K495" s="32">
        <f t="shared" si="130"/>
        <v>0</v>
      </c>
      <c r="L495" s="32">
        <f t="shared" si="131"/>
        <v>0</v>
      </c>
      <c r="M495" s="32">
        <f>IF(AND(AND(T494="",A495&lt;=S494),A495=入力!$B$15),ROUND(MIN(入力!$B$16,MAX(0,C495-L495)),0),0)</f>
        <v>0</v>
      </c>
      <c r="N495" s="32">
        <f t="shared" si="132"/>
        <v>0</v>
      </c>
      <c r="O495" s="32">
        <f t="shared" si="133"/>
        <v>12386706</v>
      </c>
      <c r="P495" s="34" t="str">
        <f>IF(NOT(AND(T494="",A495&lt;=S494)),"",IF(A495=入力!$B$15+1,"繰上返済後再計算","")&amp;IF(AND(入力!$B$13="有効",A495&gt;1,MOD(A495-1,60)=0),IF(A495=入力!$B$15+1,"・","")&amp;"5年見直し","")&amp;IF(AND(A495=入力!$B$11,A495&gt;1),IF(OR(A495=入力!$B$15+1,AND(入力!$B$13="有効",A495&gt;1,MOD(A495-1,60)=0)),"・","")&amp;"金利変更","")&amp;IF(AND(OR(AND(入力!$B$13="有効",A495&gt;1,MOD(A495-1,60)=0),AND(A495=入力!$B$11,A495&gt;1)),入力!$B$14="有効",IF(E495=0,ROUND(C495/MAX(1,S494-A495+1),0),ROUND(-PMT(E495/12,MAX(1,S494-A495+1),C495),0))&gt;ROUND(G494*1.25,0),NOT(A495=入力!$B$15+1)),"・上限適用",""))</f>
        <v/>
      </c>
      <c r="Q495" s="35" t="str">
        <f>IF(AND(T494="",A495&lt;=S494),入力!$B$13,"")</f>
        <v/>
      </c>
      <c r="R495" s="32" t="str">
        <f>IF(AND(AND(T494="",A495&lt;=S494),OR(AND(入力!$B$13="有効",A495&gt;1,MOD(A495-1,60)=0),AND(A495=入力!$B$11,A495&gt;1)),入力!$B$14="有効"),ROUND(G494*1.25,0),"")</f>
        <v/>
      </c>
      <c r="S495" s="36">
        <f t="shared" si="134"/>
        <v>420</v>
      </c>
      <c r="T495" s="35" t="str">
        <f t="shared" si="135"/>
        <v/>
      </c>
      <c r="U495" s="3">
        <f t="shared" si="119"/>
        <v>0</v>
      </c>
      <c r="V495" s="3">
        <f t="shared" si="120"/>
        <v>0</v>
      </c>
      <c r="W495" s="3">
        <f t="shared" si="121"/>
        <v>0</v>
      </c>
      <c r="X495" s="3">
        <f t="shared" si="122"/>
        <v>0</v>
      </c>
      <c r="Y495" s="3">
        <f>0</f>
        <v>0</v>
      </c>
      <c r="Z495" s="3">
        <f t="shared" si="123"/>
        <v>0</v>
      </c>
      <c r="AA495">
        <f>ROUND(IF(A495=入力!$B$15+1,IF(E495=0,ROUND(C495/MAX(1,S494-A495+1),0),ROUND(-PMT(E495/12,MAX(1,S494-A495+1)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,0)</f>
        <v>0</v>
      </c>
    </row>
    <row r="496" spans="1:27">
      <c r="A496" s="30">
        <f>491</f>
        <v>491</v>
      </c>
      <c r="B496" s="31">
        <f>EDATE(入力!$B$6,A496-1)</f>
        <v>61149</v>
      </c>
      <c r="C496" s="32">
        <f t="shared" si="124"/>
        <v>0</v>
      </c>
      <c r="D496" s="32">
        <f t="shared" si="125"/>
        <v>0</v>
      </c>
      <c r="E496" s="33">
        <f>IF(AND(T495="",A496&lt;=S495),IF(A496&lt;入力!$B$11,入力!$B$10,入力!$B$12),0)</f>
        <v>0</v>
      </c>
      <c r="F496" s="32">
        <f t="shared" si="126"/>
        <v>0</v>
      </c>
      <c r="G496" s="32">
        <f>ROUND(IF(NOT(AND(T495="",A496&lt;=S495)),0,IF(A496=入力!$B$15+1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),0)</f>
        <v>0</v>
      </c>
      <c r="H496" s="32">
        <f t="shared" si="127"/>
        <v>0</v>
      </c>
      <c r="I496" s="32">
        <f t="shared" si="128"/>
        <v>0</v>
      </c>
      <c r="J496" s="32">
        <f t="shared" si="129"/>
        <v>0</v>
      </c>
      <c r="K496" s="32">
        <f t="shared" si="130"/>
        <v>0</v>
      </c>
      <c r="L496" s="32">
        <f t="shared" si="131"/>
        <v>0</v>
      </c>
      <c r="M496" s="32">
        <f>IF(AND(AND(T495="",A496&lt;=S495),A496=入力!$B$15),ROUND(MIN(入力!$B$16,MAX(0,C496-L496)),0),0)</f>
        <v>0</v>
      </c>
      <c r="N496" s="32">
        <f t="shared" si="132"/>
        <v>0</v>
      </c>
      <c r="O496" s="32">
        <f t="shared" si="133"/>
        <v>12386706</v>
      </c>
      <c r="P496" s="34" t="str">
        <f>IF(NOT(AND(T495="",A496&lt;=S495)),"",IF(A496=入力!$B$15+1,"繰上返済後再計算","")&amp;IF(AND(入力!$B$13="有効",A496&gt;1,MOD(A496-1,60)=0),IF(A496=入力!$B$15+1,"・","")&amp;"5年見直し","")&amp;IF(AND(A496=入力!$B$11,A496&gt;1),IF(OR(A496=入力!$B$15+1,AND(入力!$B$13="有効",A496&gt;1,MOD(A496-1,60)=0)),"・","")&amp;"金利変更","")&amp;IF(AND(OR(AND(入力!$B$13="有効",A496&gt;1,MOD(A496-1,60)=0),AND(A496=入力!$B$11,A496&gt;1)),入力!$B$14="有効",IF(E496=0,ROUND(C496/MAX(1,S495-A496+1),0),ROUND(-PMT(E496/12,MAX(1,S495-A496+1),C496),0))&gt;ROUND(G495*1.25,0),NOT(A496=入力!$B$15+1)),"・上限適用",""))</f>
        <v/>
      </c>
      <c r="Q496" s="35" t="str">
        <f>IF(AND(T495="",A496&lt;=S495),入力!$B$13,"")</f>
        <v/>
      </c>
      <c r="R496" s="32" t="str">
        <f>IF(AND(AND(T495="",A496&lt;=S495),OR(AND(入力!$B$13="有効",A496&gt;1,MOD(A496-1,60)=0),AND(A496=入力!$B$11,A496&gt;1)),入力!$B$14="有効"),ROUND(G495*1.25,0),"")</f>
        <v/>
      </c>
      <c r="S496" s="36">
        <f t="shared" si="134"/>
        <v>420</v>
      </c>
      <c r="T496" s="35" t="str">
        <f t="shared" si="135"/>
        <v/>
      </c>
      <c r="U496" s="3">
        <f t="shared" si="119"/>
        <v>0</v>
      </c>
      <c r="V496" s="3">
        <f t="shared" si="120"/>
        <v>0</v>
      </c>
      <c r="W496" s="3">
        <f t="shared" si="121"/>
        <v>0</v>
      </c>
      <c r="X496" s="3">
        <f t="shared" si="122"/>
        <v>0</v>
      </c>
      <c r="Y496" s="3">
        <f>0</f>
        <v>0</v>
      </c>
      <c r="Z496" s="3">
        <f t="shared" si="123"/>
        <v>0</v>
      </c>
      <c r="AA496">
        <f>ROUND(IF(A496=入力!$B$15+1,IF(E496=0,ROUND(C496/MAX(1,S495-A496+1),0),ROUND(-PMT(E496/12,MAX(1,S495-A496+1)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,0)</f>
        <v>0</v>
      </c>
    </row>
    <row r="497" spans="1:27">
      <c r="A497" s="30">
        <f>492</f>
        <v>492</v>
      </c>
      <c r="B497" s="31">
        <f>EDATE(入力!$B$6,A497-1)</f>
        <v>61179</v>
      </c>
      <c r="C497" s="32">
        <f t="shared" si="124"/>
        <v>0</v>
      </c>
      <c r="D497" s="32">
        <f t="shared" si="125"/>
        <v>0</v>
      </c>
      <c r="E497" s="33">
        <f>IF(AND(T496="",A497&lt;=S496),IF(A497&lt;入力!$B$11,入力!$B$10,入力!$B$12),0)</f>
        <v>0</v>
      </c>
      <c r="F497" s="32">
        <f t="shared" si="126"/>
        <v>0</v>
      </c>
      <c r="G497" s="32">
        <f>ROUND(IF(NOT(AND(T496="",A497&lt;=S496)),0,IF(A497=入力!$B$15+1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),0)</f>
        <v>0</v>
      </c>
      <c r="H497" s="32">
        <f t="shared" si="127"/>
        <v>0</v>
      </c>
      <c r="I497" s="32">
        <f t="shared" si="128"/>
        <v>0</v>
      </c>
      <c r="J497" s="32">
        <f t="shared" si="129"/>
        <v>0</v>
      </c>
      <c r="K497" s="32">
        <f t="shared" si="130"/>
        <v>0</v>
      </c>
      <c r="L497" s="32">
        <f t="shared" si="131"/>
        <v>0</v>
      </c>
      <c r="M497" s="32">
        <f>IF(AND(AND(T496="",A497&lt;=S496),A497=入力!$B$15),ROUND(MIN(入力!$B$16,MAX(0,C497-L497)),0),0)</f>
        <v>0</v>
      </c>
      <c r="N497" s="32">
        <f t="shared" si="132"/>
        <v>0</v>
      </c>
      <c r="O497" s="32">
        <f t="shared" si="133"/>
        <v>12386706</v>
      </c>
      <c r="P497" s="34" t="str">
        <f>IF(NOT(AND(T496="",A497&lt;=S496)),"",IF(A497=入力!$B$15+1,"繰上返済後再計算","")&amp;IF(AND(入力!$B$13="有効",A497&gt;1,MOD(A497-1,60)=0),IF(A497=入力!$B$15+1,"・","")&amp;"5年見直し","")&amp;IF(AND(A497=入力!$B$11,A497&gt;1),IF(OR(A497=入力!$B$15+1,AND(入力!$B$13="有効",A497&gt;1,MOD(A497-1,60)=0)),"・","")&amp;"金利変更","")&amp;IF(AND(OR(AND(入力!$B$13="有効",A497&gt;1,MOD(A497-1,60)=0),AND(A497=入力!$B$11,A497&gt;1)),入力!$B$14="有効",IF(E497=0,ROUND(C497/MAX(1,S496-A497+1),0),ROUND(-PMT(E497/12,MAX(1,S496-A497+1),C497),0))&gt;ROUND(G496*1.25,0),NOT(A497=入力!$B$15+1)),"・上限適用",""))</f>
        <v/>
      </c>
      <c r="Q497" s="35" t="str">
        <f>IF(AND(T496="",A497&lt;=S496),入力!$B$13,"")</f>
        <v/>
      </c>
      <c r="R497" s="32" t="str">
        <f>IF(AND(AND(T496="",A497&lt;=S496),OR(AND(入力!$B$13="有効",A497&gt;1,MOD(A497-1,60)=0),AND(A497=入力!$B$11,A497&gt;1)),入力!$B$14="有効"),ROUND(G496*1.25,0),"")</f>
        <v/>
      </c>
      <c r="S497" s="36">
        <f t="shared" si="134"/>
        <v>420</v>
      </c>
      <c r="T497" s="35" t="str">
        <f t="shared" si="135"/>
        <v/>
      </c>
      <c r="U497" s="3">
        <f t="shared" si="119"/>
        <v>0</v>
      </c>
      <c r="V497" s="3">
        <f t="shared" si="120"/>
        <v>0</v>
      </c>
      <c r="W497" s="3">
        <f t="shared" si="121"/>
        <v>0</v>
      </c>
      <c r="X497" s="3">
        <f t="shared" si="122"/>
        <v>0</v>
      </c>
      <c r="Y497" s="3">
        <f>0</f>
        <v>0</v>
      </c>
      <c r="Z497" s="3">
        <f t="shared" si="123"/>
        <v>0</v>
      </c>
      <c r="AA497">
        <f>ROUND(IF(A497=入力!$B$15+1,IF(E497=0,ROUND(C497/MAX(1,S496-A497+1),0),ROUND(-PMT(E497/12,MAX(1,S496-A497+1)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,0)</f>
        <v>0</v>
      </c>
    </row>
    <row r="498" spans="1:27">
      <c r="A498" s="30">
        <f>493</f>
        <v>493</v>
      </c>
      <c r="B498" s="31">
        <f>EDATE(入力!$B$6,A498-1)</f>
        <v>61210</v>
      </c>
      <c r="C498" s="32">
        <f t="shared" si="124"/>
        <v>0</v>
      </c>
      <c r="D498" s="32">
        <f t="shared" si="125"/>
        <v>0</v>
      </c>
      <c r="E498" s="33">
        <f>IF(AND(T497="",A498&lt;=S497),IF(A498&lt;入力!$B$11,入力!$B$10,入力!$B$12),0)</f>
        <v>0</v>
      </c>
      <c r="F498" s="32">
        <f t="shared" si="126"/>
        <v>0</v>
      </c>
      <c r="G498" s="32">
        <f>ROUND(IF(NOT(AND(T497="",A498&lt;=S497)),0,IF(A498=入力!$B$15+1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),0)</f>
        <v>0</v>
      </c>
      <c r="H498" s="32">
        <f t="shared" si="127"/>
        <v>0</v>
      </c>
      <c r="I498" s="32">
        <f t="shared" si="128"/>
        <v>0</v>
      </c>
      <c r="J498" s="32">
        <f t="shared" si="129"/>
        <v>0</v>
      </c>
      <c r="K498" s="32">
        <f t="shared" si="130"/>
        <v>0</v>
      </c>
      <c r="L498" s="32">
        <f t="shared" si="131"/>
        <v>0</v>
      </c>
      <c r="M498" s="32">
        <f>IF(AND(AND(T497="",A498&lt;=S497),A498=入力!$B$15),ROUND(MIN(入力!$B$16,MAX(0,C498-L498)),0),0)</f>
        <v>0</v>
      </c>
      <c r="N498" s="32">
        <f t="shared" si="132"/>
        <v>0</v>
      </c>
      <c r="O498" s="32">
        <f t="shared" si="133"/>
        <v>12386706</v>
      </c>
      <c r="P498" s="34" t="str">
        <f>IF(NOT(AND(T497="",A498&lt;=S497)),"",IF(A498=入力!$B$15+1,"繰上返済後再計算","")&amp;IF(AND(入力!$B$13="有効",A498&gt;1,MOD(A498-1,60)=0),IF(A498=入力!$B$15+1,"・","")&amp;"5年見直し","")&amp;IF(AND(A498=入力!$B$11,A498&gt;1),IF(OR(A498=入力!$B$15+1,AND(入力!$B$13="有効",A498&gt;1,MOD(A498-1,60)=0)),"・","")&amp;"金利変更","")&amp;IF(AND(OR(AND(入力!$B$13="有効",A498&gt;1,MOD(A498-1,60)=0),AND(A498=入力!$B$11,A498&gt;1)),入力!$B$14="有効",IF(E498=0,ROUND(C498/MAX(1,S497-A498+1),0),ROUND(-PMT(E498/12,MAX(1,S497-A498+1),C498),0))&gt;ROUND(G497*1.25,0),NOT(A498=入力!$B$15+1)),"・上限適用",""))</f>
        <v/>
      </c>
      <c r="Q498" s="35" t="str">
        <f>IF(AND(T497="",A498&lt;=S497),入力!$B$13,"")</f>
        <v/>
      </c>
      <c r="R498" s="32" t="str">
        <f>IF(AND(AND(T497="",A498&lt;=S497),OR(AND(入力!$B$13="有効",A498&gt;1,MOD(A498-1,60)=0),AND(A498=入力!$B$11,A498&gt;1)),入力!$B$14="有効"),ROUND(G497*1.25,0),"")</f>
        <v/>
      </c>
      <c r="S498" s="36">
        <f t="shared" si="134"/>
        <v>420</v>
      </c>
      <c r="T498" s="35" t="str">
        <f t="shared" si="135"/>
        <v/>
      </c>
      <c r="U498" s="3">
        <f t="shared" si="119"/>
        <v>0</v>
      </c>
      <c r="V498" s="3">
        <f t="shared" si="120"/>
        <v>0</v>
      </c>
      <c r="W498" s="3">
        <f t="shared" si="121"/>
        <v>0</v>
      </c>
      <c r="X498" s="3">
        <f t="shared" si="122"/>
        <v>0</v>
      </c>
      <c r="Y498" s="3">
        <f>0</f>
        <v>0</v>
      </c>
      <c r="Z498" s="3">
        <f t="shared" si="123"/>
        <v>0</v>
      </c>
      <c r="AA498">
        <f>ROUND(IF(A498=入力!$B$15+1,IF(E498=0,ROUND(C498/MAX(1,S497-A498+1),0),ROUND(-PMT(E498/12,MAX(1,S497-A498+1)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,0)</f>
        <v>0</v>
      </c>
    </row>
    <row r="499" spans="1:27">
      <c r="A499" s="30">
        <f>494</f>
        <v>494</v>
      </c>
      <c r="B499" s="31">
        <f>EDATE(入力!$B$6,A499-1)</f>
        <v>61241</v>
      </c>
      <c r="C499" s="32">
        <f t="shared" si="124"/>
        <v>0</v>
      </c>
      <c r="D499" s="32">
        <f t="shared" si="125"/>
        <v>0</v>
      </c>
      <c r="E499" s="33">
        <f>IF(AND(T498="",A499&lt;=S498),IF(A499&lt;入力!$B$11,入力!$B$10,入力!$B$12),0)</f>
        <v>0</v>
      </c>
      <c r="F499" s="32">
        <f t="shared" si="126"/>
        <v>0</v>
      </c>
      <c r="G499" s="32">
        <f>ROUND(IF(NOT(AND(T498="",A499&lt;=S498)),0,IF(A499=入力!$B$15+1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),0)</f>
        <v>0</v>
      </c>
      <c r="H499" s="32">
        <f t="shared" si="127"/>
        <v>0</v>
      </c>
      <c r="I499" s="32">
        <f t="shared" si="128"/>
        <v>0</v>
      </c>
      <c r="J499" s="32">
        <f t="shared" si="129"/>
        <v>0</v>
      </c>
      <c r="K499" s="32">
        <f t="shared" si="130"/>
        <v>0</v>
      </c>
      <c r="L499" s="32">
        <f t="shared" si="131"/>
        <v>0</v>
      </c>
      <c r="M499" s="32">
        <f>IF(AND(AND(T498="",A499&lt;=S498),A499=入力!$B$15),ROUND(MIN(入力!$B$16,MAX(0,C499-L499)),0),0)</f>
        <v>0</v>
      </c>
      <c r="N499" s="32">
        <f t="shared" si="132"/>
        <v>0</v>
      </c>
      <c r="O499" s="32">
        <f t="shared" si="133"/>
        <v>12386706</v>
      </c>
      <c r="P499" s="34" t="str">
        <f>IF(NOT(AND(T498="",A499&lt;=S498)),"",IF(A499=入力!$B$15+1,"繰上返済後再計算","")&amp;IF(AND(入力!$B$13="有効",A499&gt;1,MOD(A499-1,60)=0),IF(A499=入力!$B$15+1,"・","")&amp;"5年見直し","")&amp;IF(AND(A499=入力!$B$11,A499&gt;1),IF(OR(A499=入力!$B$15+1,AND(入力!$B$13="有効",A499&gt;1,MOD(A499-1,60)=0)),"・","")&amp;"金利変更","")&amp;IF(AND(OR(AND(入力!$B$13="有効",A499&gt;1,MOD(A499-1,60)=0),AND(A499=入力!$B$11,A499&gt;1)),入力!$B$14="有効",IF(E499=0,ROUND(C499/MAX(1,S498-A499+1),0),ROUND(-PMT(E499/12,MAX(1,S498-A499+1),C499),0))&gt;ROUND(G498*1.25,0),NOT(A499=入力!$B$15+1)),"・上限適用",""))</f>
        <v/>
      </c>
      <c r="Q499" s="35" t="str">
        <f>IF(AND(T498="",A499&lt;=S498),入力!$B$13,"")</f>
        <v/>
      </c>
      <c r="R499" s="32" t="str">
        <f>IF(AND(AND(T498="",A499&lt;=S498),OR(AND(入力!$B$13="有効",A499&gt;1,MOD(A499-1,60)=0),AND(A499=入力!$B$11,A499&gt;1)),入力!$B$14="有効"),ROUND(G498*1.25,0),"")</f>
        <v/>
      </c>
      <c r="S499" s="36">
        <f t="shared" si="134"/>
        <v>420</v>
      </c>
      <c r="T499" s="35" t="str">
        <f t="shared" si="135"/>
        <v/>
      </c>
      <c r="U499" s="3">
        <f t="shared" si="119"/>
        <v>0</v>
      </c>
      <c r="V499" s="3">
        <f t="shared" si="120"/>
        <v>0</v>
      </c>
      <c r="W499" s="3">
        <f t="shared" si="121"/>
        <v>0</v>
      </c>
      <c r="X499" s="3">
        <f t="shared" si="122"/>
        <v>0</v>
      </c>
      <c r="Y499" s="3">
        <f>0</f>
        <v>0</v>
      </c>
      <c r="Z499" s="3">
        <f t="shared" si="123"/>
        <v>0</v>
      </c>
      <c r="AA499">
        <f>ROUND(IF(A499=入力!$B$15+1,IF(E499=0,ROUND(C499/MAX(1,S498-A499+1),0),ROUND(-PMT(E499/12,MAX(1,S498-A499+1)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,0)</f>
        <v>0</v>
      </c>
    </row>
    <row r="500" spans="1:27">
      <c r="A500" s="30">
        <f>495</f>
        <v>495</v>
      </c>
      <c r="B500" s="31">
        <f>EDATE(入力!$B$6,A500-1)</f>
        <v>61271</v>
      </c>
      <c r="C500" s="32">
        <f t="shared" si="124"/>
        <v>0</v>
      </c>
      <c r="D500" s="32">
        <f t="shared" si="125"/>
        <v>0</v>
      </c>
      <c r="E500" s="33">
        <f>IF(AND(T499="",A500&lt;=S499),IF(A500&lt;入力!$B$11,入力!$B$10,入力!$B$12),0)</f>
        <v>0</v>
      </c>
      <c r="F500" s="32">
        <f t="shared" si="126"/>
        <v>0</v>
      </c>
      <c r="G500" s="32">
        <f>ROUND(IF(NOT(AND(T499="",A500&lt;=S499)),0,IF(A500=入力!$B$15+1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),0)</f>
        <v>0</v>
      </c>
      <c r="H500" s="32">
        <f t="shared" si="127"/>
        <v>0</v>
      </c>
      <c r="I500" s="32">
        <f t="shared" si="128"/>
        <v>0</v>
      </c>
      <c r="J500" s="32">
        <f t="shared" si="129"/>
        <v>0</v>
      </c>
      <c r="K500" s="32">
        <f t="shared" si="130"/>
        <v>0</v>
      </c>
      <c r="L500" s="32">
        <f t="shared" si="131"/>
        <v>0</v>
      </c>
      <c r="M500" s="32">
        <f>IF(AND(AND(T499="",A500&lt;=S499),A500=入力!$B$15),ROUND(MIN(入力!$B$16,MAX(0,C500-L500)),0),0)</f>
        <v>0</v>
      </c>
      <c r="N500" s="32">
        <f t="shared" si="132"/>
        <v>0</v>
      </c>
      <c r="O500" s="32">
        <f t="shared" si="133"/>
        <v>12386706</v>
      </c>
      <c r="P500" s="34" t="str">
        <f>IF(NOT(AND(T499="",A500&lt;=S499)),"",IF(A500=入力!$B$15+1,"繰上返済後再計算","")&amp;IF(AND(入力!$B$13="有効",A500&gt;1,MOD(A500-1,60)=0),IF(A500=入力!$B$15+1,"・","")&amp;"5年見直し","")&amp;IF(AND(A500=入力!$B$11,A500&gt;1),IF(OR(A500=入力!$B$15+1,AND(入力!$B$13="有効",A500&gt;1,MOD(A500-1,60)=0)),"・","")&amp;"金利変更","")&amp;IF(AND(OR(AND(入力!$B$13="有効",A500&gt;1,MOD(A500-1,60)=0),AND(A500=入力!$B$11,A500&gt;1)),入力!$B$14="有効",IF(E500=0,ROUND(C500/MAX(1,S499-A500+1),0),ROUND(-PMT(E500/12,MAX(1,S499-A500+1),C500),0))&gt;ROUND(G499*1.25,0),NOT(A500=入力!$B$15+1)),"・上限適用",""))</f>
        <v/>
      </c>
      <c r="Q500" s="35" t="str">
        <f>IF(AND(T499="",A500&lt;=S499),入力!$B$13,"")</f>
        <v/>
      </c>
      <c r="R500" s="32" t="str">
        <f>IF(AND(AND(T499="",A500&lt;=S499),OR(AND(入力!$B$13="有効",A500&gt;1,MOD(A500-1,60)=0),AND(A500=入力!$B$11,A500&gt;1)),入力!$B$14="有効"),ROUND(G499*1.25,0),"")</f>
        <v/>
      </c>
      <c r="S500" s="36">
        <f t="shared" si="134"/>
        <v>420</v>
      </c>
      <c r="T500" s="35" t="str">
        <f t="shared" si="135"/>
        <v/>
      </c>
      <c r="U500" s="3">
        <f t="shared" si="119"/>
        <v>0</v>
      </c>
      <c r="V500" s="3">
        <f t="shared" si="120"/>
        <v>0</v>
      </c>
      <c r="W500" s="3">
        <f t="shared" si="121"/>
        <v>0</v>
      </c>
      <c r="X500" s="3">
        <f t="shared" si="122"/>
        <v>0</v>
      </c>
      <c r="Y500" s="3">
        <f>0</f>
        <v>0</v>
      </c>
      <c r="Z500" s="3">
        <f t="shared" si="123"/>
        <v>0</v>
      </c>
      <c r="AA500">
        <f>ROUND(IF(A500=入力!$B$15+1,IF(E500=0,ROUND(C500/MAX(1,S499-A500+1),0),ROUND(-PMT(E500/12,MAX(1,S499-A500+1)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,0)</f>
        <v>0</v>
      </c>
    </row>
    <row r="501" spans="1:27">
      <c r="A501" s="30">
        <f>496</f>
        <v>496</v>
      </c>
      <c r="B501" s="31">
        <f>EDATE(入力!$B$6,A501-1)</f>
        <v>61302</v>
      </c>
      <c r="C501" s="32">
        <f t="shared" si="124"/>
        <v>0</v>
      </c>
      <c r="D501" s="32">
        <f t="shared" si="125"/>
        <v>0</v>
      </c>
      <c r="E501" s="33">
        <f>IF(AND(T500="",A501&lt;=S500),IF(A501&lt;入力!$B$11,入力!$B$10,入力!$B$12),0)</f>
        <v>0</v>
      </c>
      <c r="F501" s="32">
        <f t="shared" si="126"/>
        <v>0</v>
      </c>
      <c r="G501" s="32">
        <f>ROUND(IF(NOT(AND(T500="",A501&lt;=S500)),0,IF(A501=入力!$B$15+1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),0)</f>
        <v>0</v>
      </c>
      <c r="H501" s="32">
        <f t="shared" si="127"/>
        <v>0</v>
      </c>
      <c r="I501" s="32">
        <f t="shared" si="128"/>
        <v>0</v>
      </c>
      <c r="J501" s="32">
        <f t="shared" si="129"/>
        <v>0</v>
      </c>
      <c r="K501" s="32">
        <f t="shared" si="130"/>
        <v>0</v>
      </c>
      <c r="L501" s="32">
        <f t="shared" si="131"/>
        <v>0</v>
      </c>
      <c r="M501" s="32">
        <f>IF(AND(AND(T500="",A501&lt;=S500),A501=入力!$B$15),ROUND(MIN(入力!$B$16,MAX(0,C501-L501)),0),0)</f>
        <v>0</v>
      </c>
      <c r="N501" s="32">
        <f t="shared" si="132"/>
        <v>0</v>
      </c>
      <c r="O501" s="32">
        <f t="shared" si="133"/>
        <v>12386706</v>
      </c>
      <c r="P501" s="34" t="str">
        <f>IF(NOT(AND(T500="",A501&lt;=S500)),"",IF(A501=入力!$B$15+1,"繰上返済後再計算","")&amp;IF(AND(入力!$B$13="有効",A501&gt;1,MOD(A501-1,60)=0),IF(A501=入力!$B$15+1,"・","")&amp;"5年見直し","")&amp;IF(AND(A501=入力!$B$11,A501&gt;1),IF(OR(A501=入力!$B$15+1,AND(入力!$B$13="有効",A501&gt;1,MOD(A501-1,60)=0)),"・","")&amp;"金利変更","")&amp;IF(AND(OR(AND(入力!$B$13="有効",A501&gt;1,MOD(A501-1,60)=0),AND(A501=入力!$B$11,A501&gt;1)),入力!$B$14="有効",IF(E501=0,ROUND(C501/MAX(1,S500-A501+1),0),ROUND(-PMT(E501/12,MAX(1,S500-A501+1),C501),0))&gt;ROUND(G500*1.25,0),NOT(A501=入力!$B$15+1)),"・上限適用",""))</f>
        <v/>
      </c>
      <c r="Q501" s="35" t="str">
        <f>IF(AND(T500="",A501&lt;=S500),入力!$B$13,"")</f>
        <v/>
      </c>
      <c r="R501" s="32" t="str">
        <f>IF(AND(AND(T500="",A501&lt;=S500),OR(AND(入力!$B$13="有効",A501&gt;1,MOD(A501-1,60)=0),AND(A501=入力!$B$11,A501&gt;1)),入力!$B$14="有効"),ROUND(G500*1.25,0),"")</f>
        <v/>
      </c>
      <c r="S501" s="36">
        <f t="shared" si="134"/>
        <v>420</v>
      </c>
      <c r="T501" s="35" t="str">
        <f t="shared" si="135"/>
        <v/>
      </c>
      <c r="U501" s="3">
        <f t="shared" si="119"/>
        <v>0</v>
      </c>
      <c r="V501" s="3">
        <f t="shared" si="120"/>
        <v>0</v>
      </c>
      <c r="W501" s="3">
        <f t="shared" si="121"/>
        <v>0</v>
      </c>
      <c r="X501" s="3">
        <f t="shared" si="122"/>
        <v>0</v>
      </c>
      <c r="Y501" s="3">
        <f>0</f>
        <v>0</v>
      </c>
      <c r="Z501" s="3">
        <f t="shared" si="123"/>
        <v>0</v>
      </c>
      <c r="AA501">
        <f>ROUND(IF(A501=入力!$B$15+1,IF(E501=0,ROUND(C501/MAX(1,S500-A501+1),0),ROUND(-PMT(E501/12,MAX(1,S500-A501+1)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,0)</f>
        <v>0</v>
      </c>
    </row>
    <row r="502" spans="1:27">
      <c r="A502" s="30">
        <f>497</f>
        <v>497</v>
      </c>
      <c r="B502" s="31">
        <f>EDATE(入力!$B$6,A502-1)</f>
        <v>61332</v>
      </c>
      <c r="C502" s="32">
        <f t="shared" si="124"/>
        <v>0</v>
      </c>
      <c r="D502" s="32">
        <f t="shared" si="125"/>
        <v>0</v>
      </c>
      <c r="E502" s="33">
        <f>IF(AND(T501="",A502&lt;=S501),IF(A502&lt;入力!$B$11,入力!$B$10,入力!$B$12),0)</f>
        <v>0</v>
      </c>
      <c r="F502" s="32">
        <f t="shared" si="126"/>
        <v>0</v>
      </c>
      <c r="G502" s="32">
        <f>ROUND(IF(NOT(AND(T501="",A502&lt;=S501)),0,IF(A502=入力!$B$15+1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),0)</f>
        <v>0</v>
      </c>
      <c r="H502" s="32">
        <f t="shared" si="127"/>
        <v>0</v>
      </c>
      <c r="I502" s="32">
        <f t="shared" si="128"/>
        <v>0</v>
      </c>
      <c r="J502" s="32">
        <f t="shared" si="129"/>
        <v>0</v>
      </c>
      <c r="K502" s="32">
        <f t="shared" si="130"/>
        <v>0</v>
      </c>
      <c r="L502" s="32">
        <f t="shared" si="131"/>
        <v>0</v>
      </c>
      <c r="M502" s="32">
        <f>IF(AND(AND(T501="",A502&lt;=S501),A502=入力!$B$15),ROUND(MIN(入力!$B$16,MAX(0,C502-L502)),0),0)</f>
        <v>0</v>
      </c>
      <c r="N502" s="32">
        <f t="shared" si="132"/>
        <v>0</v>
      </c>
      <c r="O502" s="32">
        <f t="shared" si="133"/>
        <v>12386706</v>
      </c>
      <c r="P502" s="34" t="str">
        <f>IF(NOT(AND(T501="",A502&lt;=S501)),"",IF(A502=入力!$B$15+1,"繰上返済後再計算","")&amp;IF(AND(入力!$B$13="有効",A502&gt;1,MOD(A502-1,60)=0),IF(A502=入力!$B$15+1,"・","")&amp;"5年見直し","")&amp;IF(AND(A502=入力!$B$11,A502&gt;1),IF(OR(A502=入力!$B$15+1,AND(入力!$B$13="有効",A502&gt;1,MOD(A502-1,60)=0)),"・","")&amp;"金利変更","")&amp;IF(AND(OR(AND(入力!$B$13="有効",A502&gt;1,MOD(A502-1,60)=0),AND(A502=入力!$B$11,A502&gt;1)),入力!$B$14="有効",IF(E502=0,ROUND(C502/MAX(1,S501-A502+1),0),ROUND(-PMT(E502/12,MAX(1,S501-A502+1),C502),0))&gt;ROUND(G501*1.25,0),NOT(A502=入力!$B$15+1)),"・上限適用",""))</f>
        <v/>
      </c>
      <c r="Q502" s="35" t="str">
        <f>IF(AND(T501="",A502&lt;=S501),入力!$B$13,"")</f>
        <v/>
      </c>
      <c r="R502" s="32" t="str">
        <f>IF(AND(AND(T501="",A502&lt;=S501),OR(AND(入力!$B$13="有効",A502&gt;1,MOD(A502-1,60)=0),AND(A502=入力!$B$11,A502&gt;1)),入力!$B$14="有効"),ROUND(G501*1.25,0),"")</f>
        <v/>
      </c>
      <c r="S502" s="36">
        <f t="shared" si="134"/>
        <v>420</v>
      </c>
      <c r="T502" s="35" t="str">
        <f t="shared" si="135"/>
        <v/>
      </c>
      <c r="U502" s="3">
        <f t="shared" si="119"/>
        <v>0</v>
      </c>
      <c r="V502" s="3">
        <f t="shared" si="120"/>
        <v>0</v>
      </c>
      <c r="W502" s="3">
        <f t="shared" si="121"/>
        <v>0</v>
      </c>
      <c r="X502" s="3">
        <f t="shared" si="122"/>
        <v>0</v>
      </c>
      <c r="Y502" s="3">
        <f>0</f>
        <v>0</v>
      </c>
      <c r="Z502" s="3">
        <f t="shared" si="123"/>
        <v>0</v>
      </c>
      <c r="AA502">
        <f>ROUND(IF(A502=入力!$B$15+1,IF(E502=0,ROUND(C502/MAX(1,S501-A502+1),0),ROUND(-PMT(E502/12,MAX(1,S501-A502+1)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,0)</f>
        <v>0</v>
      </c>
    </row>
    <row r="503" spans="1:27">
      <c r="A503" s="30">
        <f>498</f>
        <v>498</v>
      </c>
      <c r="B503" s="31">
        <f>EDATE(入力!$B$6,A503-1)</f>
        <v>61363</v>
      </c>
      <c r="C503" s="32">
        <f t="shared" si="124"/>
        <v>0</v>
      </c>
      <c r="D503" s="32">
        <f t="shared" si="125"/>
        <v>0</v>
      </c>
      <c r="E503" s="33">
        <f>IF(AND(T502="",A503&lt;=S502),IF(A503&lt;入力!$B$11,入力!$B$10,入力!$B$12),0)</f>
        <v>0</v>
      </c>
      <c r="F503" s="32">
        <f t="shared" si="126"/>
        <v>0</v>
      </c>
      <c r="G503" s="32">
        <f>ROUND(IF(NOT(AND(T502="",A503&lt;=S502)),0,IF(A503=入力!$B$15+1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),0)</f>
        <v>0</v>
      </c>
      <c r="H503" s="32">
        <f t="shared" si="127"/>
        <v>0</v>
      </c>
      <c r="I503" s="32">
        <f t="shared" si="128"/>
        <v>0</v>
      </c>
      <c r="J503" s="32">
        <f t="shared" si="129"/>
        <v>0</v>
      </c>
      <c r="K503" s="32">
        <f t="shared" si="130"/>
        <v>0</v>
      </c>
      <c r="L503" s="32">
        <f t="shared" si="131"/>
        <v>0</v>
      </c>
      <c r="M503" s="32">
        <f>IF(AND(AND(T502="",A503&lt;=S502),A503=入力!$B$15),ROUND(MIN(入力!$B$16,MAX(0,C503-L503)),0),0)</f>
        <v>0</v>
      </c>
      <c r="N503" s="32">
        <f t="shared" si="132"/>
        <v>0</v>
      </c>
      <c r="O503" s="32">
        <f t="shared" si="133"/>
        <v>12386706</v>
      </c>
      <c r="P503" s="34" t="str">
        <f>IF(NOT(AND(T502="",A503&lt;=S502)),"",IF(A503=入力!$B$15+1,"繰上返済後再計算","")&amp;IF(AND(入力!$B$13="有効",A503&gt;1,MOD(A503-1,60)=0),IF(A503=入力!$B$15+1,"・","")&amp;"5年見直し","")&amp;IF(AND(A503=入力!$B$11,A503&gt;1),IF(OR(A503=入力!$B$15+1,AND(入力!$B$13="有効",A503&gt;1,MOD(A503-1,60)=0)),"・","")&amp;"金利変更","")&amp;IF(AND(OR(AND(入力!$B$13="有効",A503&gt;1,MOD(A503-1,60)=0),AND(A503=入力!$B$11,A503&gt;1)),入力!$B$14="有効",IF(E503=0,ROUND(C503/MAX(1,S502-A503+1),0),ROUND(-PMT(E503/12,MAX(1,S502-A503+1),C503),0))&gt;ROUND(G502*1.25,0),NOT(A503=入力!$B$15+1)),"・上限適用",""))</f>
        <v/>
      </c>
      <c r="Q503" s="35" t="str">
        <f>IF(AND(T502="",A503&lt;=S502),入力!$B$13,"")</f>
        <v/>
      </c>
      <c r="R503" s="32" t="str">
        <f>IF(AND(AND(T502="",A503&lt;=S502),OR(AND(入力!$B$13="有効",A503&gt;1,MOD(A503-1,60)=0),AND(A503=入力!$B$11,A503&gt;1)),入力!$B$14="有効"),ROUND(G502*1.25,0),"")</f>
        <v/>
      </c>
      <c r="S503" s="36">
        <f t="shared" si="134"/>
        <v>420</v>
      </c>
      <c r="T503" s="35" t="str">
        <f t="shared" si="135"/>
        <v/>
      </c>
      <c r="U503" s="3">
        <f t="shared" si="119"/>
        <v>0</v>
      </c>
      <c r="V503" s="3">
        <f t="shared" si="120"/>
        <v>0</v>
      </c>
      <c r="W503" s="3">
        <f t="shared" si="121"/>
        <v>0</v>
      </c>
      <c r="X503" s="3">
        <f t="shared" si="122"/>
        <v>0</v>
      </c>
      <c r="Y503" s="3">
        <f>0</f>
        <v>0</v>
      </c>
      <c r="Z503" s="3">
        <f t="shared" si="123"/>
        <v>0</v>
      </c>
      <c r="AA503">
        <f>ROUND(IF(A503=入力!$B$15+1,IF(E503=0,ROUND(C503/MAX(1,S502-A503+1),0),ROUND(-PMT(E503/12,MAX(1,S502-A503+1)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,0)</f>
        <v>0</v>
      </c>
    </row>
    <row r="504" spans="1:27">
      <c r="A504" s="30">
        <f>499</f>
        <v>499</v>
      </c>
      <c r="B504" s="31">
        <f>EDATE(入力!$B$6,A504-1)</f>
        <v>61394</v>
      </c>
      <c r="C504" s="32">
        <f t="shared" si="124"/>
        <v>0</v>
      </c>
      <c r="D504" s="32">
        <f t="shared" si="125"/>
        <v>0</v>
      </c>
      <c r="E504" s="33">
        <f>IF(AND(T503="",A504&lt;=S503),IF(A504&lt;入力!$B$11,入力!$B$10,入力!$B$12),0)</f>
        <v>0</v>
      </c>
      <c r="F504" s="32">
        <f t="shared" si="126"/>
        <v>0</v>
      </c>
      <c r="G504" s="32">
        <f>ROUND(IF(NOT(AND(T503="",A504&lt;=S503)),0,IF(A504=入力!$B$15+1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),0)</f>
        <v>0</v>
      </c>
      <c r="H504" s="32">
        <f t="shared" si="127"/>
        <v>0</v>
      </c>
      <c r="I504" s="32">
        <f t="shared" si="128"/>
        <v>0</v>
      </c>
      <c r="J504" s="32">
        <f t="shared" si="129"/>
        <v>0</v>
      </c>
      <c r="K504" s="32">
        <f t="shared" si="130"/>
        <v>0</v>
      </c>
      <c r="L504" s="32">
        <f t="shared" si="131"/>
        <v>0</v>
      </c>
      <c r="M504" s="32">
        <f>IF(AND(AND(T503="",A504&lt;=S503),A504=入力!$B$15),ROUND(MIN(入力!$B$16,MAX(0,C504-L504)),0),0)</f>
        <v>0</v>
      </c>
      <c r="N504" s="32">
        <f t="shared" si="132"/>
        <v>0</v>
      </c>
      <c r="O504" s="32">
        <f t="shared" si="133"/>
        <v>12386706</v>
      </c>
      <c r="P504" s="34" t="str">
        <f>IF(NOT(AND(T503="",A504&lt;=S503)),"",IF(A504=入力!$B$15+1,"繰上返済後再計算","")&amp;IF(AND(入力!$B$13="有効",A504&gt;1,MOD(A504-1,60)=0),IF(A504=入力!$B$15+1,"・","")&amp;"5年見直し","")&amp;IF(AND(A504=入力!$B$11,A504&gt;1),IF(OR(A504=入力!$B$15+1,AND(入力!$B$13="有効",A504&gt;1,MOD(A504-1,60)=0)),"・","")&amp;"金利変更","")&amp;IF(AND(OR(AND(入力!$B$13="有効",A504&gt;1,MOD(A504-1,60)=0),AND(A504=入力!$B$11,A504&gt;1)),入力!$B$14="有効",IF(E504=0,ROUND(C504/MAX(1,S503-A504+1),0),ROUND(-PMT(E504/12,MAX(1,S503-A504+1),C504),0))&gt;ROUND(G503*1.25,0),NOT(A504=入力!$B$15+1)),"・上限適用",""))</f>
        <v/>
      </c>
      <c r="Q504" s="35" t="str">
        <f>IF(AND(T503="",A504&lt;=S503),入力!$B$13,"")</f>
        <v/>
      </c>
      <c r="R504" s="32" t="str">
        <f>IF(AND(AND(T503="",A504&lt;=S503),OR(AND(入力!$B$13="有効",A504&gt;1,MOD(A504-1,60)=0),AND(A504=入力!$B$11,A504&gt;1)),入力!$B$14="有効"),ROUND(G503*1.25,0),"")</f>
        <v/>
      </c>
      <c r="S504" s="36">
        <f t="shared" si="134"/>
        <v>420</v>
      </c>
      <c r="T504" s="35" t="str">
        <f t="shared" si="135"/>
        <v/>
      </c>
      <c r="U504" s="3">
        <f t="shared" si="119"/>
        <v>0</v>
      </c>
      <c r="V504" s="3">
        <f t="shared" si="120"/>
        <v>0</v>
      </c>
      <c r="W504" s="3">
        <f t="shared" si="121"/>
        <v>0</v>
      </c>
      <c r="X504" s="3">
        <f t="shared" si="122"/>
        <v>0</v>
      </c>
      <c r="Y504" s="3">
        <f>0</f>
        <v>0</v>
      </c>
      <c r="Z504" s="3">
        <f t="shared" si="123"/>
        <v>0</v>
      </c>
      <c r="AA504">
        <f>ROUND(IF(A504=入力!$B$15+1,IF(E504=0,ROUND(C504/MAX(1,S503-A504+1),0),ROUND(-PMT(E504/12,MAX(1,S503-A504+1)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,0)</f>
        <v>0</v>
      </c>
    </row>
    <row r="505" spans="1:27">
      <c r="A505" s="30">
        <f>500</f>
        <v>500</v>
      </c>
      <c r="B505" s="31">
        <f>EDATE(入力!$B$6,A505-1)</f>
        <v>61423</v>
      </c>
      <c r="C505" s="32">
        <f t="shared" si="124"/>
        <v>0</v>
      </c>
      <c r="D505" s="32">
        <f t="shared" si="125"/>
        <v>0</v>
      </c>
      <c r="E505" s="33">
        <f>IF(AND(T504="",A505&lt;=S504),IF(A505&lt;入力!$B$11,入力!$B$10,入力!$B$12),0)</f>
        <v>0</v>
      </c>
      <c r="F505" s="32">
        <f t="shared" si="126"/>
        <v>0</v>
      </c>
      <c r="G505" s="32">
        <f>ROUND(IF(NOT(AND(T504="",A505&lt;=S504)),0,IF(A505=入力!$B$15+1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),0)</f>
        <v>0</v>
      </c>
      <c r="H505" s="32">
        <f t="shared" si="127"/>
        <v>0</v>
      </c>
      <c r="I505" s="32">
        <f t="shared" si="128"/>
        <v>0</v>
      </c>
      <c r="J505" s="32">
        <f t="shared" si="129"/>
        <v>0</v>
      </c>
      <c r="K505" s="32">
        <f t="shared" si="130"/>
        <v>0</v>
      </c>
      <c r="L505" s="32">
        <f t="shared" si="131"/>
        <v>0</v>
      </c>
      <c r="M505" s="32">
        <f>IF(AND(AND(T504="",A505&lt;=S504),A505=入力!$B$15),ROUND(MIN(入力!$B$16,MAX(0,C505-L505)),0),0)</f>
        <v>0</v>
      </c>
      <c r="N505" s="32">
        <f t="shared" si="132"/>
        <v>0</v>
      </c>
      <c r="O505" s="32">
        <f t="shared" si="133"/>
        <v>12386706</v>
      </c>
      <c r="P505" s="34" t="str">
        <f>IF(NOT(AND(T504="",A505&lt;=S504)),"",IF(A505=入力!$B$15+1,"繰上返済後再計算","")&amp;IF(AND(入力!$B$13="有効",A505&gt;1,MOD(A505-1,60)=0),IF(A505=入力!$B$15+1,"・","")&amp;"5年見直し","")&amp;IF(AND(A505=入力!$B$11,A505&gt;1),IF(OR(A505=入力!$B$15+1,AND(入力!$B$13="有効",A505&gt;1,MOD(A505-1,60)=0)),"・","")&amp;"金利変更","")&amp;IF(AND(OR(AND(入力!$B$13="有効",A505&gt;1,MOD(A505-1,60)=0),AND(A505=入力!$B$11,A505&gt;1)),入力!$B$14="有効",IF(E505=0,ROUND(C505/MAX(1,S504-A505+1),0),ROUND(-PMT(E505/12,MAX(1,S504-A505+1),C505),0))&gt;ROUND(G504*1.25,0),NOT(A505=入力!$B$15+1)),"・上限適用",""))</f>
        <v/>
      </c>
      <c r="Q505" s="35" t="str">
        <f>IF(AND(T504="",A505&lt;=S504),入力!$B$13,"")</f>
        <v/>
      </c>
      <c r="R505" s="32" t="str">
        <f>IF(AND(AND(T504="",A505&lt;=S504),OR(AND(入力!$B$13="有効",A505&gt;1,MOD(A505-1,60)=0),AND(A505=入力!$B$11,A505&gt;1)),入力!$B$14="有効"),ROUND(G504*1.25,0),"")</f>
        <v/>
      </c>
      <c r="S505" s="36">
        <f t="shared" si="134"/>
        <v>420</v>
      </c>
      <c r="T505" s="35" t="str">
        <f t="shared" si="135"/>
        <v/>
      </c>
      <c r="U505" s="3">
        <f t="shared" si="119"/>
        <v>0</v>
      </c>
      <c r="V505" s="3">
        <f t="shared" si="120"/>
        <v>0</v>
      </c>
      <c r="W505" s="3">
        <f t="shared" si="121"/>
        <v>0</v>
      </c>
      <c r="X505" s="3">
        <f t="shared" si="122"/>
        <v>0</v>
      </c>
      <c r="Y505" s="3">
        <f>0</f>
        <v>0</v>
      </c>
      <c r="Z505" s="3">
        <f t="shared" si="123"/>
        <v>0</v>
      </c>
      <c r="AA505">
        <f>ROUND(IF(A505=入力!$B$15+1,IF(E505=0,ROUND(C505/MAX(1,S504-A505+1),0),ROUND(-PMT(E505/12,MAX(1,S504-A505+1)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,0)</f>
        <v>0</v>
      </c>
    </row>
    <row r="506" spans="1:27">
      <c r="A506" s="30">
        <f>501</f>
        <v>501</v>
      </c>
      <c r="B506" s="31">
        <f>EDATE(入力!$B$6,A506-1)</f>
        <v>61454</v>
      </c>
      <c r="C506" s="32">
        <f t="shared" si="124"/>
        <v>0</v>
      </c>
      <c r="D506" s="32">
        <f t="shared" si="125"/>
        <v>0</v>
      </c>
      <c r="E506" s="33">
        <f>IF(AND(T505="",A506&lt;=S505),IF(A506&lt;入力!$B$11,入力!$B$10,入力!$B$12),0)</f>
        <v>0</v>
      </c>
      <c r="F506" s="32">
        <f t="shared" si="126"/>
        <v>0</v>
      </c>
      <c r="G506" s="32">
        <f>ROUND(IF(NOT(AND(T505="",A506&lt;=S505)),0,IF(A506=入力!$B$15+1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),0)</f>
        <v>0</v>
      </c>
      <c r="H506" s="32">
        <f t="shared" si="127"/>
        <v>0</v>
      </c>
      <c r="I506" s="32">
        <f t="shared" si="128"/>
        <v>0</v>
      </c>
      <c r="J506" s="32">
        <f t="shared" si="129"/>
        <v>0</v>
      </c>
      <c r="K506" s="32">
        <f t="shared" si="130"/>
        <v>0</v>
      </c>
      <c r="L506" s="32">
        <f t="shared" si="131"/>
        <v>0</v>
      </c>
      <c r="M506" s="32">
        <f>IF(AND(AND(T505="",A506&lt;=S505),A506=入力!$B$15),ROUND(MIN(入力!$B$16,MAX(0,C506-L506)),0),0)</f>
        <v>0</v>
      </c>
      <c r="N506" s="32">
        <f t="shared" si="132"/>
        <v>0</v>
      </c>
      <c r="O506" s="32">
        <f t="shared" si="133"/>
        <v>12386706</v>
      </c>
      <c r="P506" s="34" t="str">
        <f>IF(NOT(AND(T505="",A506&lt;=S505)),"",IF(A506=入力!$B$15+1,"繰上返済後再計算","")&amp;IF(AND(入力!$B$13="有効",A506&gt;1,MOD(A506-1,60)=0),IF(A506=入力!$B$15+1,"・","")&amp;"5年見直し","")&amp;IF(AND(A506=入力!$B$11,A506&gt;1),IF(OR(A506=入力!$B$15+1,AND(入力!$B$13="有効",A506&gt;1,MOD(A506-1,60)=0)),"・","")&amp;"金利変更","")&amp;IF(AND(OR(AND(入力!$B$13="有効",A506&gt;1,MOD(A506-1,60)=0),AND(A506=入力!$B$11,A506&gt;1)),入力!$B$14="有効",IF(E506=0,ROUND(C506/MAX(1,S505-A506+1),0),ROUND(-PMT(E506/12,MAX(1,S505-A506+1),C506),0))&gt;ROUND(G505*1.25,0),NOT(A506=入力!$B$15+1)),"・上限適用",""))</f>
        <v/>
      </c>
      <c r="Q506" s="35" t="str">
        <f>IF(AND(T505="",A506&lt;=S505),入力!$B$13,"")</f>
        <v/>
      </c>
      <c r="R506" s="32" t="str">
        <f>IF(AND(AND(T505="",A506&lt;=S505),OR(AND(入力!$B$13="有効",A506&gt;1,MOD(A506-1,60)=0),AND(A506=入力!$B$11,A506&gt;1)),入力!$B$14="有効"),ROUND(G505*1.25,0),"")</f>
        <v/>
      </c>
      <c r="S506" s="36">
        <f t="shared" si="134"/>
        <v>420</v>
      </c>
      <c r="T506" s="35" t="str">
        <f t="shared" si="135"/>
        <v/>
      </c>
      <c r="U506" s="3">
        <f t="shared" si="119"/>
        <v>0</v>
      </c>
      <c r="V506" s="3">
        <f t="shared" si="120"/>
        <v>0</v>
      </c>
      <c r="W506" s="3">
        <f t="shared" si="121"/>
        <v>0</v>
      </c>
      <c r="X506" s="3">
        <f t="shared" si="122"/>
        <v>0</v>
      </c>
      <c r="Y506" s="3">
        <f>0</f>
        <v>0</v>
      </c>
      <c r="Z506" s="3">
        <f t="shared" si="123"/>
        <v>0</v>
      </c>
      <c r="AA506">
        <f>ROUND(IF(A506=入力!$B$15+1,IF(E506=0,ROUND(C506/MAX(1,S505-A506+1),0),ROUND(-PMT(E506/12,MAX(1,S505-A506+1)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,0)</f>
        <v>0</v>
      </c>
    </row>
    <row r="507" spans="1:27">
      <c r="A507" s="30">
        <f>502</f>
        <v>502</v>
      </c>
      <c r="B507" s="31">
        <f>EDATE(入力!$B$6,A507-1)</f>
        <v>61484</v>
      </c>
      <c r="C507" s="32">
        <f t="shared" si="124"/>
        <v>0</v>
      </c>
      <c r="D507" s="32">
        <f t="shared" si="125"/>
        <v>0</v>
      </c>
      <c r="E507" s="33">
        <f>IF(AND(T506="",A507&lt;=S506),IF(A507&lt;入力!$B$11,入力!$B$10,入力!$B$12),0)</f>
        <v>0</v>
      </c>
      <c r="F507" s="32">
        <f t="shared" si="126"/>
        <v>0</v>
      </c>
      <c r="G507" s="32">
        <f>ROUND(IF(NOT(AND(T506="",A507&lt;=S506)),0,IF(A507=入力!$B$15+1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),0)</f>
        <v>0</v>
      </c>
      <c r="H507" s="32">
        <f t="shared" si="127"/>
        <v>0</v>
      </c>
      <c r="I507" s="32">
        <f t="shared" si="128"/>
        <v>0</v>
      </c>
      <c r="J507" s="32">
        <f t="shared" si="129"/>
        <v>0</v>
      </c>
      <c r="K507" s="32">
        <f t="shared" si="130"/>
        <v>0</v>
      </c>
      <c r="L507" s="32">
        <f t="shared" si="131"/>
        <v>0</v>
      </c>
      <c r="M507" s="32">
        <f>IF(AND(AND(T506="",A507&lt;=S506),A507=入力!$B$15),ROUND(MIN(入力!$B$16,MAX(0,C507-L507)),0),0)</f>
        <v>0</v>
      </c>
      <c r="N507" s="32">
        <f t="shared" si="132"/>
        <v>0</v>
      </c>
      <c r="O507" s="32">
        <f t="shared" si="133"/>
        <v>12386706</v>
      </c>
      <c r="P507" s="34" t="str">
        <f>IF(NOT(AND(T506="",A507&lt;=S506)),"",IF(A507=入力!$B$15+1,"繰上返済後再計算","")&amp;IF(AND(入力!$B$13="有効",A507&gt;1,MOD(A507-1,60)=0),IF(A507=入力!$B$15+1,"・","")&amp;"5年見直し","")&amp;IF(AND(A507=入力!$B$11,A507&gt;1),IF(OR(A507=入力!$B$15+1,AND(入力!$B$13="有効",A507&gt;1,MOD(A507-1,60)=0)),"・","")&amp;"金利変更","")&amp;IF(AND(OR(AND(入力!$B$13="有効",A507&gt;1,MOD(A507-1,60)=0),AND(A507=入力!$B$11,A507&gt;1)),入力!$B$14="有効",IF(E507=0,ROUND(C507/MAX(1,S506-A507+1),0),ROUND(-PMT(E507/12,MAX(1,S506-A507+1),C507),0))&gt;ROUND(G506*1.25,0),NOT(A507=入力!$B$15+1)),"・上限適用",""))</f>
        <v/>
      </c>
      <c r="Q507" s="35" t="str">
        <f>IF(AND(T506="",A507&lt;=S506),入力!$B$13,"")</f>
        <v/>
      </c>
      <c r="R507" s="32" t="str">
        <f>IF(AND(AND(T506="",A507&lt;=S506),OR(AND(入力!$B$13="有効",A507&gt;1,MOD(A507-1,60)=0),AND(A507=入力!$B$11,A507&gt;1)),入力!$B$14="有効"),ROUND(G506*1.25,0),"")</f>
        <v/>
      </c>
      <c r="S507" s="36">
        <f t="shared" si="134"/>
        <v>420</v>
      </c>
      <c r="T507" s="35" t="str">
        <f t="shared" si="135"/>
        <v/>
      </c>
      <c r="U507" s="3">
        <f t="shared" si="119"/>
        <v>0</v>
      </c>
      <c r="V507" s="3">
        <f t="shared" si="120"/>
        <v>0</v>
      </c>
      <c r="W507" s="3">
        <f t="shared" si="121"/>
        <v>0</v>
      </c>
      <c r="X507" s="3">
        <f t="shared" si="122"/>
        <v>0</v>
      </c>
      <c r="Y507" s="3">
        <f>0</f>
        <v>0</v>
      </c>
      <c r="Z507" s="3">
        <f t="shared" si="123"/>
        <v>0</v>
      </c>
      <c r="AA507">
        <f>ROUND(IF(A507=入力!$B$15+1,IF(E507=0,ROUND(C507/MAX(1,S506-A507+1),0),ROUND(-PMT(E507/12,MAX(1,S506-A507+1)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,0)</f>
        <v>0</v>
      </c>
    </row>
    <row r="508" spans="1:27">
      <c r="A508" s="30">
        <f>503</f>
        <v>503</v>
      </c>
      <c r="B508" s="31">
        <f>EDATE(入力!$B$6,A508-1)</f>
        <v>61515</v>
      </c>
      <c r="C508" s="32">
        <f t="shared" si="124"/>
        <v>0</v>
      </c>
      <c r="D508" s="32">
        <f t="shared" si="125"/>
        <v>0</v>
      </c>
      <c r="E508" s="33">
        <f>IF(AND(T507="",A508&lt;=S507),IF(A508&lt;入力!$B$11,入力!$B$10,入力!$B$12),0)</f>
        <v>0</v>
      </c>
      <c r="F508" s="32">
        <f t="shared" si="126"/>
        <v>0</v>
      </c>
      <c r="G508" s="32">
        <f>ROUND(IF(NOT(AND(T507="",A508&lt;=S507)),0,IF(A508=入力!$B$15+1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),0)</f>
        <v>0</v>
      </c>
      <c r="H508" s="32">
        <f t="shared" si="127"/>
        <v>0</v>
      </c>
      <c r="I508" s="32">
        <f t="shared" si="128"/>
        <v>0</v>
      </c>
      <c r="J508" s="32">
        <f t="shared" si="129"/>
        <v>0</v>
      </c>
      <c r="K508" s="32">
        <f t="shared" si="130"/>
        <v>0</v>
      </c>
      <c r="L508" s="32">
        <f t="shared" si="131"/>
        <v>0</v>
      </c>
      <c r="M508" s="32">
        <f>IF(AND(AND(T507="",A508&lt;=S507),A508=入力!$B$15),ROUND(MIN(入力!$B$16,MAX(0,C508-L508)),0),0)</f>
        <v>0</v>
      </c>
      <c r="N508" s="32">
        <f t="shared" si="132"/>
        <v>0</v>
      </c>
      <c r="O508" s="32">
        <f t="shared" si="133"/>
        <v>12386706</v>
      </c>
      <c r="P508" s="34" t="str">
        <f>IF(NOT(AND(T507="",A508&lt;=S507)),"",IF(A508=入力!$B$15+1,"繰上返済後再計算","")&amp;IF(AND(入力!$B$13="有効",A508&gt;1,MOD(A508-1,60)=0),IF(A508=入力!$B$15+1,"・","")&amp;"5年見直し","")&amp;IF(AND(A508=入力!$B$11,A508&gt;1),IF(OR(A508=入力!$B$15+1,AND(入力!$B$13="有効",A508&gt;1,MOD(A508-1,60)=0)),"・","")&amp;"金利変更","")&amp;IF(AND(OR(AND(入力!$B$13="有効",A508&gt;1,MOD(A508-1,60)=0),AND(A508=入力!$B$11,A508&gt;1)),入力!$B$14="有効",IF(E508=0,ROUND(C508/MAX(1,S507-A508+1),0),ROUND(-PMT(E508/12,MAX(1,S507-A508+1),C508),0))&gt;ROUND(G507*1.25,0),NOT(A508=入力!$B$15+1)),"・上限適用",""))</f>
        <v/>
      </c>
      <c r="Q508" s="35" t="str">
        <f>IF(AND(T507="",A508&lt;=S507),入力!$B$13,"")</f>
        <v/>
      </c>
      <c r="R508" s="32" t="str">
        <f>IF(AND(AND(T507="",A508&lt;=S507),OR(AND(入力!$B$13="有効",A508&gt;1,MOD(A508-1,60)=0),AND(A508=入力!$B$11,A508&gt;1)),入力!$B$14="有効"),ROUND(G507*1.25,0),"")</f>
        <v/>
      </c>
      <c r="S508" s="36">
        <f t="shared" si="134"/>
        <v>420</v>
      </c>
      <c r="T508" s="35" t="str">
        <f t="shared" si="135"/>
        <v/>
      </c>
      <c r="U508" s="3">
        <f t="shared" si="119"/>
        <v>0</v>
      </c>
      <c r="V508" s="3">
        <f t="shared" si="120"/>
        <v>0</v>
      </c>
      <c r="W508" s="3">
        <f t="shared" si="121"/>
        <v>0</v>
      </c>
      <c r="X508" s="3">
        <f t="shared" si="122"/>
        <v>0</v>
      </c>
      <c r="Y508" s="3">
        <f>0</f>
        <v>0</v>
      </c>
      <c r="Z508" s="3">
        <f t="shared" si="123"/>
        <v>0</v>
      </c>
      <c r="AA508">
        <f>ROUND(IF(A508=入力!$B$15+1,IF(E508=0,ROUND(C508/MAX(1,S507-A508+1),0),ROUND(-PMT(E508/12,MAX(1,S507-A508+1)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,0)</f>
        <v>0</v>
      </c>
    </row>
    <row r="509" spans="1:27">
      <c r="A509" s="30">
        <f>504</f>
        <v>504</v>
      </c>
      <c r="B509" s="31">
        <f>EDATE(入力!$B$6,A509-1)</f>
        <v>61545</v>
      </c>
      <c r="C509" s="32">
        <f t="shared" si="124"/>
        <v>0</v>
      </c>
      <c r="D509" s="32">
        <f t="shared" si="125"/>
        <v>0</v>
      </c>
      <c r="E509" s="33">
        <f>IF(AND(T508="",A509&lt;=S508),IF(A509&lt;入力!$B$11,入力!$B$10,入力!$B$12),0)</f>
        <v>0</v>
      </c>
      <c r="F509" s="32">
        <f t="shared" si="126"/>
        <v>0</v>
      </c>
      <c r="G509" s="32">
        <f>ROUND(IF(NOT(AND(T508="",A509&lt;=S508)),0,IF(A509=入力!$B$15+1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),0)</f>
        <v>0</v>
      </c>
      <c r="H509" s="32">
        <f t="shared" si="127"/>
        <v>0</v>
      </c>
      <c r="I509" s="32">
        <f t="shared" si="128"/>
        <v>0</v>
      </c>
      <c r="J509" s="32">
        <f t="shared" si="129"/>
        <v>0</v>
      </c>
      <c r="K509" s="32">
        <f t="shared" si="130"/>
        <v>0</v>
      </c>
      <c r="L509" s="32">
        <f t="shared" si="131"/>
        <v>0</v>
      </c>
      <c r="M509" s="32">
        <f>IF(AND(AND(T508="",A509&lt;=S508),A509=入力!$B$15),ROUND(MIN(入力!$B$16,MAX(0,C509-L509)),0),0)</f>
        <v>0</v>
      </c>
      <c r="N509" s="32">
        <f t="shared" si="132"/>
        <v>0</v>
      </c>
      <c r="O509" s="32">
        <f t="shared" si="133"/>
        <v>12386706</v>
      </c>
      <c r="P509" s="34" t="str">
        <f>IF(NOT(AND(T508="",A509&lt;=S508)),"",IF(A509=入力!$B$15+1,"繰上返済後再計算","")&amp;IF(AND(入力!$B$13="有効",A509&gt;1,MOD(A509-1,60)=0),IF(A509=入力!$B$15+1,"・","")&amp;"5年見直し","")&amp;IF(AND(A509=入力!$B$11,A509&gt;1),IF(OR(A509=入力!$B$15+1,AND(入力!$B$13="有効",A509&gt;1,MOD(A509-1,60)=0)),"・","")&amp;"金利変更","")&amp;IF(AND(OR(AND(入力!$B$13="有効",A509&gt;1,MOD(A509-1,60)=0),AND(A509=入力!$B$11,A509&gt;1)),入力!$B$14="有効",IF(E509=0,ROUND(C509/MAX(1,S508-A509+1),0),ROUND(-PMT(E509/12,MAX(1,S508-A509+1),C509),0))&gt;ROUND(G508*1.25,0),NOT(A509=入力!$B$15+1)),"・上限適用",""))</f>
        <v/>
      </c>
      <c r="Q509" s="35" t="str">
        <f>IF(AND(T508="",A509&lt;=S508),入力!$B$13,"")</f>
        <v/>
      </c>
      <c r="R509" s="32" t="str">
        <f>IF(AND(AND(T508="",A509&lt;=S508),OR(AND(入力!$B$13="有効",A509&gt;1,MOD(A509-1,60)=0),AND(A509=入力!$B$11,A509&gt;1)),入力!$B$14="有効"),ROUND(G508*1.25,0),"")</f>
        <v/>
      </c>
      <c r="S509" s="36">
        <f t="shared" si="134"/>
        <v>420</v>
      </c>
      <c r="T509" s="35" t="str">
        <f t="shared" si="135"/>
        <v/>
      </c>
      <c r="U509" s="3">
        <f t="shared" si="119"/>
        <v>0</v>
      </c>
      <c r="V509" s="3">
        <f t="shared" si="120"/>
        <v>0</v>
      </c>
      <c r="W509" s="3">
        <f t="shared" si="121"/>
        <v>0</v>
      </c>
      <c r="X509" s="3">
        <f t="shared" si="122"/>
        <v>0</v>
      </c>
      <c r="Y509" s="3">
        <f>0</f>
        <v>0</v>
      </c>
      <c r="Z509" s="3">
        <f t="shared" si="123"/>
        <v>0</v>
      </c>
      <c r="AA509">
        <f>ROUND(IF(A509=入力!$B$15+1,IF(E509=0,ROUND(C509/MAX(1,S508-A509+1),0),ROUND(-PMT(E509/12,MAX(1,S508-A509+1)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,0)</f>
        <v>0</v>
      </c>
    </row>
    <row r="510" spans="1:27">
      <c r="A510" s="30">
        <f>505</f>
        <v>505</v>
      </c>
      <c r="B510" s="31">
        <f>EDATE(入力!$B$6,A510-1)</f>
        <v>61576</v>
      </c>
      <c r="C510" s="32">
        <f t="shared" si="124"/>
        <v>0</v>
      </c>
      <c r="D510" s="32">
        <f t="shared" si="125"/>
        <v>0</v>
      </c>
      <c r="E510" s="33">
        <f>IF(AND(T509="",A510&lt;=S509),IF(A510&lt;入力!$B$11,入力!$B$10,入力!$B$12),0)</f>
        <v>0</v>
      </c>
      <c r="F510" s="32">
        <f t="shared" si="126"/>
        <v>0</v>
      </c>
      <c r="G510" s="32">
        <f>ROUND(IF(NOT(AND(T509="",A510&lt;=S509)),0,IF(A510=入力!$B$15+1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),0)</f>
        <v>0</v>
      </c>
      <c r="H510" s="32">
        <f t="shared" si="127"/>
        <v>0</v>
      </c>
      <c r="I510" s="32">
        <f t="shared" si="128"/>
        <v>0</v>
      </c>
      <c r="J510" s="32">
        <f t="shared" si="129"/>
        <v>0</v>
      </c>
      <c r="K510" s="32">
        <f t="shared" si="130"/>
        <v>0</v>
      </c>
      <c r="L510" s="32">
        <f t="shared" si="131"/>
        <v>0</v>
      </c>
      <c r="M510" s="32">
        <f>IF(AND(AND(T509="",A510&lt;=S509),A510=入力!$B$15),ROUND(MIN(入力!$B$16,MAX(0,C510-L510)),0),0)</f>
        <v>0</v>
      </c>
      <c r="N510" s="32">
        <f t="shared" si="132"/>
        <v>0</v>
      </c>
      <c r="O510" s="32">
        <f t="shared" si="133"/>
        <v>12386706</v>
      </c>
      <c r="P510" s="34" t="str">
        <f>IF(NOT(AND(T509="",A510&lt;=S509)),"",IF(A510=入力!$B$15+1,"繰上返済後再計算","")&amp;IF(AND(入力!$B$13="有効",A510&gt;1,MOD(A510-1,60)=0),IF(A510=入力!$B$15+1,"・","")&amp;"5年見直し","")&amp;IF(AND(A510=入力!$B$11,A510&gt;1),IF(OR(A510=入力!$B$15+1,AND(入力!$B$13="有効",A510&gt;1,MOD(A510-1,60)=0)),"・","")&amp;"金利変更","")&amp;IF(AND(OR(AND(入力!$B$13="有効",A510&gt;1,MOD(A510-1,60)=0),AND(A510=入力!$B$11,A510&gt;1)),入力!$B$14="有効",IF(E510=0,ROUND(C510/MAX(1,S509-A510+1),0),ROUND(-PMT(E510/12,MAX(1,S509-A510+1),C510),0))&gt;ROUND(G509*1.25,0),NOT(A510=入力!$B$15+1)),"・上限適用",""))</f>
        <v/>
      </c>
      <c r="Q510" s="35" t="str">
        <f>IF(AND(T509="",A510&lt;=S509),入力!$B$13,"")</f>
        <v/>
      </c>
      <c r="R510" s="32" t="str">
        <f>IF(AND(AND(T509="",A510&lt;=S509),OR(AND(入力!$B$13="有効",A510&gt;1,MOD(A510-1,60)=0),AND(A510=入力!$B$11,A510&gt;1)),入力!$B$14="有効"),ROUND(G509*1.25,0),"")</f>
        <v/>
      </c>
      <c r="S510" s="36">
        <f t="shared" si="134"/>
        <v>420</v>
      </c>
      <c r="T510" s="35" t="str">
        <f t="shared" si="135"/>
        <v/>
      </c>
      <c r="U510" s="3">
        <f t="shared" si="119"/>
        <v>0</v>
      </c>
      <c r="V510" s="3">
        <f t="shared" si="120"/>
        <v>0</v>
      </c>
      <c r="W510" s="3">
        <f t="shared" si="121"/>
        <v>0</v>
      </c>
      <c r="X510" s="3">
        <f t="shared" si="122"/>
        <v>0</v>
      </c>
      <c r="Y510" s="3">
        <f>0</f>
        <v>0</v>
      </c>
      <c r="Z510" s="3">
        <f t="shared" si="123"/>
        <v>0</v>
      </c>
      <c r="AA510">
        <f>ROUND(IF(A510=入力!$B$15+1,IF(E510=0,ROUND(C510/MAX(1,S509-A510+1),0),ROUND(-PMT(E510/12,MAX(1,S509-A510+1)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,0)</f>
        <v>0</v>
      </c>
    </row>
    <row r="511" spans="1:27">
      <c r="A511" s="30">
        <f>506</f>
        <v>506</v>
      </c>
      <c r="B511" s="31">
        <f>EDATE(入力!$B$6,A511-1)</f>
        <v>61607</v>
      </c>
      <c r="C511" s="32">
        <f t="shared" si="124"/>
        <v>0</v>
      </c>
      <c r="D511" s="32">
        <f t="shared" si="125"/>
        <v>0</v>
      </c>
      <c r="E511" s="33">
        <f>IF(AND(T510="",A511&lt;=S510),IF(A511&lt;入力!$B$11,入力!$B$10,入力!$B$12),0)</f>
        <v>0</v>
      </c>
      <c r="F511" s="32">
        <f t="shared" si="126"/>
        <v>0</v>
      </c>
      <c r="G511" s="32">
        <f>ROUND(IF(NOT(AND(T510="",A511&lt;=S510)),0,IF(A511=入力!$B$15+1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),0)</f>
        <v>0</v>
      </c>
      <c r="H511" s="32">
        <f t="shared" si="127"/>
        <v>0</v>
      </c>
      <c r="I511" s="32">
        <f t="shared" si="128"/>
        <v>0</v>
      </c>
      <c r="J511" s="32">
        <f t="shared" si="129"/>
        <v>0</v>
      </c>
      <c r="K511" s="32">
        <f t="shared" si="130"/>
        <v>0</v>
      </c>
      <c r="L511" s="32">
        <f t="shared" si="131"/>
        <v>0</v>
      </c>
      <c r="M511" s="32">
        <f>IF(AND(AND(T510="",A511&lt;=S510),A511=入力!$B$15),ROUND(MIN(入力!$B$16,MAX(0,C511-L511)),0),0)</f>
        <v>0</v>
      </c>
      <c r="N511" s="32">
        <f t="shared" si="132"/>
        <v>0</v>
      </c>
      <c r="O511" s="32">
        <f t="shared" si="133"/>
        <v>12386706</v>
      </c>
      <c r="P511" s="34" t="str">
        <f>IF(NOT(AND(T510="",A511&lt;=S510)),"",IF(A511=入力!$B$15+1,"繰上返済後再計算","")&amp;IF(AND(入力!$B$13="有効",A511&gt;1,MOD(A511-1,60)=0),IF(A511=入力!$B$15+1,"・","")&amp;"5年見直し","")&amp;IF(AND(A511=入力!$B$11,A511&gt;1),IF(OR(A511=入力!$B$15+1,AND(入力!$B$13="有効",A511&gt;1,MOD(A511-1,60)=0)),"・","")&amp;"金利変更","")&amp;IF(AND(OR(AND(入力!$B$13="有効",A511&gt;1,MOD(A511-1,60)=0),AND(A511=入力!$B$11,A511&gt;1)),入力!$B$14="有効",IF(E511=0,ROUND(C511/MAX(1,S510-A511+1),0),ROUND(-PMT(E511/12,MAX(1,S510-A511+1),C511),0))&gt;ROUND(G510*1.25,0),NOT(A511=入力!$B$15+1)),"・上限適用",""))</f>
        <v/>
      </c>
      <c r="Q511" s="35" t="str">
        <f>IF(AND(T510="",A511&lt;=S510),入力!$B$13,"")</f>
        <v/>
      </c>
      <c r="R511" s="32" t="str">
        <f>IF(AND(AND(T510="",A511&lt;=S510),OR(AND(入力!$B$13="有効",A511&gt;1,MOD(A511-1,60)=0),AND(A511=入力!$B$11,A511&gt;1)),入力!$B$14="有効"),ROUND(G510*1.25,0),"")</f>
        <v/>
      </c>
      <c r="S511" s="36">
        <f t="shared" si="134"/>
        <v>420</v>
      </c>
      <c r="T511" s="35" t="str">
        <f t="shared" si="135"/>
        <v/>
      </c>
      <c r="U511" s="3">
        <f t="shared" si="119"/>
        <v>0</v>
      </c>
      <c r="V511" s="3">
        <f t="shared" si="120"/>
        <v>0</v>
      </c>
      <c r="W511" s="3">
        <f t="shared" si="121"/>
        <v>0</v>
      </c>
      <c r="X511" s="3">
        <f t="shared" si="122"/>
        <v>0</v>
      </c>
      <c r="Y511" s="3">
        <f>0</f>
        <v>0</v>
      </c>
      <c r="Z511" s="3">
        <f t="shared" si="123"/>
        <v>0</v>
      </c>
      <c r="AA511">
        <f>ROUND(IF(A511=入力!$B$15+1,IF(E511=0,ROUND(C511/MAX(1,S510-A511+1),0),ROUND(-PMT(E511/12,MAX(1,S510-A511+1)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,0)</f>
        <v>0</v>
      </c>
    </row>
    <row r="512" spans="1:27">
      <c r="A512" s="30">
        <f>507</f>
        <v>507</v>
      </c>
      <c r="B512" s="31">
        <f>EDATE(入力!$B$6,A512-1)</f>
        <v>61637</v>
      </c>
      <c r="C512" s="32">
        <f t="shared" si="124"/>
        <v>0</v>
      </c>
      <c r="D512" s="32">
        <f t="shared" si="125"/>
        <v>0</v>
      </c>
      <c r="E512" s="33">
        <f>IF(AND(T511="",A512&lt;=S511),IF(A512&lt;入力!$B$11,入力!$B$10,入力!$B$12),0)</f>
        <v>0</v>
      </c>
      <c r="F512" s="32">
        <f t="shared" si="126"/>
        <v>0</v>
      </c>
      <c r="G512" s="32">
        <f>ROUND(IF(NOT(AND(T511="",A512&lt;=S511)),0,IF(A512=入力!$B$15+1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),0)</f>
        <v>0</v>
      </c>
      <c r="H512" s="32">
        <f t="shared" si="127"/>
        <v>0</v>
      </c>
      <c r="I512" s="32">
        <f t="shared" si="128"/>
        <v>0</v>
      </c>
      <c r="J512" s="32">
        <f t="shared" si="129"/>
        <v>0</v>
      </c>
      <c r="K512" s="32">
        <f t="shared" si="130"/>
        <v>0</v>
      </c>
      <c r="L512" s="32">
        <f t="shared" si="131"/>
        <v>0</v>
      </c>
      <c r="M512" s="32">
        <f>IF(AND(AND(T511="",A512&lt;=S511),A512=入力!$B$15),ROUND(MIN(入力!$B$16,MAX(0,C512-L512)),0),0)</f>
        <v>0</v>
      </c>
      <c r="N512" s="32">
        <f t="shared" si="132"/>
        <v>0</v>
      </c>
      <c r="O512" s="32">
        <f t="shared" si="133"/>
        <v>12386706</v>
      </c>
      <c r="P512" s="34" t="str">
        <f>IF(NOT(AND(T511="",A512&lt;=S511)),"",IF(A512=入力!$B$15+1,"繰上返済後再計算","")&amp;IF(AND(入力!$B$13="有効",A512&gt;1,MOD(A512-1,60)=0),IF(A512=入力!$B$15+1,"・","")&amp;"5年見直し","")&amp;IF(AND(A512=入力!$B$11,A512&gt;1),IF(OR(A512=入力!$B$15+1,AND(入力!$B$13="有効",A512&gt;1,MOD(A512-1,60)=0)),"・","")&amp;"金利変更","")&amp;IF(AND(OR(AND(入力!$B$13="有効",A512&gt;1,MOD(A512-1,60)=0),AND(A512=入力!$B$11,A512&gt;1)),入力!$B$14="有効",IF(E512=0,ROUND(C512/MAX(1,S511-A512+1),0),ROUND(-PMT(E512/12,MAX(1,S511-A512+1),C512),0))&gt;ROUND(G511*1.25,0),NOT(A512=入力!$B$15+1)),"・上限適用",""))</f>
        <v/>
      </c>
      <c r="Q512" s="35" t="str">
        <f>IF(AND(T511="",A512&lt;=S511),入力!$B$13,"")</f>
        <v/>
      </c>
      <c r="R512" s="32" t="str">
        <f>IF(AND(AND(T511="",A512&lt;=S511),OR(AND(入力!$B$13="有効",A512&gt;1,MOD(A512-1,60)=0),AND(A512=入力!$B$11,A512&gt;1)),入力!$B$14="有効"),ROUND(G511*1.25,0),"")</f>
        <v/>
      </c>
      <c r="S512" s="36">
        <f t="shared" si="134"/>
        <v>420</v>
      </c>
      <c r="T512" s="35" t="str">
        <f t="shared" si="135"/>
        <v/>
      </c>
      <c r="U512" s="3">
        <f t="shared" si="119"/>
        <v>0</v>
      </c>
      <c r="V512" s="3">
        <f t="shared" si="120"/>
        <v>0</v>
      </c>
      <c r="W512" s="3">
        <f t="shared" si="121"/>
        <v>0</v>
      </c>
      <c r="X512" s="3">
        <f t="shared" si="122"/>
        <v>0</v>
      </c>
      <c r="Y512" s="3">
        <f>0</f>
        <v>0</v>
      </c>
      <c r="Z512" s="3">
        <f t="shared" si="123"/>
        <v>0</v>
      </c>
      <c r="AA512">
        <f>ROUND(IF(A512=入力!$B$15+1,IF(E512=0,ROUND(C512/MAX(1,S511-A512+1),0),ROUND(-PMT(E512/12,MAX(1,S511-A512+1)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,0)</f>
        <v>0</v>
      </c>
    </row>
    <row r="513" spans="1:27">
      <c r="A513" s="30">
        <f>508</f>
        <v>508</v>
      </c>
      <c r="B513" s="31">
        <f>EDATE(入力!$B$6,A513-1)</f>
        <v>61668</v>
      </c>
      <c r="C513" s="32">
        <f t="shared" si="124"/>
        <v>0</v>
      </c>
      <c r="D513" s="32">
        <f t="shared" si="125"/>
        <v>0</v>
      </c>
      <c r="E513" s="33">
        <f>IF(AND(T512="",A513&lt;=S512),IF(A513&lt;入力!$B$11,入力!$B$10,入力!$B$12),0)</f>
        <v>0</v>
      </c>
      <c r="F513" s="32">
        <f t="shared" si="126"/>
        <v>0</v>
      </c>
      <c r="G513" s="32">
        <f>ROUND(IF(NOT(AND(T512="",A513&lt;=S512)),0,IF(A513=入力!$B$15+1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),0)</f>
        <v>0</v>
      </c>
      <c r="H513" s="32">
        <f t="shared" si="127"/>
        <v>0</v>
      </c>
      <c r="I513" s="32">
        <f t="shared" si="128"/>
        <v>0</v>
      </c>
      <c r="J513" s="32">
        <f t="shared" si="129"/>
        <v>0</v>
      </c>
      <c r="K513" s="32">
        <f t="shared" si="130"/>
        <v>0</v>
      </c>
      <c r="L513" s="32">
        <f t="shared" si="131"/>
        <v>0</v>
      </c>
      <c r="M513" s="32">
        <f>IF(AND(AND(T512="",A513&lt;=S512),A513=入力!$B$15),ROUND(MIN(入力!$B$16,MAX(0,C513-L513)),0),0)</f>
        <v>0</v>
      </c>
      <c r="N513" s="32">
        <f t="shared" si="132"/>
        <v>0</v>
      </c>
      <c r="O513" s="32">
        <f t="shared" si="133"/>
        <v>12386706</v>
      </c>
      <c r="P513" s="34" t="str">
        <f>IF(NOT(AND(T512="",A513&lt;=S512)),"",IF(A513=入力!$B$15+1,"繰上返済後再計算","")&amp;IF(AND(入力!$B$13="有効",A513&gt;1,MOD(A513-1,60)=0),IF(A513=入力!$B$15+1,"・","")&amp;"5年見直し","")&amp;IF(AND(A513=入力!$B$11,A513&gt;1),IF(OR(A513=入力!$B$15+1,AND(入力!$B$13="有効",A513&gt;1,MOD(A513-1,60)=0)),"・","")&amp;"金利変更","")&amp;IF(AND(OR(AND(入力!$B$13="有効",A513&gt;1,MOD(A513-1,60)=0),AND(A513=入力!$B$11,A513&gt;1)),入力!$B$14="有効",IF(E513=0,ROUND(C513/MAX(1,S512-A513+1),0),ROUND(-PMT(E513/12,MAX(1,S512-A513+1),C513),0))&gt;ROUND(G512*1.25,0),NOT(A513=入力!$B$15+1)),"・上限適用",""))</f>
        <v/>
      </c>
      <c r="Q513" s="35" t="str">
        <f>IF(AND(T512="",A513&lt;=S512),入力!$B$13,"")</f>
        <v/>
      </c>
      <c r="R513" s="32" t="str">
        <f>IF(AND(AND(T512="",A513&lt;=S512),OR(AND(入力!$B$13="有効",A513&gt;1,MOD(A513-1,60)=0),AND(A513=入力!$B$11,A513&gt;1)),入力!$B$14="有効"),ROUND(G512*1.25,0),"")</f>
        <v/>
      </c>
      <c r="S513" s="36">
        <f t="shared" si="134"/>
        <v>420</v>
      </c>
      <c r="T513" s="35" t="str">
        <f t="shared" si="135"/>
        <v/>
      </c>
      <c r="U513" s="3">
        <f t="shared" si="119"/>
        <v>0</v>
      </c>
      <c r="V513" s="3">
        <f t="shared" si="120"/>
        <v>0</v>
      </c>
      <c r="W513" s="3">
        <f t="shared" si="121"/>
        <v>0</v>
      </c>
      <c r="X513" s="3">
        <f t="shared" si="122"/>
        <v>0</v>
      </c>
      <c r="Y513" s="3">
        <f>0</f>
        <v>0</v>
      </c>
      <c r="Z513" s="3">
        <f t="shared" si="123"/>
        <v>0</v>
      </c>
      <c r="AA513">
        <f>ROUND(IF(A513=入力!$B$15+1,IF(E513=0,ROUND(C513/MAX(1,S512-A513+1),0),ROUND(-PMT(E513/12,MAX(1,S512-A513+1)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,0)</f>
        <v>0</v>
      </c>
    </row>
    <row r="514" spans="1:27">
      <c r="A514" s="30">
        <f>509</f>
        <v>509</v>
      </c>
      <c r="B514" s="31">
        <f>EDATE(入力!$B$6,A514-1)</f>
        <v>61698</v>
      </c>
      <c r="C514" s="32">
        <f t="shared" si="124"/>
        <v>0</v>
      </c>
      <c r="D514" s="32">
        <f t="shared" si="125"/>
        <v>0</v>
      </c>
      <c r="E514" s="33">
        <f>IF(AND(T513="",A514&lt;=S513),IF(A514&lt;入力!$B$11,入力!$B$10,入力!$B$12),0)</f>
        <v>0</v>
      </c>
      <c r="F514" s="32">
        <f t="shared" si="126"/>
        <v>0</v>
      </c>
      <c r="G514" s="32">
        <f>ROUND(IF(NOT(AND(T513="",A514&lt;=S513)),0,IF(A514=入力!$B$15+1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),0)</f>
        <v>0</v>
      </c>
      <c r="H514" s="32">
        <f t="shared" si="127"/>
        <v>0</v>
      </c>
      <c r="I514" s="32">
        <f t="shared" si="128"/>
        <v>0</v>
      </c>
      <c r="J514" s="32">
        <f t="shared" si="129"/>
        <v>0</v>
      </c>
      <c r="K514" s="32">
        <f t="shared" si="130"/>
        <v>0</v>
      </c>
      <c r="L514" s="32">
        <f t="shared" si="131"/>
        <v>0</v>
      </c>
      <c r="M514" s="32">
        <f>IF(AND(AND(T513="",A514&lt;=S513),A514=入力!$B$15),ROUND(MIN(入力!$B$16,MAX(0,C514-L514)),0),0)</f>
        <v>0</v>
      </c>
      <c r="N514" s="32">
        <f t="shared" si="132"/>
        <v>0</v>
      </c>
      <c r="O514" s="32">
        <f t="shared" si="133"/>
        <v>12386706</v>
      </c>
      <c r="P514" s="34" t="str">
        <f>IF(NOT(AND(T513="",A514&lt;=S513)),"",IF(A514=入力!$B$15+1,"繰上返済後再計算","")&amp;IF(AND(入力!$B$13="有効",A514&gt;1,MOD(A514-1,60)=0),IF(A514=入力!$B$15+1,"・","")&amp;"5年見直し","")&amp;IF(AND(A514=入力!$B$11,A514&gt;1),IF(OR(A514=入力!$B$15+1,AND(入力!$B$13="有効",A514&gt;1,MOD(A514-1,60)=0)),"・","")&amp;"金利変更","")&amp;IF(AND(OR(AND(入力!$B$13="有効",A514&gt;1,MOD(A514-1,60)=0),AND(A514=入力!$B$11,A514&gt;1)),入力!$B$14="有効",IF(E514=0,ROUND(C514/MAX(1,S513-A514+1),0),ROUND(-PMT(E514/12,MAX(1,S513-A514+1),C514),0))&gt;ROUND(G513*1.25,0),NOT(A514=入力!$B$15+1)),"・上限適用",""))</f>
        <v/>
      </c>
      <c r="Q514" s="35" t="str">
        <f>IF(AND(T513="",A514&lt;=S513),入力!$B$13,"")</f>
        <v/>
      </c>
      <c r="R514" s="32" t="str">
        <f>IF(AND(AND(T513="",A514&lt;=S513),OR(AND(入力!$B$13="有効",A514&gt;1,MOD(A514-1,60)=0),AND(A514=入力!$B$11,A514&gt;1)),入力!$B$14="有効"),ROUND(G513*1.25,0),"")</f>
        <v/>
      </c>
      <c r="S514" s="36">
        <f t="shared" si="134"/>
        <v>420</v>
      </c>
      <c r="T514" s="35" t="str">
        <f t="shared" si="135"/>
        <v/>
      </c>
      <c r="U514" s="3">
        <f t="shared" si="119"/>
        <v>0</v>
      </c>
      <c r="V514" s="3">
        <f t="shared" si="120"/>
        <v>0</v>
      </c>
      <c r="W514" s="3">
        <f t="shared" si="121"/>
        <v>0</v>
      </c>
      <c r="X514" s="3">
        <f t="shared" si="122"/>
        <v>0</v>
      </c>
      <c r="Y514" s="3">
        <f>0</f>
        <v>0</v>
      </c>
      <c r="Z514" s="3">
        <f t="shared" si="123"/>
        <v>0</v>
      </c>
      <c r="AA514">
        <f>ROUND(IF(A514=入力!$B$15+1,IF(E514=0,ROUND(C514/MAX(1,S513-A514+1),0),ROUND(-PMT(E514/12,MAX(1,S513-A514+1)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,0)</f>
        <v>0</v>
      </c>
    </row>
    <row r="515" spans="1:27">
      <c r="A515" s="30">
        <f>510</f>
        <v>510</v>
      </c>
      <c r="B515" s="31">
        <f>EDATE(入力!$B$6,A515-1)</f>
        <v>61729</v>
      </c>
      <c r="C515" s="32">
        <f t="shared" si="124"/>
        <v>0</v>
      </c>
      <c r="D515" s="32">
        <f t="shared" si="125"/>
        <v>0</v>
      </c>
      <c r="E515" s="33">
        <f>IF(AND(T514="",A515&lt;=S514),IF(A515&lt;入力!$B$11,入力!$B$10,入力!$B$12),0)</f>
        <v>0</v>
      </c>
      <c r="F515" s="32">
        <f t="shared" si="126"/>
        <v>0</v>
      </c>
      <c r="G515" s="32">
        <f>ROUND(IF(NOT(AND(T514="",A515&lt;=S514)),0,IF(A515=入力!$B$15+1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),0)</f>
        <v>0</v>
      </c>
      <c r="H515" s="32">
        <f t="shared" si="127"/>
        <v>0</v>
      </c>
      <c r="I515" s="32">
        <f t="shared" si="128"/>
        <v>0</v>
      </c>
      <c r="J515" s="32">
        <f t="shared" si="129"/>
        <v>0</v>
      </c>
      <c r="K515" s="32">
        <f t="shared" si="130"/>
        <v>0</v>
      </c>
      <c r="L515" s="32">
        <f t="shared" si="131"/>
        <v>0</v>
      </c>
      <c r="M515" s="32">
        <f>IF(AND(AND(T514="",A515&lt;=S514),A515=入力!$B$15),ROUND(MIN(入力!$B$16,MAX(0,C515-L515)),0),0)</f>
        <v>0</v>
      </c>
      <c r="N515" s="32">
        <f t="shared" si="132"/>
        <v>0</v>
      </c>
      <c r="O515" s="32">
        <f t="shared" si="133"/>
        <v>12386706</v>
      </c>
      <c r="P515" s="34" t="str">
        <f>IF(NOT(AND(T514="",A515&lt;=S514)),"",IF(A515=入力!$B$15+1,"繰上返済後再計算","")&amp;IF(AND(入力!$B$13="有効",A515&gt;1,MOD(A515-1,60)=0),IF(A515=入力!$B$15+1,"・","")&amp;"5年見直し","")&amp;IF(AND(A515=入力!$B$11,A515&gt;1),IF(OR(A515=入力!$B$15+1,AND(入力!$B$13="有効",A515&gt;1,MOD(A515-1,60)=0)),"・","")&amp;"金利変更","")&amp;IF(AND(OR(AND(入力!$B$13="有効",A515&gt;1,MOD(A515-1,60)=0),AND(A515=入力!$B$11,A515&gt;1)),入力!$B$14="有効",IF(E515=0,ROUND(C515/MAX(1,S514-A515+1),0),ROUND(-PMT(E515/12,MAX(1,S514-A515+1),C515),0))&gt;ROUND(G514*1.25,0),NOT(A515=入力!$B$15+1)),"・上限適用",""))</f>
        <v/>
      </c>
      <c r="Q515" s="35" t="str">
        <f>IF(AND(T514="",A515&lt;=S514),入力!$B$13,"")</f>
        <v/>
      </c>
      <c r="R515" s="32" t="str">
        <f>IF(AND(AND(T514="",A515&lt;=S514),OR(AND(入力!$B$13="有効",A515&gt;1,MOD(A515-1,60)=0),AND(A515=入力!$B$11,A515&gt;1)),入力!$B$14="有効"),ROUND(G514*1.25,0),"")</f>
        <v/>
      </c>
      <c r="S515" s="36">
        <f t="shared" si="134"/>
        <v>420</v>
      </c>
      <c r="T515" s="35" t="str">
        <f t="shared" si="135"/>
        <v/>
      </c>
      <c r="U515" s="3">
        <f t="shared" si="119"/>
        <v>0</v>
      </c>
      <c r="V515" s="3">
        <f t="shared" si="120"/>
        <v>0</v>
      </c>
      <c r="W515" s="3">
        <f t="shared" si="121"/>
        <v>0</v>
      </c>
      <c r="X515" s="3">
        <f t="shared" si="122"/>
        <v>0</v>
      </c>
      <c r="Y515" s="3">
        <f>0</f>
        <v>0</v>
      </c>
      <c r="Z515" s="3">
        <f t="shared" si="123"/>
        <v>0</v>
      </c>
      <c r="AA515">
        <f>ROUND(IF(A515=入力!$B$15+1,IF(E515=0,ROUND(C515/MAX(1,S514-A515+1),0),ROUND(-PMT(E515/12,MAX(1,S514-A515+1)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,0)</f>
        <v>0</v>
      </c>
    </row>
    <row r="516" spans="1:27">
      <c r="A516" s="30">
        <f>511</f>
        <v>511</v>
      </c>
      <c r="B516" s="31">
        <f>EDATE(入力!$B$6,A516-1)</f>
        <v>61760</v>
      </c>
      <c r="C516" s="32">
        <f t="shared" si="124"/>
        <v>0</v>
      </c>
      <c r="D516" s="32">
        <f t="shared" si="125"/>
        <v>0</v>
      </c>
      <c r="E516" s="33">
        <f>IF(AND(T515="",A516&lt;=S515),IF(A516&lt;入力!$B$11,入力!$B$10,入力!$B$12),0)</f>
        <v>0</v>
      </c>
      <c r="F516" s="32">
        <f t="shared" si="126"/>
        <v>0</v>
      </c>
      <c r="G516" s="32">
        <f>ROUND(IF(NOT(AND(T515="",A516&lt;=S515)),0,IF(A516=入力!$B$15+1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),0)</f>
        <v>0</v>
      </c>
      <c r="H516" s="32">
        <f t="shared" si="127"/>
        <v>0</v>
      </c>
      <c r="I516" s="32">
        <f t="shared" si="128"/>
        <v>0</v>
      </c>
      <c r="J516" s="32">
        <f t="shared" si="129"/>
        <v>0</v>
      </c>
      <c r="K516" s="32">
        <f t="shared" si="130"/>
        <v>0</v>
      </c>
      <c r="L516" s="32">
        <f t="shared" si="131"/>
        <v>0</v>
      </c>
      <c r="M516" s="32">
        <f>IF(AND(AND(T515="",A516&lt;=S515),A516=入力!$B$15),ROUND(MIN(入力!$B$16,MAX(0,C516-L516)),0),0)</f>
        <v>0</v>
      </c>
      <c r="N516" s="32">
        <f t="shared" si="132"/>
        <v>0</v>
      </c>
      <c r="O516" s="32">
        <f t="shared" si="133"/>
        <v>12386706</v>
      </c>
      <c r="P516" s="34" t="str">
        <f>IF(NOT(AND(T515="",A516&lt;=S515)),"",IF(A516=入力!$B$15+1,"繰上返済後再計算","")&amp;IF(AND(入力!$B$13="有効",A516&gt;1,MOD(A516-1,60)=0),IF(A516=入力!$B$15+1,"・","")&amp;"5年見直し","")&amp;IF(AND(A516=入力!$B$11,A516&gt;1),IF(OR(A516=入力!$B$15+1,AND(入力!$B$13="有効",A516&gt;1,MOD(A516-1,60)=0)),"・","")&amp;"金利変更","")&amp;IF(AND(OR(AND(入力!$B$13="有効",A516&gt;1,MOD(A516-1,60)=0),AND(A516=入力!$B$11,A516&gt;1)),入力!$B$14="有効",IF(E516=0,ROUND(C516/MAX(1,S515-A516+1),0),ROUND(-PMT(E516/12,MAX(1,S515-A516+1),C516),0))&gt;ROUND(G515*1.25,0),NOT(A516=入力!$B$15+1)),"・上限適用",""))</f>
        <v/>
      </c>
      <c r="Q516" s="35" t="str">
        <f>IF(AND(T515="",A516&lt;=S515),入力!$B$13,"")</f>
        <v/>
      </c>
      <c r="R516" s="32" t="str">
        <f>IF(AND(AND(T515="",A516&lt;=S515),OR(AND(入力!$B$13="有効",A516&gt;1,MOD(A516-1,60)=0),AND(A516=入力!$B$11,A516&gt;1)),入力!$B$14="有効"),ROUND(G515*1.25,0),"")</f>
        <v/>
      </c>
      <c r="S516" s="36">
        <f t="shared" si="134"/>
        <v>420</v>
      </c>
      <c r="T516" s="35" t="str">
        <f t="shared" si="135"/>
        <v/>
      </c>
      <c r="U516" s="3">
        <f t="shared" si="119"/>
        <v>0</v>
      </c>
      <c r="V516" s="3">
        <f t="shared" si="120"/>
        <v>0</v>
      </c>
      <c r="W516" s="3">
        <f t="shared" si="121"/>
        <v>0</v>
      </c>
      <c r="X516" s="3">
        <f t="shared" si="122"/>
        <v>0</v>
      </c>
      <c r="Y516" s="3">
        <f>0</f>
        <v>0</v>
      </c>
      <c r="Z516" s="3">
        <f t="shared" si="123"/>
        <v>0</v>
      </c>
      <c r="AA516">
        <f>ROUND(IF(A516=入力!$B$15+1,IF(E516=0,ROUND(C516/MAX(1,S515-A516+1),0),ROUND(-PMT(E516/12,MAX(1,S515-A516+1)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,0)</f>
        <v>0</v>
      </c>
    </row>
    <row r="517" spans="1:27">
      <c r="A517" s="30">
        <f>512</f>
        <v>512</v>
      </c>
      <c r="B517" s="31">
        <f>EDATE(入力!$B$6,A517-1)</f>
        <v>61788</v>
      </c>
      <c r="C517" s="32">
        <f t="shared" si="124"/>
        <v>0</v>
      </c>
      <c r="D517" s="32">
        <f t="shared" si="125"/>
        <v>0</v>
      </c>
      <c r="E517" s="33">
        <f>IF(AND(T516="",A517&lt;=S516),IF(A517&lt;入力!$B$11,入力!$B$10,入力!$B$12),0)</f>
        <v>0</v>
      </c>
      <c r="F517" s="32">
        <f t="shared" si="126"/>
        <v>0</v>
      </c>
      <c r="G517" s="32">
        <f>ROUND(IF(NOT(AND(T516="",A517&lt;=S516)),0,IF(A517=入力!$B$15+1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),0)</f>
        <v>0</v>
      </c>
      <c r="H517" s="32">
        <f t="shared" si="127"/>
        <v>0</v>
      </c>
      <c r="I517" s="32">
        <f t="shared" si="128"/>
        <v>0</v>
      </c>
      <c r="J517" s="32">
        <f t="shared" si="129"/>
        <v>0</v>
      </c>
      <c r="K517" s="32">
        <f t="shared" si="130"/>
        <v>0</v>
      </c>
      <c r="L517" s="32">
        <f t="shared" si="131"/>
        <v>0</v>
      </c>
      <c r="M517" s="32">
        <f>IF(AND(AND(T516="",A517&lt;=S516),A517=入力!$B$15),ROUND(MIN(入力!$B$16,MAX(0,C517-L517)),0),0)</f>
        <v>0</v>
      </c>
      <c r="N517" s="32">
        <f t="shared" si="132"/>
        <v>0</v>
      </c>
      <c r="O517" s="32">
        <f t="shared" si="133"/>
        <v>12386706</v>
      </c>
      <c r="P517" s="34" t="str">
        <f>IF(NOT(AND(T516="",A517&lt;=S516)),"",IF(A517=入力!$B$15+1,"繰上返済後再計算","")&amp;IF(AND(入力!$B$13="有効",A517&gt;1,MOD(A517-1,60)=0),IF(A517=入力!$B$15+1,"・","")&amp;"5年見直し","")&amp;IF(AND(A517=入力!$B$11,A517&gt;1),IF(OR(A517=入力!$B$15+1,AND(入力!$B$13="有効",A517&gt;1,MOD(A517-1,60)=0)),"・","")&amp;"金利変更","")&amp;IF(AND(OR(AND(入力!$B$13="有効",A517&gt;1,MOD(A517-1,60)=0),AND(A517=入力!$B$11,A517&gt;1)),入力!$B$14="有効",IF(E517=0,ROUND(C517/MAX(1,S516-A517+1),0),ROUND(-PMT(E517/12,MAX(1,S516-A517+1),C517),0))&gt;ROUND(G516*1.25,0),NOT(A517=入力!$B$15+1)),"・上限適用",""))</f>
        <v/>
      </c>
      <c r="Q517" s="35" t="str">
        <f>IF(AND(T516="",A517&lt;=S516),入力!$B$13,"")</f>
        <v/>
      </c>
      <c r="R517" s="32" t="str">
        <f>IF(AND(AND(T516="",A517&lt;=S516),OR(AND(入力!$B$13="有効",A517&gt;1,MOD(A517-1,60)=0),AND(A517=入力!$B$11,A517&gt;1)),入力!$B$14="有効"),ROUND(G516*1.25,0),"")</f>
        <v/>
      </c>
      <c r="S517" s="36">
        <f t="shared" si="134"/>
        <v>420</v>
      </c>
      <c r="T517" s="35" t="str">
        <f t="shared" si="135"/>
        <v/>
      </c>
      <c r="U517" s="3">
        <f t="shared" si="119"/>
        <v>0</v>
      </c>
      <c r="V517" s="3">
        <f t="shared" si="120"/>
        <v>0</v>
      </c>
      <c r="W517" s="3">
        <f t="shared" si="121"/>
        <v>0</v>
      </c>
      <c r="X517" s="3">
        <f t="shared" si="122"/>
        <v>0</v>
      </c>
      <c r="Y517" s="3">
        <f>0</f>
        <v>0</v>
      </c>
      <c r="Z517" s="3">
        <f t="shared" si="123"/>
        <v>0</v>
      </c>
      <c r="AA517">
        <f>ROUND(IF(A517=入力!$B$15+1,IF(E517=0,ROUND(C517/MAX(1,S516-A517+1),0),ROUND(-PMT(E517/12,MAX(1,S516-A517+1)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,0)</f>
        <v>0</v>
      </c>
    </row>
    <row r="518" spans="1:27">
      <c r="A518" s="30">
        <f>513</f>
        <v>513</v>
      </c>
      <c r="B518" s="31">
        <f>EDATE(入力!$B$6,A518-1)</f>
        <v>61819</v>
      </c>
      <c r="C518" s="32">
        <f t="shared" si="124"/>
        <v>0</v>
      </c>
      <c r="D518" s="32">
        <f t="shared" si="125"/>
        <v>0</v>
      </c>
      <c r="E518" s="33">
        <f>IF(AND(T517="",A518&lt;=S517),IF(A518&lt;入力!$B$11,入力!$B$10,入力!$B$12),0)</f>
        <v>0</v>
      </c>
      <c r="F518" s="32">
        <f t="shared" si="126"/>
        <v>0</v>
      </c>
      <c r="G518" s="32">
        <f>ROUND(IF(NOT(AND(T517="",A518&lt;=S517)),0,IF(A518=入力!$B$15+1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),0)</f>
        <v>0</v>
      </c>
      <c r="H518" s="32">
        <f t="shared" si="127"/>
        <v>0</v>
      </c>
      <c r="I518" s="32">
        <f t="shared" si="128"/>
        <v>0</v>
      </c>
      <c r="J518" s="32">
        <f t="shared" si="129"/>
        <v>0</v>
      </c>
      <c r="K518" s="32">
        <f t="shared" si="130"/>
        <v>0</v>
      </c>
      <c r="L518" s="32">
        <f t="shared" si="131"/>
        <v>0</v>
      </c>
      <c r="M518" s="32">
        <f>IF(AND(AND(T517="",A518&lt;=S517),A518=入力!$B$15),ROUND(MIN(入力!$B$16,MAX(0,C518-L518)),0),0)</f>
        <v>0</v>
      </c>
      <c r="N518" s="32">
        <f t="shared" si="132"/>
        <v>0</v>
      </c>
      <c r="O518" s="32">
        <f t="shared" si="133"/>
        <v>12386706</v>
      </c>
      <c r="P518" s="34" t="str">
        <f>IF(NOT(AND(T517="",A518&lt;=S517)),"",IF(A518=入力!$B$15+1,"繰上返済後再計算","")&amp;IF(AND(入力!$B$13="有効",A518&gt;1,MOD(A518-1,60)=0),IF(A518=入力!$B$15+1,"・","")&amp;"5年見直し","")&amp;IF(AND(A518=入力!$B$11,A518&gt;1),IF(OR(A518=入力!$B$15+1,AND(入力!$B$13="有効",A518&gt;1,MOD(A518-1,60)=0)),"・","")&amp;"金利変更","")&amp;IF(AND(OR(AND(入力!$B$13="有効",A518&gt;1,MOD(A518-1,60)=0),AND(A518=入力!$B$11,A518&gt;1)),入力!$B$14="有効",IF(E518=0,ROUND(C518/MAX(1,S517-A518+1),0),ROUND(-PMT(E518/12,MAX(1,S517-A518+1),C518),0))&gt;ROUND(G517*1.25,0),NOT(A518=入力!$B$15+1)),"・上限適用",""))</f>
        <v/>
      </c>
      <c r="Q518" s="35" t="str">
        <f>IF(AND(T517="",A518&lt;=S517),入力!$B$13,"")</f>
        <v/>
      </c>
      <c r="R518" s="32" t="str">
        <f>IF(AND(AND(T517="",A518&lt;=S517),OR(AND(入力!$B$13="有効",A518&gt;1,MOD(A518-1,60)=0),AND(A518=入力!$B$11,A518&gt;1)),入力!$B$14="有効"),ROUND(G517*1.25,0),"")</f>
        <v/>
      </c>
      <c r="S518" s="36">
        <f t="shared" si="134"/>
        <v>420</v>
      </c>
      <c r="T518" s="35" t="str">
        <f t="shared" si="135"/>
        <v/>
      </c>
      <c r="U518" s="3">
        <f t="shared" ref="U518:U581" si="136">ABS(I518-MIN(H518,D518+F518))</f>
        <v>0</v>
      </c>
      <c r="V518" s="3">
        <f t="shared" ref="V518:V581" si="137">ABS(L518-(H518-I518))</f>
        <v>0</v>
      </c>
      <c r="W518" s="3">
        <f t="shared" ref="W518:W581" si="138">ABS(K518-(D518+J518))</f>
        <v>0</v>
      </c>
      <c r="X518" s="3">
        <f t="shared" ref="X518:X581" si="139">ABS(F518-ROUND(F518,0))+ABS(G518-ROUND(G518,0))+ABS(H518-ROUND(H518,0))+ABS(I518-ROUND(I518,0))+ABS(J518-ROUND(J518,0))+ABS(K518-ROUND(K518,0))+ABS(L518-ROUND(L518,0))+ABS(M518-ROUND(M518,0))+ABS(N518-ROUND(N518,0))+ABS(O518-ROUND(O518,0))</f>
        <v>0</v>
      </c>
      <c r="Y518" s="3">
        <f>0</f>
        <v>0</v>
      </c>
      <c r="Z518" s="3">
        <f t="shared" ref="Z518:Z581" si="140">SUM(--ISERROR(A518),--ISERROR(B518),--ISERROR(C518),--ISERROR(D518),--ISERROR(E518),--ISERROR(F518),--ISERROR(G518),--ISERROR(H518),--ISERROR(I518),--ISERROR(J518),--ISERROR(K518),--ISERROR(L518),--ISERROR(M518),--ISERROR(N518),--ISERROR(O518),--ISERROR(P518),--ISERROR(Q518),--ISERROR(R518),--ISERROR(S518),--ISERROR(T518))</f>
        <v>0</v>
      </c>
      <c r="AA518">
        <f>ROUND(IF(A518=入力!$B$15+1,IF(E518=0,ROUND(C518/MAX(1,S517-A518+1),0),ROUND(-PMT(E518/12,MAX(1,S517-A518+1)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,0)</f>
        <v>0</v>
      </c>
    </row>
    <row r="519" spans="1:27">
      <c r="A519" s="30">
        <f>514</f>
        <v>514</v>
      </c>
      <c r="B519" s="31">
        <f>EDATE(入力!$B$6,A519-1)</f>
        <v>61849</v>
      </c>
      <c r="C519" s="32">
        <f t="shared" ref="C519:C582" si="141">IF(AND(T518="",A519&lt;=S518),N518,0)</f>
        <v>0</v>
      </c>
      <c r="D519" s="32">
        <f t="shared" ref="D519:D582" si="142">IF(AND(T518="",A519&lt;=S518),K518,0)</f>
        <v>0</v>
      </c>
      <c r="E519" s="33">
        <f>IF(AND(T518="",A519&lt;=S518),IF(A519&lt;入力!$B$11,入力!$B$10,入力!$B$12),0)</f>
        <v>0</v>
      </c>
      <c r="F519" s="32">
        <f t="shared" ref="F519:F582" si="143">IF(AND(T518="",A519&lt;=S518),ROUND(C519*E519/12,0),0)</f>
        <v>0</v>
      </c>
      <c r="G519" s="32">
        <f>ROUND(IF(NOT(AND(T518="",A519&lt;=S518)),0,IF(A519=入力!$B$15+1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),0)</f>
        <v>0</v>
      </c>
      <c r="H519" s="32">
        <f t="shared" ref="H519:H582" si="144">IF(AND(T518="",A519&lt;=S518),ROUND(MIN(G519,C519+D519+F519),0),0)</f>
        <v>0</v>
      </c>
      <c r="I519" s="32">
        <f t="shared" ref="I519:I582" si="145">IF(AND(T518="",A519&lt;=S518),ROUND(MIN(H519,D519+F519),0),0)</f>
        <v>0</v>
      </c>
      <c r="J519" s="32">
        <f t="shared" ref="J519:J582" si="146">IF(AND(T518="",A519&lt;=S518),ROUND(F519-I519,0),0)</f>
        <v>0</v>
      </c>
      <c r="K519" s="32">
        <f t="shared" ref="K519:K582" si="147">IF(AND(T518="",A519&lt;=S518),ROUND(D519+J519,0),0)</f>
        <v>0</v>
      </c>
      <c r="L519" s="32">
        <f t="shared" ref="L519:L582" si="148">IF(AND(T518="",A519&lt;=S518),ROUND(H519-I519,0),0)</f>
        <v>0</v>
      </c>
      <c r="M519" s="32">
        <f>IF(AND(AND(T518="",A519&lt;=S518),A519=入力!$B$15),ROUND(MIN(入力!$B$16,MAX(0,C519-L519)),0),0)</f>
        <v>0</v>
      </c>
      <c r="N519" s="32">
        <f t="shared" ref="N519:N582" si="149">IF(AND(T518="",A519&lt;=S518),ROUND(MAX(0,C519-L519-M519),0),0)</f>
        <v>0</v>
      </c>
      <c r="O519" s="32">
        <f t="shared" ref="O519:O582" si="150">IF(AND(T518="",A519&lt;=S518),ROUND(O518+F519,0),O518)</f>
        <v>12386706</v>
      </c>
      <c r="P519" s="34" t="str">
        <f>IF(NOT(AND(T518="",A519&lt;=S518)),"",IF(A519=入力!$B$15+1,"繰上返済後再計算","")&amp;IF(AND(入力!$B$13="有効",A519&gt;1,MOD(A519-1,60)=0),IF(A519=入力!$B$15+1,"・","")&amp;"5年見直し","")&amp;IF(AND(A519=入力!$B$11,A519&gt;1),IF(OR(A519=入力!$B$15+1,AND(入力!$B$13="有効",A519&gt;1,MOD(A519-1,60)=0)),"・","")&amp;"金利変更","")&amp;IF(AND(OR(AND(入力!$B$13="有効",A519&gt;1,MOD(A519-1,60)=0),AND(A519=入力!$B$11,A519&gt;1)),入力!$B$14="有効",IF(E519=0,ROUND(C519/MAX(1,S518-A519+1),0),ROUND(-PMT(E519/12,MAX(1,S518-A519+1),C519),0))&gt;ROUND(G518*1.25,0),NOT(A519=入力!$B$15+1)),"・上限適用",""))</f>
        <v/>
      </c>
      <c r="Q519" s="35" t="str">
        <f>IF(AND(T518="",A519&lt;=S518),入力!$B$13,"")</f>
        <v/>
      </c>
      <c r="R519" s="32" t="str">
        <f>IF(AND(AND(T518="",A519&lt;=S518),OR(AND(入力!$B$13="有効",A519&gt;1,MOD(A519-1,60)=0),AND(A519=入力!$B$11,A519&gt;1)),入力!$B$14="有効"),ROUND(G518*1.25,0),"")</f>
        <v/>
      </c>
      <c r="S519" s="36">
        <f t="shared" ref="S519:S582" si="151">S518</f>
        <v>420</v>
      </c>
      <c r="T519" s="35" t="str">
        <f t="shared" ref="T519:T582" si="152">IF(NOT(AND(T518="",A519&lt;=S518)),"",IF(AND(N519=0,K519=0),"完済",IF(A519=S519,"最終回清算","")))</f>
        <v/>
      </c>
      <c r="U519" s="3">
        <f t="shared" si="136"/>
        <v>0</v>
      </c>
      <c r="V519" s="3">
        <f t="shared" si="137"/>
        <v>0</v>
      </c>
      <c r="W519" s="3">
        <f t="shared" si="138"/>
        <v>0</v>
      </c>
      <c r="X519" s="3">
        <f t="shared" si="139"/>
        <v>0</v>
      </c>
      <c r="Y519" s="3">
        <f>0</f>
        <v>0</v>
      </c>
      <c r="Z519" s="3">
        <f t="shared" si="140"/>
        <v>0</v>
      </c>
      <c r="AA519">
        <f>ROUND(IF(A519=入力!$B$15+1,IF(E519=0,ROUND(C519/MAX(1,S518-A519+1),0),ROUND(-PMT(E519/12,MAX(1,S518-A519+1)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,0)</f>
        <v>0</v>
      </c>
    </row>
    <row r="520" spans="1:27">
      <c r="A520" s="30">
        <f>515</f>
        <v>515</v>
      </c>
      <c r="B520" s="31">
        <f>EDATE(入力!$B$6,A520-1)</f>
        <v>61880</v>
      </c>
      <c r="C520" s="32">
        <f t="shared" si="141"/>
        <v>0</v>
      </c>
      <c r="D520" s="32">
        <f t="shared" si="142"/>
        <v>0</v>
      </c>
      <c r="E520" s="33">
        <f>IF(AND(T519="",A520&lt;=S519),IF(A520&lt;入力!$B$11,入力!$B$10,入力!$B$12),0)</f>
        <v>0</v>
      </c>
      <c r="F520" s="32">
        <f t="shared" si="143"/>
        <v>0</v>
      </c>
      <c r="G520" s="32">
        <f>ROUND(IF(NOT(AND(T519="",A520&lt;=S519)),0,IF(A520=入力!$B$15+1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),0)</f>
        <v>0</v>
      </c>
      <c r="H520" s="32">
        <f t="shared" si="144"/>
        <v>0</v>
      </c>
      <c r="I520" s="32">
        <f t="shared" si="145"/>
        <v>0</v>
      </c>
      <c r="J520" s="32">
        <f t="shared" si="146"/>
        <v>0</v>
      </c>
      <c r="K520" s="32">
        <f t="shared" si="147"/>
        <v>0</v>
      </c>
      <c r="L520" s="32">
        <f t="shared" si="148"/>
        <v>0</v>
      </c>
      <c r="M520" s="32">
        <f>IF(AND(AND(T519="",A520&lt;=S519),A520=入力!$B$15),ROUND(MIN(入力!$B$16,MAX(0,C520-L520)),0),0)</f>
        <v>0</v>
      </c>
      <c r="N520" s="32">
        <f t="shared" si="149"/>
        <v>0</v>
      </c>
      <c r="O520" s="32">
        <f t="shared" si="150"/>
        <v>12386706</v>
      </c>
      <c r="P520" s="34" t="str">
        <f>IF(NOT(AND(T519="",A520&lt;=S519)),"",IF(A520=入力!$B$15+1,"繰上返済後再計算","")&amp;IF(AND(入力!$B$13="有効",A520&gt;1,MOD(A520-1,60)=0),IF(A520=入力!$B$15+1,"・","")&amp;"5年見直し","")&amp;IF(AND(A520=入力!$B$11,A520&gt;1),IF(OR(A520=入力!$B$15+1,AND(入力!$B$13="有効",A520&gt;1,MOD(A520-1,60)=0)),"・","")&amp;"金利変更","")&amp;IF(AND(OR(AND(入力!$B$13="有効",A520&gt;1,MOD(A520-1,60)=0),AND(A520=入力!$B$11,A520&gt;1)),入力!$B$14="有効",IF(E520=0,ROUND(C520/MAX(1,S519-A520+1),0),ROUND(-PMT(E520/12,MAX(1,S519-A520+1),C520),0))&gt;ROUND(G519*1.25,0),NOT(A520=入力!$B$15+1)),"・上限適用",""))</f>
        <v/>
      </c>
      <c r="Q520" s="35" t="str">
        <f>IF(AND(T519="",A520&lt;=S519),入力!$B$13,"")</f>
        <v/>
      </c>
      <c r="R520" s="32" t="str">
        <f>IF(AND(AND(T519="",A520&lt;=S519),OR(AND(入力!$B$13="有効",A520&gt;1,MOD(A520-1,60)=0),AND(A520=入力!$B$11,A520&gt;1)),入力!$B$14="有効"),ROUND(G519*1.25,0),"")</f>
        <v/>
      </c>
      <c r="S520" s="36">
        <f t="shared" si="151"/>
        <v>420</v>
      </c>
      <c r="T520" s="35" t="str">
        <f t="shared" si="152"/>
        <v/>
      </c>
      <c r="U520" s="3">
        <f t="shared" si="136"/>
        <v>0</v>
      </c>
      <c r="V520" s="3">
        <f t="shared" si="137"/>
        <v>0</v>
      </c>
      <c r="W520" s="3">
        <f t="shared" si="138"/>
        <v>0</v>
      </c>
      <c r="X520" s="3">
        <f t="shared" si="139"/>
        <v>0</v>
      </c>
      <c r="Y520" s="3">
        <f>0</f>
        <v>0</v>
      </c>
      <c r="Z520" s="3">
        <f t="shared" si="140"/>
        <v>0</v>
      </c>
      <c r="AA520">
        <f>ROUND(IF(A520=入力!$B$15+1,IF(E520=0,ROUND(C520/MAX(1,S519-A520+1),0),ROUND(-PMT(E520/12,MAX(1,S519-A520+1)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,0)</f>
        <v>0</v>
      </c>
    </row>
    <row r="521" spans="1:27">
      <c r="A521" s="30">
        <f>516</f>
        <v>516</v>
      </c>
      <c r="B521" s="31">
        <f>EDATE(入力!$B$6,A521-1)</f>
        <v>61910</v>
      </c>
      <c r="C521" s="32">
        <f t="shared" si="141"/>
        <v>0</v>
      </c>
      <c r="D521" s="32">
        <f t="shared" si="142"/>
        <v>0</v>
      </c>
      <c r="E521" s="33">
        <f>IF(AND(T520="",A521&lt;=S520),IF(A521&lt;入力!$B$11,入力!$B$10,入力!$B$12),0)</f>
        <v>0</v>
      </c>
      <c r="F521" s="32">
        <f t="shared" si="143"/>
        <v>0</v>
      </c>
      <c r="G521" s="32">
        <f>ROUND(IF(NOT(AND(T520="",A521&lt;=S520)),0,IF(A521=入力!$B$15+1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),0)</f>
        <v>0</v>
      </c>
      <c r="H521" s="32">
        <f t="shared" si="144"/>
        <v>0</v>
      </c>
      <c r="I521" s="32">
        <f t="shared" si="145"/>
        <v>0</v>
      </c>
      <c r="J521" s="32">
        <f t="shared" si="146"/>
        <v>0</v>
      </c>
      <c r="K521" s="32">
        <f t="shared" si="147"/>
        <v>0</v>
      </c>
      <c r="L521" s="32">
        <f t="shared" si="148"/>
        <v>0</v>
      </c>
      <c r="M521" s="32">
        <f>IF(AND(AND(T520="",A521&lt;=S520),A521=入力!$B$15),ROUND(MIN(入力!$B$16,MAX(0,C521-L521)),0),0)</f>
        <v>0</v>
      </c>
      <c r="N521" s="32">
        <f t="shared" si="149"/>
        <v>0</v>
      </c>
      <c r="O521" s="32">
        <f t="shared" si="150"/>
        <v>12386706</v>
      </c>
      <c r="P521" s="34" t="str">
        <f>IF(NOT(AND(T520="",A521&lt;=S520)),"",IF(A521=入力!$B$15+1,"繰上返済後再計算","")&amp;IF(AND(入力!$B$13="有効",A521&gt;1,MOD(A521-1,60)=0),IF(A521=入力!$B$15+1,"・","")&amp;"5年見直し","")&amp;IF(AND(A521=入力!$B$11,A521&gt;1),IF(OR(A521=入力!$B$15+1,AND(入力!$B$13="有効",A521&gt;1,MOD(A521-1,60)=0)),"・","")&amp;"金利変更","")&amp;IF(AND(OR(AND(入力!$B$13="有効",A521&gt;1,MOD(A521-1,60)=0),AND(A521=入力!$B$11,A521&gt;1)),入力!$B$14="有効",IF(E521=0,ROUND(C521/MAX(1,S520-A521+1),0),ROUND(-PMT(E521/12,MAX(1,S520-A521+1),C521),0))&gt;ROUND(G520*1.25,0),NOT(A521=入力!$B$15+1)),"・上限適用",""))</f>
        <v/>
      </c>
      <c r="Q521" s="35" t="str">
        <f>IF(AND(T520="",A521&lt;=S520),入力!$B$13,"")</f>
        <v/>
      </c>
      <c r="R521" s="32" t="str">
        <f>IF(AND(AND(T520="",A521&lt;=S520),OR(AND(入力!$B$13="有効",A521&gt;1,MOD(A521-1,60)=0),AND(A521=入力!$B$11,A521&gt;1)),入力!$B$14="有効"),ROUND(G520*1.25,0),"")</f>
        <v/>
      </c>
      <c r="S521" s="36">
        <f t="shared" si="151"/>
        <v>420</v>
      </c>
      <c r="T521" s="35" t="str">
        <f t="shared" si="152"/>
        <v/>
      </c>
      <c r="U521" s="3">
        <f t="shared" si="136"/>
        <v>0</v>
      </c>
      <c r="V521" s="3">
        <f t="shared" si="137"/>
        <v>0</v>
      </c>
      <c r="W521" s="3">
        <f t="shared" si="138"/>
        <v>0</v>
      </c>
      <c r="X521" s="3">
        <f t="shared" si="139"/>
        <v>0</v>
      </c>
      <c r="Y521" s="3">
        <f>0</f>
        <v>0</v>
      </c>
      <c r="Z521" s="3">
        <f t="shared" si="140"/>
        <v>0</v>
      </c>
      <c r="AA521">
        <f>ROUND(IF(A521=入力!$B$15+1,IF(E521=0,ROUND(C521/MAX(1,S520-A521+1),0),ROUND(-PMT(E521/12,MAX(1,S520-A521+1)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,0)</f>
        <v>0</v>
      </c>
    </row>
    <row r="522" spans="1:27">
      <c r="A522" s="30">
        <f>517</f>
        <v>517</v>
      </c>
      <c r="B522" s="31">
        <f>EDATE(入力!$B$6,A522-1)</f>
        <v>61941</v>
      </c>
      <c r="C522" s="32">
        <f t="shared" si="141"/>
        <v>0</v>
      </c>
      <c r="D522" s="32">
        <f t="shared" si="142"/>
        <v>0</v>
      </c>
      <c r="E522" s="33">
        <f>IF(AND(T521="",A522&lt;=S521),IF(A522&lt;入力!$B$11,入力!$B$10,入力!$B$12),0)</f>
        <v>0</v>
      </c>
      <c r="F522" s="32">
        <f t="shared" si="143"/>
        <v>0</v>
      </c>
      <c r="G522" s="32">
        <f>ROUND(IF(NOT(AND(T521="",A522&lt;=S521)),0,IF(A522=入力!$B$15+1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),0)</f>
        <v>0</v>
      </c>
      <c r="H522" s="32">
        <f t="shared" si="144"/>
        <v>0</v>
      </c>
      <c r="I522" s="32">
        <f t="shared" si="145"/>
        <v>0</v>
      </c>
      <c r="J522" s="32">
        <f t="shared" si="146"/>
        <v>0</v>
      </c>
      <c r="K522" s="32">
        <f t="shared" si="147"/>
        <v>0</v>
      </c>
      <c r="L522" s="32">
        <f t="shared" si="148"/>
        <v>0</v>
      </c>
      <c r="M522" s="32">
        <f>IF(AND(AND(T521="",A522&lt;=S521),A522=入力!$B$15),ROUND(MIN(入力!$B$16,MAX(0,C522-L522)),0),0)</f>
        <v>0</v>
      </c>
      <c r="N522" s="32">
        <f t="shared" si="149"/>
        <v>0</v>
      </c>
      <c r="O522" s="32">
        <f t="shared" si="150"/>
        <v>12386706</v>
      </c>
      <c r="P522" s="34" t="str">
        <f>IF(NOT(AND(T521="",A522&lt;=S521)),"",IF(A522=入力!$B$15+1,"繰上返済後再計算","")&amp;IF(AND(入力!$B$13="有効",A522&gt;1,MOD(A522-1,60)=0),IF(A522=入力!$B$15+1,"・","")&amp;"5年見直し","")&amp;IF(AND(A522=入力!$B$11,A522&gt;1),IF(OR(A522=入力!$B$15+1,AND(入力!$B$13="有効",A522&gt;1,MOD(A522-1,60)=0)),"・","")&amp;"金利変更","")&amp;IF(AND(OR(AND(入力!$B$13="有効",A522&gt;1,MOD(A522-1,60)=0),AND(A522=入力!$B$11,A522&gt;1)),入力!$B$14="有効",IF(E522=0,ROUND(C522/MAX(1,S521-A522+1),0),ROUND(-PMT(E522/12,MAX(1,S521-A522+1),C522),0))&gt;ROUND(G521*1.25,0),NOT(A522=入力!$B$15+1)),"・上限適用",""))</f>
        <v/>
      </c>
      <c r="Q522" s="35" t="str">
        <f>IF(AND(T521="",A522&lt;=S521),入力!$B$13,"")</f>
        <v/>
      </c>
      <c r="R522" s="32" t="str">
        <f>IF(AND(AND(T521="",A522&lt;=S521),OR(AND(入力!$B$13="有効",A522&gt;1,MOD(A522-1,60)=0),AND(A522=入力!$B$11,A522&gt;1)),入力!$B$14="有効"),ROUND(G521*1.25,0),"")</f>
        <v/>
      </c>
      <c r="S522" s="36">
        <f t="shared" si="151"/>
        <v>420</v>
      </c>
      <c r="T522" s="35" t="str">
        <f t="shared" si="152"/>
        <v/>
      </c>
      <c r="U522" s="3">
        <f t="shared" si="136"/>
        <v>0</v>
      </c>
      <c r="V522" s="3">
        <f t="shared" si="137"/>
        <v>0</v>
      </c>
      <c r="W522" s="3">
        <f t="shared" si="138"/>
        <v>0</v>
      </c>
      <c r="X522" s="3">
        <f t="shared" si="139"/>
        <v>0</v>
      </c>
      <c r="Y522" s="3">
        <f>0</f>
        <v>0</v>
      </c>
      <c r="Z522" s="3">
        <f t="shared" si="140"/>
        <v>0</v>
      </c>
      <c r="AA522">
        <f>ROUND(IF(A522=入力!$B$15+1,IF(E522=0,ROUND(C522/MAX(1,S521-A522+1),0),ROUND(-PMT(E522/12,MAX(1,S521-A522+1)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,0)</f>
        <v>0</v>
      </c>
    </row>
    <row r="523" spans="1:27">
      <c r="A523" s="30">
        <f>518</f>
        <v>518</v>
      </c>
      <c r="B523" s="31">
        <f>EDATE(入力!$B$6,A523-1)</f>
        <v>61972</v>
      </c>
      <c r="C523" s="32">
        <f t="shared" si="141"/>
        <v>0</v>
      </c>
      <c r="D523" s="32">
        <f t="shared" si="142"/>
        <v>0</v>
      </c>
      <c r="E523" s="33">
        <f>IF(AND(T522="",A523&lt;=S522),IF(A523&lt;入力!$B$11,入力!$B$10,入力!$B$12),0)</f>
        <v>0</v>
      </c>
      <c r="F523" s="32">
        <f t="shared" si="143"/>
        <v>0</v>
      </c>
      <c r="G523" s="32">
        <f>ROUND(IF(NOT(AND(T522="",A523&lt;=S522)),0,IF(A523=入力!$B$15+1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),0)</f>
        <v>0</v>
      </c>
      <c r="H523" s="32">
        <f t="shared" si="144"/>
        <v>0</v>
      </c>
      <c r="I523" s="32">
        <f t="shared" si="145"/>
        <v>0</v>
      </c>
      <c r="J523" s="32">
        <f t="shared" si="146"/>
        <v>0</v>
      </c>
      <c r="K523" s="32">
        <f t="shared" si="147"/>
        <v>0</v>
      </c>
      <c r="L523" s="32">
        <f t="shared" si="148"/>
        <v>0</v>
      </c>
      <c r="M523" s="32">
        <f>IF(AND(AND(T522="",A523&lt;=S522),A523=入力!$B$15),ROUND(MIN(入力!$B$16,MAX(0,C523-L523)),0),0)</f>
        <v>0</v>
      </c>
      <c r="N523" s="32">
        <f t="shared" si="149"/>
        <v>0</v>
      </c>
      <c r="O523" s="32">
        <f t="shared" si="150"/>
        <v>12386706</v>
      </c>
      <c r="P523" s="34" t="str">
        <f>IF(NOT(AND(T522="",A523&lt;=S522)),"",IF(A523=入力!$B$15+1,"繰上返済後再計算","")&amp;IF(AND(入力!$B$13="有効",A523&gt;1,MOD(A523-1,60)=0),IF(A523=入力!$B$15+1,"・","")&amp;"5年見直し","")&amp;IF(AND(A523=入力!$B$11,A523&gt;1),IF(OR(A523=入力!$B$15+1,AND(入力!$B$13="有効",A523&gt;1,MOD(A523-1,60)=0)),"・","")&amp;"金利変更","")&amp;IF(AND(OR(AND(入力!$B$13="有効",A523&gt;1,MOD(A523-1,60)=0),AND(A523=入力!$B$11,A523&gt;1)),入力!$B$14="有効",IF(E523=0,ROUND(C523/MAX(1,S522-A523+1),0),ROUND(-PMT(E523/12,MAX(1,S522-A523+1),C523),0))&gt;ROUND(G522*1.25,0),NOT(A523=入力!$B$15+1)),"・上限適用",""))</f>
        <v/>
      </c>
      <c r="Q523" s="35" t="str">
        <f>IF(AND(T522="",A523&lt;=S522),入力!$B$13,"")</f>
        <v/>
      </c>
      <c r="R523" s="32" t="str">
        <f>IF(AND(AND(T522="",A523&lt;=S522),OR(AND(入力!$B$13="有効",A523&gt;1,MOD(A523-1,60)=0),AND(A523=入力!$B$11,A523&gt;1)),入力!$B$14="有効"),ROUND(G522*1.25,0),"")</f>
        <v/>
      </c>
      <c r="S523" s="36">
        <f t="shared" si="151"/>
        <v>420</v>
      </c>
      <c r="T523" s="35" t="str">
        <f t="shared" si="152"/>
        <v/>
      </c>
      <c r="U523" s="3">
        <f t="shared" si="136"/>
        <v>0</v>
      </c>
      <c r="V523" s="3">
        <f t="shared" si="137"/>
        <v>0</v>
      </c>
      <c r="W523" s="3">
        <f t="shared" si="138"/>
        <v>0</v>
      </c>
      <c r="X523" s="3">
        <f t="shared" si="139"/>
        <v>0</v>
      </c>
      <c r="Y523" s="3">
        <f>0</f>
        <v>0</v>
      </c>
      <c r="Z523" s="3">
        <f t="shared" si="140"/>
        <v>0</v>
      </c>
      <c r="AA523">
        <f>ROUND(IF(A523=入力!$B$15+1,IF(E523=0,ROUND(C523/MAX(1,S522-A523+1),0),ROUND(-PMT(E523/12,MAX(1,S522-A523+1)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,0)</f>
        <v>0</v>
      </c>
    </row>
    <row r="524" spans="1:27">
      <c r="A524" s="30">
        <f>519</f>
        <v>519</v>
      </c>
      <c r="B524" s="31">
        <f>EDATE(入力!$B$6,A524-1)</f>
        <v>62002</v>
      </c>
      <c r="C524" s="32">
        <f t="shared" si="141"/>
        <v>0</v>
      </c>
      <c r="D524" s="32">
        <f t="shared" si="142"/>
        <v>0</v>
      </c>
      <c r="E524" s="33">
        <f>IF(AND(T523="",A524&lt;=S523),IF(A524&lt;入力!$B$11,入力!$B$10,入力!$B$12),0)</f>
        <v>0</v>
      </c>
      <c r="F524" s="32">
        <f t="shared" si="143"/>
        <v>0</v>
      </c>
      <c r="G524" s="32">
        <f>ROUND(IF(NOT(AND(T523="",A524&lt;=S523)),0,IF(A524=入力!$B$15+1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),0)</f>
        <v>0</v>
      </c>
      <c r="H524" s="32">
        <f t="shared" si="144"/>
        <v>0</v>
      </c>
      <c r="I524" s="32">
        <f t="shared" si="145"/>
        <v>0</v>
      </c>
      <c r="J524" s="32">
        <f t="shared" si="146"/>
        <v>0</v>
      </c>
      <c r="K524" s="32">
        <f t="shared" si="147"/>
        <v>0</v>
      </c>
      <c r="L524" s="32">
        <f t="shared" si="148"/>
        <v>0</v>
      </c>
      <c r="M524" s="32">
        <f>IF(AND(AND(T523="",A524&lt;=S523),A524=入力!$B$15),ROUND(MIN(入力!$B$16,MAX(0,C524-L524)),0),0)</f>
        <v>0</v>
      </c>
      <c r="N524" s="32">
        <f t="shared" si="149"/>
        <v>0</v>
      </c>
      <c r="O524" s="32">
        <f t="shared" si="150"/>
        <v>12386706</v>
      </c>
      <c r="P524" s="34" t="str">
        <f>IF(NOT(AND(T523="",A524&lt;=S523)),"",IF(A524=入力!$B$15+1,"繰上返済後再計算","")&amp;IF(AND(入力!$B$13="有効",A524&gt;1,MOD(A524-1,60)=0),IF(A524=入力!$B$15+1,"・","")&amp;"5年見直し","")&amp;IF(AND(A524=入力!$B$11,A524&gt;1),IF(OR(A524=入力!$B$15+1,AND(入力!$B$13="有効",A524&gt;1,MOD(A524-1,60)=0)),"・","")&amp;"金利変更","")&amp;IF(AND(OR(AND(入力!$B$13="有効",A524&gt;1,MOD(A524-1,60)=0),AND(A524=入力!$B$11,A524&gt;1)),入力!$B$14="有効",IF(E524=0,ROUND(C524/MAX(1,S523-A524+1),0),ROUND(-PMT(E524/12,MAX(1,S523-A524+1),C524),0))&gt;ROUND(G523*1.25,0),NOT(A524=入力!$B$15+1)),"・上限適用",""))</f>
        <v/>
      </c>
      <c r="Q524" s="35" t="str">
        <f>IF(AND(T523="",A524&lt;=S523),入力!$B$13,"")</f>
        <v/>
      </c>
      <c r="R524" s="32" t="str">
        <f>IF(AND(AND(T523="",A524&lt;=S523),OR(AND(入力!$B$13="有効",A524&gt;1,MOD(A524-1,60)=0),AND(A524=入力!$B$11,A524&gt;1)),入力!$B$14="有効"),ROUND(G523*1.25,0),"")</f>
        <v/>
      </c>
      <c r="S524" s="36">
        <f t="shared" si="151"/>
        <v>420</v>
      </c>
      <c r="T524" s="35" t="str">
        <f t="shared" si="152"/>
        <v/>
      </c>
      <c r="U524" s="3">
        <f t="shared" si="136"/>
        <v>0</v>
      </c>
      <c r="V524" s="3">
        <f t="shared" si="137"/>
        <v>0</v>
      </c>
      <c r="W524" s="3">
        <f t="shared" si="138"/>
        <v>0</v>
      </c>
      <c r="X524" s="3">
        <f t="shared" si="139"/>
        <v>0</v>
      </c>
      <c r="Y524" s="3">
        <f>0</f>
        <v>0</v>
      </c>
      <c r="Z524" s="3">
        <f t="shared" si="140"/>
        <v>0</v>
      </c>
      <c r="AA524">
        <f>ROUND(IF(A524=入力!$B$15+1,IF(E524=0,ROUND(C524/MAX(1,S523-A524+1),0),ROUND(-PMT(E524/12,MAX(1,S523-A524+1)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,0)</f>
        <v>0</v>
      </c>
    </row>
    <row r="525" spans="1:27">
      <c r="A525" s="30">
        <f>520</f>
        <v>520</v>
      </c>
      <c r="B525" s="31">
        <f>EDATE(入力!$B$6,A525-1)</f>
        <v>62033</v>
      </c>
      <c r="C525" s="32">
        <f t="shared" si="141"/>
        <v>0</v>
      </c>
      <c r="D525" s="32">
        <f t="shared" si="142"/>
        <v>0</v>
      </c>
      <c r="E525" s="33">
        <f>IF(AND(T524="",A525&lt;=S524),IF(A525&lt;入力!$B$11,入力!$B$10,入力!$B$12),0)</f>
        <v>0</v>
      </c>
      <c r="F525" s="32">
        <f t="shared" si="143"/>
        <v>0</v>
      </c>
      <c r="G525" s="32">
        <f>ROUND(IF(NOT(AND(T524="",A525&lt;=S524)),0,IF(A525=入力!$B$15+1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),0)</f>
        <v>0</v>
      </c>
      <c r="H525" s="32">
        <f t="shared" si="144"/>
        <v>0</v>
      </c>
      <c r="I525" s="32">
        <f t="shared" si="145"/>
        <v>0</v>
      </c>
      <c r="J525" s="32">
        <f t="shared" si="146"/>
        <v>0</v>
      </c>
      <c r="K525" s="32">
        <f t="shared" si="147"/>
        <v>0</v>
      </c>
      <c r="L525" s="32">
        <f t="shared" si="148"/>
        <v>0</v>
      </c>
      <c r="M525" s="32">
        <f>IF(AND(AND(T524="",A525&lt;=S524),A525=入力!$B$15),ROUND(MIN(入力!$B$16,MAX(0,C525-L525)),0),0)</f>
        <v>0</v>
      </c>
      <c r="N525" s="32">
        <f t="shared" si="149"/>
        <v>0</v>
      </c>
      <c r="O525" s="32">
        <f t="shared" si="150"/>
        <v>12386706</v>
      </c>
      <c r="P525" s="34" t="str">
        <f>IF(NOT(AND(T524="",A525&lt;=S524)),"",IF(A525=入力!$B$15+1,"繰上返済後再計算","")&amp;IF(AND(入力!$B$13="有効",A525&gt;1,MOD(A525-1,60)=0),IF(A525=入力!$B$15+1,"・","")&amp;"5年見直し","")&amp;IF(AND(A525=入力!$B$11,A525&gt;1),IF(OR(A525=入力!$B$15+1,AND(入力!$B$13="有効",A525&gt;1,MOD(A525-1,60)=0)),"・","")&amp;"金利変更","")&amp;IF(AND(OR(AND(入力!$B$13="有効",A525&gt;1,MOD(A525-1,60)=0),AND(A525=入力!$B$11,A525&gt;1)),入力!$B$14="有効",IF(E525=0,ROUND(C525/MAX(1,S524-A525+1),0),ROUND(-PMT(E525/12,MAX(1,S524-A525+1),C525),0))&gt;ROUND(G524*1.25,0),NOT(A525=入力!$B$15+1)),"・上限適用",""))</f>
        <v/>
      </c>
      <c r="Q525" s="35" t="str">
        <f>IF(AND(T524="",A525&lt;=S524),入力!$B$13,"")</f>
        <v/>
      </c>
      <c r="R525" s="32" t="str">
        <f>IF(AND(AND(T524="",A525&lt;=S524),OR(AND(入力!$B$13="有効",A525&gt;1,MOD(A525-1,60)=0),AND(A525=入力!$B$11,A525&gt;1)),入力!$B$14="有効"),ROUND(G524*1.25,0),"")</f>
        <v/>
      </c>
      <c r="S525" s="36">
        <f t="shared" si="151"/>
        <v>420</v>
      </c>
      <c r="T525" s="35" t="str">
        <f t="shared" si="152"/>
        <v/>
      </c>
      <c r="U525" s="3">
        <f t="shared" si="136"/>
        <v>0</v>
      </c>
      <c r="V525" s="3">
        <f t="shared" si="137"/>
        <v>0</v>
      </c>
      <c r="W525" s="3">
        <f t="shared" si="138"/>
        <v>0</v>
      </c>
      <c r="X525" s="3">
        <f t="shared" si="139"/>
        <v>0</v>
      </c>
      <c r="Y525" s="3">
        <f>0</f>
        <v>0</v>
      </c>
      <c r="Z525" s="3">
        <f t="shared" si="140"/>
        <v>0</v>
      </c>
      <c r="AA525">
        <f>ROUND(IF(A525=入力!$B$15+1,IF(E525=0,ROUND(C525/MAX(1,S524-A525+1),0),ROUND(-PMT(E525/12,MAX(1,S524-A525+1)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,0)</f>
        <v>0</v>
      </c>
    </row>
    <row r="526" spans="1:27">
      <c r="A526" s="30">
        <f>521</f>
        <v>521</v>
      </c>
      <c r="B526" s="31">
        <f>EDATE(入力!$B$6,A526-1)</f>
        <v>62063</v>
      </c>
      <c r="C526" s="32">
        <f t="shared" si="141"/>
        <v>0</v>
      </c>
      <c r="D526" s="32">
        <f t="shared" si="142"/>
        <v>0</v>
      </c>
      <c r="E526" s="33">
        <f>IF(AND(T525="",A526&lt;=S525),IF(A526&lt;入力!$B$11,入力!$B$10,入力!$B$12),0)</f>
        <v>0</v>
      </c>
      <c r="F526" s="32">
        <f t="shared" si="143"/>
        <v>0</v>
      </c>
      <c r="G526" s="32">
        <f>ROUND(IF(NOT(AND(T525="",A526&lt;=S525)),0,IF(A526=入力!$B$15+1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),0)</f>
        <v>0</v>
      </c>
      <c r="H526" s="32">
        <f t="shared" si="144"/>
        <v>0</v>
      </c>
      <c r="I526" s="32">
        <f t="shared" si="145"/>
        <v>0</v>
      </c>
      <c r="J526" s="32">
        <f t="shared" si="146"/>
        <v>0</v>
      </c>
      <c r="K526" s="32">
        <f t="shared" si="147"/>
        <v>0</v>
      </c>
      <c r="L526" s="32">
        <f t="shared" si="148"/>
        <v>0</v>
      </c>
      <c r="M526" s="32">
        <f>IF(AND(AND(T525="",A526&lt;=S525),A526=入力!$B$15),ROUND(MIN(入力!$B$16,MAX(0,C526-L526)),0),0)</f>
        <v>0</v>
      </c>
      <c r="N526" s="32">
        <f t="shared" si="149"/>
        <v>0</v>
      </c>
      <c r="O526" s="32">
        <f t="shared" si="150"/>
        <v>12386706</v>
      </c>
      <c r="P526" s="34" t="str">
        <f>IF(NOT(AND(T525="",A526&lt;=S525)),"",IF(A526=入力!$B$15+1,"繰上返済後再計算","")&amp;IF(AND(入力!$B$13="有効",A526&gt;1,MOD(A526-1,60)=0),IF(A526=入力!$B$15+1,"・","")&amp;"5年見直し","")&amp;IF(AND(A526=入力!$B$11,A526&gt;1),IF(OR(A526=入力!$B$15+1,AND(入力!$B$13="有効",A526&gt;1,MOD(A526-1,60)=0)),"・","")&amp;"金利変更","")&amp;IF(AND(OR(AND(入力!$B$13="有効",A526&gt;1,MOD(A526-1,60)=0),AND(A526=入力!$B$11,A526&gt;1)),入力!$B$14="有効",IF(E526=0,ROUND(C526/MAX(1,S525-A526+1),0),ROUND(-PMT(E526/12,MAX(1,S525-A526+1),C526),0))&gt;ROUND(G525*1.25,0),NOT(A526=入力!$B$15+1)),"・上限適用",""))</f>
        <v/>
      </c>
      <c r="Q526" s="35" t="str">
        <f>IF(AND(T525="",A526&lt;=S525),入力!$B$13,"")</f>
        <v/>
      </c>
      <c r="R526" s="32" t="str">
        <f>IF(AND(AND(T525="",A526&lt;=S525),OR(AND(入力!$B$13="有効",A526&gt;1,MOD(A526-1,60)=0),AND(A526=入力!$B$11,A526&gt;1)),入力!$B$14="有効"),ROUND(G525*1.25,0),"")</f>
        <v/>
      </c>
      <c r="S526" s="36">
        <f t="shared" si="151"/>
        <v>420</v>
      </c>
      <c r="T526" s="35" t="str">
        <f t="shared" si="152"/>
        <v/>
      </c>
      <c r="U526" s="3">
        <f t="shared" si="136"/>
        <v>0</v>
      </c>
      <c r="V526" s="3">
        <f t="shared" si="137"/>
        <v>0</v>
      </c>
      <c r="W526" s="3">
        <f t="shared" si="138"/>
        <v>0</v>
      </c>
      <c r="X526" s="3">
        <f t="shared" si="139"/>
        <v>0</v>
      </c>
      <c r="Y526" s="3">
        <f>0</f>
        <v>0</v>
      </c>
      <c r="Z526" s="3">
        <f t="shared" si="140"/>
        <v>0</v>
      </c>
      <c r="AA526">
        <f>ROUND(IF(A526=入力!$B$15+1,IF(E526=0,ROUND(C526/MAX(1,S525-A526+1),0),ROUND(-PMT(E526/12,MAX(1,S525-A526+1)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,0)</f>
        <v>0</v>
      </c>
    </row>
    <row r="527" spans="1:27">
      <c r="A527" s="30">
        <f>522</f>
        <v>522</v>
      </c>
      <c r="B527" s="31">
        <f>EDATE(入力!$B$6,A527-1)</f>
        <v>62094</v>
      </c>
      <c r="C527" s="32">
        <f t="shared" si="141"/>
        <v>0</v>
      </c>
      <c r="D527" s="32">
        <f t="shared" si="142"/>
        <v>0</v>
      </c>
      <c r="E527" s="33">
        <f>IF(AND(T526="",A527&lt;=S526),IF(A527&lt;入力!$B$11,入力!$B$10,入力!$B$12),0)</f>
        <v>0</v>
      </c>
      <c r="F527" s="32">
        <f t="shared" si="143"/>
        <v>0</v>
      </c>
      <c r="G527" s="32">
        <f>ROUND(IF(NOT(AND(T526="",A527&lt;=S526)),0,IF(A527=入力!$B$15+1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),0)</f>
        <v>0</v>
      </c>
      <c r="H527" s="32">
        <f t="shared" si="144"/>
        <v>0</v>
      </c>
      <c r="I527" s="32">
        <f t="shared" si="145"/>
        <v>0</v>
      </c>
      <c r="J527" s="32">
        <f t="shared" si="146"/>
        <v>0</v>
      </c>
      <c r="K527" s="32">
        <f t="shared" si="147"/>
        <v>0</v>
      </c>
      <c r="L527" s="32">
        <f t="shared" si="148"/>
        <v>0</v>
      </c>
      <c r="M527" s="32">
        <f>IF(AND(AND(T526="",A527&lt;=S526),A527=入力!$B$15),ROUND(MIN(入力!$B$16,MAX(0,C527-L527)),0),0)</f>
        <v>0</v>
      </c>
      <c r="N527" s="32">
        <f t="shared" si="149"/>
        <v>0</v>
      </c>
      <c r="O527" s="32">
        <f t="shared" si="150"/>
        <v>12386706</v>
      </c>
      <c r="P527" s="34" t="str">
        <f>IF(NOT(AND(T526="",A527&lt;=S526)),"",IF(A527=入力!$B$15+1,"繰上返済後再計算","")&amp;IF(AND(入力!$B$13="有効",A527&gt;1,MOD(A527-1,60)=0),IF(A527=入力!$B$15+1,"・","")&amp;"5年見直し","")&amp;IF(AND(A527=入力!$B$11,A527&gt;1),IF(OR(A527=入力!$B$15+1,AND(入力!$B$13="有効",A527&gt;1,MOD(A527-1,60)=0)),"・","")&amp;"金利変更","")&amp;IF(AND(OR(AND(入力!$B$13="有効",A527&gt;1,MOD(A527-1,60)=0),AND(A527=入力!$B$11,A527&gt;1)),入力!$B$14="有効",IF(E527=0,ROUND(C527/MAX(1,S526-A527+1),0),ROUND(-PMT(E527/12,MAX(1,S526-A527+1),C527),0))&gt;ROUND(G526*1.25,0),NOT(A527=入力!$B$15+1)),"・上限適用",""))</f>
        <v/>
      </c>
      <c r="Q527" s="35" t="str">
        <f>IF(AND(T526="",A527&lt;=S526),入力!$B$13,"")</f>
        <v/>
      </c>
      <c r="R527" s="32" t="str">
        <f>IF(AND(AND(T526="",A527&lt;=S526),OR(AND(入力!$B$13="有効",A527&gt;1,MOD(A527-1,60)=0),AND(A527=入力!$B$11,A527&gt;1)),入力!$B$14="有効"),ROUND(G526*1.25,0),"")</f>
        <v/>
      </c>
      <c r="S527" s="36">
        <f t="shared" si="151"/>
        <v>420</v>
      </c>
      <c r="T527" s="35" t="str">
        <f t="shared" si="152"/>
        <v/>
      </c>
      <c r="U527" s="3">
        <f t="shared" si="136"/>
        <v>0</v>
      </c>
      <c r="V527" s="3">
        <f t="shared" si="137"/>
        <v>0</v>
      </c>
      <c r="W527" s="3">
        <f t="shared" si="138"/>
        <v>0</v>
      </c>
      <c r="X527" s="3">
        <f t="shared" si="139"/>
        <v>0</v>
      </c>
      <c r="Y527" s="3">
        <f>0</f>
        <v>0</v>
      </c>
      <c r="Z527" s="3">
        <f t="shared" si="140"/>
        <v>0</v>
      </c>
      <c r="AA527">
        <f>ROUND(IF(A527=入力!$B$15+1,IF(E527=0,ROUND(C527/MAX(1,S526-A527+1),0),ROUND(-PMT(E527/12,MAX(1,S526-A527+1)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,0)</f>
        <v>0</v>
      </c>
    </row>
    <row r="528" spans="1:27">
      <c r="A528" s="30">
        <f>523</f>
        <v>523</v>
      </c>
      <c r="B528" s="31">
        <f>EDATE(入力!$B$6,A528-1)</f>
        <v>62125</v>
      </c>
      <c r="C528" s="32">
        <f t="shared" si="141"/>
        <v>0</v>
      </c>
      <c r="D528" s="32">
        <f t="shared" si="142"/>
        <v>0</v>
      </c>
      <c r="E528" s="33">
        <f>IF(AND(T527="",A528&lt;=S527),IF(A528&lt;入力!$B$11,入力!$B$10,入力!$B$12),0)</f>
        <v>0</v>
      </c>
      <c r="F528" s="32">
        <f t="shared" si="143"/>
        <v>0</v>
      </c>
      <c r="G528" s="32">
        <f>ROUND(IF(NOT(AND(T527="",A528&lt;=S527)),0,IF(A528=入力!$B$15+1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),0)</f>
        <v>0</v>
      </c>
      <c r="H528" s="32">
        <f t="shared" si="144"/>
        <v>0</v>
      </c>
      <c r="I528" s="32">
        <f t="shared" si="145"/>
        <v>0</v>
      </c>
      <c r="J528" s="32">
        <f t="shared" si="146"/>
        <v>0</v>
      </c>
      <c r="K528" s="32">
        <f t="shared" si="147"/>
        <v>0</v>
      </c>
      <c r="L528" s="32">
        <f t="shared" si="148"/>
        <v>0</v>
      </c>
      <c r="M528" s="32">
        <f>IF(AND(AND(T527="",A528&lt;=S527),A528=入力!$B$15),ROUND(MIN(入力!$B$16,MAX(0,C528-L528)),0),0)</f>
        <v>0</v>
      </c>
      <c r="N528" s="32">
        <f t="shared" si="149"/>
        <v>0</v>
      </c>
      <c r="O528" s="32">
        <f t="shared" si="150"/>
        <v>12386706</v>
      </c>
      <c r="P528" s="34" t="str">
        <f>IF(NOT(AND(T527="",A528&lt;=S527)),"",IF(A528=入力!$B$15+1,"繰上返済後再計算","")&amp;IF(AND(入力!$B$13="有効",A528&gt;1,MOD(A528-1,60)=0),IF(A528=入力!$B$15+1,"・","")&amp;"5年見直し","")&amp;IF(AND(A528=入力!$B$11,A528&gt;1),IF(OR(A528=入力!$B$15+1,AND(入力!$B$13="有効",A528&gt;1,MOD(A528-1,60)=0)),"・","")&amp;"金利変更","")&amp;IF(AND(OR(AND(入力!$B$13="有効",A528&gt;1,MOD(A528-1,60)=0),AND(A528=入力!$B$11,A528&gt;1)),入力!$B$14="有効",IF(E528=0,ROUND(C528/MAX(1,S527-A528+1),0),ROUND(-PMT(E528/12,MAX(1,S527-A528+1),C528),0))&gt;ROUND(G527*1.25,0),NOT(A528=入力!$B$15+1)),"・上限適用",""))</f>
        <v/>
      </c>
      <c r="Q528" s="35" t="str">
        <f>IF(AND(T527="",A528&lt;=S527),入力!$B$13,"")</f>
        <v/>
      </c>
      <c r="R528" s="32" t="str">
        <f>IF(AND(AND(T527="",A528&lt;=S527),OR(AND(入力!$B$13="有効",A528&gt;1,MOD(A528-1,60)=0),AND(A528=入力!$B$11,A528&gt;1)),入力!$B$14="有効"),ROUND(G527*1.25,0),"")</f>
        <v/>
      </c>
      <c r="S528" s="36">
        <f t="shared" si="151"/>
        <v>420</v>
      </c>
      <c r="T528" s="35" t="str">
        <f t="shared" si="152"/>
        <v/>
      </c>
      <c r="U528" s="3">
        <f t="shared" si="136"/>
        <v>0</v>
      </c>
      <c r="V528" s="3">
        <f t="shared" si="137"/>
        <v>0</v>
      </c>
      <c r="W528" s="3">
        <f t="shared" si="138"/>
        <v>0</v>
      </c>
      <c r="X528" s="3">
        <f t="shared" si="139"/>
        <v>0</v>
      </c>
      <c r="Y528" s="3">
        <f>0</f>
        <v>0</v>
      </c>
      <c r="Z528" s="3">
        <f t="shared" si="140"/>
        <v>0</v>
      </c>
      <c r="AA528">
        <f>ROUND(IF(A528=入力!$B$15+1,IF(E528=0,ROUND(C528/MAX(1,S527-A528+1),0),ROUND(-PMT(E528/12,MAX(1,S527-A528+1)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,0)</f>
        <v>0</v>
      </c>
    </row>
    <row r="529" spans="1:27">
      <c r="A529" s="30">
        <f>524</f>
        <v>524</v>
      </c>
      <c r="B529" s="31">
        <f>EDATE(入力!$B$6,A529-1)</f>
        <v>62153</v>
      </c>
      <c r="C529" s="32">
        <f t="shared" si="141"/>
        <v>0</v>
      </c>
      <c r="D529" s="32">
        <f t="shared" si="142"/>
        <v>0</v>
      </c>
      <c r="E529" s="33">
        <f>IF(AND(T528="",A529&lt;=S528),IF(A529&lt;入力!$B$11,入力!$B$10,入力!$B$12),0)</f>
        <v>0</v>
      </c>
      <c r="F529" s="32">
        <f t="shared" si="143"/>
        <v>0</v>
      </c>
      <c r="G529" s="32">
        <f>ROUND(IF(NOT(AND(T528="",A529&lt;=S528)),0,IF(A529=入力!$B$15+1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),0)</f>
        <v>0</v>
      </c>
      <c r="H529" s="32">
        <f t="shared" si="144"/>
        <v>0</v>
      </c>
      <c r="I529" s="32">
        <f t="shared" si="145"/>
        <v>0</v>
      </c>
      <c r="J529" s="32">
        <f t="shared" si="146"/>
        <v>0</v>
      </c>
      <c r="K529" s="32">
        <f t="shared" si="147"/>
        <v>0</v>
      </c>
      <c r="L529" s="32">
        <f t="shared" si="148"/>
        <v>0</v>
      </c>
      <c r="M529" s="32">
        <f>IF(AND(AND(T528="",A529&lt;=S528),A529=入力!$B$15),ROUND(MIN(入力!$B$16,MAX(0,C529-L529)),0),0)</f>
        <v>0</v>
      </c>
      <c r="N529" s="32">
        <f t="shared" si="149"/>
        <v>0</v>
      </c>
      <c r="O529" s="32">
        <f t="shared" si="150"/>
        <v>12386706</v>
      </c>
      <c r="P529" s="34" t="str">
        <f>IF(NOT(AND(T528="",A529&lt;=S528)),"",IF(A529=入力!$B$15+1,"繰上返済後再計算","")&amp;IF(AND(入力!$B$13="有効",A529&gt;1,MOD(A529-1,60)=0),IF(A529=入力!$B$15+1,"・","")&amp;"5年見直し","")&amp;IF(AND(A529=入力!$B$11,A529&gt;1),IF(OR(A529=入力!$B$15+1,AND(入力!$B$13="有効",A529&gt;1,MOD(A529-1,60)=0)),"・","")&amp;"金利変更","")&amp;IF(AND(OR(AND(入力!$B$13="有効",A529&gt;1,MOD(A529-1,60)=0),AND(A529=入力!$B$11,A529&gt;1)),入力!$B$14="有効",IF(E529=0,ROUND(C529/MAX(1,S528-A529+1),0),ROUND(-PMT(E529/12,MAX(1,S528-A529+1),C529),0))&gt;ROUND(G528*1.25,0),NOT(A529=入力!$B$15+1)),"・上限適用",""))</f>
        <v/>
      </c>
      <c r="Q529" s="35" t="str">
        <f>IF(AND(T528="",A529&lt;=S528),入力!$B$13,"")</f>
        <v/>
      </c>
      <c r="R529" s="32" t="str">
        <f>IF(AND(AND(T528="",A529&lt;=S528),OR(AND(入力!$B$13="有効",A529&gt;1,MOD(A529-1,60)=0),AND(A529=入力!$B$11,A529&gt;1)),入力!$B$14="有効"),ROUND(G528*1.25,0),"")</f>
        <v/>
      </c>
      <c r="S529" s="36">
        <f t="shared" si="151"/>
        <v>420</v>
      </c>
      <c r="T529" s="35" t="str">
        <f t="shared" si="152"/>
        <v/>
      </c>
      <c r="U529" s="3">
        <f t="shared" si="136"/>
        <v>0</v>
      </c>
      <c r="V529" s="3">
        <f t="shared" si="137"/>
        <v>0</v>
      </c>
      <c r="W529" s="3">
        <f t="shared" si="138"/>
        <v>0</v>
      </c>
      <c r="X529" s="3">
        <f t="shared" si="139"/>
        <v>0</v>
      </c>
      <c r="Y529" s="3">
        <f>0</f>
        <v>0</v>
      </c>
      <c r="Z529" s="3">
        <f t="shared" si="140"/>
        <v>0</v>
      </c>
      <c r="AA529">
        <f>ROUND(IF(A529=入力!$B$15+1,IF(E529=0,ROUND(C529/MAX(1,S528-A529+1),0),ROUND(-PMT(E529/12,MAX(1,S528-A529+1)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,0)</f>
        <v>0</v>
      </c>
    </row>
    <row r="530" spans="1:27">
      <c r="A530" s="30">
        <f>525</f>
        <v>525</v>
      </c>
      <c r="B530" s="31">
        <f>EDATE(入力!$B$6,A530-1)</f>
        <v>62184</v>
      </c>
      <c r="C530" s="32">
        <f t="shared" si="141"/>
        <v>0</v>
      </c>
      <c r="D530" s="32">
        <f t="shared" si="142"/>
        <v>0</v>
      </c>
      <c r="E530" s="33">
        <f>IF(AND(T529="",A530&lt;=S529),IF(A530&lt;入力!$B$11,入力!$B$10,入力!$B$12),0)</f>
        <v>0</v>
      </c>
      <c r="F530" s="32">
        <f t="shared" si="143"/>
        <v>0</v>
      </c>
      <c r="G530" s="32">
        <f>ROUND(IF(NOT(AND(T529="",A530&lt;=S529)),0,IF(A530=入力!$B$15+1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),0)</f>
        <v>0</v>
      </c>
      <c r="H530" s="32">
        <f t="shared" si="144"/>
        <v>0</v>
      </c>
      <c r="I530" s="32">
        <f t="shared" si="145"/>
        <v>0</v>
      </c>
      <c r="J530" s="32">
        <f t="shared" si="146"/>
        <v>0</v>
      </c>
      <c r="K530" s="32">
        <f t="shared" si="147"/>
        <v>0</v>
      </c>
      <c r="L530" s="32">
        <f t="shared" si="148"/>
        <v>0</v>
      </c>
      <c r="M530" s="32">
        <f>IF(AND(AND(T529="",A530&lt;=S529),A530=入力!$B$15),ROUND(MIN(入力!$B$16,MAX(0,C530-L530)),0),0)</f>
        <v>0</v>
      </c>
      <c r="N530" s="32">
        <f t="shared" si="149"/>
        <v>0</v>
      </c>
      <c r="O530" s="32">
        <f t="shared" si="150"/>
        <v>12386706</v>
      </c>
      <c r="P530" s="34" t="str">
        <f>IF(NOT(AND(T529="",A530&lt;=S529)),"",IF(A530=入力!$B$15+1,"繰上返済後再計算","")&amp;IF(AND(入力!$B$13="有効",A530&gt;1,MOD(A530-1,60)=0),IF(A530=入力!$B$15+1,"・","")&amp;"5年見直し","")&amp;IF(AND(A530=入力!$B$11,A530&gt;1),IF(OR(A530=入力!$B$15+1,AND(入力!$B$13="有効",A530&gt;1,MOD(A530-1,60)=0)),"・","")&amp;"金利変更","")&amp;IF(AND(OR(AND(入力!$B$13="有効",A530&gt;1,MOD(A530-1,60)=0),AND(A530=入力!$B$11,A530&gt;1)),入力!$B$14="有効",IF(E530=0,ROUND(C530/MAX(1,S529-A530+1),0),ROUND(-PMT(E530/12,MAX(1,S529-A530+1),C530),0))&gt;ROUND(G529*1.25,0),NOT(A530=入力!$B$15+1)),"・上限適用",""))</f>
        <v/>
      </c>
      <c r="Q530" s="35" t="str">
        <f>IF(AND(T529="",A530&lt;=S529),入力!$B$13,"")</f>
        <v/>
      </c>
      <c r="R530" s="32" t="str">
        <f>IF(AND(AND(T529="",A530&lt;=S529),OR(AND(入力!$B$13="有効",A530&gt;1,MOD(A530-1,60)=0),AND(A530=入力!$B$11,A530&gt;1)),入力!$B$14="有効"),ROUND(G529*1.25,0),"")</f>
        <v/>
      </c>
      <c r="S530" s="36">
        <f t="shared" si="151"/>
        <v>420</v>
      </c>
      <c r="T530" s="35" t="str">
        <f t="shared" si="152"/>
        <v/>
      </c>
      <c r="U530" s="3">
        <f t="shared" si="136"/>
        <v>0</v>
      </c>
      <c r="V530" s="3">
        <f t="shared" si="137"/>
        <v>0</v>
      </c>
      <c r="W530" s="3">
        <f t="shared" si="138"/>
        <v>0</v>
      </c>
      <c r="X530" s="3">
        <f t="shared" si="139"/>
        <v>0</v>
      </c>
      <c r="Y530" s="3">
        <f>0</f>
        <v>0</v>
      </c>
      <c r="Z530" s="3">
        <f t="shared" si="140"/>
        <v>0</v>
      </c>
      <c r="AA530">
        <f>ROUND(IF(A530=入力!$B$15+1,IF(E530=0,ROUND(C530/MAX(1,S529-A530+1),0),ROUND(-PMT(E530/12,MAX(1,S529-A530+1)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,0)</f>
        <v>0</v>
      </c>
    </row>
    <row r="531" spans="1:27">
      <c r="A531" s="30">
        <f>526</f>
        <v>526</v>
      </c>
      <c r="B531" s="31">
        <f>EDATE(入力!$B$6,A531-1)</f>
        <v>62214</v>
      </c>
      <c r="C531" s="32">
        <f t="shared" si="141"/>
        <v>0</v>
      </c>
      <c r="D531" s="32">
        <f t="shared" si="142"/>
        <v>0</v>
      </c>
      <c r="E531" s="33">
        <f>IF(AND(T530="",A531&lt;=S530),IF(A531&lt;入力!$B$11,入力!$B$10,入力!$B$12),0)</f>
        <v>0</v>
      </c>
      <c r="F531" s="32">
        <f t="shared" si="143"/>
        <v>0</v>
      </c>
      <c r="G531" s="32">
        <f>ROUND(IF(NOT(AND(T530="",A531&lt;=S530)),0,IF(A531=入力!$B$15+1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),0)</f>
        <v>0</v>
      </c>
      <c r="H531" s="32">
        <f t="shared" si="144"/>
        <v>0</v>
      </c>
      <c r="I531" s="32">
        <f t="shared" si="145"/>
        <v>0</v>
      </c>
      <c r="J531" s="32">
        <f t="shared" si="146"/>
        <v>0</v>
      </c>
      <c r="K531" s="32">
        <f t="shared" si="147"/>
        <v>0</v>
      </c>
      <c r="L531" s="32">
        <f t="shared" si="148"/>
        <v>0</v>
      </c>
      <c r="M531" s="32">
        <f>IF(AND(AND(T530="",A531&lt;=S530),A531=入力!$B$15),ROUND(MIN(入力!$B$16,MAX(0,C531-L531)),0),0)</f>
        <v>0</v>
      </c>
      <c r="N531" s="32">
        <f t="shared" si="149"/>
        <v>0</v>
      </c>
      <c r="O531" s="32">
        <f t="shared" si="150"/>
        <v>12386706</v>
      </c>
      <c r="P531" s="34" t="str">
        <f>IF(NOT(AND(T530="",A531&lt;=S530)),"",IF(A531=入力!$B$15+1,"繰上返済後再計算","")&amp;IF(AND(入力!$B$13="有効",A531&gt;1,MOD(A531-1,60)=0),IF(A531=入力!$B$15+1,"・","")&amp;"5年見直し","")&amp;IF(AND(A531=入力!$B$11,A531&gt;1),IF(OR(A531=入力!$B$15+1,AND(入力!$B$13="有効",A531&gt;1,MOD(A531-1,60)=0)),"・","")&amp;"金利変更","")&amp;IF(AND(OR(AND(入力!$B$13="有効",A531&gt;1,MOD(A531-1,60)=0),AND(A531=入力!$B$11,A531&gt;1)),入力!$B$14="有効",IF(E531=0,ROUND(C531/MAX(1,S530-A531+1),0),ROUND(-PMT(E531/12,MAX(1,S530-A531+1),C531),0))&gt;ROUND(G530*1.25,0),NOT(A531=入力!$B$15+1)),"・上限適用",""))</f>
        <v/>
      </c>
      <c r="Q531" s="35" t="str">
        <f>IF(AND(T530="",A531&lt;=S530),入力!$B$13,"")</f>
        <v/>
      </c>
      <c r="R531" s="32" t="str">
        <f>IF(AND(AND(T530="",A531&lt;=S530),OR(AND(入力!$B$13="有効",A531&gt;1,MOD(A531-1,60)=0),AND(A531=入力!$B$11,A531&gt;1)),入力!$B$14="有効"),ROUND(G530*1.25,0),"")</f>
        <v/>
      </c>
      <c r="S531" s="36">
        <f t="shared" si="151"/>
        <v>420</v>
      </c>
      <c r="T531" s="35" t="str">
        <f t="shared" si="152"/>
        <v/>
      </c>
      <c r="U531" s="3">
        <f t="shared" si="136"/>
        <v>0</v>
      </c>
      <c r="V531" s="3">
        <f t="shared" si="137"/>
        <v>0</v>
      </c>
      <c r="W531" s="3">
        <f t="shared" si="138"/>
        <v>0</v>
      </c>
      <c r="X531" s="3">
        <f t="shared" si="139"/>
        <v>0</v>
      </c>
      <c r="Y531" s="3">
        <f>0</f>
        <v>0</v>
      </c>
      <c r="Z531" s="3">
        <f t="shared" si="140"/>
        <v>0</v>
      </c>
      <c r="AA531">
        <f>ROUND(IF(A531=入力!$B$15+1,IF(E531=0,ROUND(C531/MAX(1,S530-A531+1),0),ROUND(-PMT(E531/12,MAX(1,S530-A531+1)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,0)</f>
        <v>0</v>
      </c>
    </row>
    <row r="532" spans="1:27">
      <c r="A532" s="30">
        <f>527</f>
        <v>527</v>
      </c>
      <c r="B532" s="31">
        <f>EDATE(入力!$B$6,A532-1)</f>
        <v>62245</v>
      </c>
      <c r="C532" s="32">
        <f t="shared" si="141"/>
        <v>0</v>
      </c>
      <c r="D532" s="32">
        <f t="shared" si="142"/>
        <v>0</v>
      </c>
      <c r="E532" s="33">
        <f>IF(AND(T531="",A532&lt;=S531),IF(A532&lt;入力!$B$11,入力!$B$10,入力!$B$12),0)</f>
        <v>0</v>
      </c>
      <c r="F532" s="32">
        <f t="shared" si="143"/>
        <v>0</v>
      </c>
      <c r="G532" s="32">
        <f>ROUND(IF(NOT(AND(T531="",A532&lt;=S531)),0,IF(A532=入力!$B$15+1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),0)</f>
        <v>0</v>
      </c>
      <c r="H532" s="32">
        <f t="shared" si="144"/>
        <v>0</v>
      </c>
      <c r="I532" s="32">
        <f t="shared" si="145"/>
        <v>0</v>
      </c>
      <c r="J532" s="32">
        <f t="shared" si="146"/>
        <v>0</v>
      </c>
      <c r="K532" s="32">
        <f t="shared" si="147"/>
        <v>0</v>
      </c>
      <c r="L532" s="32">
        <f t="shared" si="148"/>
        <v>0</v>
      </c>
      <c r="M532" s="32">
        <f>IF(AND(AND(T531="",A532&lt;=S531),A532=入力!$B$15),ROUND(MIN(入力!$B$16,MAX(0,C532-L532)),0),0)</f>
        <v>0</v>
      </c>
      <c r="N532" s="32">
        <f t="shared" si="149"/>
        <v>0</v>
      </c>
      <c r="O532" s="32">
        <f t="shared" si="150"/>
        <v>12386706</v>
      </c>
      <c r="P532" s="34" t="str">
        <f>IF(NOT(AND(T531="",A532&lt;=S531)),"",IF(A532=入力!$B$15+1,"繰上返済後再計算","")&amp;IF(AND(入力!$B$13="有効",A532&gt;1,MOD(A532-1,60)=0),IF(A532=入力!$B$15+1,"・","")&amp;"5年見直し","")&amp;IF(AND(A532=入力!$B$11,A532&gt;1),IF(OR(A532=入力!$B$15+1,AND(入力!$B$13="有効",A532&gt;1,MOD(A532-1,60)=0)),"・","")&amp;"金利変更","")&amp;IF(AND(OR(AND(入力!$B$13="有効",A532&gt;1,MOD(A532-1,60)=0),AND(A532=入力!$B$11,A532&gt;1)),入力!$B$14="有効",IF(E532=0,ROUND(C532/MAX(1,S531-A532+1),0),ROUND(-PMT(E532/12,MAX(1,S531-A532+1),C532),0))&gt;ROUND(G531*1.25,0),NOT(A532=入力!$B$15+1)),"・上限適用",""))</f>
        <v/>
      </c>
      <c r="Q532" s="35" t="str">
        <f>IF(AND(T531="",A532&lt;=S531),入力!$B$13,"")</f>
        <v/>
      </c>
      <c r="R532" s="32" t="str">
        <f>IF(AND(AND(T531="",A532&lt;=S531),OR(AND(入力!$B$13="有効",A532&gt;1,MOD(A532-1,60)=0),AND(A532=入力!$B$11,A532&gt;1)),入力!$B$14="有効"),ROUND(G531*1.25,0),"")</f>
        <v/>
      </c>
      <c r="S532" s="36">
        <f t="shared" si="151"/>
        <v>420</v>
      </c>
      <c r="T532" s="35" t="str">
        <f t="shared" si="152"/>
        <v/>
      </c>
      <c r="U532" s="3">
        <f t="shared" si="136"/>
        <v>0</v>
      </c>
      <c r="V532" s="3">
        <f t="shared" si="137"/>
        <v>0</v>
      </c>
      <c r="W532" s="3">
        <f t="shared" si="138"/>
        <v>0</v>
      </c>
      <c r="X532" s="3">
        <f t="shared" si="139"/>
        <v>0</v>
      </c>
      <c r="Y532" s="3">
        <f>0</f>
        <v>0</v>
      </c>
      <c r="Z532" s="3">
        <f t="shared" si="140"/>
        <v>0</v>
      </c>
      <c r="AA532">
        <f>ROUND(IF(A532=入力!$B$15+1,IF(E532=0,ROUND(C532/MAX(1,S531-A532+1),0),ROUND(-PMT(E532/12,MAX(1,S531-A532+1)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,0)</f>
        <v>0</v>
      </c>
    </row>
    <row r="533" spans="1:27">
      <c r="A533" s="30">
        <f>528</f>
        <v>528</v>
      </c>
      <c r="B533" s="31">
        <f>EDATE(入力!$B$6,A533-1)</f>
        <v>62275</v>
      </c>
      <c r="C533" s="32">
        <f t="shared" si="141"/>
        <v>0</v>
      </c>
      <c r="D533" s="32">
        <f t="shared" si="142"/>
        <v>0</v>
      </c>
      <c r="E533" s="33">
        <f>IF(AND(T532="",A533&lt;=S532),IF(A533&lt;入力!$B$11,入力!$B$10,入力!$B$12),0)</f>
        <v>0</v>
      </c>
      <c r="F533" s="32">
        <f t="shared" si="143"/>
        <v>0</v>
      </c>
      <c r="G533" s="32">
        <f>ROUND(IF(NOT(AND(T532="",A533&lt;=S532)),0,IF(A533=入力!$B$15+1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),0)</f>
        <v>0</v>
      </c>
      <c r="H533" s="32">
        <f t="shared" si="144"/>
        <v>0</v>
      </c>
      <c r="I533" s="32">
        <f t="shared" si="145"/>
        <v>0</v>
      </c>
      <c r="J533" s="32">
        <f t="shared" si="146"/>
        <v>0</v>
      </c>
      <c r="K533" s="32">
        <f t="shared" si="147"/>
        <v>0</v>
      </c>
      <c r="L533" s="32">
        <f t="shared" si="148"/>
        <v>0</v>
      </c>
      <c r="M533" s="32">
        <f>IF(AND(AND(T532="",A533&lt;=S532),A533=入力!$B$15),ROUND(MIN(入力!$B$16,MAX(0,C533-L533)),0),0)</f>
        <v>0</v>
      </c>
      <c r="N533" s="32">
        <f t="shared" si="149"/>
        <v>0</v>
      </c>
      <c r="O533" s="32">
        <f t="shared" si="150"/>
        <v>12386706</v>
      </c>
      <c r="P533" s="34" t="str">
        <f>IF(NOT(AND(T532="",A533&lt;=S532)),"",IF(A533=入力!$B$15+1,"繰上返済後再計算","")&amp;IF(AND(入力!$B$13="有効",A533&gt;1,MOD(A533-1,60)=0),IF(A533=入力!$B$15+1,"・","")&amp;"5年見直し","")&amp;IF(AND(A533=入力!$B$11,A533&gt;1),IF(OR(A533=入力!$B$15+1,AND(入力!$B$13="有効",A533&gt;1,MOD(A533-1,60)=0)),"・","")&amp;"金利変更","")&amp;IF(AND(OR(AND(入力!$B$13="有効",A533&gt;1,MOD(A533-1,60)=0),AND(A533=入力!$B$11,A533&gt;1)),入力!$B$14="有効",IF(E533=0,ROUND(C533/MAX(1,S532-A533+1),0),ROUND(-PMT(E533/12,MAX(1,S532-A533+1),C533),0))&gt;ROUND(G532*1.25,0),NOT(A533=入力!$B$15+1)),"・上限適用",""))</f>
        <v/>
      </c>
      <c r="Q533" s="35" t="str">
        <f>IF(AND(T532="",A533&lt;=S532),入力!$B$13,"")</f>
        <v/>
      </c>
      <c r="R533" s="32" t="str">
        <f>IF(AND(AND(T532="",A533&lt;=S532),OR(AND(入力!$B$13="有効",A533&gt;1,MOD(A533-1,60)=0),AND(A533=入力!$B$11,A533&gt;1)),入力!$B$14="有効"),ROUND(G532*1.25,0),"")</f>
        <v/>
      </c>
      <c r="S533" s="36">
        <f t="shared" si="151"/>
        <v>420</v>
      </c>
      <c r="T533" s="35" t="str">
        <f t="shared" si="152"/>
        <v/>
      </c>
      <c r="U533" s="3">
        <f t="shared" si="136"/>
        <v>0</v>
      </c>
      <c r="V533" s="3">
        <f t="shared" si="137"/>
        <v>0</v>
      </c>
      <c r="W533" s="3">
        <f t="shared" si="138"/>
        <v>0</v>
      </c>
      <c r="X533" s="3">
        <f t="shared" si="139"/>
        <v>0</v>
      </c>
      <c r="Y533" s="3">
        <f>0</f>
        <v>0</v>
      </c>
      <c r="Z533" s="3">
        <f t="shared" si="140"/>
        <v>0</v>
      </c>
      <c r="AA533">
        <f>ROUND(IF(A533=入力!$B$15+1,IF(E533=0,ROUND(C533/MAX(1,S532-A533+1),0),ROUND(-PMT(E533/12,MAX(1,S532-A533+1)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,0)</f>
        <v>0</v>
      </c>
    </row>
    <row r="534" spans="1:27">
      <c r="A534" s="30">
        <f>529</f>
        <v>529</v>
      </c>
      <c r="B534" s="31">
        <f>EDATE(入力!$B$6,A534-1)</f>
        <v>62306</v>
      </c>
      <c r="C534" s="32">
        <f t="shared" si="141"/>
        <v>0</v>
      </c>
      <c r="D534" s="32">
        <f t="shared" si="142"/>
        <v>0</v>
      </c>
      <c r="E534" s="33">
        <f>IF(AND(T533="",A534&lt;=S533),IF(A534&lt;入力!$B$11,入力!$B$10,入力!$B$12),0)</f>
        <v>0</v>
      </c>
      <c r="F534" s="32">
        <f t="shared" si="143"/>
        <v>0</v>
      </c>
      <c r="G534" s="32">
        <f>ROUND(IF(NOT(AND(T533="",A534&lt;=S533)),0,IF(A534=入力!$B$15+1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),0)</f>
        <v>0</v>
      </c>
      <c r="H534" s="32">
        <f t="shared" si="144"/>
        <v>0</v>
      </c>
      <c r="I534" s="32">
        <f t="shared" si="145"/>
        <v>0</v>
      </c>
      <c r="J534" s="32">
        <f t="shared" si="146"/>
        <v>0</v>
      </c>
      <c r="K534" s="32">
        <f t="shared" si="147"/>
        <v>0</v>
      </c>
      <c r="L534" s="32">
        <f t="shared" si="148"/>
        <v>0</v>
      </c>
      <c r="M534" s="32">
        <f>IF(AND(AND(T533="",A534&lt;=S533),A534=入力!$B$15),ROUND(MIN(入力!$B$16,MAX(0,C534-L534)),0),0)</f>
        <v>0</v>
      </c>
      <c r="N534" s="32">
        <f t="shared" si="149"/>
        <v>0</v>
      </c>
      <c r="O534" s="32">
        <f t="shared" si="150"/>
        <v>12386706</v>
      </c>
      <c r="P534" s="34" t="str">
        <f>IF(NOT(AND(T533="",A534&lt;=S533)),"",IF(A534=入力!$B$15+1,"繰上返済後再計算","")&amp;IF(AND(入力!$B$13="有効",A534&gt;1,MOD(A534-1,60)=0),IF(A534=入力!$B$15+1,"・","")&amp;"5年見直し","")&amp;IF(AND(A534=入力!$B$11,A534&gt;1),IF(OR(A534=入力!$B$15+1,AND(入力!$B$13="有効",A534&gt;1,MOD(A534-1,60)=0)),"・","")&amp;"金利変更","")&amp;IF(AND(OR(AND(入力!$B$13="有効",A534&gt;1,MOD(A534-1,60)=0),AND(A534=入力!$B$11,A534&gt;1)),入力!$B$14="有効",IF(E534=0,ROUND(C534/MAX(1,S533-A534+1),0),ROUND(-PMT(E534/12,MAX(1,S533-A534+1),C534),0))&gt;ROUND(G533*1.25,0),NOT(A534=入力!$B$15+1)),"・上限適用",""))</f>
        <v/>
      </c>
      <c r="Q534" s="35" t="str">
        <f>IF(AND(T533="",A534&lt;=S533),入力!$B$13,"")</f>
        <v/>
      </c>
      <c r="R534" s="32" t="str">
        <f>IF(AND(AND(T533="",A534&lt;=S533),OR(AND(入力!$B$13="有効",A534&gt;1,MOD(A534-1,60)=0),AND(A534=入力!$B$11,A534&gt;1)),入力!$B$14="有効"),ROUND(G533*1.25,0),"")</f>
        <v/>
      </c>
      <c r="S534" s="36">
        <f t="shared" si="151"/>
        <v>420</v>
      </c>
      <c r="T534" s="35" t="str">
        <f t="shared" si="152"/>
        <v/>
      </c>
      <c r="U534" s="3">
        <f t="shared" si="136"/>
        <v>0</v>
      </c>
      <c r="V534" s="3">
        <f t="shared" si="137"/>
        <v>0</v>
      </c>
      <c r="W534" s="3">
        <f t="shared" si="138"/>
        <v>0</v>
      </c>
      <c r="X534" s="3">
        <f t="shared" si="139"/>
        <v>0</v>
      </c>
      <c r="Y534" s="3">
        <f>0</f>
        <v>0</v>
      </c>
      <c r="Z534" s="3">
        <f t="shared" si="140"/>
        <v>0</v>
      </c>
      <c r="AA534">
        <f>ROUND(IF(A534=入力!$B$15+1,IF(E534=0,ROUND(C534/MAX(1,S533-A534+1),0),ROUND(-PMT(E534/12,MAX(1,S533-A534+1)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,0)</f>
        <v>0</v>
      </c>
    </row>
    <row r="535" spans="1:27">
      <c r="A535" s="30">
        <f>530</f>
        <v>530</v>
      </c>
      <c r="B535" s="31">
        <f>EDATE(入力!$B$6,A535-1)</f>
        <v>62337</v>
      </c>
      <c r="C535" s="32">
        <f t="shared" si="141"/>
        <v>0</v>
      </c>
      <c r="D535" s="32">
        <f t="shared" si="142"/>
        <v>0</v>
      </c>
      <c r="E535" s="33">
        <f>IF(AND(T534="",A535&lt;=S534),IF(A535&lt;入力!$B$11,入力!$B$10,入力!$B$12),0)</f>
        <v>0</v>
      </c>
      <c r="F535" s="32">
        <f t="shared" si="143"/>
        <v>0</v>
      </c>
      <c r="G535" s="32">
        <f>ROUND(IF(NOT(AND(T534="",A535&lt;=S534)),0,IF(A535=入力!$B$15+1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),0)</f>
        <v>0</v>
      </c>
      <c r="H535" s="32">
        <f t="shared" si="144"/>
        <v>0</v>
      </c>
      <c r="I535" s="32">
        <f t="shared" si="145"/>
        <v>0</v>
      </c>
      <c r="J535" s="32">
        <f t="shared" si="146"/>
        <v>0</v>
      </c>
      <c r="K535" s="32">
        <f t="shared" si="147"/>
        <v>0</v>
      </c>
      <c r="L535" s="32">
        <f t="shared" si="148"/>
        <v>0</v>
      </c>
      <c r="M535" s="32">
        <f>IF(AND(AND(T534="",A535&lt;=S534),A535=入力!$B$15),ROUND(MIN(入力!$B$16,MAX(0,C535-L535)),0),0)</f>
        <v>0</v>
      </c>
      <c r="N535" s="32">
        <f t="shared" si="149"/>
        <v>0</v>
      </c>
      <c r="O535" s="32">
        <f t="shared" si="150"/>
        <v>12386706</v>
      </c>
      <c r="P535" s="34" t="str">
        <f>IF(NOT(AND(T534="",A535&lt;=S534)),"",IF(A535=入力!$B$15+1,"繰上返済後再計算","")&amp;IF(AND(入力!$B$13="有効",A535&gt;1,MOD(A535-1,60)=0),IF(A535=入力!$B$15+1,"・","")&amp;"5年見直し","")&amp;IF(AND(A535=入力!$B$11,A535&gt;1),IF(OR(A535=入力!$B$15+1,AND(入力!$B$13="有効",A535&gt;1,MOD(A535-1,60)=0)),"・","")&amp;"金利変更","")&amp;IF(AND(OR(AND(入力!$B$13="有効",A535&gt;1,MOD(A535-1,60)=0),AND(A535=入力!$B$11,A535&gt;1)),入力!$B$14="有効",IF(E535=0,ROUND(C535/MAX(1,S534-A535+1),0),ROUND(-PMT(E535/12,MAX(1,S534-A535+1),C535),0))&gt;ROUND(G534*1.25,0),NOT(A535=入力!$B$15+1)),"・上限適用",""))</f>
        <v/>
      </c>
      <c r="Q535" s="35" t="str">
        <f>IF(AND(T534="",A535&lt;=S534),入力!$B$13,"")</f>
        <v/>
      </c>
      <c r="R535" s="32" t="str">
        <f>IF(AND(AND(T534="",A535&lt;=S534),OR(AND(入力!$B$13="有効",A535&gt;1,MOD(A535-1,60)=0),AND(A535=入力!$B$11,A535&gt;1)),入力!$B$14="有効"),ROUND(G534*1.25,0),"")</f>
        <v/>
      </c>
      <c r="S535" s="36">
        <f t="shared" si="151"/>
        <v>420</v>
      </c>
      <c r="T535" s="35" t="str">
        <f t="shared" si="152"/>
        <v/>
      </c>
      <c r="U535" s="3">
        <f t="shared" si="136"/>
        <v>0</v>
      </c>
      <c r="V535" s="3">
        <f t="shared" si="137"/>
        <v>0</v>
      </c>
      <c r="W535" s="3">
        <f t="shared" si="138"/>
        <v>0</v>
      </c>
      <c r="X535" s="3">
        <f t="shared" si="139"/>
        <v>0</v>
      </c>
      <c r="Y535" s="3">
        <f>0</f>
        <v>0</v>
      </c>
      <c r="Z535" s="3">
        <f t="shared" si="140"/>
        <v>0</v>
      </c>
      <c r="AA535">
        <f>ROUND(IF(A535=入力!$B$15+1,IF(E535=0,ROUND(C535/MAX(1,S534-A535+1),0),ROUND(-PMT(E535/12,MAX(1,S534-A535+1)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,0)</f>
        <v>0</v>
      </c>
    </row>
    <row r="536" spans="1:27">
      <c r="A536" s="30">
        <f>531</f>
        <v>531</v>
      </c>
      <c r="B536" s="31">
        <f>EDATE(入力!$B$6,A536-1)</f>
        <v>62367</v>
      </c>
      <c r="C536" s="32">
        <f t="shared" si="141"/>
        <v>0</v>
      </c>
      <c r="D536" s="32">
        <f t="shared" si="142"/>
        <v>0</v>
      </c>
      <c r="E536" s="33">
        <f>IF(AND(T535="",A536&lt;=S535),IF(A536&lt;入力!$B$11,入力!$B$10,入力!$B$12),0)</f>
        <v>0</v>
      </c>
      <c r="F536" s="32">
        <f t="shared" si="143"/>
        <v>0</v>
      </c>
      <c r="G536" s="32">
        <f>ROUND(IF(NOT(AND(T535="",A536&lt;=S535)),0,IF(A536=入力!$B$15+1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),0)</f>
        <v>0</v>
      </c>
      <c r="H536" s="32">
        <f t="shared" si="144"/>
        <v>0</v>
      </c>
      <c r="I536" s="32">
        <f t="shared" si="145"/>
        <v>0</v>
      </c>
      <c r="J536" s="32">
        <f t="shared" si="146"/>
        <v>0</v>
      </c>
      <c r="K536" s="32">
        <f t="shared" si="147"/>
        <v>0</v>
      </c>
      <c r="L536" s="32">
        <f t="shared" si="148"/>
        <v>0</v>
      </c>
      <c r="M536" s="32">
        <f>IF(AND(AND(T535="",A536&lt;=S535),A536=入力!$B$15),ROUND(MIN(入力!$B$16,MAX(0,C536-L536)),0),0)</f>
        <v>0</v>
      </c>
      <c r="N536" s="32">
        <f t="shared" si="149"/>
        <v>0</v>
      </c>
      <c r="O536" s="32">
        <f t="shared" si="150"/>
        <v>12386706</v>
      </c>
      <c r="P536" s="34" t="str">
        <f>IF(NOT(AND(T535="",A536&lt;=S535)),"",IF(A536=入力!$B$15+1,"繰上返済後再計算","")&amp;IF(AND(入力!$B$13="有効",A536&gt;1,MOD(A536-1,60)=0),IF(A536=入力!$B$15+1,"・","")&amp;"5年見直し","")&amp;IF(AND(A536=入力!$B$11,A536&gt;1),IF(OR(A536=入力!$B$15+1,AND(入力!$B$13="有効",A536&gt;1,MOD(A536-1,60)=0)),"・","")&amp;"金利変更","")&amp;IF(AND(OR(AND(入力!$B$13="有効",A536&gt;1,MOD(A536-1,60)=0),AND(A536=入力!$B$11,A536&gt;1)),入力!$B$14="有効",IF(E536=0,ROUND(C536/MAX(1,S535-A536+1),0),ROUND(-PMT(E536/12,MAX(1,S535-A536+1),C536),0))&gt;ROUND(G535*1.25,0),NOT(A536=入力!$B$15+1)),"・上限適用",""))</f>
        <v/>
      </c>
      <c r="Q536" s="35" t="str">
        <f>IF(AND(T535="",A536&lt;=S535),入力!$B$13,"")</f>
        <v/>
      </c>
      <c r="R536" s="32" t="str">
        <f>IF(AND(AND(T535="",A536&lt;=S535),OR(AND(入力!$B$13="有効",A536&gt;1,MOD(A536-1,60)=0),AND(A536=入力!$B$11,A536&gt;1)),入力!$B$14="有効"),ROUND(G535*1.25,0),"")</f>
        <v/>
      </c>
      <c r="S536" s="36">
        <f t="shared" si="151"/>
        <v>420</v>
      </c>
      <c r="T536" s="35" t="str">
        <f t="shared" si="152"/>
        <v/>
      </c>
      <c r="U536" s="3">
        <f t="shared" si="136"/>
        <v>0</v>
      </c>
      <c r="V536" s="3">
        <f t="shared" si="137"/>
        <v>0</v>
      </c>
      <c r="W536" s="3">
        <f t="shared" si="138"/>
        <v>0</v>
      </c>
      <c r="X536" s="3">
        <f t="shared" si="139"/>
        <v>0</v>
      </c>
      <c r="Y536" s="3">
        <f>0</f>
        <v>0</v>
      </c>
      <c r="Z536" s="3">
        <f t="shared" si="140"/>
        <v>0</v>
      </c>
      <c r="AA536">
        <f>ROUND(IF(A536=入力!$B$15+1,IF(E536=0,ROUND(C536/MAX(1,S535-A536+1),0),ROUND(-PMT(E536/12,MAX(1,S535-A536+1)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,0)</f>
        <v>0</v>
      </c>
    </row>
    <row r="537" spans="1:27">
      <c r="A537" s="30">
        <f>532</f>
        <v>532</v>
      </c>
      <c r="B537" s="31">
        <f>EDATE(入力!$B$6,A537-1)</f>
        <v>62398</v>
      </c>
      <c r="C537" s="32">
        <f t="shared" si="141"/>
        <v>0</v>
      </c>
      <c r="D537" s="32">
        <f t="shared" si="142"/>
        <v>0</v>
      </c>
      <c r="E537" s="33">
        <f>IF(AND(T536="",A537&lt;=S536),IF(A537&lt;入力!$B$11,入力!$B$10,入力!$B$12),0)</f>
        <v>0</v>
      </c>
      <c r="F537" s="32">
        <f t="shared" si="143"/>
        <v>0</v>
      </c>
      <c r="G537" s="32">
        <f>ROUND(IF(NOT(AND(T536="",A537&lt;=S536)),0,IF(A537=入力!$B$15+1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),0)</f>
        <v>0</v>
      </c>
      <c r="H537" s="32">
        <f t="shared" si="144"/>
        <v>0</v>
      </c>
      <c r="I537" s="32">
        <f t="shared" si="145"/>
        <v>0</v>
      </c>
      <c r="J537" s="32">
        <f t="shared" si="146"/>
        <v>0</v>
      </c>
      <c r="K537" s="32">
        <f t="shared" si="147"/>
        <v>0</v>
      </c>
      <c r="L537" s="32">
        <f t="shared" si="148"/>
        <v>0</v>
      </c>
      <c r="M537" s="32">
        <f>IF(AND(AND(T536="",A537&lt;=S536),A537=入力!$B$15),ROUND(MIN(入力!$B$16,MAX(0,C537-L537)),0),0)</f>
        <v>0</v>
      </c>
      <c r="N537" s="32">
        <f t="shared" si="149"/>
        <v>0</v>
      </c>
      <c r="O537" s="32">
        <f t="shared" si="150"/>
        <v>12386706</v>
      </c>
      <c r="P537" s="34" t="str">
        <f>IF(NOT(AND(T536="",A537&lt;=S536)),"",IF(A537=入力!$B$15+1,"繰上返済後再計算","")&amp;IF(AND(入力!$B$13="有効",A537&gt;1,MOD(A537-1,60)=0),IF(A537=入力!$B$15+1,"・","")&amp;"5年見直し","")&amp;IF(AND(A537=入力!$B$11,A537&gt;1),IF(OR(A537=入力!$B$15+1,AND(入力!$B$13="有効",A537&gt;1,MOD(A537-1,60)=0)),"・","")&amp;"金利変更","")&amp;IF(AND(OR(AND(入力!$B$13="有効",A537&gt;1,MOD(A537-1,60)=0),AND(A537=入力!$B$11,A537&gt;1)),入力!$B$14="有効",IF(E537=0,ROUND(C537/MAX(1,S536-A537+1),0),ROUND(-PMT(E537/12,MAX(1,S536-A537+1),C537),0))&gt;ROUND(G536*1.25,0),NOT(A537=入力!$B$15+1)),"・上限適用",""))</f>
        <v/>
      </c>
      <c r="Q537" s="35" t="str">
        <f>IF(AND(T536="",A537&lt;=S536),入力!$B$13,"")</f>
        <v/>
      </c>
      <c r="R537" s="32" t="str">
        <f>IF(AND(AND(T536="",A537&lt;=S536),OR(AND(入力!$B$13="有効",A537&gt;1,MOD(A537-1,60)=0),AND(A537=入力!$B$11,A537&gt;1)),入力!$B$14="有効"),ROUND(G536*1.25,0),"")</f>
        <v/>
      </c>
      <c r="S537" s="36">
        <f t="shared" si="151"/>
        <v>420</v>
      </c>
      <c r="T537" s="35" t="str">
        <f t="shared" si="152"/>
        <v/>
      </c>
      <c r="U537" s="3">
        <f t="shared" si="136"/>
        <v>0</v>
      </c>
      <c r="V537" s="3">
        <f t="shared" si="137"/>
        <v>0</v>
      </c>
      <c r="W537" s="3">
        <f t="shared" si="138"/>
        <v>0</v>
      </c>
      <c r="X537" s="3">
        <f t="shared" si="139"/>
        <v>0</v>
      </c>
      <c r="Y537" s="3">
        <f>0</f>
        <v>0</v>
      </c>
      <c r="Z537" s="3">
        <f t="shared" si="140"/>
        <v>0</v>
      </c>
      <c r="AA537">
        <f>ROUND(IF(A537=入力!$B$15+1,IF(E537=0,ROUND(C537/MAX(1,S536-A537+1),0),ROUND(-PMT(E537/12,MAX(1,S536-A537+1)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,0)</f>
        <v>0</v>
      </c>
    </row>
    <row r="538" spans="1:27">
      <c r="A538" s="30">
        <f>533</f>
        <v>533</v>
      </c>
      <c r="B538" s="31">
        <f>EDATE(入力!$B$6,A538-1)</f>
        <v>62428</v>
      </c>
      <c r="C538" s="32">
        <f t="shared" si="141"/>
        <v>0</v>
      </c>
      <c r="D538" s="32">
        <f t="shared" si="142"/>
        <v>0</v>
      </c>
      <c r="E538" s="33">
        <f>IF(AND(T537="",A538&lt;=S537),IF(A538&lt;入力!$B$11,入力!$B$10,入力!$B$12),0)</f>
        <v>0</v>
      </c>
      <c r="F538" s="32">
        <f t="shared" si="143"/>
        <v>0</v>
      </c>
      <c r="G538" s="32">
        <f>ROUND(IF(NOT(AND(T537="",A538&lt;=S537)),0,IF(A538=入力!$B$15+1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),0)</f>
        <v>0</v>
      </c>
      <c r="H538" s="32">
        <f t="shared" si="144"/>
        <v>0</v>
      </c>
      <c r="I538" s="32">
        <f t="shared" si="145"/>
        <v>0</v>
      </c>
      <c r="J538" s="32">
        <f t="shared" si="146"/>
        <v>0</v>
      </c>
      <c r="K538" s="32">
        <f t="shared" si="147"/>
        <v>0</v>
      </c>
      <c r="L538" s="32">
        <f t="shared" si="148"/>
        <v>0</v>
      </c>
      <c r="M538" s="32">
        <f>IF(AND(AND(T537="",A538&lt;=S537),A538=入力!$B$15),ROUND(MIN(入力!$B$16,MAX(0,C538-L538)),0),0)</f>
        <v>0</v>
      </c>
      <c r="N538" s="32">
        <f t="shared" si="149"/>
        <v>0</v>
      </c>
      <c r="O538" s="32">
        <f t="shared" si="150"/>
        <v>12386706</v>
      </c>
      <c r="P538" s="34" t="str">
        <f>IF(NOT(AND(T537="",A538&lt;=S537)),"",IF(A538=入力!$B$15+1,"繰上返済後再計算","")&amp;IF(AND(入力!$B$13="有効",A538&gt;1,MOD(A538-1,60)=0),IF(A538=入力!$B$15+1,"・","")&amp;"5年見直し","")&amp;IF(AND(A538=入力!$B$11,A538&gt;1),IF(OR(A538=入力!$B$15+1,AND(入力!$B$13="有効",A538&gt;1,MOD(A538-1,60)=0)),"・","")&amp;"金利変更","")&amp;IF(AND(OR(AND(入力!$B$13="有効",A538&gt;1,MOD(A538-1,60)=0),AND(A538=入力!$B$11,A538&gt;1)),入力!$B$14="有効",IF(E538=0,ROUND(C538/MAX(1,S537-A538+1),0),ROUND(-PMT(E538/12,MAX(1,S537-A538+1),C538),0))&gt;ROUND(G537*1.25,0),NOT(A538=入力!$B$15+1)),"・上限適用",""))</f>
        <v/>
      </c>
      <c r="Q538" s="35" t="str">
        <f>IF(AND(T537="",A538&lt;=S537),入力!$B$13,"")</f>
        <v/>
      </c>
      <c r="R538" s="32" t="str">
        <f>IF(AND(AND(T537="",A538&lt;=S537),OR(AND(入力!$B$13="有効",A538&gt;1,MOD(A538-1,60)=0),AND(A538=入力!$B$11,A538&gt;1)),入力!$B$14="有効"),ROUND(G537*1.25,0),"")</f>
        <v/>
      </c>
      <c r="S538" s="36">
        <f t="shared" si="151"/>
        <v>420</v>
      </c>
      <c r="T538" s="35" t="str">
        <f t="shared" si="152"/>
        <v/>
      </c>
      <c r="U538" s="3">
        <f t="shared" si="136"/>
        <v>0</v>
      </c>
      <c r="V538" s="3">
        <f t="shared" si="137"/>
        <v>0</v>
      </c>
      <c r="W538" s="3">
        <f t="shared" si="138"/>
        <v>0</v>
      </c>
      <c r="X538" s="3">
        <f t="shared" si="139"/>
        <v>0</v>
      </c>
      <c r="Y538" s="3">
        <f>0</f>
        <v>0</v>
      </c>
      <c r="Z538" s="3">
        <f t="shared" si="140"/>
        <v>0</v>
      </c>
      <c r="AA538">
        <f>ROUND(IF(A538=入力!$B$15+1,IF(E538=0,ROUND(C538/MAX(1,S537-A538+1),0),ROUND(-PMT(E538/12,MAX(1,S537-A538+1)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,0)</f>
        <v>0</v>
      </c>
    </row>
    <row r="539" spans="1:27">
      <c r="A539" s="30">
        <f>534</f>
        <v>534</v>
      </c>
      <c r="B539" s="31">
        <f>EDATE(入力!$B$6,A539-1)</f>
        <v>62459</v>
      </c>
      <c r="C539" s="32">
        <f t="shared" si="141"/>
        <v>0</v>
      </c>
      <c r="D539" s="32">
        <f t="shared" si="142"/>
        <v>0</v>
      </c>
      <c r="E539" s="33">
        <f>IF(AND(T538="",A539&lt;=S538),IF(A539&lt;入力!$B$11,入力!$B$10,入力!$B$12),0)</f>
        <v>0</v>
      </c>
      <c r="F539" s="32">
        <f t="shared" si="143"/>
        <v>0</v>
      </c>
      <c r="G539" s="32">
        <f>ROUND(IF(NOT(AND(T538="",A539&lt;=S538)),0,IF(A539=入力!$B$15+1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),0)</f>
        <v>0</v>
      </c>
      <c r="H539" s="32">
        <f t="shared" si="144"/>
        <v>0</v>
      </c>
      <c r="I539" s="32">
        <f t="shared" si="145"/>
        <v>0</v>
      </c>
      <c r="J539" s="32">
        <f t="shared" si="146"/>
        <v>0</v>
      </c>
      <c r="K539" s="32">
        <f t="shared" si="147"/>
        <v>0</v>
      </c>
      <c r="L539" s="32">
        <f t="shared" si="148"/>
        <v>0</v>
      </c>
      <c r="M539" s="32">
        <f>IF(AND(AND(T538="",A539&lt;=S538),A539=入力!$B$15),ROUND(MIN(入力!$B$16,MAX(0,C539-L539)),0),0)</f>
        <v>0</v>
      </c>
      <c r="N539" s="32">
        <f t="shared" si="149"/>
        <v>0</v>
      </c>
      <c r="O539" s="32">
        <f t="shared" si="150"/>
        <v>12386706</v>
      </c>
      <c r="P539" s="34" t="str">
        <f>IF(NOT(AND(T538="",A539&lt;=S538)),"",IF(A539=入力!$B$15+1,"繰上返済後再計算","")&amp;IF(AND(入力!$B$13="有効",A539&gt;1,MOD(A539-1,60)=0),IF(A539=入力!$B$15+1,"・","")&amp;"5年見直し","")&amp;IF(AND(A539=入力!$B$11,A539&gt;1),IF(OR(A539=入力!$B$15+1,AND(入力!$B$13="有効",A539&gt;1,MOD(A539-1,60)=0)),"・","")&amp;"金利変更","")&amp;IF(AND(OR(AND(入力!$B$13="有効",A539&gt;1,MOD(A539-1,60)=0),AND(A539=入力!$B$11,A539&gt;1)),入力!$B$14="有効",IF(E539=0,ROUND(C539/MAX(1,S538-A539+1),0),ROUND(-PMT(E539/12,MAX(1,S538-A539+1),C539),0))&gt;ROUND(G538*1.25,0),NOT(A539=入力!$B$15+1)),"・上限適用",""))</f>
        <v/>
      </c>
      <c r="Q539" s="35" t="str">
        <f>IF(AND(T538="",A539&lt;=S538),入力!$B$13,"")</f>
        <v/>
      </c>
      <c r="R539" s="32" t="str">
        <f>IF(AND(AND(T538="",A539&lt;=S538),OR(AND(入力!$B$13="有効",A539&gt;1,MOD(A539-1,60)=0),AND(A539=入力!$B$11,A539&gt;1)),入力!$B$14="有効"),ROUND(G538*1.25,0),"")</f>
        <v/>
      </c>
      <c r="S539" s="36">
        <f t="shared" si="151"/>
        <v>420</v>
      </c>
      <c r="T539" s="35" t="str">
        <f t="shared" si="152"/>
        <v/>
      </c>
      <c r="U539" s="3">
        <f t="shared" si="136"/>
        <v>0</v>
      </c>
      <c r="V539" s="3">
        <f t="shared" si="137"/>
        <v>0</v>
      </c>
      <c r="W539" s="3">
        <f t="shared" si="138"/>
        <v>0</v>
      </c>
      <c r="X539" s="3">
        <f t="shared" si="139"/>
        <v>0</v>
      </c>
      <c r="Y539" s="3">
        <f>0</f>
        <v>0</v>
      </c>
      <c r="Z539" s="3">
        <f t="shared" si="140"/>
        <v>0</v>
      </c>
      <c r="AA539">
        <f>ROUND(IF(A539=入力!$B$15+1,IF(E539=0,ROUND(C539/MAX(1,S538-A539+1),0),ROUND(-PMT(E539/12,MAX(1,S538-A539+1)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,0)</f>
        <v>0</v>
      </c>
    </row>
    <row r="540" spans="1:27">
      <c r="A540" s="30">
        <f>535</f>
        <v>535</v>
      </c>
      <c r="B540" s="31">
        <f>EDATE(入力!$B$6,A540-1)</f>
        <v>62490</v>
      </c>
      <c r="C540" s="32">
        <f t="shared" si="141"/>
        <v>0</v>
      </c>
      <c r="D540" s="32">
        <f t="shared" si="142"/>
        <v>0</v>
      </c>
      <c r="E540" s="33">
        <f>IF(AND(T539="",A540&lt;=S539),IF(A540&lt;入力!$B$11,入力!$B$10,入力!$B$12),0)</f>
        <v>0</v>
      </c>
      <c r="F540" s="32">
        <f t="shared" si="143"/>
        <v>0</v>
      </c>
      <c r="G540" s="32">
        <f>ROUND(IF(NOT(AND(T539="",A540&lt;=S539)),0,IF(A540=入力!$B$15+1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),0)</f>
        <v>0</v>
      </c>
      <c r="H540" s="32">
        <f t="shared" si="144"/>
        <v>0</v>
      </c>
      <c r="I540" s="32">
        <f t="shared" si="145"/>
        <v>0</v>
      </c>
      <c r="J540" s="32">
        <f t="shared" si="146"/>
        <v>0</v>
      </c>
      <c r="K540" s="32">
        <f t="shared" si="147"/>
        <v>0</v>
      </c>
      <c r="L540" s="32">
        <f t="shared" si="148"/>
        <v>0</v>
      </c>
      <c r="M540" s="32">
        <f>IF(AND(AND(T539="",A540&lt;=S539),A540=入力!$B$15),ROUND(MIN(入力!$B$16,MAX(0,C540-L540)),0),0)</f>
        <v>0</v>
      </c>
      <c r="N540" s="32">
        <f t="shared" si="149"/>
        <v>0</v>
      </c>
      <c r="O540" s="32">
        <f t="shared" si="150"/>
        <v>12386706</v>
      </c>
      <c r="P540" s="34" t="str">
        <f>IF(NOT(AND(T539="",A540&lt;=S539)),"",IF(A540=入力!$B$15+1,"繰上返済後再計算","")&amp;IF(AND(入力!$B$13="有効",A540&gt;1,MOD(A540-1,60)=0),IF(A540=入力!$B$15+1,"・","")&amp;"5年見直し","")&amp;IF(AND(A540=入力!$B$11,A540&gt;1),IF(OR(A540=入力!$B$15+1,AND(入力!$B$13="有効",A540&gt;1,MOD(A540-1,60)=0)),"・","")&amp;"金利変更","")&amp;IF(AND(OR(AND(入力!$B$13="有効",A540&gt;1,MOD(A540-1,60)=0),AND(A540=入力!$B$11,A540&gt;1)),入力!$B$14="有効",IF(E540=0,ROUND(C540/MAX(1,S539-A540+1),0),ROUND(-PMT(E540/12,MAX(1,S539-A540+1),C540),0))&gt;ROUND(G539*1.25,0),NOT(A540=入力!$B$15+1)),"・上限適用",""))</f>
        <v/>
      </c>
      <c r="Q540" s="35" t="str">
        <f>IF(AND(T539="",A540&lt;=S539),入力!$B$13,"")</f>
        <v/>
      </c>
      <c r="R540" s="32" t="str">
        <f>IF(AND(AND(T539="",A540&lt;=S539),OR(AND(入力!$B$13="有効",A540&gt;1,MOD(A540-1,60)=0),AND(A540=入力!$B$11,A540&gt;1)),入力!$B$14="有効"),ROUND(G539*1.25,0),"")</f>
        <v/>
      </c>
      <c r="S540" s="36">
        <f t="shared" si="151"/>
        <v>420</v>
      </c>
      <c r="T540" s="35" t="str">
        <f t="shared" si="152"/>
        <v/>
      </c>
      <c r="U540" s="3">
        <f t="shared" si="136"/>
        <v>0</v>
      </c>
      <c r="V540" s="3">
        <f t="shared" si="137"/>
        <v>0</v>
      </c>
      <c r="W540" s="3">
        <f t="shared" si="138"/>
        <v>0</v>
      </c>
      <c r="X540" s="3">
        <f t="shared" si="139"/>
        <v>0</v>
      </c>
      <c r="Y540" s="3">
        <f>0</f>
        <v>0</v>
      </c>
      <c r="Z540" s="3">
        <f t="shared" si="140"/>
        <v>0</v>
      </c>
      <c r="AA540">
        <f>ROUND(IF(A540=入力!$B$15+1,IF(E540=0,ROUND(C540/MAX(1,S539-A540+1),0),ROUND(-PMT(E540/12,MAX(1,S539-A540+1)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,0)</f>
        <v>0</v>
      </c>
    </row>
    <row r="541" spans="1:27">
      <c r="A541" s="30">
        <f>536</f>
        <v>536</v>
      </c>
      <c r="B541" s="31">
        <f>EDATE(入力!$B$6,A541-1)</f>
        <v>62518</v>
      </c>
      <c r="C541" s="32">
        <f t="shared" si="141"/>
        <v>0</v>
      </c>
      <c r="D541" s="32">
        <f t="shared" si="142"/>
        <v>0</v>
      </c>
      <c r="E541" s="33">
        <f>IF(AND(T540="",A541&lt;=S540),IF(A541&lt;入力!$B$11,入力!$B$10,入力!$B$12),0)</f>
        <v>0</v>
      </c>
      <c r="F541" s="32">
        <f t="shared" si="143"/>
        <v>0</v>
      </c>
      <c r="G541" s="32">
        <f>ROUND(IF(NOT(AND(T540="",A541&lt;=S540)),0,IF(A541=入力!$B$15+1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),0)</f>
        <v>0</v>
      </c>
      <c r="H541" s="32">
        <f t="shared" si="144"/>
        <v>0</v>
      </c>
      <c r="I541" s="32">
        <f t="shared" si="145"/>
        <v>0</v>
      </c>
      <c r="J541" s="32">
        <f t="shared" si="146"/>
        <v>0</v>
      </c>
      <c r="K541" s="32">
        <f t="shared" si="147"/>
        <v>0</v>
      </c>
      <c r="L541" s="32">
        <f t="shared" si="148"/>
        <v>0</v>
      </c>
      <c r="M541" s="32">
        <f>IF(AND(AND(T540="",A541&lt;=S540),A541=入力!$B$15),ROUND(MIN(入力!$B$16,MAX(0,C541-L541)),0),0)</f>
        <v>0</v>
      </c>
      <c r="N541" s="32">
        <f t="shared" si="149"/>
        <v>0</v>
      </c>
      <c r="O541" s="32">
        <f t="shared" si="150"/>
        <v>12386706</v>
      </c>
      <c r="P541" s="34" t="str">
        <f>IF(NOT(AND(T540="",A541&lt;=S540)),"",IF(A541=入力!$B$15+1,"繰上返済後再計算","")&amp;IF(AND(入力!$B$13="有効",A541&gt;1,MOD(A541-1,60)=0),IF(A541=入力!$B$15+1,"・","")&amp;"5年見直し","")&amp;IF(AND(A541=入力!$B$11,A541&gt;1),IF(OR(A541=入力!$B$15+1,AND(入力!$B$13="有効",A541&gt;1,MOD(A541-1,60)=0)),"・","")&amp;"金利変更","")&amp;IF(AND(OR(AND(入力!$B$13="有効",A541&gt;1,MOD(A541-1,60)=0),AND(A541=入力!$B$11,A541&gt;1)),入力!$B$14="有効",IF(E541=0,ROUND(C541/MAX(1,S540-A541+1),0),ROUND(-PMT(E541/12,MAX(1,S540-A541+1),C541),0))&gt;ROUND(G540*1.25,0),NOT(A541=入力!$B$15+1)),"・上限適用",""))</f>
        <v/>
      </c>
      <c r="Q541" s="35" t="str">
        <f>IF(AND(T540="",A541&lt;=S540),入力!$B$13,"")</f>
        <v/>
      </c>
      <c r="R541" s="32" t="str">
        <f>IF(AND(AND(T540="",A541&lt;=S540),OR(AND(入力!$B$13="有効",A541&gt;1,MOD(A541-1,60)=0),AND(A541=入力!$B$11,A541&gt;1)),入力!$B$14="有効"),ROUND(G540*1.25,0),"")</f>
        <v/>
      </c>
      <c r="S541" s="36">
        <f t="shared" si="151"/>
        <v>420</v>
      </c>
      <c r="T541" s="35" t="str">
        <f t="shared" si="152"/>
        <v/>
      </c>
      <c r="U541" s="3">
        <f t="shared" si="136"/>
        <v>0</v>
      </c>
      <c r="V541" s="3">
        <f t="shared" si="137"/>
        <v>0</v>
      </c>
      <c r="W541" s="3">
        <f t="shared" si="138"/>
        <v>0</v>
      </c>
      <c r="X541" s="3">
        <f t="shared" si="139"/>
        <v>0</v>
      </c>
      <c r="Y541" s="3">
        <f>0</f>
        <v>0</v>
      </c>
      <c r="Z541" s="3">
        <f t="shared" si="140"/>
        <v>0</v>
      </c>
      <c r="AA541">
        <f>ROUND(IF(A541=入力!$B$15+1,IF(E541=0,ROUND(C541/MAX(1,S540-A541+1),0),ROUND(-PMT(E541/12,MAX(1,S540-A541+1)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,0)</f>
        <v>0</v>
      </c>
    </row>
    <row r="542" spans="1:27">
      <c r="A542" s="30">
        <f>537</f>
        <v>537</v>
      </c>
      <c r="B542" s="31">
        <f>EDATE(入力!$B$6,A542-1)</f>
        <v>62549</v>
      </c>
      <c r="C542" s="32">
        <f t="shared" si="141"/>
        <v>0</v>
      </c>
      <c r="D542" s="32">
        <f t="shared" si="142"/>
        <v>0</v>
      </c>
      <c r="E542" s="33">
        <f>IF(AND(T541="",A542&lt;=S541),IF(A542&lt;入力!$B$11,入力!$B$10,入力!$B$12),0)</f>
        <v>0</v>
      </c>
      <c r="F542" s="32">
        <f t="shared" si="143"/>
        <v>0</v>
      </c>
      <c r="G542" s="32">
        <f>ROUND(IF(NOT(AND(T541="",A542&lt;=S541)),0,IF(A542=入力!$B$15+1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),0)</f>
        <v>0</v>
      </c>
      <c r="H542" s="32">
        <f t="shared" si="144"/>
        <v>0</v>
      </c>
      <c r="I542" s="32">
        <f t="shared" si="145"/>
        <v>0</v>
      </c>
      <c r="J542" s="32">
        <f t="shared" si="146"/>
        <v>0</v>
      </c>
      <c r="K542" s="32">
        <f t="shared" si="147"/>
        <v>0</v>
      </c>
      <c r="L542" s="32">
        <f t="shared" si="148"/>
        <v>0</v>
      </c>
      <c r="M542" s="32">
        <f>IF(AND(AND(T541="",A542&lt;=S541),A542=入力!$B$15),ROUND(MIN(入力!$B$16,MAX(0,C542-L542)),0),0)</f>
        <v>0</v>
      </c>
      <c r="N542" s="32">
        <f t="shared" si="149"/>
        <v>0</v>
      </c>
      <c r="O542" s="32">
        <f t="shared" si="150"/>
        <v>12386706</v>
      </c>
      <c r="P542" s="34" t="str">
        <f>IF(NOT(AND(T541="",A542&lt;=S541)),"",IF(A542=入力!$B$15+1,"繰上返済後再計算","")&amp;IF(AND(入力!$B$13="有効",A542&gt;1,MOD(A542-1,60)=0),IF(A542=入力!$B$15+1,"・","")&amp;"5年見直し","")&amp;IF(AND(A542=入力!$B$11,A542&gt;1),IF(OR(A542=入力!$B$15+1,AND(入力!$B$13="有効",A542&gt;1,MOD(A542-1,60)=0)),"・","")&amp;"金利変更","")&amp;IF(AND(OR(AND(入力!$B$13="有効",A542&gt;1,MOD(A542-1,60)=0),AND(A542=入力!$B$11,A542&gt;1)),入力!$B$14="有効",IF(E542=0,ROUND(C542/MAX(1,S541-A542+1),0),ROUND(-PMT(E542/12,MAX(1,S541-A542+1),C542),0))&gt;ROUND(G541*1.25,0),NOT(A542=入力!$B$15+1)),"・上限適用",""))</f>
        <v/>
      </c>
      <c r="Q542" s="35" t="str">
        <f>IF(AND(T541="",A542&lt;=S541),入力!$B$13,"")</f>
        <v/>
      </c>
      <c r="R542" s="32" t="str">
        <f>IF(AND(AND(T541="",A542&lt;=S541),OR(AND(入力!$B$13="有効",A542&gt;1,MOD(A542-1,60)=0),AND(A542=入力!$B$11,A542&gt;1)),入力!$B$14="有効"),ROUND(G541*1.25,0),"")</f>
        <v/>
      </c>
      <c r="S542" s="36">
        <f t="shared" si="151"/>
        <v>420</v>
      </c>
      <c r="T542" s="35" t="str">
        <f t="shared" si="152"/>
        <v/>
      </c>
      <c r="U542" s="3">
        <f t="shared" si="136"/>
        <v>0</v>
      </c>
      <c r="V542" s="3">
        <f t="shared" si="137"/>
        <v>0</v>
      </c>
      <c r="W542" s="3">
        <f t="shared" si="138"/>
        <v>0</v>
      </c>
      <c r="X542" s="3">
        <f t="shared" si="139"/>
        <v>0</v>
      </c>
      <c r="Y542" s="3">
        <f>0</f>
        <v>0</v>
      </c>
      <c r="Z542" s="3">
        <f t="shared" si="140"/>
        <v>0</v>
      </c>
      <c r="AA542">
        <f>ROUND(IF(A542=入力!$B$15+1,IF(E542=0,ROUND(C542/MAX(1,S541-A542+1),0),ROUND(-PMT(E542/12,MAX(1,S541-A542+1)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,0)</f>
        <v>0</v>
      </c>
    </row>
    <row r="543" spans="1:27">
      <c r="A543" s="30">
        <f>538</f>
        <v>538</v>
      </c>
      <c r="B543" s="31">
        <f>EDATE(入力!$B$6,A543-1)</f>
        <v>62579</v>
      </c>
      <c r="C543" s="32">
        <f t="shared" si="141"/>
        <v>0</v>
      </c>
      <c r="D543" s="32">
        <f t="shared" si="142"/>
        <v>0</v>
      </c>
      <c r="E543" s="33">
        <f>IF(AND(T542="",A543&lt;=S542),IF(A543&lt;入力!$B$11,入力!$B$10,入力!$B$12),0)</f>
        <v>0</v>
      </c>
      <c r="F543" s="32">
        <f t="shared" si="143"/>
        <v>0</v>
      </c>
      <c r="G543" s="32">
        <f>ROUND(IF(NOT(AND(T542="",A543&lt;=S542)),0,IF(A543=入力!$B$15+1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),0)</f>
        <v>0</v>
      </c>
      <c r="H543" s="32">
        <f t="shared" si="144"/>
        <v>0</v>
      </c>
      <c r="I543" s="32">
        <f t="shared" si="145"/>
        <v>0</v>
      </c>
      <c r="J543" s="32">
        <f t="shared" si="146"/>
        <v>0</v>
      </c>
      <c r="K543" s="32">
        <f t="shared" si="147"/>
        <v>0</v>
      </c>
      <c r="L543" s="32">
        <f t="shared" si="148"/>
        <v>0</v>
      </c>
      <c r="M543" s="32">
        <f>IF(AND(AND(T542="",A543&lt;=S542),A543=入力!$B$15),ROUND(MIN(入力!$B$16,MAX(0,C543-L543)),0),0)</f>
        <v>0</v>
      </c>
      <c r="N543" s="32">
        <f t="shared" si="149"/>
        <v>0</v>
      </c>
      <c r="O543" s="32">
        <f t="shared" si="150"/>
        <v>12386706</v>
      </c>
      <c r="P543" s="34" t="str">
        <f>IF(NOT(AND(T542="",A543&lt;=S542)),"",IF(A543=入力!$B$15+1,"繰上返済後再計算","")&amp;IF(AND(入力!$B$13="有効",A543&gt;1,MOD(A543-1,60)=0),IF(A543=入力!$B$15+1,"・","")&amp;"5年見直し","")&amp;IF(AND(A543=入力!$B$11,A543&gt;1),IF(OR(A543=入力!$B$15+1,AND(入力!$B$13="有効",A543&gt;1,MOD(A543-1,60)=0)),"・","")&amp;"金利変更","")&amp;IF(AND(OR(AND(入力!$B$13="有効",A543&gt;1,MOD(A543-1,60)=0),AND(A543=入力!$B$11,A543&gt;1)),入力!$B$14="有効",IF(E543=0,ROUND(C543/MAX(1,S542-A543+1),0),ROUND(-PMT(E543/12,MAX(1,S542-A543+1),C543),0))&gt;ROUND(G542*1.25,0),NOT(A543=入力!$B$15+1)),"・上限適用",""))</f>
        <v/>
      </c>
      <c r="Q543" s="35" t="str">
        <f>IF(AND(T542="",A543&lt;=S542),入力!$B$13,"")</f>
        <v/>
      </c>
      <c r="R543" s="32" t="str">
        <f>IF(AND(AND(T542="",A543&lt;=S542),OR(AND(入力!$B$13="有効",A543&gt;1,MOD(A543-1,60)=0),AND(A543=入力!$B$11,A543&gt;1)),入力!$B$14="有効"),ROUND(G542*1.25,0),"")</f>
        <v/>
      </c>
      <c r="S543" s="36">
        <f t="shared" si="151"/>
        <v>420</v>
      </c>
      <c r="T543" s="35" t="str">
        <f t="shared" si="152"/>
        <v/>
      </c>
      <c r="U543" s="3">
        <f t="shared" si="136"/>
        <v>0</v>
      </c>
      <c r="V543" s="3">
        <f t="shared" si="137"/>
        <v>0</v>
      </c>
      <c r="W543" s="3">
        <f t="shared" si="138"/>
        <v>0</v>
      </c>
      <c r="X543" s="3">
        <f t="shared" si="139"/>
        <v>0</v>
      </c>
      <c r="Y543" s="3">
        <f>0</f>
        <v>0</v>
      </c>
      <c r="Z543" s="3">
        <f t="shared" si="140"/>
        <v>0</v>
      </c>
      <c r="AA543">
        <f>ROUND(IF(A543=入力!$B$15+1,IF(E543=0,ROUND(C543/MAX(1,S542-A543+1),0),ROUND(-PMT(E543/12,MAX(1,S542-A543+1)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,0)</f>
        <v>0</v>
      </c>
    </row>
    <row r="544" spans="1:27">
      <c r="A544" s="30">
        <f>539</f>
        <v>539</v>
      </c>
      <c r="B544" s="31">
        <f>EDATE(入力!$B$6,A544-1)</f>
        <v>62610</v>
      </c>
      <c r="C544" s="32">
        <f t="shared" si="141"/>
        <v>0</v>
      </c>
      <c r="D544" s="32">
        <f t="shared" si="142"/>
        <v>0</v>
      </c>
      <c r="E544" s="33">
        <f>IF(AND(T543="",A544&lt;=S543),IF(A544&lt;入力!$B$11,入力!$B$10,入力!$B$12),0)</f>
        <v>0</v>
      </c>
      <c r="F544" s="32">
        <f t="shared" si="143"/>
        <v>0</v>
      </c>
      <c r="G544" s="32">
        <f>ROUND(IF(NOT(AND(T543="",A544&lt;=S543)),0,IF(A544=入力!$B$15+1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),0)</f>
        <v>0</v>
      </c>
      <c r="H544" s="32">
        <f t="shared" si="144"/>
        <v>0</v>
      </c>
      <c r="I544" s="32">
        <f t="shared" si="145"/>
        <v>0</v>
      </c>
      <c r="J544" s="32">
        <f t="shared" si="146"/>
        <v>0</v>
      </c>
      <c r="K544" s="32">
        <f t="shared" si="147"/>
        <v>0</v>
      </c>
      <c r="L544" s="32">
        <f t="shared" si="148"/>
        <v>0</v>
      </c>
      <c r="M544" s="32">
        <f>IF(AND(AND(T543="",A544&lt;=S543),A544=入力!$B$15),ROUND(MIN(入力!$B$16,MAX(0,C544-L544)),0),0)</f>
        <v>0</v>
      </c>
      <c r="N544" s="32">
        <f t="shared" si="149"/>
        <v>0</v>
      </c>
      <c r="O544" s="32">
        <f t="shared" si="150"/>
        <v>12386706</v>
      </c>
      <c r="P544" s="34" t="str">
        <f>IF(NOT(AND(T543="",A544&lt;=S543)),"",IF(A544=入力!$B$15+1,"繰上返済後再計算","")&amp;IF(AND(入力!$B$13="有効",A544&gt;1,MOD(A544-1,60)=0),IF(A544=入力!$B$15+1,"・","")&amp;"5年見直し","")&amp;IF(AND(A544=入力!$B$11,A544&gt;1),IF(OR(A544=入力!$B$15+1,AND(入力!$B$13="有効",A544&gt;1,MOD(A544-1,60)=0)),"・","")&amp;"金利変更","")&amp;IF(AND(OR(AND(入力!$B$13="有効",A544&gt;1,MOD(A544-1,60)=0),AND(A544=入力!$B$11,A544&gt;1)),入力!$B$14="有効",IF(E544=0,ROUND(C544/MAX(1,S543-A544+1),0),ROUND(-PMT(E544/12,MAX(1,S543-A544+1),C544),0))&gt;ROUND(G543*1.25,0),NOT(A544=入力!$B$15+1)),"・上限適用",""))</f>
        <v/>
      </c>
      <c r="Q544" s="35" t="str">
        <f>IF(AND(T543="",A544&lt;=S543),入力!$B$13,"")</f>
        <v/>
      </c>
      <c r="R544" s="32" t="str">
        <f>IF(AND(AND(T543="",A544&lt;=S543),OR(AND(入力!$B$13="有効",A544&gt;1,MOD(A544-1,60)=0),AND(A544=入力!$B$11,A544&gt;1)),入力!$B$14="有効"),ROUND(G543*1.25,0),"")</f>
        <v/>
      </c>
      <c r="S544" s="36">
        <f t="shared" si="151"/>
        <v>420</v>
      </c>
      <c r="T544" s="35" t="str">
        <f t="shared" si="152"/>
        <v/>
      </c>
      <c r="U544" s="3">
        <f t="shared" si="136"/>
        <v>0</v>
      </c>
      <c r="V544" s="3">
        <f t="shared" si="137"/>
        <v>0</v>
      </c>
      <c r="W544" s="3">
        <f t="shared" si="138"/>
        <v>0</v>
      </c>
      <c r="X544" s="3">
        <f t="shared" si="139"/>
        <v>0</v>
      </c>
      <c r="Y544" s="3">
        <f>0</f>
        <v>0</v>
      </c>
      <c r="Z544" s="3">
        <f t="shared" si="140"/>
        <v>0</v>
      </c>
      <c r="AA544">
        <f>ROUND(IF(A544=入力!$B$15+1,IF(E544=0,ROUND(C544/MAX(1,S543-A544+1),0),ROUND(-PMT(E544/12,MAX(1,S543-A544+1)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,0)</f>
        <v>0</v>
      </c>
    </row>
    <row r="545" spans="1:27">
      <c r="A545" s="30">
        <f>540</f>
        <v>540</v>
      </c>
      <c r="B545" s="31">
        <f>EDATE(入力!$B$6,A545-1)</f>
        <v>62640</v>
      </c>
      <c r="C545" s="32">
        <f t="shared" si="141"/>
        <v>0</v>
      </c>
      <c r="D545" s="32">
        <f t="shared" si="142"/>
        <v>0</v>
      </c>
      <c r="E545" s="33">
        <f>IF(AND(T544="",A545&lt;=S544),IF(A545&lt;入力!$B$11,入力!$B$10,入力!$B$12),0)</f>
        <v>0</v>
      </c>
      <c r="F545" s="32">
        <f t="shared" si="143"/>
        <v>0</v>
      </c>
      <c r="G545" s="32">
        <f>ROUND(IF(NOT(AND(T544="",A545&lt;=S544)),0,IF(A545=入力!$B$15+1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),0)</f>
        <v>0</v>
      </c>
      <c r="H545" s="32">
        <f t="shared" si="144"/>
        <v>0</v>
      </c>
      <c r="I545" s="32">
        <f t="shared" si="145"/>
        <v>0</v>
      </c>
      <c r="J545" s="32">
        <f t="shared" si="146"/>
        <v>0</v>
      </c>
      <c r="K545" s="32">
        <f t="shared" si="147"/>
        <v>0</v>
      </c>
      <c r="L545" s="32">
        <f t="shared" si="148"/>
        <v>0</v>
      </c>
      <c r="M545" s="32">
        <f>IF(AND(AND(T544="",A545&lt;=S544),A545=入力!$B$15),ROUND(MIN(入力!$B$16,MAX(0,C545-L545)),0),0)</f>
        <v>0</v>
      </c>
      <c r="N545" s="32">
        <f t="shared" si="149"/>
        <v>0</v>
      </c>
      <c r="O545" s="32">
        <f t="shared" si="150"/>
        <v>12386706</v>
      </c>
      <c r="P545" s="34" t="str">
        <f>IF(NOT(AND(T544="",A545&lt;=S544)),"",IF(A545=入力!$B$15+1,"繰上返済後再計算","")&amp;IF(AND(入力!$B$13="有効",A545&gt;1,MOD(A545-1,60)=0),IF(A545=入力!$B$15+1,"・","")&amp;"5年見直し","")&amp;IF(AND(A545=入力!$B$11,A545&gt;1),IF(OR(A545=入力!$B$15+1,AND(入力!$B$13="有効",A545&gt;1,MOD(A545-1,60)=0)),"・","")&amp;"金利変更","")&amp;IF(AND(OR(AND(入力!$B$13="有効",A545&gt;1,MOD(A545-1,60)=0),AND(A545=入力!$B$11,A545&gt;1)),入力!$B$14="有効",IF(E545=0,ROUND(C545/MAX(1,S544-A545+1),0),ROUND(-PMT(E545/12,MAX(1,S544-A545+1),C545),0))&gt;ROUND(G544*1.25,0),NOT(A545=入力!$B$15+1)),"・上限適用",""))</f>
        <v/>
      </c>
      <c r="Q545" s="35" t="str">
        <f>IF(AND(T544="",A545&lt;=S544),入力!$B$13,"")</f>
        <v/>
      </c>
      <c r="R545" s="32" t="str">
        <f>IF(AND(AND(T544="",A545&lt;=S544),OR(AND(入力!$B$13="有効",A545&gt;1,MOD(A545-1,60)=0),AND(A545=入力!$B$11,A545&gt;1)),入力!$B$14="有効"),ROUND(G544*1.25,0),"")</f>
        <v/>
      </c>
      <c r="S545" s="36">
        <f t="shared" si="151"/>
        <v>420</v>
      </c>
      <c r="T545" s="35" t="str">
        <f t="shared" si="152"/>
        <v/>
      </c>
      <c r="U545" s="3">
        <f t="shared" si="136"/>
        <v>0</v>
      </c>
      <c r="V545" s="3">
        <f t="shared" si="137"/>
        <v>0</v>
      </c>
      <c r="W545" s="3">
        <f t="shared" si="138"/>
        <v>0</v>
      </c>
      <c r="X545" s="3">
        <f t="shared" si="139"/>
        <v>0</v>
      </c>
      <c r="Y545" s="3">
        <f>0</f>
        <v>0</v>
      </c>
      <c r="Z545" s="3">
        <f t="shared" si="140"/>
        <v>0</v>
      </c>
      <c r="AA545">
        <f>ROUND(IF(A545=入力!$B$15+1,IF(E545=0,ROUND(C545/MAX(1,S544-A545+1),0),ROUND(-PMT(E545/12,MAX(1,S544-A545+1)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,0)</f>
        <v>0</v>
      </c>
    </row>
    <row r="546" spans="1:27">
      <c r="A546" s="30">
        <f>541</f>
        <v>541</v>
      </c>
      <c r="B546" s="31">
        <f>EDATE(入力!$B$6,A546-1)</f>
        <v>62671</v>
      </c>
      <c r="C546" s="32">
        <f t="shared" si="141"/>
        <v>0</v>
      </c>
      <c r="D546" s="32">
        <f t="shared" si="142"/>
        <v>0</v>
      </c>
      <c r="E546" s="33">
        <f>IF(AND(T545="",A546&lt;=S545),IF(A546&lt;入力!$B$11,入力!$B$10,入力!$B$12),0)</f>
        <v>0</v>
      </c>
      <c r="F546" s="32">
        <f t="shared" si="143"/>
        <v>0</v>
      </c>
      <c r="G546" s="32">
        <f>ROUND(IF(NOT(AND(T545="",A546&lt;=S545)),0,IF(A546=入力!$B$15+1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),0)</f>
        <v>0</v>
      </c>
      <c r="H546" s="32">
        <f t="shared" si="144"/>
        <v>0</v>
      </c>
      <c r="I546" s="32">
        <f t="shared" si="145"/>
        <v>0</v>
      </c>
      <c r="J546" s="32">
        <f t="shared" si="146"/>
        <v>0</v>
      </c>
      <c r="K546" s="32">
        <f t="shared" si="147"/>
        <v>0</v>
      </c>
      <c r="L546" s="32">
        <f t="shared" si="148"/>
        <v>0</v>
      </c>
      <c r="M546" s="32">
        <f>IF(AND(AND(T545="",A546&lt;=S545),A546=入力!$B$15),ROUND(MIN(入力!$B$16,MAX(0,C546-L546)),0),0)</f>
        <v>0</v>
      </c>
      <c r="N546" s="32">
        <f t="shared" si="149"/>
        <v>0</v>
      </c>
      <c r="O546" s="32">
        <f t="shared" si="150"/>
        <v>12386706</v>
      </c>
      <c r="P546" s="34" t="str">
        <f>IF(NOT(AND(T545="",A546&lt;=S545)),"",IF(A546=入力!$B$15+1,"繰上返済後再計算","")&amp;IF(AND(入力!$B$13="有効",A546&gt;1,MOD(A546-1,60)=0),IF(A546=入力!$B$15+1,"・","")&amp;"5年見直し","")&amp;IF(AND(A546=入力!$B$11,A546&gt;1),IF(OR(A546=入力!$B$15+1,AND(入力!$B$13="有効",A546&gt;1,MOD(A546-1,60)=0)),"・","")&amp;"金利変更","")&amp;IF(AND(OR(AND(入力!$B$13="有効",A546&gt;1,MOD(A546-1,60)=0),AND(A546=入力!$B$11,A546&gt;1)),入力!$B$14="有効",IF(E546=0,ROUND(C546/MAX(1,S545-A546+1),0),ROUND(-PMT(E546/12,MAX(1,S545-A546+1),C546),0))&gt;ROUND(G545*1.25,0),NOT(A546=入力!$B$15+1)),"・上限適用",""))</f>
        <v/>
      </c>
      <c r="Q546" s="35" t="str">
        <f>IF(AND(T545="",A546&lt;=S545),入力!$B$13,"")</f>
        <v/>
      </c>
      <c r="R546" s="32" t="str">
        <f>IF(AND(AND(T545="",A546&lt;=S545),OR(AND(入力!$B$13="有効",A546&gt;1,MOD(A546-1,60)=0),AND(A546=入力!$B$11,A546&gt;1)),入力!$B$14="有効"),ROUND(G545*1.25,0),"")</f>
        <v/>
      </c>
      <c r="S546" s="36">
        <f t="shared" si="151"/>
        <v>420</v>
      </c>
      <c r="T546" s="35" t="str">
        <f t="shared" si="152"/>
        <v/>
      </c>
      <c r="U546" s="3">
        <f t="shared" si="136"/>
        <v>0</v>
      </c>
      <c r="V546" s="3">
        <f t="shared" si="137"/>
        <v>0</v>
      </c>
      <c r="W546" s="3">
        <f t="shared" si="138"/>
        <v>0</v>
      </c>
      <c r="X546" s="3">
        <f t="shared" si="139"/>
        <v>0</v>
      </c>
      <c r="Y546" s="3">
        <f>0</f>
        <v>0</v>
      </c>
      <c r="Z546" s="3">
        <f t="shared" si="140"/>
        <v>0</v>
      </c>
      <c r="AA546">
        <f>ROUND(IF(A546=入力!$B$15+1,IF(E546=0,ROUND(C546/MAX(1,S545-A546+1),0),ROUND(-PMT(E546/12,MAX(1,S545-A546+1)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,0)</f>
        <v>0</v>
      </c>
    </row>
    <row r="547" spans="1:27">
      <c r="A547" s="30">
        <f>542</f>
        <v>542</v>
      </c>
      <c r="B547" s="31">
        <f>EDATE(入力!$B$6,A547-1)</f>
        <v>62702</v>
      </c>
      <c r="C547" s="32">
        <f t="shared" si="141"/>
        <v>0</v>
      </c>
      <c r="D547" s="32">
        <f t="shared" si="142"/>
        <v>0</v>
      </c>
      <c r="E547" s="33">
        <f>IF(AND(T546="",A547&lt;=S546),IF(A547&lt;入力!$B$11,入力!$B$10,入力!$B$12),0)</f>
        <v>0</v>
      </c>
      <c r="F547" s="32">
        <f t="shared" si="143"/>
        <v>0</v>
      </c>
      <c r="G547" s="32">
        <f>ROUND(IF(NOT(AND(T546="",A547&lt;=S546)),0,IF(A547=入力!$B$15+1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),0)</f>
        <v>0</v>
      </c>
      <c r="H547" s="32">
        <f t="shared" si="144"/>
        <v>0</v>
      </c>
      <c r="I547" s="32">
        <f t="shared" si="145"/>
        <v>0</v>
      </c>
      <c r="J547" s="32">
        <f t="shared" si="146"/>
        <v>0</v>
      </c>
      <c r="K547" s="32">
        <f t="shared" si="147"/>
        <v>0</v>
      </c>
      <c r="L547" s="32">
        <f t="shared" si="148"/>
        <v>0</v>
      </c>
      <c r="M547" s="32">
        <f>IF(AND(AND(T546="",A547&lt;=S546),A547=入力!$B$15),ROUND(MIN(入力!$B$16,MAX(0,C547-L547)),0),0)</f>
        <v>0</v>
      </c>
      <c r="N547" s="32">
        <f t="shared" si="149"/>
        <v>0</v>
      </c>
      <c r="O547" s="32">
        <f t="shared" si="150"/>
        <v>12386706</v>
      </c>
      <c r="P547" s="34" t="str">
        <f>IF(NOT(AND(T546="",A547&lt;=S546)),"",IF(A547=入力!$B$15+1,"繰上返済後再計算","")&amp;IF(AND(入力!$B$13="有効",A547&gt;1,MOD(A547-1,60)=0),IF(A547=入力!$B$15+1,"・","")&amp;"5年見直し","")&amp;IF(AND(A547=入力!$B$11,A547&gt;1),IF(OR(A547=入力!$B$15+1,AND(入力!$B$13="有効",A547&gt;1,MOD(A547-1,60)=0)),"・","")&amp;"金利変更","")&amp;IF(AND(OR(AND(入力!$B$13="有効",A547&gt;1,MOD(A547-1,60)=0),AND(A547=入力!$B$11,A547&gt;1)),入力!$B$14="有効",IF(E547=0,ROUND(C547/MAX(1,S546-A547+1),0),ROUND(-PMT(E547/12,MAX(1,S546-A547+1),C547),0))&gt;ROUND(G546*1.25,0),NOT(A547=入力!$B$15+1)),"・上限適用",""))</f>
        <v/>
      </c>
      <c r="Q547" s="35" t="str">
        <f>IF(AND(T546="",A547&lt;=S546),入力!$B$13,"")</f>
        <v/>
      </c>
      <c r="R547" s="32" t="str">
        <f>IF(AND(AND(T546="",A547&lt;=S546),OR(AND(入力!$B$13="有効",A547&gt;1,MOD(A547-1,60)=0),AND(A547=入力!$B$11,A547&gt;1)),入力!$B$14="有効"),ROUND(G546*1.25,0),"")</f>
        <v/>
      </c>
      <c r="S547" s="36">
        <f t="shared" si="151"/>
        <v>420</v>
      </c>
      <c r="T547" s="35" t="str">
        <f t="shared" si="152"/>
        <v/>
      </c>
      <c r="U547" s="3">
        <f t="shared" si="136"/>
        <v>0</v>
      </c>
      <c r="V547" s="3">
        <f t="shared" si="137"/>
        <v>0</v>
      </c>
      <c r="W547" s="3">
        <f t="shared" si="138"/>
        <v>0</v>
      </c>
      <c r="X547" s="3">
        <f t="shared" si="139"/>
        <v>0</v>
      </c>
      <c r="Y547" s="3">
        <f>0</f>
        <v>0</v>
      </c>
      <c r="Z547" s="3">
        <f t="shared" si="140"/>
        <v>0</v>
      </c>
      <c r="AA547">
        <f>ROUND(IF(A547=入力!$B$15+1,IF(E547=0,ROUND(C547/MAX(1,S546-A547+1),0),ROUND(-PMT(E547/12,MAX(1,S546-A547+1)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,0)</f>
        <v>0</v>
      </c>
    </row>
    <row r="548" spans="1:27">
      <c r="A548" s="30">
        <f>543</f>
        <v>543</v>
      </c>
      <c r="B548" s="31">
        <f>EDATE(入力!$B$6,A548-1)</f>
        <v>62732</v>
      </c>
      <c r="C548" s="32">
        <f t="shared" si="141"/>
        <v>0</v>
      </c>
      <c r="D548" s="32">
        <f t="shared" si="142"/>
        <v>0</v>
      </c>
      <c r="E548" s="33">
        <f>IF(AND(T547="",A548&lt;=S547),IF(A548&lt;入力!$B$11,入力!$B$10,入力!$B$12),0)</f>
        <v>0</v>
      </c>
      <c r="F548" s="32">
        <f t="shared" si="143"/>
        <v>0</v>
      </c>
      <c r="G548" s="32">
        <f>ROUND(IF(NOT(AND(T547="",A548&lt;=S547)),0,IF(A548=入力!$B$15+1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),0)</f>
        <v>0</v>
      </c>
      <c r="H548" s="32">
        <f t="shared" si="144"/>
        <v>0</v>
      </c>
      <c r="I548" s="32">
        <f t="shared" si="145"/>
        <v>0</v>
      </c>
      <c r="J548" s="32">
        <f t="shared" si="146"/>
        <v>0</v>
      </c>
      <c r="K548" s="32">
        <f t="shared" si="147"/>
        <v>0</v>
      </c>
      <c r="L548" s="32">
        <f t="shared" si="148"/>
        <v>0</v>
      </c>
      <c r="M548" s="32">
        <f>IF(AND(AND(T547="",A548&lt;=S547),A548=入力!$B$15),ROUND(MIN(入力!$B$16,MAX(0,C548-L548)),0),0)</f>
        <v>0</v>
      </c>
      <c r="N548" s="32">
        <f t="shared" si="149"/>
        <v>0</v>
      </c>
      <c r="O548" s="32">
        <f t="shared" si="150"/>
        <v>12386706</v>
      </c>
      <c r="P548" s="34" t="str">
        <f>IF(NOT(AND(T547="",A548&lt;=S547)),"",IF(A548=入力!$B$15+1,"繰上返済後再計算","")&amp;IF(AND(入力!$B$13="有効",A548&gt;1,MOD(A548-1,60)=0),IF(A548=入力!$B$15+1,"・","")&amp;"5年見直し","")&amp;IF(AND(A548=入力!$B$11,A548&gt;1),IF(OR(A548=入力!$B$15+1,AND(入力!$B$13="有効",A548&gt;1,MOD(A548-1,60)=0)),"・","")&amp;"金利変更","")&amp;IF(AND(OR(AND(入力!$B$13="有効",A548&gt;1,MOD(A548-1,60)=0),AND(A548=入力!$B$11,A548&gt;1)),入力!$B$14="有効",IF(E548=0,ROUND(C548/MAX(1,S547-A548+1),0),ROUND(-PMT(E548/12,MAX(1,S547-A548+1),C548),0))&gt;ROUND(G547*1.25,0),NOT(A548=入力!$B$15+1)),"・上限適用",""))</f>
        <v/>
      </c>
      <c r="Q548" s="35" t="str">
        <f>IF(AND(T547="",A548&lt;=S547),入力!$B$13,"")</f>
        <v/>
      </c>
      <c r="R548" s="32" t="str">
        <f>IF(AND(AND(T547="",A548&lt;=S547),OR(AND(入力!$B$13="有効",A548&gt;1,MOD(A548-1,60)=0),AND(A548=入力!$B$11,A548&gt;1)),入力!$B$14="有効"),ROUND(G547*1.25,0),"")</f>
        <v/>
      </c>
      <c r="S548" s="36">
        <f t="shared" si="151"/>
        <v>420</v>
      </c>
      <c r="T548" s="35" t="str">
        <f t="shared" si="152"/>
        <v/>
      </c>
      <c r="U548" s="3">
        <f t="shared" si="136"/>
        <v>0</v>
      </c>
      <c r="V548" s="3">
        <f t="shared" si="137"/>
        <v>0</v>
      </c>
      <c r="W548" s="3">
        <f t="shared" si="138"/>
        <v>0</v>
      </c>
      <c r="X548" s="3">
        <f t="shared" si="139"/>
        <v>0</v>
      </c>
      <c r="Y548" s="3">
        <f>0</f>
        <v>0</v>
      </c>
      <c r="Z548" s="3">
        <f t="shared" si="140"/>
        <v>0</v>
      </c>
      <c r="AA548">
        <f>ROUND(IF(A548=入力!$B$15+1,IF(E548=0,ROUND(C548/MAX(1,S547-A548+1),0),ROUND(-PMT(E548/12,MAX(1,S547-A548+1)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,0)</f>
        <v>0</v>
      </c>
    </row>
    <row r="549" spans="1:27">
      <c r="A549" s="30">
        <f>544</f>
        <v>544</v>
      </c>
      <c r="B549" s="31">
        <f>EDATE(入力!$B$6,A549-1)</f>
        <v>62763</v>
      </c>
      <c r="C549" s="32">
        <f t="shared" si="141"/>
        <v>0</v>
      </c>
      <c r="D549" s="32">
        <f t="shared" si="142"/>
        <v>0</v>
      </c>
      <c r="E549" s="33">
        <f>IF(AND(T548="",A549&lt;=S548),IF(A549&lt;入力!$B$11,入力!$B$10,入力!$B$12),0)</f>
        <v>0</v>
      </c>
      <c r="F549" s="32">
        <f t="shared" si="143"/>
        <v>0</v>
      </c>
      <c r="G549" s="32">
        <f>ROUND(IF(NOT(AND(T548="",A549&lt;=S548)),0,IF(A549=入力!$B$15+1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),0)</f>
        <v>0</v>
      </c>
      <c r="H549" s="32">
        <f t="shared" si="144"/>
        <v>0</v>
      </c>
      <c r="I549" s="32">
        <f t="shared" si="145"/>
        <v>0</v>
      </c>
      <c r="J549" s="32">
        <f t="shared" si="146"/>
        <v>0</v>
      </c>
      <c r="K549" s="32">
        <f t="shared" si="147"/>
        <v>0</v>
      </c>
      <c r="L549" s="32">
        <f t="shared" si="148"/>
        <v>0</v>
      </c>
      <c r="M549" s="32">
        <f>IF(AND(AND(T548="",A549&lt;=S548),A549=入力!$B$15),ROUND(MIN(入力!$B$16,MAX(0,C549-L549)),0),0)</f>
        <v>0</v>
      </c>
      <c r="N549" s="32">
        <f t="shared" si="149"/>
        <v>0</v>
      </c>
      <c r="O549" s="32">
        <f t="shared" si="150"/>
        <v>12386706</v>
      </c>
      <c r="P549" s="34" t="str">
        <f>IF(NOT(AND(T548="",A549&lt;=S548)),"",IF(A549=入力!$B$15+1,"繰上返済後再計算","")&amp;IF(AND(入力!$B$13="有効",A549&gt;1,MOD(A549-1,60)=0),IF(A549=入力!$B$15+1,"・","")&amp;"5年見直し","")&amp;IF(AND(A549=入力!$B$11,A549&gt;1),IF(OR(A549=入力!$B$15+1,AND(入力!$B$13="有効",A549&gt;1,MOD(A549-1,60)=0)),"・","")&amp;"金利変更","")&amp;IF(AND(OR(AND(入力!$B$13="有効",A549&gt;1,MOD(A549-1,60)=0),AND(A549=入力!$B$11,A549&gt;1)),入力!$B$14="有効",IF(E549=0,ROUND(C549/MAX(1,S548-A549+1),0),ROUND(-PMT(E549/12,MAX(1,S548-A549+1),C549),0))&gt;ROUND(G548*1.25,0),NOT(A549=入力!$B$15+1)),"・上限適用",""))</f>
        <v/>
      </c>
      <c r="Q549" s="35" t="str">
        <f>IF(AND(T548="",A549&lt;=S548),入力!$B$13,"")</f>
        <v/>
      </c>
      <c r="R549" s="32" t="str">
        <f>IF(AND(AND(T548="",A549&lt;=S548),OR(AND(入力!$B$13="有効",A549&gt;1,MOD(A549-1,60)=0),AND(A549=入力!$B$11,A549&gt;1)),入力!$B$14="有効"),ROUND(G548*1.25,0),"")</f>
        <v/>
      </c>
      <c r="S549" s="36">
        <f t="shared" si="151"/>
        <v>420</v>
      </c>
      <c r="T549" s="35" t="str">
        <f t="shared" si="152"/>
        <v/>
      </c>
      <c r="U549" s="3">
        <f t="shared" si="136"/>
        <v>0</v>
      </c>
      <c r="V549" s="3">
        <f t="shared" si="137"/>
        <v>0</v>
      </c>
      <c r="W549" s="3">
        <f t="shared" si="138"/>
        <v>0</v>
      </c>
      <c r="X549" s="3">
        <f t="shared" si="139"/>
        <v>0</v>
      </c>
      <c r="Y549" s="3">
        <f>0</f>
        <v>0</v>
      </c>
      <c r="Z549" s="3">
        <f t="shared" si="140"/>
        <v>0</v>
      </c>
      <c r="AA549">
        <f>ROUND(IF(A549=入力!$B$15+1,IF(E549=0,ROUND(C549/MAX(1,S548-A549+1),0),ROUND(-PMT(E549/12,MAX(1,S548-A549+1)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,0)</f>
        <v>0</v>
      </c>
    </row>
    <row r="550" spans="1:27">
      <c r="A550" s="30">
        <f>545</f>
        <v>545</v>
      </c>
      <c r="B550" s="31">
        <f>EDATE(入力!$B$6,A550-1)</f>
        <v>62793</v>
      </c>
      <c r="C550" s="32">
        <f t="shared" si="141"/>
        <v>0</v>
      </c>
      <c r="D550" s="32">
        <f t="shared" si="142"/>
        <v>0</v>
      </c>
      <c r="E550" s="33">
        <f>IF(AND(T549="",A550&lt;=S549),IF(A550&lt;入力!$B$11,入力!$B$10,入力!$B$12),0)</f>
        <v>0</v>
      </c>
      <c r="F550" s="32">
        <f t="shared" si="143"/>
        <v>0</v>
      </c>
      <c r="G550" s="32">
        <f>ROUND(IF(NOT(AND(T549="",A550&lt;=S549)),0,IF(A550=入力!$B$15+1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),0)</f>
        <v>0</v>
      </c>
      <c r="H550" s="32">
        <f t="shared" si="144"/>
        <v>0</v>
      </c>
      <c r="I550" s="32">
        <f t="shared" si="145"/>
        <v>0</v>
      </c>
      <c r="J550" s="32">
        <f t="shared" si="146"/>
        <v>0</v>
      </c>
      <c r="K550" s="32">
        <f t="shared" si="147"/>
        <v>0</v>
      </c>
      <c r="L550" s="32">
        <f t="shared" si="148"/>
        <v>0</v>
      </c>
      <c r="M550" s="32">
        <f>IF(AND(AND(T549="",A550&lt;=S549),A550=入力!$B$15),ROUND(MIN(入力!$B$16,MAX(0,C550-L550)),0),0)</f>
        <v>0</v>
      </c>
      <c r="N550" s="32">
        <f t="shared" si="149"/>
        <v>0</v>
      </c>
      <c r="O550" s="32">
        <f t="shared" si="150"/>
        <v>12386706</v>
      </c>
      <c r="P550" s="34" t="str">
        <f>IF(NOT(AND(T549="",A550&lt;=S549)),"",IF(A550=入力!$B$15+1,"繰上返済後再計算","")&amp;IF(AND(入力!$B$13="有効",A550&gt;1,MOD(A550-1,60)=0),IF(A550=入力!$B$15+1,"・","")&amp;"5年見直し","")&amp;IF(AND(A550=入力!$B$11,A550&gt;1),IF(OR(A550=入力!$B$15+1,AND(入力!$B$13="有効",A550&gt;1,MOD(A550-1,60)=0)),"・","")&amp;"金利変更","")&amp;IF(AND(OR(AND(入力!$B$13="有効",A550&gt;1,MOD(A550-1,60)=0),AND(A550=入力!$B$11,A550&gt;1)),入力!$B$14="有効",IF(E550=0,ROUND(C550/MAX(1,S549-A550+1),0),ROUND(-PMT(E550/12,MAX(1,S549-A550+1),C550),0))&gt;ROUND(G549*1.25,0),NOT(A550=入力!$B$15+1)),"・上限適用",""))</f>
        <v/>
      </c>
      <c r="Q550" s="35" t="str">
        <f>IF(AND(T549="",A550&lt;=S549),入力!$B$13,"")</f>
        <v/>
      </c>
      <c r="R550" s="32" t="str">
        <f>IF(AND(AND(T549="",A550&lt;=S549),OR(AND(入力!$B$13="有効",A550&gt;1,MOD(A550-1,60)=0),AND(A550=入力!$B$11,A550&gt;1)),入力!$B$14="有効"),ROUND(G549*1.25,0),"")</f>
        <v/>
      </c>
      <c r="S550" s="36">
        <f t="shared" si="151"/>
        <v>420</v>
      </c>
      <c r="T550" s="35" t="str">
        <f t="shared" si="152"/>
        <v/>
      </c>
      <c r="U550" s="3">
        <f t="shared" si="136"/>
        <v>0</v>
      </c>
      <c r="V550" s="3">
        <f t="shared" si="137"/>
        <v>0</v>
      </c>
      <c r="W550" s="3">
        <f t="shared" si="138"/>
        <v>0</v>
      </c>
      <c r="X550" s="3">
        <f t="shared" si="139"/>
        <v>0</v>
      </c>
      <c r="Y550" s="3">
        <f>0</f>
        <v>0</v>
      </c>
      <c r="Z550" s="3">
        <f t="shared" si="140"/>
        <v>0</v>
      </c>
      <c r="AA550">
        <f>ROUND(IF(A550=入力!$B$15+1,IF(E550=0,ROUND(C550/MAX(1,S549-A550+1),0),ROUND(-PMT(E550/12,MAX(1,S549-A550+1)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,0)</f>
        <v>0</v>
      </c>
    </row>
    <row r="551" spans="1:27">
      <c r="A551" s="30">
        <f>546</f>
        <v>546</v>
      </c>
      <c r="B551" s="31">
        <f>EDATE(入力!$B$6,A551-1)</f>
        <v>62824</v>
      </c>
      <c r="C551" s="32">
        <f t="shared" si="141"/>
        <v>0</v>
      </c>
      <c r="D551" s="32">
        <f t="shared" si="142"/>
        <v>0</v>
      </c>
      <c r="E551" s="33">
        <f>IF(AND(T550="",A551&lt;=S550),IF(A551&lt;入力!$B$11,入力!$B$10,入力!$B$12),0)</f>
        <v>0</v>
      </c>
      <c r="F551" s="32">
        <f t="shared" si="143"/>
        <v>0</v>
      </c>
      <c r="G551" s="32">
        <f>ROUND(IF(NOT(AND(T550="",A551&lt;=S550)),0,IF(A551=入力!$B$15+1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),0)</f>
        <v>0</v>
      </c>
      <c r="H551" s="32">
        <f t="shared" si="144"/>
        <v>0</v>
      </c>
      <c r="I551" s="32">
        <f t="shared" si="145"/>
        <v>0</v>
      </c>
      <c r="J551" s="32">
        <f t="shared" si="146"/>
        <v>0</v>
      </c>
      <c r="K551" s="32">
        <f t="shared" si="147"/>
        <v>0</v>
      </c>
      <c r="L551" s="32">
        <f t="shared" si="148"/>
        <v>0</v>
      </c>
      <c r="M551" s="32">
        <f>IF(AND(AND(T550="",A551&lt;=S550),A551=入力!$B$15),ROUND(MIN(入力!$B$16,MAX(0,C551-L551)),0),0)</f>
        <v>0</v>
      </c>
      <c r="N551" s="32">
        <f t="shared" si="149"/>
        <v>0</v>
      </c>
      <c r="O551" s="32">
        <f t="shared" si="150"/>
        <v>12386706</v>
      </c>
      <c r="P551" s="34" t="str">
        <f>IF(NOT(AND(T550="",A551&lt;=S550)),"",IF(A551=入力!$B$15+1,"繰上返済後再計算","")&amp;IF(AND(入力!$B$13="有効",A551&gt;1,MOD(A551-1,60)=0),IF(A551=入力!$B$15+1,"・","")&amp;"5年見直し","")&amp;IF(AND(A551=入力!$B$11,A551&gt;1),IF(OR(A551=入力!$B$15+1,AND(入力!$B$13="有効",A551&gt;1,MOD(A551-1,60)=0)),"・","")&amp;"金利変更","")&amp;IF(AND(OR(AND(入力!$B$13="有効",A551&gt;1,MOD(A551-1,60)=0),AND(A551=入力!$B$11,A551&gt;1)),入力!$B$14="有効",IF(E551=0,ROUND(C551/MAX(1,S550-A551+1),0),ROUND(-PMT(E551/12,MAX(1,S550-A551+1),C551),0))&gt;ROUND(G550*1.25,0),NOT(A551=入力!$B$15+1)),"・上限適用",""))</f>
        <v/>
      </c>
      <c r="Q551" s="35" t="str">
        <f>IF(AND(T550="",A551&lt;=S550),入力!$B$13,"")</f>
        <v/>
      </c>
      <c r="R551" s="32" t="str">
        <f>IF(AND(AND(T550="",A551&lt;=S550),OR(AND(入力!$B$13="有効",A551&gt;1,MOD(A551-1,60)=0),AND(A551=入力!$B$11,A551&gt;1)),入力!$B$14="有効"),ROUND(G550*1.25,0),"")</f>
        <v/>
      </c>
      <c r="S551" s="36">
        <f t="shared" si="151"/>
        <v>420</v>
      </c>
      <c r="T551" s="35" t="str">
        <f t="shared" si="152"/>
        <v/>
      </c>
      <c r="U551" s="3">
        <f t="shared" si="136"/>
        <v>0</v>
      </c>
      <c r="V551" s="3">
        <f t="shared" si="137"/>
        <v>0</v>
      </c>
      <c r="W551" s="3">
        <f t="shared" si="138"/>
        <v>0</v>
      </c>
      <c r="X551" s="3">
        <f t="shared" si="139"/>
        <v>0</v>
      </c>
      <c r="Y551" s="3">
        <f>0</f>
        <v>0</v>
      </c>
      <c r="Z551" s="3">
        <f t="shared" si="140"/>
        <v>0</v>
      </c>
      <c r="AA551">
        <f>ROUND(IF(A551=入力!$B$15+1,IF(E551=0,ROUND(C551/MAX(1,S550-A551+1),0),ROUND(-PMT(E551/12,MAX(1,S550-A551+1)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,0)</f>
        <v>0</v>
      </c>
    </row>
    <row r="552" spans="1:27">
      <c r="A552" s="30">
        <f>547</f>
        <v>547</v>
      </c>
      <c r="B552" s="31">
        <f>EDATE(入力!$B$6,A552-1)</f>
        <v>62855</v>
      </c>
      <c r="C552" s="32">
        <f t="shared" si="141"/>
        <v>0</v>
      </c>
      <c r="D552" s="32">
        <f t="shared" si="142"/>
        <v>0</v>
      </c>
      <c r="E552" s="33">
        <f>IF(AND(T551="",A552&lt;=S551),IF(A552&lt;入力!$B$11,入力!$B$10,入力!$B$12),0)</f>
        <v>0</v>
      </c>
      <c r="F552" s="32">
        <f t="shared" si="143"/>
        <v>0</v>
      </c>
      <c r="G552" s="32">
        <f>ROUND(IF(NOT(AND(T551="",A552&lt;=S551)),0,IF(A552=入力!$B$15+1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),0)</f>
        <v>0</v>
      </c>
      <c r="H552" s="32">
        <f t="shared" si="144"/>
        <v>0</v>
      </c>
      <c r="I552" s="32">
        <f t="shared" si="145"/>
        <v>0</v>
      </c>
      <c r="J552" s="32">
        <f t="shared" si="146"/>
        <v>0</v>
      </c>
      <c r="K552" s="32">
        <f t="shared" si="147"/>
        <v>0</v>
      </c>
      <c r="L552" s="32">
        <f t="shared" si="148"/>
        <v>0</v>
      </c>
      <c r="M552" s="32">
        <f>IF(AND(AND(T551="",A552&lt;=S551),A552=入力!$B$15),ROUND(MIN(入力!$B$16,MAX(0,C552-L552)),0),0)</f>
        <v>0</v>
      </c>
      <c r="N552" s="32">
        <f t="shared" si="149"/>
        <v>0</v>
      </c>
      <c r="O552" s="32">
        <f t="shared" si="150"/>
        <v>12386706</v>
      </c>
      <c r="P552" s="34" t="str">
        <f>IF(NOT(AND(T551="",A552&lt;=S551)),"",IF(A552=入力!$B$15+1,"繰上返済後再計算","")&amp;IF(AND(入力!$B$13="有効",A552&gt;1,MOD(A552-1,60)=0),IF(A552=入力!$B$15+1,"・","")&amp;"5年見直し","")&amp;IF(AND(A552=入力!$B$11,A552&gt;1),IF(OR(A552=入力!$B$15+1,AND(入力!$B$13="有効",A552&gt;1,MOD(A552-1,60)=0)),"・","")&amp;"金利変更","")&amp;IF(AND(OR(AND(入力!$B$13="有効",A552&gt;1,MOD(A552-1,60)=0),AND(A552=入力!$B$11,A552&gt;1)),入力!$B$14="有効",IF(E552=0,ROUND(C552/MAX(1,S551-A552+1),0),ROUND(-PMT(E552/12,MAX(1,S551-A552+1),C552),0))&gt;ROUND(G551*1.25,0),NOT(A552=入力!$B$15+1)),"・上限適用",""))</f>
        <v/>
      </c>
      <c r="Q552" s="35" t="str">
        <f>IF(AND(T551="",A552&lt;=S551),入力!$B$13,"")</f>
        <v/>
      </c>
      <c r="R552" s="32" t="str">
        <f>IF(AND(AND(T551="",A552&lt;=S551),OR(AND(入力!$B$13="有効",A552&gt;1,MOD(A552-1,60)=0),AND(A552=入力!$B$11,A552&gt;1)),入力!$B$14="有効"),ROUND(G551*1.25,0),"")</f>
        <v/>
      </c>
      <c r="S552" s="36">
        <f t="shared" si="151"/>
        <v>420</v>
      </c>
      <c r="T552" s="35" t="str">
        <f t="shared" si="152"/>
        <v/>
      </c>
      <c r="U552" s="3">
        <f t="shared" si="136"/>
        <v>0</v>
      </c>
      <c r="V552" s="3">
        <f t="shared" si="137"/>
        <v>0</v>
      </c>
      <c r="W552" s="3">
        <f t="shared" si="138"/>
        <v>0</v>
      </c>
      <c r="X552" s="3">
        <f t="shared" si="139"/>
        <v>0</v>
      </c>
      <c r="Y552" s="3">
        <f>0</f>
        <v>0</v>
      </c>
      <c r="Z552" s="3">
        <f t="shared" si="140"/>
        <v>0</v>
      </c>
      <c r="AA552">
        <f>ROUND(IF(A552=入力!$B$15+1,IF(E552=0,ROUND(C552/MAX(1,S551-A552+1),0),ROUND(-PMT(E552/12,MAX(1,S551-A552+1)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,0)</f>
        <v>0</v>
      </c>
    </row>
    <row r="553" spans="1:27">
      <c r="A553" s="30">
        <f>548</f>
        <v>548</v>
      </c>
      <c r="B553" s="31">
        <f>EDATE(入力!$B$6,A553-1)</f>
        <v>62884</v>
      </c>
      <c r="C553" s="32">
        <f t="shared" si="141"/>
        <v>0</v>
      </c>
      <c r="D553" s="32">
        <f t="shared" si="142"/>
        <v>0</v>
      </c>
      <c r="E553" s="33">
        <f>IF(AND(T552="",A553&lt;=S552),IF(A553&lt;入力!$B$11,入力!$B$10,入力!$B$12),0)</f>
        <v>0</v>
      </c>
      <c r="F553" s="32">
        <f t="shared" si="143"/>
        <v>0</v>
      </c>
      <c r="G553" s="32">
        <f>ROUND(IF(NOT(AND(T552="",A553&lt;=S552)),0,IF(A553=入力!$B$15+1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),0)</f>
        <v>0</v>
      </c>
      <c r="H553" s="32">
        <f t="shared" si="144"/>
        <v>0</v>
      </c>
      <c r="I553" s="32">
        <f t="shared" si="145"/>
        <v>0</v>
      </c>
      <c r="J553" s="32">
        <f t="shared" si="146"/>
        <v>0</v>
      </c>
      <c r="K553" s="32">
        <f t="shared" si="147"/>
        <v>0</v>
      </c>
      <c r="L553" s="32">
        <f t="shared" si="148"/>
        <v>0</v>
      </c>
      <c r="M553" s="32">
        <f>IF(AND(AND(T552="",A553&lt;=S552),A553=入力!$B$15),ROUND(MIN(入力!$B$16,MAX(0,C553-L553)),0),0)</f>
        <v>0</v>
      </c>
      <c r="N553" s="32">
        <f t="shared" si="149"/>
        <v>0</v>
      </c>
      <c r="O553" s="32">
        <f t="shared" si="150"/>
        <v>12386706</v>
      </c>
      <c r="P553" s="34" t="str">
        <f>IF(NOT(AND(T552="",A553&lt;=S552)),"",IF(A553=入力!$B$15+1,"繰上返済後再計算","")&amp;IF(AND(入力!$B$13="有効",A553&gt;1,MOD(A553-1,60)=0),IF(A553=入力!$B$15+1,"・","")&amp;"5年見直し","")&amp;IF(AND(A553=入力!$B$11,A553&gt;1),IF(OR(A553=入力!$B$15+1,AND(入力!$B$13="有効",A553&gt;1,MOD(A553-1,60)=0)),"・","")&amp;"金利変更","")&amp;IF(AND(OR(AND(入力!$B$13="有効",A553&gt;1,MOD(A553-1,60)=0),AND(A553=入力!$B$11,A553&gt;1)),入力!$B$14="有効",IF(E553=0,ROUND(C553/MAX(1,S552-A553+1),0),ROUND(-PMT(E553/12,MAX(1,S552-A553+1),C553),0))&gt;ROUND(G552*1.25,0),NOT(A553=入力!$B$15+1)),"・上限適用",""))</f>
        <v/>
      </c>
      <c r="Q553" s="35" t="str">
        <f>IF(AND(T552="",A553&lt;=S552),入力!$B$13,"")</f>
        <v/>
      </c>
      <c r="R553" s="32" t="str">
        <f>IF(AND(AND(T552="",A553&lt;=S552),OR(AND(入力!$B$13="有効",A553&gt;1,MOD(A553-1,60)=0),AND(A553=入力!$B$11,A553&gt;1)),入力!$B$14="有効"),ROUND(G552*1.25,0),"")</f>
        <v/>
      </c>
      <c r="S553" s="36">
        <f t="shared" si="151"/>
        <v>420</v>
      </c>
      <c r="T553" s="35" t="str">
        <f t="shared" si="152"/>
        <v/>
      </c>
      <c r="U553" s="3">
        <f t="shared" si="136"/>
        <v>0</v>
      </c>
      <c r="V553" s="3">
        <f t="shared" si="137"/>
        <v>0</v>
      </c>
      <c r="W553" s="3">
        <f t="shared" si="138"/>
        <v>0</v>
      </c>
      <c r="X553" s="3">
        <f t="shared" si="139"/>
        <v>0</v>
      </c>
      <c r="Y553" s="3">
        <f>0</f>
        <v>0</v>
      </c>
      <c r="Z553" s="3">
        <f t="shared" si="140"/>
        <v>0</v>
      </c>
      <c r="AA553">
        <f>ROUND(IF(A553=入力!$B$15+1,IF(E553=0,ROUND(C553/MAX(1,S552-A553+1),0),ROUND(-PMT(E553/12,MAX(1,S552-A553+1)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,0)</f>
        <v>0</v>
      </c>
    </row>
    <row r="554" spans="1:27">
      <c r="A554" s="30">
        <f>549</f>
        <v>549</v>
      </c>
      <c r="B554" s="31">
        <f>EDATE(入力!$B$6,A554-1)</f>
        <v>62915</v>
      </c>
      <c r="C554" s="32">
        <f t="shared" si="141"/>
        <v>0</v>
      </c>
      <c r="D554" s="32">
        <f t="shared" si="142"/>
        <v>0</v>
      </c>
      <c r="E554" s="33">
        <f>IF(AND(T553="",A554&lt;=S553),IF(A554&lt;入力!$B$11,入力!$B$10,入力!$B$12),0)</f>
        <v>0</v>
      </c>
      <c r="F554" s="32">
        <f t="shared" si="143"/>
        <v>0</v>
      </c>
      <c r="G554" s="32">
        <f>ROUND(IF(NOT(AND(T553="",A554&lt;=S553)),0,IF(A554=入力!$B$15+1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),0)</f>
        <v>0</v>
      </c>
      <c r="H554" s="32">
        <f t="shared" si="144"/>
        <v>0</v>
      </c>
      <c r="I554" s="32">
        <f t="shared" si="145"/>
        <v>0</v>
      </c>
      <c r="J554" s="32">
        <f t="shared" si="146"/>
        <v>0</v>
      </c>
      <c r="K554" s="32">
        <f t="shared" si="147"/>
        <v>0</v>
      </c>
      <c r="L554" s="32">
        <f t="shared" si="148"/>
        <v>0</v>
      </c>
      <c r="M554" s="32">
        <f>IF(AND(AND(T553="",A554&lt;=S553),A554=入力!$B$15),ROUND(MIN(入力!$B$16,MAX(0,C554-L554)),0),0)</f>
        <v>0</v>
      </c>
      <c r="N554" s="32">
        <f t="shared" si="149"/>
        <v>0</v>
      </c>
      <c r="O554" s="32">
        <f t="shared" si="150"/>
        <v>12386706</v>
      </c>
      <c r="P554" s="34" t="str">
        <f>IF(NOT(AND(T553="",A554&lt;=S553)),"",IF(A554=入力!$B$15+1,"繰上返済後再計算","")&amp;IF(AND(入力!$B$13="有効",A554&gt;1,MOD(A554-1,60)=0),IF(A554=入力!$B$15+1,"・","")&amp;"5年見直し","")&amp;IF(AND(A554=入力!$B$11,A554&gt;1),IF(OR(A554=入力!$B$15+1,AND(入力!$B$13="有効",A554&gt;1,MOD(A554-1,60)=0)),"・","")&amp;"金利変更","")&amp;IF(AND(OR(AND(入力!$B$13="有効",A554&gt;1,MOD(A554-1,60)=0),AND(A554=入力!$B$11,A554&gt;1)),入力!$B$14="有効",IF(E554=0,ROUND(C554/MAX(1,S553-A554+1),0),ROUND(-PMT(E554/12,MAX(1,S553-A554+1),C554),0))&gt;ROUND(G553*1.25,0),NOT(A554=入力!$B$15+1)),"・上限適用",""))</f>
        <v/>
      </c>
      <c r="Q554" s="35" t="str">
        <f>IF(AND(T553="",A554&lt;=S553),入力!$B$13,"")</f>
        <v/>
      </c>
      <c r="R554" s="32" t="str">
        <f>IF(AND(AND(T553="",A554&lt;=S553),OR(AND(入力!$B$13="有効",A554&gt;1,MOD(A554-1,60)=0),AND(A554=入力!$B$11,A554&gt;1)),入力!$B$14="有効"),ROUND(G553*1.25,0),"")</f>
        <v/>
      </c>
      <c r="S554" s="36">
        <f t="shared" si="151"/>
        <v>420</v>
      </c>
      <c r="T554" s="35" t="str">
        <f t="shared" si="152"/>
        <v/>
      </c>
      <c r="U554" s="3">
        <f t="shared" si="136"/>
        <v>0</v>
      </c>
      <c r="V554" s="3">
        <f t="shared" si="137"/>
        <v>0</v>
      </c>
      <c r="W554" s="3">
        <f t="shared" si="138"/>
        <v>0</v>
      </c>
      <c r="X554" s="3">
        <f t="shared" si="139"/>
        <v>0</v>
      </c>
      <c r="Y554" s="3">
        <f>0</f>
        <v>0</v>
      </c>
      <c r="Z554" s="3">
        <f t="shared" si="140"/>
        <v>0</v>
      </c>
      <c r="AA554">
        <f>ROUND(IF(A554=入力!$B$15+1,IF(E554=0,ROUND(C554/MAX(1,S553-A554+1),0),ROUND(-PMT(E554/12,MAX(1,S553-A554+1)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,0)</f>
        <v>0</v>
      </c>
    </row>
    <row r="555" spans="1:27">
      <c r="A555" s="30">
        <f>550</f>
        <v>550</v>
      </c>
      <c r="B555" s="31">
        <f>EDATE(入力!$B$6,A555-1)</f>
        <v>62945</v>
      </c>
      <c r="C555" s="32">
        <f t="shared" si="141"/>
        <v>0</v>
      </c>
      <c r="D555" s="32">
        <f t="shared" si="142"/>
        <v>0</v>
      </c>
      <c r="E555" s="33">
        <f>IF(AND(T554="",A555&lt;=S554),IF(A555&lt;入力!$B$11,入力!$B$10,入力!$B$12),0)</f>
        <v>0</v>
      </c>
      <c r="F555" s="32">
        <f t="shared" si="143"/>
        <v>0</v>
      </c>
      <c r="G555" s="32">
        <f>ROUND(IF(NOT(AND(T554="",A555&lt;=S554)),0,IF(A555=入力!$B$15+1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),0)</f>
        <v>0</v>
      </c>
      <c r="H555" s="32">
        <f t="shared" si="144"/>
        <v>0</v>
      </c>
      <c r="I555" s="32">
        <f t="shared" si="145"/>
        <v>0</v>
      </c>
      <c r="J555" s="32">
        <f t="shared" si="146"/>
        <v>0</v>
      </c>
      <c r="K555" s="32">
        <f t="shared" si="147"/>
        <v>0</v>
      </c>
      <c r="L555" s="32">
        <f t="shared" si="148"/>
        <v>0</v>
      </c>
      <c r="M555" s="32">
        <f>IF(AND(AND(T554="",A555&lt;=S554),A555=入力!$B$15),ROUND(MIN(入力!$B$16,MAX(0,C555-L555)),0),0)</f>
        <v>0</v>
      </c>
      <c r="N555" s="32">
        <f t="shared" si="149"/>
        <v>0</v>
      </c>
      <c r="O555" s="32">
        <f t="shared" si="150"/>
        <v>12386706</v>
      </c>
      <c r="P555" s="34" t="str">
        <f>IF(NOT(AND(T554="",A555&lt;=S554)),"",IF(A555=入力!$B$15+1,"繰上返済後再計算","")&amp;IF(AND(入力!$B$13="有効",A555&gt;1,MOD(A555-1,60)=0),IF(A555=入力!$B$15+1,"・","")&amp;"5年見直し","")&amp;IF(AND(A555=入力!$B$11,A555&gt;1),IF(OR(A555=入力!$B$15+1,AND(入力!$B$13="有効",A555&gt;1,MOD(A555-1,60)=0)),"・","")&amp;"金利変更","")&amp;IF(AND(OR(AND(入力!$B$13="有効",A555&gt;1,MOD(A555-1,60)=0),AND(A555=入力!$B$11,A555&gt;1)),入力!$B$14="有効",IF(E555=0,ROUND(C555/MAX(1,S554-A555+1),0),ROUND(-PMT(E555/12,MAX(1,S554-A555+1),C555),0))&gt;ROUND(G554*1.25,0),NOT(A555=入力!$B$15+1)),"・上限適用",""))</f>
        <v/>
      </c>
      <c r="Q555" s="35" t="str">
        <f>IF(AND(T554="",A555&lt;=S554),入力!$B$13,"")</f>
        <v/>
      </c>
      <c r="R555" s="32" t="str">
        <f>IF(AND(AND(T554="",A555&lt;=S554),OR(AND(入力!$B$13="有効",A555&gt;1,MOD(A555-1,60)=0),AND(A555=入力!$B$11,A555&gt;1)),入力!$B$14="有効"),ROUND(G554*1.25,0),"")</f>
        <v/>
      </c>
      <c r="S555" s="36">
        <f t="shared" si="151"/>
        <v>420</v>
      </c>
      <c r="T555" s="35" t="str">
        <f t="shared" si="152"/>
        <v/>
      </c>
      <c r="U555" s="3">
        <f t="shared" si="136"/>
        <v>0</v>
      </c>
      <c r="V555" s="3">
        <f t="shared" si="137"/>
        <v>0</v>
      </c>
      <c r="W555" s="3">
        <f t="shared" si="138"/>
        <v>0</v>
      </c>
      <c r="X555" s="3">
        <f t="shared" si="139"/>
        <v>0</v>
      </c>
      <c r="Y555" s="3">
        <f>0</f>
        <v>0</v>
      </c>
      <c r="Z555" s="3">
        <f t="shared" si="140"/>
        <v>0</v>
      </c>
      <c r="AA555">
        <f>ROUND(IF(A555=入力!$B$15+1,IF(E555=0,ROUND(C555/MAX(1,S554-A555+1),0),ROUND(-PMT(E555/12,MAX(1,S554-A555+1)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,0)</f>
        <v>0</v>
      </c>
    </row>
    <row r="556" spans="1:27">
      <c r="A556" s="30">
        <f>551</f>
        <v>551</v>
      </c>
      <c r="B556" s="31">
        <f>EDATE(入力!$B$6,A556-1)</f>
        <v>62976</v>
      </c>
      <c r="C556" s="32">
        <f t="shared" si="141"/>
        <v>0</v>
      </c>
      <c r="D556" s="32">
        <f t="shared" si="142"/>
        <v>0</v>
      </c>
      <c r="E556" s="33">
        <f>IF(AND(T555="",A556&lt;=S555),IF(A556&lt;入力!$B$11,入力!$B$10,入力!$B$12),0)</f>
        <v>0</v>
      </c>
      <c r="F556" s="32">
        <f t="shared" si="143"/>
        <v>0</v>
      </c>
      <c r="G556" s="32">
        <f>ROUND(IF(NOT(AND(T555="",A556&lt;=S555)),0,IF(A556=入力!$B$15+1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),0)</f>
        <v>0</v>
      </c>
      <c r="H556" s="32">
        <f t="shared" si="144"/>
        <v>0</v>
      </c>
      <c r="I556" s="32">
        <f t="shared" si="145"/>
        <v>0</v>
      </c>
      <c r="J556" s="32">
        <f t="shared" si="146"/>
        <v>0</v>
      </c>
      <c r="K556" s="32">
        <f t="shared" si="147"/>
        <v>0</v>
      </c>
      <c r="L556" s="32">
        <f t="shared" si="148"/>
        <v>0</v>
      </c>
      <c r="M556" s="32">
        <f>IF(AND(AND(T555="",A556&lt;=S555),A556=入力!$B$15),ROUND(MIN(入力!$B$16,MAX(0,C556-L556)),0),0)</f>
        <v>0</v>
      </c>
      <c r="N556" s="32">
        <f t="shared" si="149"/>
        <v>0</v>
      </c>
      <c r="O556" s="32">
        <f t="shared" si="150"/>
        <v>12386706</v>
      </c>
      <c r="P556" s="34" t="str">
        <f>IF(NOT(AND(T555="",A556&lt;=S555)),"",IF(A556=入力!$B$15+1,"繰上返済後再計算","")&amp;IF(AND(入力!$B$13="有効",A556&gt;1,MOD(A556-1,60)=0),IF(A556=入力!$B$15+1,"・","")&amp;"5年見直し","")&amp;IF(AND(A556=入力!$B$11,A556&gt;1),IF(OR(A556=入力!$B$15+1,AND(入力!$B$13="有効",A556&gt;1,MOD(A556-1,60)=0)),"・","")&amp;"金利変更","")&amp;IF(AND(OR(AND(入力!$B$13="有効",A556&gt;1,MOD(A556-1,60)=0),AND(A556=入力!$B$11,A556&gt;1)),入力!$B$14="有効",IF(E556=0,ROUND(C556/MAX(1,S555-A556+1),0),ROUND(-PMT(E556/12,MAX(1,S555-A556+1),C556),0))&gt;ROUND(G555*1.25,0),NOT(A556=入力!$B$15+1)),"・上限適用",""))</f>
        <v/>
      </c>
      <c r="Q556" s="35" t="str">
        <f>IF(AND(T555="",A556&lt;=S555),入力!$B$13,"")</f>
        <v/>
      </c>
      <c r="R556" s="32" t="str">
        <f>IF(AND(AND(T555="",A556&lt;=S555),OR(AND(入力!$B$13="有効",A556&gt;1,MOD(A556-1,60)=0),AND(A556=入力!$B$11,A556&gt;1)),入力!$B$14="有効"),ROUND(G555*1.25,0),"")</f>
        <v/>
      </c>
      <c r="S556" s="36">
        <f t="shared" si="151"/>
        <v>420</v>
      </c>
      <c r="T556" s="35" t="str">
        <f t="shared" si="152"/>
        <v/>
      </c>
      <c r="U556" s="3">
        <f t="shared" si="136"/>
        <v>0</v>
      </c>
      <c r="V556" s="3">
        <f t="shared" si="137"/>
        <v>0</v>
      </c>
      <c r="W556" s="3">
        <f t="shared" si="138"/>
        <v>0</v>
      </c>
      <c r="X556" s="3">
        <f t="shared" si="139"/>
        <v>0</v>
      </c>
      <c r="Y556" s="3">
        <f>0</f>
        <v>0</v>
      </c>
      <c r="Z556" s="3">
        <f t="shared" si="140"/>
        <v>0</v>
      </c>
      <c r="AA556">
        <f>ROUND(IF(A556=入力!$B$15+1,IF(E556=0,ROUND(C556/MAX(1,S555-A556+1),0),ROUND(-PMT(E556/12,MAX(1,S555-A556+1)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,0)</f>
        <v>0</v>
      </c>
    </row>
    <row r="557" spans="1:27">
      <c r="A557" s="30">
        <f>552</f>
        <v>552</v>
      </c>
      <c r="B557" s="31">
        <f>EDATE(入力!$B$6,A557-1)</f>
        <v>63006</v>
      </c>
      <c r="C557" s="32">
        <f t="shared" si="141"/>
        <v>0</v>
      </c>
      <c r="D557" s="32">
        <f t="shared" si="142"/>
        <v>0</v>
      </c>
      <c r="E557" s="33">
        <f>IF(AND(T556="",A557&lt;=S556),IF(A557&lt;入力!$B$11,入力!$B$10,入力!$B$12),0)</f>
        <v>0</v>
      </c>
      <c r="F557" s="32">
        <f t="shared" si="143"/>
        <v>0</v>
      </c>
      <c r="G557" s="32">
        <f>ROUND(IF(NOT(AND(T556="",A557&lt;=S556)),0,IF(A557=入力!$B$15+1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),0)</f>
        <v>0</v>
      </c>
      <c r="H557" s="32">
        <f t="shared" si="144"/>
        <v>0</v>
      </c>
      <c r="I557" s="32">
        <f t="shared" si="145"/>
        <v>0</v>
      </c>
      <c r="J557" s="32">
        <f t="shared" si="146"/>
        <v>0</v>
      </c>
      <c r="K557" s="32">
        <f t="shared" si="147"/>
        <v>0</v>
      </c>
      <c r="L557" s="32">
        <f t="shared" si="148"/>
        <v>0</v>
      </c>
      <c r="M557" s="32">
        <f>IF(AND(AND(T556="",A557&lt;=S556),A557=入力!$B$15),ROUND(MIN(入力!$B$16,MAX(0,C557-L557)),0),0)</f>
        <v>0</v>
      </c>
      <c r="N557" s="32">
        <f t="shared" si="149"/>
        <v>0</v>
      </c>
      <c r="O557" s="32">
        <f t="shared" si="150"/>
        <v>12386706</v>
      </c>
      <c r="P557" s="34" t="str">
        <f>IF(NOT(AND(T556="",A557&lt;=S556)),"",IF(A557=入力!$B$15+1,"繰上返済後再計算","")&amp;IF(AND(入力!$B$13="有効",A557&gt;1,MOD(A557-1,60)=0),IF(A557=入力!$B$15+1,"・","")&amp;"5年見直し","")&amp;IF(AND(A557=入力!$B$11,A557&gt;1),IF(OR(A557=入力!$B$15+1,AND(入力!$B$13="有効",A557&gt;1,MOD(A557-1,60)=0)),"・","")&amp;"金利変更","")&amp;IF(AND(OR(AND(入力!$B$13="有効",A557&gt;1,MOD(A557-1,60)=0),AND(A557=入力!$B$11,A557&gt;1)),入力!$B$14="有効",IF(E557=0,ROUND(C557/MAX(1,S556-A557+1),0),ROUND(-PMT(E557/12,MAX(1,S556-A557+1),C557),0))&gt;ROUND(G556*1.25,0),NOT(A557=入力!$B$15+1)),"・上限適用",""))</f>
        <v/>
      </c>
      <c r="Q557" s="35" t="str">
        <f>IF(AND(T556="",A557&lt;=S556),入力!$B$13,"")</f>
        <v/>
      </c>
      <c r="R557" s="32" t="str">
        <f>IF(AND(AND(T556="",A557&lt;=S556),OR(AND(入力!$B$13="有効",A557&gt;1,MOD(A557-1,60)=0),AND(A557=入力!$B$11,A557&gt;1)),入力!$B$14="有効"),ROUND(G556*1.25,0),"")</f>
        <v/>
      </c>
      <c r="S557" s="36">
        <f t="shared" si="151"/>
        <v>420</v>
      </c>
      <c r="T557" s="35" t="str">
        <f t="shared" si="152"/>
        <v/>
      </c>
      <c r="U557" s="3">
        <f t="shared" si="136"/>
        <v>0</v>
      </c>
      <c r="V557" s="3">
        <f t="shared" si="137"/>
        <v>0</v>
      </c>
      <c r="W557" s="3">
        <f t="shared" si="138"/>
        <v>0</v>
      </c>
      <c r="X557" s="3">
        <f t="shared" si="139"/>
        <v>0</v>
      </c>
      <c r="Y557" s="3">
        <f>0</f>
        <v>0</v>
      </c>
      <c r="Z557" s="3">
        <f t="shared" si="140"/>
        <v>0</v>
      </c>
      <c r="AA557">
        <f>ROUND(IF(A557=入力!$B$15+1,IF(E557=0,ROUND(C557/MAX(1,S556-A557+1),0),ROUND(-PMT(E557/12,MAX(1,S556-A557+1)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,0)</f>
        <v>0</v>
      </c>
    </row>
    <row r="558" spans="1:27">
      <c r="A558" s="30">
        <f>553</f>
        <v>553</v>
      </c>
      <c r="B558" s="31">
        <f>EDATE(入力!$B$6,A558-1)</f>
        <v>63037</v>
      </c>
      <c r="C558" s="32">
        <f t="shared" si="141"/>
        <v>0</v>
      </c>
      <c r="D558" s="32">
        <f t="shared" si="142"/>
        <v>0</v>
      </c>
      <c r="E558" s="33">
        <f>IF(AND(T557="",A558&lt;=S557),IF(A558&lt;入力!$B$11,入力!$B$10,入力!$B$12),0)</f>
        <v>0</v>
      </c>
      <c r="F558" s="32">
        <f t="shared" si="143"/>
        <v>0</v>
      </c>
      <c r="G558" s="32">
        <f>ROUND(IF(NOT(AND(T557="",A558&lt;=S557)),0,IF(A558=入力!$B$15+1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),0)</f>
        <v>0</v>
      </c>
      <c r="H558" s="32">
        <f t="shared" si="144"/>
        <v>0</v>
      </c>
      <c r="I558" s="32">
        <f t="shared" si="145"/>
        <v>0</v>
      </c>
      <c r="J558" s="32">
        <f t="shared" si="146"/>
        <v>0</v>
      </c>
      <c r="K558" s="32">
        <f t="shared" si="147"/>
        <v>0</v>
      </c>
      <c r="L558" s="32">
        <f t="shared" si="148"/>
        <v>0</v>
      </c>
      <c r="M558" s="32">
        <f>IF(AND(AND(T557="",A558&lt;=S557),A558=入力!$B$15),ROUND(MIN(入力!$B$16,MAX(0,C558-L558)),0),0)</f>
        <v>0</v>
      </c>
      <c r="N558" s="32">
        <f t="shared" si="149"/>
        <v>0</v>
      </c>
      <c r="O558" s="32">
        <f t="shared" si="150"/>
        <v>12386706</v>
      </c>
      <c r="P558" s="34" t="str">
        <f>IF(NOT(AND(T557="",A558&lt;=S557)),"",IF(A558=入力!$B$15+1,"繰上返済後再計算","")&amp;IF(AND(入力!$B$13="有効",A558&gt;1,MOD(A558-1,60)=0),IF(A558=入力!$B$15+1,"・","")&amp;"5年見直し","")&amp;IF(AND(A558=入力!$B$11,A558&gt;1),IF(OR(A558=入力!$B$15+1,AND(入力!$B$13="有効",A558&gt;1,MOD(A558-1,60)=0)),"・","")&amp;"金利変更","")&amp;IF(AND(OR(AND(入力!$B$13="有効",A558&gt;1,MOD(A558-1,60)=0),AND(A558=入力!$B$11,A558&gt;1)),入力!$B$14="有効",IF(E558=0,ROUND(C558/MAX(1,S557-A558+1),0),ROUND(-PMT(E558/12,MAX(1,S557-A558+1),C558),0))&gt;ROUND(G557*1.25,0),NOT(A558=入力!$B$15+1)),"・上限適用",""))</f>
        <v/>
      </c>
      <c r="Q558" s="35" t="str">
        <f>IF(AND(T557="",A558&lt;=S557),入力!$B$13,"")</f>
        <v/>
      </c>
      <c r="R558" s="32" t="str">
        <f>IF(AND(AND(T557="",A558&lt;=S557),OR(AND(入力!$B$13="有効",A558&gt;1,MOD(A558-1,60)=0),AND(A558=入力!$B$11,A558&gt;1)),入力!$B$14="有効"),ROUND(G557*1.25,0),"")</f>
        <v/>
      </c>
      <c r="S558" s="36">
        <f t="shared" si="151"/>
        <v>420</v>
      </c>
      <c r="T558" s="35" t="str">
        <f t="shared" si="152"/>
        <v/>
      </c>
      <c r="U558" s="3">
        <f t="shared" si="136"/>
        <v>0</v>
      </c>
      <c r="V558" s="3">
        <f t="shared" si="137"/>
        <v>0</v>
      </c>
      <c r="W558" s="3">
        <f t="shared" si="138"/>
        <v>0</v>
      </c>
      <c r="X558" s="3">
        <f t="shared" si="139"/>
        <v>0</v>
      </c>
      <c r="Y558" s="3">
        <f>0</f>
        <v>0</v>
      </c>
      <c r="Z558" s="3">
        <f t="shared" si="140"/>
        <v>0</v>
      </c>
      <c r="AA558">
        <f>ROUND(IF(A558=入力!$B$15+1,IF(E558=0,ROUND(C558/MAX(1,S557-A558+1),0),ROUND(-PMT(E558/12,MAX(1,S557-A558+1)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,0)</f>
        <v>0</v>
      </c>
    </row>
    <row r="559" spans="1:27">
      <c r="A559" s="30">
        <f>554</f>
        <v>554</v>
      </c>
      <c r="B559" s="31">
        <f>EDATE(入力!$B$6,A559-1)</f>
        <v>63068</v>
      </c>
      <c r="C559" s="32">
        <f t="shared" si="141"/>
        <v>0</v>
      </c>
      <c r="D559" s="32">
        <f t="shared" si="142"/>
        <v>0</v>
      </c>
      <c r="E559" s="33">
        <f>IF(AND(T558="",A559&lt;=S558),IF(A559&lt;入力!$B$11,入力!$B$10,入力!$B$12),0)</f>
        <v>0</v>
      </c>
      <c r="F559" s="32">
        <f t="shared" si="143"/>
        <v>0</v>
      </c>
      <c r="G559" s="32">
        <f>ROUND(IF(NOT(AND(T558="",A559&lt;=S558)),0,IF(A559=入力!$B$15+1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),0)</f>
        <v>0</v>
      </c>
      <c r="H559" s="32">
        <f t="shared" si="144"/>
        <v>0</v>
      </c>
      <c r="I559" s="32">
        <f t="shared" si="145"/>
        <v>0</v>
      </c>
      <c r="J559" s="32">
        <f t="shared" si="146"/>
        <v>0</v>
      </c>
      <c r="K559" s="32">
        <f t="shared" si="147"/>
        <v>0</v>
      </c>
      <c r="L559" s="32">
        <f t="shared" si="148"/>
        <v>0</v>
      </c>
      <c r="M559" s="32">
        <f>IF(AND(AND(T558="",A559&lt;=S558),A559=入力!$B$15),ROUND(MIN(入力!$B$16,MAX(0,C559-L559)),0),0)</f>
        <v>0</v>
      </c>
      <c r="N559" s="32">
        <f t="shared" si="149"/>
        <v>0</v>
      </c>
      <c r="O559" s="32">
        <f t="shared" si="150"/>
        <v>12386706</v>
      </c>
      <c r="P559" s="34" t="str">
        <f>IF(NOT(AND(T558="",A559&lt;=S558)),"",IF(A559=入力!$B$15+1,"繰上返済後再計算","")&amp;IF(AND(入力!$B$13="有効",A559&gt;1,MOD(A559-1,60)=0),IF(A559=入力!$B$15+1,"・","")&amp;"5年見直し","")&amp;IF(AND(A559=入力!$B$11,A559&gt;1),IF(OR(A559=入力!$B$15+1,AND(入力!$B$13="有効",A559&gt;1,MOD(A559-1,60)=0)),"・","")&amp;"金利変更","")&amp;IF(AND(OR(AND(入力!$B$13="有効",A559&gt;1,MOD(A559-1,60)=0),AND(A559=入力!$B$11,A559&gt;1)),入力!$B$14="有効",IF(E559=0,ROUND(C559/MAX(1,S558-A559+1),0),ROUND(-PMT(E559/12,MAX(1,S558-A559+1),C559),0))&gt;ROUND(G558*1.25,0),NOT(A559=入力!$B$15+1)),"・上限適用",""))</f>
        <v/>
      </c>
      <c r="Q559" s="35" t="str">
        <f>IF(AND(T558="",A559&lt;=S558),入力!$B$13,"")</f>
        <v/>
      </c>
      <c r="R559" s="32" t="str">
        <f>IF(AND(AND(T558="",A559&lt;=S558),OR(AND(入力!$B$13="有効",A559&gt;1,MOD(A559-1,60)=0),AND(A559=入力!$B$11,A559&gt;1)),入力!$B$14="有効"),ROUND(G558*1.25,0),"")</f>
        <v/>
      </c>
      <c r="S559" s="36">
        <f t="shared" si="151"/>
        <v>420</v>
      </c>
      <c r="T559" s="35" t="str">
        <f t="shared" si="152"/>
        <v/>
      </c>
      <c r="U559" s="3">
        <f t="shared" si="136"/>
        <v>0</v>
      </c>
      <c r="V559" s="3">
        <f t="shared" si="137"/>
        <v>0</v>
      </c>
      <c r="W559" s="3">
        <f t="shared" si="138"/>
        <v>0</v>
      </c>
      <c r="X559" s="3">
        <f t="shared" si="139"/>
        <v>0</v>
      </c>
      <c r="Y559" s="3">
        <f>0</f>
        <v>0</v>
      </c>
      <c r="Z559" s="3">
        <f t="shared" si="140"/>
        <v>0</v>
      </c>
      <c r="AA559">
        <f>ROUND(IF(A559=入力!$B$15+1,IF(E559=0,ROUND(C559/MAX(1,S558-A559+1),0),ROUND(-PMT(E559/12,MAX(1,S558-A559+1)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,0)</f>
        <v>0</v>
      </c>
    </row>
    <row r="560" spans="1:27">
      <c r="A560" s="30">
        <f>555</f>
        <v>555</v>
      </c>
      <c r="B560" s="31">
        <f>EDATE(入力!$B$6,A560-1)</f>
        <v>63098</v>
      </c>
      <c r="C560" s="32">
        <f t="shared" si="141"/>
        <v>0</v>
      </c>
      <c r="D560" s="32">
        <f t="shared" si="142"/>
        <v>0</v>
      </c>
      <c r="E560" s="33">
        <f>IF(AND(T559="",A560&lt;=S559),IF(A560&lt;入力!$B$11,入力!$B$10,入力!$B$12),0)</f>
        <v>0</v>
      </c>
      <c r="F560" s="32">
        <f t="shared" si="143"/>
        <v>0</v>
      </c>
      <c r="G560" s="32">
        <f>ROUND(IF(NOT(AND(T559="",A560&lt;=S559)),0,IF(A560=入力!$B$15+1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),0)</f>
        <v>0</v>
      </c>
      <c r="H560" s="32">
        <f t="shared" si="144"/>
        <v>0</v>
      </c>
      <c r="I560" s="32">
        <f t="shared" si="145"/>
        <v>0</v>
      </c>
      <c r="J560" s="32">
        <f t="shared" si="146"/>
        <v>0</v>
      </c>
      <c r="K560" s="32">
        <f t="shared" si="147"/>
        <v>0</v>
      </c>
      <c r="L560" s="32">
        <f t="shared" si="148"/>
        <v>0</v>
      </c>
      <c r="M560" s="32">
        <f>IF(AND(AND(T559="",A560&lt;=S559),A560=入力!$B$15),ROUND(MIN(入力!$B$16,MAX(0,C560-L560)),0),0)</f>
        <v>0</v>
      </c>
      <c r="N560" s="32">
        <f t="shared" si="149"/>
        <v>0</v>
      </c>
      <c r="O560" s="32">
        <f t="shared" si="150"/>
        <v>12386706</v>
      </c>
      <c r="P560" s="34" t="str">
        <f>IF(NOT(AND(T559="",A560&lt;=S559)),"",IF(A560=入力!$B$15+1,"繰上返済後再計算","")&amp;IF(AND(入力!$B$13="有効",A560&gt;1,MOD(A560-1,60)=0),IF(A560=入力!$B$15+1,"・","")&amp;"5年見直し","")&amp;IF(AND(A560=入力!$B$11,A560&gt;1),IF(OR(A560=入力!$B$15+1,AND(入力!$B$13="有効",A560&gt;1,MOD(A560-1,60)=0)),"・","")&amp;"金利変更","")&amp;IF(AND(OR(AND(入力!$B$13="有効",A560&gt;1,MOD(A560-1,60)=0),AND(A560=入力!$B$11,A560&gt;1)),入力!$B$14="有効",IF(E560=0,ROUND(C560/MAX(1,S559-A560+1),0),ROUND(-PMT(E560/12,MAX(1,S559-A560+1),C560),0))&gt;ROUND(G559*1.25,0),NOT(A560=入力!$B$15+1)),"・上限適用",""))</f>
        <v/>
      </c>
      <c r="Q560" s="35" t="str">
        <f>IF(AND(T559="",A560&lt;=S559),入力!$B$13,"")</f>
        <v/>
      </c>
      <c r="R560" s="32" t="str">
        <f>IF(AND(AND(T559="",A560&lt;=S559),OR(AND(入力!$B$13="有効",A560&gt;1,MOD(A560-1,60)=0),AND(A560=入力!$B$11,A560&gt;1)),入力!$B$14="有効"),ROUND(G559*1.25,0),"")</f>
        <v/>
      </c>
      <c r="S560" s="36">
        <f t="shared" si="151"/>
        <v>420</v>
      </c>
      <c r="T560" s="35" t="str">
        <f t="shared" si="152"/>
        <v/>
      </c>
      <c r="U560" s="3">
        <f t="shared" si="136"/>
        <v>0</v>
      </c>
      <c r="V560" s="3">
        <f t="shared" si="137"/>
        <v>0</v>
      </c>
      <c r="W560" s="3">
        <f t="shared" si="138"/>
        <v>0</v>
      </c>
      <c r="X560" s="3">
        <f t="shared" si="139"/>
        <v>0</v>
      </c>
      <c r="Y560" s="3">
        <f>0</f>
        <v>0</v>
      </c>
      <c r="Z560" s="3">
        <f t="shared" si="140"/>
        <v>0</v>
      </c>
      <c r="AA560">
        <f>ROUND(IF(A560=入力!$B$15+1,IF(E560=0,ROUND(C560/MAX(1,S559-A560+1),0),ROUND(-PMT(E560/12,MAX(1,S559-A560+1)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,0)</f>
        <v>0</v>
      </c>
    </row>
    <row r="561" spans="1:27">
      <c r="A561" s="30">
        <f>556</f>
        <v>556</v>
      </c>
      <c r="B561" s="31">
        <f>EDATE(入力!$B$6,A561-1)</f>
        <v>63129</v>
      </c>
      <c r="C561" s="32">
        <f t="shared" si="141"/>
        <v>0</v>
      </c>
      <c r="D561" s="32">
        <f t="shared" si="142"/>
        <v>0</v>
      </c>
      <c r="E561" s="33">
        <f>IF(AND(T560="",A561&lt;=S560),IF(A561&lt;入力!$B$11,入力!$B$10,入力!$B$12),0)</f>
        <v>0</v>
      </c>
      <c r="F561" s="32">
        <f t="shared" si="143"/>
        <v>0</v>
      </c>
      <c r="G561" s="32">
        <f>ROUND(IF(NOT(AND(T560="",A561&lt;=S560)),0,IF(A561=入力!$B$15+1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),0)</f>
        <v>0</v>
      </c>
      <c r="H561" s="32">
        <f t="shared" si="144"/>
        <v>0</v>
      </c>
      <c r="I561" s="32">
        <f t="shared" si="145"/>
        <v>0</v>
      </c>
      <c r="J561" s="32">
        <f t="shared" si="146"/>
        <v>0</v>
      </c>
      <c r="K561" s="32">
        <f t="shared" si="147"/>
        <v>0</v>
      </c>
      <c r="L561" s="32">
        <f t="shared" si="148"/>
        <v>0</v>
      </c>
      <c r="M561" s="32">
        <f>IF(AND(AND(T560="",A561&lt;=S560),A561=入力!$B$15),ROUND(MIN(入力!$B$16,MAX(0,C561-L561)),0),0)</f>
        <v>0</v>
      </c>
      <c r="N561" s="32">
        <f t="shared" si="149"/>
        <v>0</v>
      </c>
      <c r="O561" s="32">
        <f t="shared" si="150"/>
        <v>12386706</v>
      </c>
      <c r="P561" s="34" t="str">
        <f>IF(NOT(AND(T560="",A561&lt;=S560)),"",IF(A561=入力!$B$15+1,"繰上返済後再計算","")&amp;IF(AND(入力!$B$13="有効",A561&gt;1,MOD(A561-1,60)=0),IF(A561=入力!$B$15+1,"・","")&amp;"5年見直し","")&amp;IF(AND(A561=入力!$B$11,A561&gt;1),IF(OR(A561=入力!$B$15+1,AND(入力!$B$13="有効",A561&gt;1,MOD(A561-1,60)=0)),"・","")&amp;"金利変更","")&amp;IF(AND(OR(AND(入力!$B$13="有効",A561&gt;1,MOD(A561-1,60)=0),AND(A561=入力!$B$11,A561&gt;1)),入力!$B$14="有効",IF(E561=0,ROUND(C561/MAX(1,S560-A561+1),0),ROUND(-PMT(E561/12,MAX(1,S560-A561+1),C561),0))&gt;ROUND(G560*1.25,0),NOT(A561=入力!$B$15+1)),"・上限適用",""))</f>
        <v/>
      </c>
      <c r="Q561" s="35" t="str">
        <f>IF(AND(T560="",A561&lt;=S560),入力!$B$13,"")</f>
        <v/>
      </c>
      <c r="R561" s="32" t="str">
        <f>IF(AND(AND(T560="",A561&lt;=S560),OR(AND(入力!$B$13="有効",A561&gt;1,MOD(A561-1,60)=0),AND(A561=入力!$B$11,A561&gt;1)),入力!$B$14="有効"),ROUND(G560*1.25,0),"")</f>
        <v/>
      </c>
      <c r="S561" s="36">
        <f t="shared" si="151"/>
        <v>420</v>
      </c>
      <c r="T561" s="35" t="str">
        <f t="shared" si="152"/>
        <v/>
      </c>
      <c r="U561" s="3">
        <f t="shared" si="136"/>
        <v>0</v>
      </c>
      <c r="V561" s="3">
        <f t="shared" si="137"/>
        <v>0</v>
      </c>
      <c r="W561" s="3">
        <f t="shared" si="138"/>
        <v>0</v>
      </c>
      <c r="X561" s="3">
        <f t="shared" si="139"/>
        <v>0</v>
      </c>
      <c r="Y561" s="3">
        <f>0</f>
        <v>0</v>
      </c>
      <c r="Z561" s="3">
        <f t="shared" si="140"/>
        <v>0</v>
      </c>
      <c r="AA561">
        <f>ROUND(IF(A561=入力!$B$15+1,IF(E561=0,ROUND(C561/MAX(1,S560-A561+1),0),ROUND(-PMT(E561/12,MAX(1,S560-A561+1)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,0)</f>
        <v>0</v>
      </c>
    </row>
    <row r="562" spans="1:27">
      <c r="A562" s="30">
        <f>557</f>
        <v>557</v>
      </c>
      <c r="B562" s="31">
        <f>EDATE(入力!$B$6,A562-1)</f>
        <v>63159</v>
      </c>
      <c r="C562" s="32">
        <f t="shared" si="141"/>
        <v>0</v>
      </c>
      <c r="D562" s="32">
        <f t="shared" si="142"/>
        <v>0</v>
      </c>
      <c r="E562" s="33">
        <f>IF(AND(T561="",A562&lt;=S561),IF(A562&lt;入力!$B$11,入力!$B$10,入力!$B$12),0)</f>
        <v>0</v>
      </c>
      <c r="F562" s="32">
        <f t="shared" si="143"/>
        <v>0</v>
      </c>
      <c r="G562" s="32">
        <f>ROUND(IF(NOT(AND(T561="",A562&lt;=S561)),0,IF(A562=入力!$B$15+1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),0)</f>
        <v>0</v>
      </c>
      <c r="H562" s="32">
        <f t="shared" si="144"/>
        <v>0</v>
      </c>
      <c r="I562" s="32">
        <f t="shared" si="145"/>
        <v>0</v>
      </c>
      <c r="J562" s="32">
        <f t="shared" si="146"/>
        <v>0</v>
      </c>
      <c r="K562" s="32">
        <f t="shared" si="147"/>
        <v>0</v>
      </c>
      <c r="L562" s="32">
        <f t="shared" si="148"/>
        <v>0</v>
      </c>
      <c r="M562" s="32">
        <f>IF(AND(AND(T561="",A562&lt;=S561),A562=入力!$B$15),ROUND(MIN(入力!$B$16,MAX(0,C562-L562)),0),0)</f>
        <v>0</v>
      </c>
      <c r="N562" s="32">
        <f t="shared" si="149"/>
        <v>0</v>
      </c>
      <c r="O562" s="32">
        <f t="shared" si="150"/>
        <v>12386706</v>
      </c>
      <c r="P562" s="34" t="str">
        <f>IF(NOT(AND(T561="",A562&lt;=S561)),"",IF(A562=入力!$B$15+1,"繰上返済後再計算","")&amp;IF(AND(入力!$B$13="有効",A562&gt;1,MOD(A562-1,60)=0),IF(A562=入力!$B$15+1,"・","")&amp;"5年見直し","")&amp;IF(AND(A562=入力!$B$11,A562&gt;1),IF(OR(A562=入力!$B$15+1,AND(入力!$B$13="有効",A562&gt;1,MOD(A562-1,60)=0)),"・","")&amp;"金利変更","")&amp;IF(AND(OR(AND(入力!$B$13="有効",A562&gt;1,MOD(A562-1,60)=0),AND(A562=入力!$B$11,A562&gt;1)),入力!$B$14="有効",IF(E562=0,ROUND(C562/MAX(1,S561-A562+1),0),ROUND(-PMT(E562/12,MAX(1,S561-A562+1),C562),0))&gt;ROUND(G561*1.25,0),NOT(A562=入力!$B$15+1)),"・上限適用",""))</f>
        <v/>
      </c>
      <c r="Q562" s="35" t="str">
        <f>IF(AND(T561="",A562&lt;=S561),入力!$B$13,"")</f>
        <v/>
      </c>
      <c r="R562" s="32" t="str">
        <f>IF(AND(AND(T561="",A562&lt;=S561),OR(AND(入力!$B$13="有効",A562&gt;1,MOD(A562-1,60)=0),AND(A562=入力!$B$11,A562&gt;1)),入力!$B$14="有効"),ROUND(G561*1.25,0),"")</f>
        <v/>
      </c>
      <c r="S562" s="36">
        <f t="shared" si="151"/>
        <v>420</v>
      </c>
      <c r="T562" s="35" t="str">
        <f t="shared" si="152"/>
        <v/>
      </c>
      <c r="U562" s="3">
        <f t="shared" si="136"/>
        <v>0</v>
      </c>
      <c r="V562" s="3">
        <f t="shared" si="137"/>
        <v>0</v>
      </c>
      <c r="W562" s="3">
        <f t="shared" si="138"/>
        <v>0</v>
      </c>
      <c r="X562" s="3">
        <f t="shared" si="139"/>
        <v>0</v>
      </c>
      <c r="Y562" s="3">
        <f>0</f>
        <v>0</v>
      </c>
      <c r="Z562" s="3">
        <f t="shared" si="140"/>
        <v>0</v>
      </c>
      <c r="AA562">
        <f>ROUND(IF(A562=入力!$B$15+1,IF(E562=0,ROUND(C562/MAX(1,S561-A562+1),0),ROUND(-PMT(E562/12,MAX(1,S561-A562+1)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,0)</f>
        <v>0</v>
      </c>
    </row>
    <row r="563" spans="1:27">
      <c r="A563" s="30">
        <f>558</f>
        <v>558</v>
      </c>
      <c r="B563" s="31">
        <f>EDATE(入力!$B$6,A563-1)</f>
        <v>63190</v>
      </c>
      <c r="C563" s="32">
        <f t="shared" si="141"/>
        <v>0</v>
      </c>
      <c r="D563" s="32">
        <f t="shared" si="142"/>
        <v>0</v>
      </c>
      <c r="E563" s="33">
        <f>IF(AND(T562="",A563&lt;=S562),IF(A563&lt;入力!$B$11,入力!$B$10,入力!$B$12),0)</f>
        <v>0</v>
      </c>
      <c r="F563" s="32">
        <f t="shared" si="143"/>
        <v>0</v>
      </c>
      <c r="G563" s="32">
        <f>ROUND(IF(NOT(AND(T562="",A563&lt;=S562)),0,IF(A563=入力!$B$15+1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),0)</f>
        <v>0</v>
      </c>
      <c r="H563" s="32">
        <f t="shared" si="144"/>
        <v>0</v>
      </c>
      <c r="I563" s="32">
        <f t="shared" si="145"/>
        <v>0</v>
      </c>
      <c r="J563" s="32">
        <f t="shared" si="146"/>
        <v>0</v>
      </c>
      <c r="K563" s="32">
        <f t="shared" si="147"/>
        <v>0</v>
      </c>
      <c r="L563" s="32">
        <f t="shared" si="148"/>
        <v>0</v>
      </c>
      <c r="M563" s="32">
        <f>IF(AND(AND(T562="",A563&lt;=S562),A563=入力!$B$15),ROUND(MIN(入力!$B$16,MAX(0,C563-L563)),0),0)</f>
        <v>0</v>
      </c>
      <c r="N563" s="32">
        <f t="shared" si="149"/>
        <v>0</v>
      </c>
      <c r="O563" s="32">
        <f t="shared" si="150"/>
        <v>12386706</v>
      </c>
      <c r="P563" s="34" t="str">
        <f>IF(NOT(AND(T562="",A563&lt;=S562)),"",IF(A563=入力!$B$15+1,"繰上返済後再計算","")&amp;IF(AND(入力!$B$13="有効",A563&gt;1,MOD(A563-1,60)=0),IF(A563=入力!$B$15+1,"・","")&amp;"5年見直し","")&amp;IF(AND(A563=入力!$B$11,A563&gt;1),IF(OR(A563=入力!$B$15+1,AND(入力!$B$13="有効",A563&gt;1,MOD(A563-1,60)=0)),"・","")&amp;"金利変更","")&amp;IF(AND(OR(AND(入力!$B$13="有効",A563&gt;1,MOD(A563-1,60)=0),AND(A563=入力!$B$11,A563&gt;1)),入力!$B$14="有効",IF(E563=0,ROUND(C563/MAX(1,S562-A563+1),0),ROUND(-PMT(E563/12,MAX(1,S562-A563+1),C563),0))&gt;ROUND(G562*1.25,0),NOT(A563=入力!$B$15+1)),"・上限適用",""))</f>
        <v/>
      </c>
      <c r="Q563" s="35" t="str">
        <f>IF(AND(T562="",A563&lt;=S562),入力!$B$13,"")</f>
        <v/>
      </c>
      <c r="R563" s="32" t="str">
        <f>IF(AND(AND(T562="",A563&lt;=S562),OR(AND(入力!$B$13="有効",A563&gt;1,MOD(A563-1,60)=0),AND(A563=入力!$B$11,A563&gt;1)),入力!$B$14="有効"),ROUND(G562*1.25,0),"")</f>
        <v/>
      </c>
      <c r="S563" s="36">
        <f t="shared" si="151"/>
        <v>420</v>
      </c>
      <c r="T563" s="35" t="str">
        <f t="shared" si="152"/>
        <v/>
      </c>
      <c r="U563" s="3">
        <f t="shared" si="136"/>
        <v>0</v>
      </c>
      <c r="V563" s="3">
        <f t="shared" si="137"/>
        <v>0</v>
      </c>
      <c r="W563" s="3">
        <f t="shared" si="138"/>
        <v>0</v>
      </c>
      <c r="X563" s="3">
        <f t="shared" si="139"/>
        <v>0</v>
      </c>
      <c r="Y563" s="3">
        <f>0</f>
        <v>0</v>
      </c>
      <c r="Z563" s="3">
        <f t="shared" si="140"/>
        <v>0</v>
      </c>
      <c r="AA563">
        <f>ROUND(IF(A563=入力!$B$15+1,IF(E563=0,ROUND(C563/MAX(1,S562-A563+1),0),ROUND(-PMT(E563/12,MAX(1,S562-A563+1)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,0)</f>
        <v>0</v>
      </c>
    </row>
    <row r="564" spans="1:27">
      <c r="A564" s="30">
        <f>559</f>
        <v>559</v>
      </c>
      <c r="B564" s="31">
        <f>EDATE(入力!$B$6,A564-1)</f>
        <v>63221</v>
      </c>
      <c r="C564" s="32">
        <f t="shared" si="141"/>
        <v>0</v>
      </c>
      <c r="D564" s="32">
        <f t="shared" si="142"/>
        <v>0</v>
      </c>
      <c r="E564" s="33">
        <f>IF(AND(T563="",A564&lt;=S563),IF(A564&lt;入力!$B$11,入力!$B$10,入力!$B$12),0)</f>
        <v>0</v>
      </c>
      <c r="F564" s="32">
        <f t="shared" si="143"/>
        <v>0</v>
      </c>
      <c r="G564" s="32">
        <f>ROUND(IF(NOT(AND(T563="",A564&lt;=S563)),0,IF(A564=入力!$B$15+1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),0)</f>
        <v>0</v>
      </c>
      <c r="H564" s="32">
        <f t="shared" si="144"/>
        <v>0</v>
      </c>
      <c r="I564" s="32">
        <f t="shared" si="145"/>
        <v>0</v>
      </c>
      <c r="J564" s="32">
        <f t="shared" si="146"/>
        <v>0</v>
      </c>
      <c r="K564" s="32">
        <f t="shared" si="147"/>
        <v>0</v>
      </c>
      <c r="L564" s="32">
        <f t="shared" si="148"/>
        <v>0</v>
      </c>
      <c r="M564" s="32">
        <f>IF(AND(AND(T563="",A564&lt;=S563),A564=入力!$B$15),ROUND(MIN(入力!$B$16,MAX(0,C564-L564)),0),0)</f>
        <v>0</v>
      </c>
      <c r="N564" s="32">
        <f t="shared" si="149"/>
        <v>0</v>
      </c>
      <c r="O564" s="32">
        <f t="shared" si="150"/>
        <v>12386706</v>
      </c>
      <c r="P564" s="34" t="str">
        <f>IF(NOT(AND(T563="",A564&lt;=S563)),"",IF(A564=入力!$B$15+1,"繰上返済後再計算","")&amp;IF(AND(入力!$B$13="有効",A564&gt;1,MOD(A564-1,60)=0),IF(A564=入力!$B$15+1,"・","")&amp;"5年見直し","")&amp;IF(AND(A564=入力!$B$11,A564&gt;1),IF(OR(A564=入力!$B$15+1,AND(入力!$B$13="有効",A564&gt;1,MOD(A564-1,60)=0)),"・","")&amp;"金利変更","")&amp;IF(AND(OR(AND(入力!$B$13="有効",A564&gt;1,MOD(A564-1,60)=0),AND(A564=入力!$B$11,A564&gt;1)),入力!$B$14="有効",IF(E564=0,ROUND(C564/MAX(1,S563-A564+1),0),ROUND(-PMT(E564/12,MAX(1,S563-A564+1),C564),0))&gt;ROUND(G563*1.25,0),NOT(A564=入力!$B$15+1)),"・上限適用",""))</f>
        <v/>
      </c>
      <c r="Q564" s="35" t="str">
        <f>IF(AND(T563="",A564&lt;=S563),入力!$B$13,"")</f>
        <v/>
      </c>
      <c r="R564" s="32" t="str">
        <f>IF(AND(AND(T563="",A564&lt;=S563),OR(AND(入力!$B$13="有効",A564&gt;1,MOD(A564-1,60)=0),AND(A564=入力!$B$11,A564&gt;1)),入力!$B$14="有効"),ROUND(G563*1.25,0),"")</f>
        <v/>
      </c>
      <c r="S564" s="36">
        <f t="shared" si="151"/>
        <v>420</v>
      </c>
      <c r="T564" s="35" t="str">
        <f t="shared" si="152"/>
        <v/>
      </c>
      <c r="U564" s="3">
        <f t="shared" si="136"/>
        <v>0</v>
      </c>
      <c r="V564" s="3">
        <f t="shared" si="137"/>
        <v>0</v>
      </c>
      <c r="W564" s="3">
        <f t="shared" si="138"/>
        <v>0</v>
      </c>
      <c r="X564" s="3">
        <f t="shared" si="139"/>
        <v>0</v>
      </c>
      <c r="Y564" s="3">
        <f>0</f>
        <v>0</v>
      </c>
      <c r="Z564" s="3">
        <f t="shared" si="140"/>
        <v>0</v>
      </c>
      <c r="AA564">
        <f>ROUND(IF(A564=入力!$B$15+1,IF(E564=0,ROUND(C564/MAX(1,S563-A564+1),0),ROUND(-PMT(E564/12,MAX(1,S563-A564+1)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,0)</f>
        <v>0</v>
      </c>
    </row>
    <row r="565" spans="1:27">
      <c r="A565" s="30">
        <f>560</f>
        <v>560</v>
      </c>
      <c r="B565" s="31">
        <f>EDATE(入力!$B$6,A565-1)</f>
        <v>63249</v>
      </c>
      <c r="C565" s="32">
        <f t="shared" si="141"/>
        <v>0</v>
      </c>
      <c r="D565" s="32">
        <f t="shared" si="142"/>
        <v>0</v>
      </c>
      <c r="E565" s="33">
        <f>IF(AND(T564="",A565&lt;=S564),IF(A565&lt;入力!$B$11,入力!$B$10,入力!$B$12),0)</f>
        <v>0</v>
      </c>
      <c r="F565" s="32">
        <f t="shared" si="143"/>
        <v>0</v>
      </c>
      <c r="G565" s="32">
        <f>ROUND(IF(NOT(AND(T564="",A565&lt;=S564)),0,IF(A565=入力!$B$15+1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),0)</f>
        <v>0</v>
      </c>
      <c r="H565" s="32">
        <f t="shared" si="144"/>
        <v>0</v>
      </c>
      <c r="I565" s="32">
        <f t="shared" si="145"/>
        <v>0</v>
      </c>
      <c r="J565" s="32">
        <f t="shared" si="146"/>
        <v>0</v>
      </c>
      <c r="K565" s="32">
        <f t="shared" si="147"/>
        <v>0</v>
      </c>
      <c r="L565" s="32">
        <f t="shared" si="148"/>
        <v>0</v>
      </c>
      <c r="M565" s="32">
        <f>IF(AND(AND(T564="",A565&lt;=S564),A565=入力!$B$15),ROUND(MIN(入力!$B$16,MAX(0,C565-L565)),0),0)</f>
        <v>0</v>
      </c>
      <c r="N565" s="32">
        <f t="shared" si="149"/>
        <v>0</v>
      </c>
      <c r="O565" s="32">
        <f t="shared" si="150"/>
        <v>12386706</v>
      </c>
      <c r="P565" s="34" t="str">
        <f>IF(NOT(AND(T564="",A565&lt;=S564)),"",IF(A565=入力!$B$15+1,"繰上返済後再計算","")&amp;IF(AND(入力!$B$13="有効",A565&gt;1,MOD(A565-1,60)=0),IF(A565=入力!$B$15+1,"・","")&amp;"5年見直し","")&amp;IF(AND(A565=入力!$B$11,A565&gt;1),IF(OR(A565=入力!$B$15+1,AND(入力!$B$13="有効",A565&gt;1,MOD(A565-1,60)=0)),"・","")&amp;"金利変更","")&amp;IF(AND(OR(AND(入力!$B$13="有効",A565&gt;1,MOD(A565-1,60)=0),AND(A565=入力!$B$11,A565&gt;1)),入力!$B$14="有効",IF(E565=0,ROUND(C565/MAX(1,S564-A565+1),0),ROUND(-PMT(E565/12,MAX(1,S564-A565+1),C565),0))&gt;ROUND(G564*1.25,0),NOT(A565=入力!$B$15+1)),"・上限適用",""))</f>
        <v/>
      </c>
      <c r="Q565" s="35" t="str">
        <f>IF(AND(T564="",A565&lt;=S564),入力!$B$13,"")</f>
        <v/>
      </c>
      <c r="R565" s="32" t="str">
        <f>IF(AND(AND(T564="",A565&lt;=S564),OR(AND(入力!$B$13="有効",A565&gt;1,MOD(A565-1,60)=0),AND(A565=入力!$B$11,A565&gt;1)),入力!$B$14="有効"),ROUND(G564*1.25,0),"")</f>
        <v/>
      </c>
      <c r="S565" s="36">
        <f t="shared" si="151"/>
        <v>420</v>
      </c>
      <c r="T565" s="35" t="str">
        <f t="shared" si="152"/>
        <v/>
      </c>
      <c r="U565" s="3">
        <f t="shared" si="136"/>
        <v>0</v>
      </c>
      <c r="V565" s="3">
        <f t="shared" si="137"/>
        <v>0</v>
      </c>
      <c r="W565" s="3">
        <f t="shared" si="138"/>
        <v>0</v>
      </c>
      <c r="X565" s="3">
        <f t="shared" si="139"/>
        <v>0</v>
      </c>
      <c r="Y565" s="3">
        <f>0</f>
        <v>0</v>
      </c>
      <c r="Z565" s="3">
        <f t="shared" si="140"/>
        <v>0</v>
      </c>
      <c r="AA565">
        <f>ROUND(IF(A565=入力!$B$15+1,IF(E565=0,ROUND(C565/MAX(1,S564-A565+1),0),ROUND(-PMT(E565/12,MAX(1,S564-A565+1)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,0)</f>
        <v>0</v>
      </c>
    </row>
    <row r="566" spans="1:27">
      <c r="A566" s="30">
        <f>561</f>
        <v>561</v>
      </c>
      <c r="B566" s="31">
        <f>EDATE(入力!$B$6,A566-1)</f>
        <v>63280</v>
      </c>
      <c r="C566" s="32">
        <f t="shared" si="141"/>
        <v>0</v>
      </c>
      <c r="D566" s="32">
        <f t="shared" si="142"/>
        <v>0</v>
      </c>
      <c r="E566" s="33">
        <f>IF(AND(T565="",A566&lt;=S565),IF(A566&lt;入力!$B$11,入力!$B$10,入力!$B$12),0)</f>
        <v>0</v>
      </c>
      <c r="F566" s="32">
        <f t="shared" si="143"/>
        <v>0</v>
      </c>
      <c r="G566" s="32">
        <f>ROUND(IF(NOT(AND(T565="",A566&lt;=S565)),0,IF(A566=入力!$B$15+1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),0)</f>
        <v>0</v>
      </c>
      <c r="H566" s="32">
        <f t="shared" si="144"/>
        <v>0</v>
      </c>
      <c r="I566" s="32">
        <f t="shared" si="145"/>
        <v>0</v>
      </c>
      <c r="J566" s="32">
        <f t="shared" si="146"/>
        <v>0</v>
      </c>
      <c r="K566" s="32">
        <f t="shared" si="147"/>
        <v>0</v>
      </c>
      <c r="L566" s="32">
        <f t="shared" si="148"/>
        <v>0</v>
      </c>
      <c r="M566" s="32">
        <f>IF(AND(AND(T565="",A566&lt;=S565),A566=入力!$B$15),ROUND(MIN(入力!$B$16,MAX(0,C566-L566)),0),0)</f>
        <v>0</v>
      </c>
      <c r="N566" s="32">
        <f t="shared" si="149"/>
        <v>0</v>
      </c>
      <c r="O566" s="32">
        <f t="shared" si="150"/>
        <v>12386706</v>
      </c>
      <c r="P566" s="34" t="str">
        <f>IF(NOT(AND(T565="",A566&lt;=S565)),"",IF(A566=入力!$B$15+1,"繰上返済後再計算","")&amp;IF(AND(入力!$B$13="有効",A566&gt;1,MOD(A566-1,60)=0),IF(A566=入力!$B$15+1,"・","")&amp;"5年見直し","")&amp;IF(AND(A566=入力!$B$11,A566&gt;1),IF(OR(A566=入力!$B$15+1,AND(入力!$B$13="有効",A566&gt;1,MOD(A566-1,60)=0)),"・","")&amp;"金利変更","")&amp;IF(AND(OR(AND(入力!$B$13="有効",A566&gt;1,MOD(A566-1,60)=0),AND(A566=入力!$B$11,A566&gt;1)),入力!$B$14="有効",IF(E566=0,ROUND(C566/MAX(1,S565-A566+1),0),ROUND(-PMT(E566/12,MAX(1,S565-A566+1),C566),0))&gt;ROUND(G565*1.25,0),NOT(A566=入力!$B$15+1)),"・上限適用",""))</f>
        <v/>
      </c>
      <c r="Q566" s="35" t="str">
        <f>IF(AND(T565="",A566&lt;=S565),入力!$B$13,"")</f>
        <v/>
      </c>
      <c r="R566" s="32" t="str">
        <f>IF(AND(AND(T565="",A566&lt;=S565),OR(AND(入力!$B$13="有効",A566&gt;1,MOD(A566-1,60)=0),AND(A566=入力!$B$11,A566&gt;1)),入力!$B$14="有効"),ROUND(G565*1.25,0),"")</f>
        <v/>
      </c>
      <c r="S566" s="36">
        <f t="shared" si="151"/>
        <v>420</v>
      </c>
      <c r="T566" s="35" t="str">
        <f t="shared" si="152"/>
        <v/>
      </c>
      <c r="U566" s="3">
        <f t="shared" si="136"/>
        <v>0</v>
      </c>
      <c r="V566" s="3">
        <f t="shared" si="137"/>
        <v>0</v>
      </c>
      <c r="W566" s="3">
        <f t="shared" si="138"/>
        <v>0</v>
      </c>
      <c r="X566" s="3">
        <f t="shared" si="139"/>
        <v>0</v>
      </c>
      <c r="Y566" s="3">
        <f>0</f>
        <v>0</v>
      </c>
      <c r="Z566" s="3">
        <f t="shared" si="140"/>
        <v>0</v>
      </c>
      <c r="AA566">
        <f>ROUND(IF(A566=入力!$B$15+1,IF(E566=0,ROUND(C566/MAX(1,S565-A566+1),0),ROUND(-PMT(E566/12,MAX(1,S565-A566+1)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,0)</f>
        <v>0</v>
      </c>
    </row>
    <row r="567" spans="1:27">
      <c r="A567" s="30">
        <f>562</f>
        <v>562</v>
      </c>
      <c r="B567" s="31">
        <f>EDATE(入力!$B$6,A567-1)</f>
        <v>63310</v>
      </c>
      <c r="C567" s="32">
        <f t="shared" si="141"/>
        <v>0</v>
      </c>
      <c r="D567" s="32">
        <f t="shared" si="142"/>
        <v>0</v>
      </c>
      <c r="E567" s="33">
        <f>IF(AND(T566="",A567&lt;=S566),IF(A567&lt;入力!$B$11,入力!$B$10,入力!$B$12),0)</f>
        <v>0</v>
      </c>
      <c r="F567" s="32">
        <f t="shared" si="143"/>
        <v>0</v>
      </c>
      <c r="G567" s="32">
        <f>ROUND(IF(NOT(AND(T566="",A567&lt;=S566)),0,IF(A567=入力!$B$15+1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),0)</f>
        <v>0</v>
      </c>
      <c r="H567" s="32">
        <f t="shared" si="144"/>
        <v>0</v>
      </c>
      <c r="I567" s="32">
        <f t="shared" si="145"/>
        <v>0</v>
      </c>
      <c r="J567" s="32">
        <f t="shared" si="146"/>
        <v>0</v>
      </c>
      <c r="K567" s="32">
        <f t="shared" si="147"/>
        <v>0</v>
      </c>
      <c r="L567" s="32">
        <f t="shared" si="148"/>
        <v>0</v>
      </c>
      <c r="M567" s="32">
        <f>IF(AND(AND(T566="",A567&lt;=S566),A567=入力!$B$15),ROUND(MIN(入力!$B$16,MAX(0,C567-L567)),0),0)</f>
        <v>0</v>
      </c>
      <c r="N567" s="32">
        <f t="shared" si="149"/>
        <v>0</v>
      </c>
      <c r="O567" s="32">
        <f t="shared" si="150"/>
        <v>12386706</v>
      </c>
      <c r="P567" s="34" t="str">
        <f>IF(NOT(AND(T566="",A567&lt;=S566)),"",IF(A567=入力!$B$15+1,"繰上返済後再計算","")&amp;IF(AND(入力!$B$13="有効",A567&gt;1,MOD(A567-1,60)=0),IF(A567=入力!$B$15+1,"・","")&amp;"5年見直し","")&amp;IF(AND(A567=入力!$B$11,A567&gt;1),IF(OR(A567=入力!$B$15+1,AND(入力!$B$13="有効",A567&gt;1,MOD(A567-1,60)=0)),"・","")&amp;"金利変更","")&amp;IF(AND(OR(AND(入力!$B$13="有効",A567&gt;1,MOD(A567-1,60)=0),AND(A567=入力!$B$11,A567&gt;1)),入力!$B$14="有効",IF(E567=0,ROUND(C567/MAX(1,S566-A567+1),0),ROUND(-PMT(E567/12,MAX(1,S566-A567+1),C567),0))&gt;ROUND(G566*1.25,0),NOT(A567=入力!$B$15+1)),"・上限適用",""))</f>
        <v/>
      </c>
      <c r="Q567" s="35" t="str">
        <f>IF(AND(T566="",A567&lt;=S566),入力!$B$13,"")</f>
        <v/>
      </c>
      <c r="R567" s="32" t="str">
        <f>IF(AND(AND(T566="",A567&lt;=S566),OR(AND(入力!$B$13="有効",A567&gt;1,MOD(A567-1,60)=0),AND(A567=入力!$B$11,A567&gt;1)),入力!$B$14="有効"),ROUND(G566*1.25,0),"")</f>
        <v/>
      </c>
      <c r="S567" s="36">
        <f t="shared" si="151"/>
        <v>420</v>
      </c>
      <c r="T567" s="35" t="str">
        <f t="shared" si="152"/>
        <v/>
      </c>
      <c r="U567" s="3">
        <f t="shared" si="136"/>
        <v>0</v>
      </c>
      <c r="V567" s="3">
        <f t="shared" si="137"/>
        <v>0</v>
      </c>
      <c r="W567" s="3">
        <f t="shared" si="138"/>
        <v>0</v>
      </c>
      <c r="X567" s="3">
        <f t="shared" si="139"/>
        <v>0</v>
      </c>
      <c r="Y567" s="3">
        <f>0</f>
        <v>0</v>
      </c>
      <c r="Z567" s="3">
        <f t="shared" si="140"/>
        <v>0</v>
      </c>
      <c r="AA567">
        <f>ROUND(IF(A567=入力!$B$15+1,IF(E567=0,ROUND(C567/MAX(1,S566-A567+1),0),ROUND(-PMT(E567/12,MAX(1,S566-A567+1)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,0)</f>
        <v>0</v>
      </c>
    </row>
    <row r="568" spans="1:27">
      <c r="A568" s="30">
        <f>563</f>
        <v>563</v>
      </c>
      <c r="B568" s="31">
        <f>EDATE(入力!$B$6,A568-1)</f>
        <v>63341</v>
      </c>
      <c r="C568" s="32">
        <f t="shared" si="141"/>
        <v>0</v>
      </c>
      <c r="D568" s="32">
        <f t="shared" si="142"/>
        <v>0</v>
      </c>
      <c r="E568" s="33">
        <f>IF(AND(T567="",A568&lt;=S567),IF(A568&lt;入力!$B$11,入力!$B$10,入力!$B$12),0)</f>
        <v>0</v>
      </c>
      <c r="F568" s="32">
        <f t="shared" si="143"/>
        <v>0</v>
      </c>
      <c r="G568" s="32">
        <f>ROUND(IF(NOT(AND(T567="",A568&lt;=S567)),0,IF(A568=入力!$B$15+1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),0)</f>
        <v>0</v>
      </c>
      <c r="H568" s="32">
        <f t="shared" si="144"/>
        <v>0</v>
      </c>
      <c r="I568" s="32">
        <f t="shared" si="145"/>
        <v>0</v>
      </c>
      <c r="J568" s="32">
        <f t="shared" si="146"/>
        <v>0</v>
      </c>
      <c r="K568" s="32">
        <f t="shared" si="147"/>
        <v>0</v>
      </c>
      <c r="L568" s="32">
        <f t="shared" si="148"/>
        <v>0</v>
      </c>
      <c r="M568" s="32">
        <f>IF(AND(AND(T567="",A568&lt;=S567),A568=入力!$B$15),ROUND(MIN(入力!$B$16,MAX(0,C568-L568)),0),0)</f>
        <v>0</v>
      </c>
      <c r="N568" s="32">
        <f t="shared" si="149"/>
        <v>0</v>
      </c>
      <c r="O568" s="32">
        <f t="shared" si="150"/>
        <v>12386706</v>
      </c>
      <c r="P568" s="34" t="str">
        <f>IF(NOT(AND(T567="",A568&lt;=S567)),"",IF(A568=入力!$B$15+1,"繰上返済後再計算","")&amp;IF(AND(入力!$B$13="有効",A568&gt;1,MOD(A568-1,60)=0),IF(A568=入力!$B$15+1,"・","")&amp;"5年見直し","")&amp;IF(AND(A568=入力!$B$11,A568&gt;1),IF(OR(A568=入力!$B$15+1,AND(入力!$B$13="有効",A568&gt;1,MOD(A568-1,60)=0)),"・","")&amp;"金利変更","")&amp;IF(AND(OR(AND(入力!$B$13="有効",A568&gt;1,MOD(A568-1,60)=0),AND(A568=入力!$B$11,A568&gt;1)),入力!$B$14="有効",IF(E568=0,ROUND(C568/MAX(1,S567-A568+1),0),ROUND(-PMT(E568/12,MAX(1,S567-A568+1),C568),0))&gt;ROUND(G567*1.25,0),NOT(A568=入力!$B$15+1)),"・上限適用",""))</f>
        <v/>
      </c>
      <c r="Q568" s="35" t="str">
        <f>IF(AND(T567="",A568&lt;=S567),入力!$B$13,"")</f>
        <v/>
      </c>
      <c r="R568" s="32" t="str">
        <f>IF(AND(AND(T567="",A568&lt;=S567),OR(AND(入力!$B$13="有効",A568&gt;1,MOD(A568-1,60)=0),AND(A568=入力!$B$11,A568&gt;1)),入力!$B$14="有効"),ROUND(G567*1.25,0),"")</f>
        <v/>
      </c>
      <c r="S568" s="36">
        <f t="shared" si="151"/>
        <v>420</v>
      </c>
      <c r="T568" s="35" t="str">
        <f t="shared" si="152"/>
        <v/>
      </c>
      <c r="U568" s="3">
        <f t="shared" si="136"/>
        <v>0</v>
      </c>
      <c r="V568" s="3">
        <f t="shared" si="137"/>
        <v>0</v>
      </c>
      <c r="W568" s="3">
        <f t="shared" si="138"/>
        <v>0</v>
      </c>
      <c r="X568" s="3">
        <f t="shared" si="139"/>
        <v>0</v>
      </c>
      <c r="Y568" s="3">
        <f>0</f>
        <v>0</v>
      </c>
      <c r="Z568" s="3">
        <f t="shared" si="140"/>
        <v>0</v>
      </c>
      <c r="AA568">
        <f>ROUND(IF(A568=入力!$B$15+1,IF(E568=0,ROUND(C568/MAX(1,S567-A568+1),0),ROUND(-PMT(E568/12,MAX(1,S567-A568+1)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,0)</f>
        <v>0</v>
      </c>
    </row>
    <row r="569" spans="1:27">
      <c r="A569" s="30">
        <f>564</f>
        <v>564</v>
      </c>
      <c r="B569" s="31">
        <f>EDATE(入力!$B$6,A569-1)</f>
        <v>63371</v>
      </c>
      <c r="C569" s="32">
        <f t="shared" si="141"/>
        <v>0</v>
      </c>
      <c r="D569" s="32">
        <f t="shared" si="142"/>
        <v>0</v>
      </c>
      <c r="E569" s="33">
        <f>IF(AND(T568="",A569&lt;=S568),IF(A569&lt;入力!$B$11,入力!$B$10,入力!$B$12),0)</f>
        <v>0</v>
      </c>
      <c r="F569" s="32">
        <f t="shared" si="143"/>
        <v>0</v>
      </c>
      <c r="G569" s="32">
        <f>ROUND(IF(NOT(AND(T568="",A569&lt;=S568)),0,IF(A569=入力!$B$15+1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),0)</f>
        <v>0</v>
      </c>
      <c r="H569" s="32">
        <f t="shared" si="144"/>
        <v>0</v>
      </c>
      <c r="I569" s="32">
        <f t="shared" si="145"/>
        <v>0</v>
      </c>
      <c r="J569" s="32">
        <f t="shared" si="146"/>
        <v>0</v>
      </c>
      <c r="K569" s="32">
        <f t="shared" si="147"/>
        <v>0</v>
      </c>
      <c r="L569" s="32">
        <f t="shared" si="148"/>
        <v>0</v>
      </c>
      <c r="M569" s="32">
        <f>IF(AND(AND(T568="",A569&lt;=S568),A569=入力!$B$15),ROUND(MIN(入力!$B$16,MAX(0,C569-L569)),0),0)</f>
        <v>0</v>
      </c>
      <c r="N569" s="32">
        <f t="shared" si="149"/>
        <v>0</v>
      </c>
      <c r="O569" s="32">
        <f t="shared" si="150"/>
        <v>12386706</v>
      </c>
      <c r="P569" s="34" t="str">
        <f>IF(NOT(AND(T568="",A569&lt;=S568)),"",IF(A569=入力!$B$15+1,"繰上返済後再計算","")&amp;IF(AND(入力!$B$13="有効",A569&gt;1,MOD(A569-1,60)=0),IF(A569=入力!$B$15+1,"・","")&amp;"5年見直し","")&amp;IF(AND(A569=入力!$B$11,A569&gt;1),IF(OR(A569=入力!$B$15+1,AND(入力!$B$13="有効",A569&gt;1,MOD(A569-1,60)=0)),"・","")&amp;"金利変更","")&amp;IF(AND(OR(AND(入力!$B$13="有効",A569&gt;1,MOD(A569-1,60)=0),AND(A569=入力!$B$11,A569&gt;1)),入力!$B$14="有効",IF(E569=0,ROUND(C569/MAX(1,S568-A569+1),0),ROUND(-PMT(E569/12,MAX(1,S568-A569+1),C569),0))&gt;ROUND(G568*1.25,0),NOT(A569=入力!$B$15+1)),"・上限適用",""))</f>
        <v/>
      </c>
      <c r="Q569" s="35" t="str">
        <f>IF(AND(T568="",A569&lt;=S568),入力!$B$13,"")</f>
        <v/>
      </c>
      <c r="R569" s="32" t="str">
        <f>IF(AND(AND(T568="",A569&lt;=S568),OR(AND(入力!$B$13="有効",A569&gt;1,MOD(A569-1,60)=0),AND(A569=入力!$B$11,A569&gt;1)),入力!$B$14="有効"),ROUND(G568*1.25,0),"")</f>
        <v/>
      </c>
      <c r="S569" s="36">
        <f t="shared" si="151"/>
        <v>420</v>
      </c>
      <c r="T569" s="35" t="str">
        <f t="shared" si="152"/>
        <v/>
      </c>
      <c r="U569" s="3">
        <f t="shared" si="136"/>
        <v>0</v>
      </c>
      <c r="V569" s="3">
        <f t="shared" si="137"/>
        <v>0</v>
      </c>
      <c r="W569" s="3">
        <f t="shared" si="138"/>
        <v>0</v>
      </c>
      <c r="X569" s="3">
        <f t="shared" si="139"/>
        <v>0</v>
      </c>
      <c r="Y569" s="3">
        <f>0</f>
        <v>0</v>
      </c>
      <c r="Z569" s="3">
        <f t="shared" si="140"/>
        <v>0</v>
      </c>
      <c r="AA569">
        <f>ROUND(IF(A569=入力!$B$15+1,IF(E569=0,ROUND(C569/MAX(1,S568-A569+1),0),ROUND(-PMT(E569/12,MAX(1,S568-A569+1)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,0)</f>
        <v>0</v>
      </c>
    </row>
    <row r="570" spans="1:27">
      <c r="A570" s="30">
        <f>565</f>
        <v>565</v>
      </c>
      <c r="B570" s="31">
        <f>EDATE(入力!$B$6,A570-1)</f>
        <v>63402</v>
      </c>
      <c r="C570" s="32">
        <f t="shared" si="141"/>
        <v>0</v>
      </c>
      <c r="D570" s="32">
        <f t="shared" si="142"/>
        <v>0</v>
      </c>
      <c r="E570" s="33">
        <f>IF(AND(T569="",A570&lt;=S569),IF(A570&lt;入力!$B$11,入力!$B$10,入力!$B$12),0)</f>
        <v>0</v>
      </c>
      <c r="F570" s="32">
        <f t="shared" si="143"/>
        <v>0</v>
      </c>
      <c r="G570" s="32">
        <f>ROUND(IF(NOT(AND(T569="",A570&lt;=S569)),0,IF(A570=入力!$B$15+1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),0)</f>
        <v>0</v>
      </c>
      <c r="H570" s="32">
        <f t="shared" si="144"/>
        <v>0</v>
      </c>
      <c r="I570" s="32">
        <f t="shared" si="145"/>
        <v>0</v>
      </c>
      <c r="J570" s="32">
        <f t="shared" si="146"/>
        <v>0</v>
      </c>
      <c r="K570" s="32">
        <f t="shared" si="147"/>
        <v>0</v>
      </c>
      <c r="L570" s="32">
        <f t="shared" si="148"/>
        <v>0</v>
      </c>
      <c r="M570" s="32">
        <f>IF(AND(AND(T569="",A570&lt;=S569),A570=入力!$B$15),ROUND(MIN(入力!$B$16,MAX(0,C570-L570)),0),0)</f>
        <v>0</v>
      </c>
      <c r="N570" s="32">
        <f t="shared" si="149"/>
        <v>0</v>
      </c>
      <c r="O570" s="32">
        <f t="shared" si="150"/>
        <v>12386706</v>
      </c>
      <c r="P570" s="34" t="str">
        <f>IF(NOT(AND(T569="",A570&lt;=S569)),"",IF(A570=入力!$B$15+1,"繰上返済後再計算","")&amp;IF(AND(入力!$B$13="有効",A570&gt;1,MOD(A570-1,60)=0),IF(A570=入力!$B$15+1,"・","")&amp;"5年見直し","")&amp;IF(AND(A570=入力!$B$11,A570&gt;1),IF(OR(A570=入力!$B$15+1,AND(入力!$B$13="有効",A570&gt;1,MOD(A570-1,60)=0)),"・","")&amp;"金利変更","")&amp;IF(AND(OR(AND(入力!$B$13="有効",A570&gt;1,MOD(A570-1,60)=0),AND(A570=入力!$B$11,A570&gt;1)),入力!$B$14="有効",IF(E570=0,ROUND(C570/MAX(1,S569-A570+1),0),ROUND(-PMT(E570/12,MAX(1,S569-A570+1),C570),0))&gt;ROUND(G569*1.25,0),NOT(A570=入力!$B$15+1)),"・上限適用",""))</f>
        <v/>
      </c>
      <c r="Q570" s="35" t="str">
        <f>IF(AND(T569="",A570&lt;=S569),入力!$B$13,"")</f>
        <v/>
      </c>
      <c r="R570" s="32" t="str">
        <f>IF(AND(AND(T569="",A570&lt;=S569),OR(AND(入力!$B$13="有効",A570&gt;1,MOD(A570-1,60)=0),AND(A570=入力!$B$11,A570&gt;1)),入力!$B$14="有効"),ROUND(G569*1.25,0),"")</f>
        <v/>
      </c>
      <c r="S570" s="36">
        <f t="shared" si="151"/>
        <v>420</v>
      </c>
      <c r="T570" s="35" t="str">
        <f t="shared" si="152"/>
        <v/>
      </c>
      <c r="U570" s="3">
        <f t="shared" si="136"/>
        <v>0</v>
      </c>
      <c r="V570" s="3">
        <f t="shared" si="137"/>
        <v>0</v>
      </c>
      <c r="W570" s="3">
        <f t="shared" si="138"/>
        <v>0</v>
      </c>
      <c r="X570" s="3">
        <f t="shared" si="139"/>
        <v>0</v>
      </c>
      <c r="Y570" s="3">
        <f>0</f>
        <v>0</v>
      </c>
      <c r="Z570" s="3">
        <f t="shared" si="140"/>
        <v>0</v>
      </c>
      <c r="AA570">
        <f>ROUND(IF(A570=入力!$B$15+1,IF(E570=0,ROUND(C570/MAX(1,S569-A570+1),0),ROUND(-PMT(E570/12,MAX(1,S569-A570+1)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,0)</f>
        <v>0</v>
      </c>
    </row>
    <row r="571" spans="1:27">
      <c r="A571" s="30">
        <f>566</f>
        <v>566</v>
      </c>
      <c r="B571" s="31">
        <f>EDATE(入力!$B$6,A571-1)</f>
        <v>63433</v>
      </c>
      <c r="C571" s="32">
        <f t="shared" si="141"/>
        <v>0</v>
      </c>
      <c r="D571" s="32">
        <f t="shared" si="142"/>
        <v>0</v>
      </c>
      <c r="E571" s="33">
        <f>IF(AND(T570="",A571&lt;=S570),IF(A571&lt;入力!$B$11,入力!$B$10,入力!$B$12),0)</f>
        <v>0</v>
      </c>
      <c r="F571" s="32">
        <f t="shared" si="143"/>
        <v>0</v>
      </c>
      <c r="G571" s="32">
        <f>ROUND(IF(NOT(AND(T570="",A571&lt;=S570)),0,IF(A571=入力!$B$15+1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),0)</f>
        <v>0</v>
      </c>
      <c r="H571" s="32">
        <f t="shared" si="144"/>
        <v>0</v>
      </c>
      <c r="I571" s="32">
        <f t="shared" si="145"/>
        <v>0</v>
      </c>
      <c r="J571" s="32">
        <f t="shared" si="146"/>
        <v>0</v>
      </c>
      <c r="K571" s="32">
        <f t="shared" si="147"/>
        <v>0</v>
      </c>
      <c r="L571" s="32">
        <f t="shared" si="148"/>
        <v>0</v>
      </c>
      <c r="M571" s="32">
        <f>IF(AND(AND(T570="",A571&lt;=S570),A571=入力!$B$15),ROUND(MIN(入力!$B$16,MAX(0,C571-L571)),0),0)</f>
        <v>0</v>
      </c>
      <c r="N571" s="32">
        <f t="shared" si="149"/>
        <v>0</v>
      </c>
      <c r="O571" s="32">
        <f t="shared" si="150"/>
        <v>12386706</v>
      </c>
      <c r="P571" s="34" t="str">
        <f>IF(NOT(AND(T570="",A571&lt;=S570)),"",IF(A571=入力!$B$15+1,"繰上返済後再計算","")&amp;IF(AND(入力!$B$13="有効",A571&gt;1,MOD(A571-1,60)=0),IF(A571=入力!$B$15+1,"・","")&amp;"5年見直し","")&amp;IF(AND(A571=入力!$B$11,A571&gt;1),IF(OR(A571=入力!$B$15+1,AND(入力!$B$13="有効",A571&gt;1,MOD(A571-1,60)=0)),"・","")&amp;"金利変更","")&amp;IF(AND(OR(AND(入力!$B$13="有効",A571&gt;1,MOD(A571-1,60)=0),AND(A571=入力!$B$11,A571&gt;1)),入力!$B$14="有効",IF(E571=0,ROUND(C571/MAX(1,S570-A571+1),0),ROUND(-PMT(E571/12,MAX(1,S570-A571+1),C571),0))&gt;ROUND(G570*1.25,0),NOT(A571=入力!$B$15+1)),"・上限適用",""))</f>
        <v/>
      </c>
      <c r="Q571" s="35" t="str">
        <f>IF(AND(T570="",A571&lt;=S570),入力!$B$13,"")</f>
        <v/>
      </c>
      <c r="R571" s="32" t="str">
        <f>IF(AND(AND(T570="",A571&lt;=S570),OR(AND(入力!$B$13="有効",A571&gt;1,MOD(A571-1,60)=0),AND(A571=入力!$B$11,A571&gt;1)),入力!$B$14="有効"),ROUND(G570*1.25,0),"")</f>
        <v/>
      </c>
      <c r="S571" s="36">
        <f t="shared" si="151"/>
        <v>420</v>
      </c>
      <c r="T571" s="35" t="str">
        <f t="shared" si="152"/>
        <v/>
      </c>
      <c r="U571" s="3">
        <f t="shared" si="136"/>
        <v>0</v>
      </c>
      <c r="V571" s="3">
        <f t="shared" si="137"/>
        <v>0</v>
      </c>
      <c r="W571" s="3">
        <f t="shared" si="138"/>
        <v>0</v>
      </c>
      <c r="X571" s="3">
        <f t="shared" si="139"/>
        <v>0</v>
      </c>
      <c r="Y571" s="3">
        <f>0</f>
        <v>0</v>
      </c>
      <c r="Z571" s="3">
        <f t="shared" si="140"/>
        <v>0</v>
      </c>
      <c r="AA571">
        <f>ROUND(IF(A571=入力!$B$15+1,IF(E571=0,ROUND(C571/MAX(1,S570-A571+1),0),ROUND(-PMT(E571/12,MAX(1,S570-A571+1)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,0)</f>
        <v>0</v>
      </c>
    </row>
    <row r="572" spans="1:27">
      <c r="A572" s="30">
        <f>567</f>
        <v>567</v>
      </c>
      <c r="B572" s="31">
        <f>EDATE(入力!$B$6,A572-1)</f>
        <v>63463</v>
      </c>
      <c r="C572" s="32">
        <f t="shared" si="141"/>
        <v>0</v>
      </c>
      <c r="D572" s="32">
        <f t="shared" si="142"/>
        <v>0</v>
      </c>
      <c r="E572" s="33">
        <f>IF(AND(T571="",A572&lt;=S571),IF(A572&lt;入力!$B$11,入力!$B$10,入力!$B$12),0)</f>
        <v>0</v>
      </c>
      <c r="F572" s="32">
        <f t="shared" si="143"/>
        <v>0</v>
      </c>
      <c r="G572" s="32">
        <f>ROUND(IF(NOT(AND(T571="",A572&lt;=S571)),0,IF(A572=入力!$B$15+1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),0)</f>
        <v>0</v>
      </c>
      <c r="H572" s="32">
        <f t="shared" si="144"/>
        <v>0</v>
      </c>
      <c r="I572" s="32">
        <f t="shared" si="145"/>
        <v>0</v>
      </c>
      <c r="J572" s="32">
        <f t="shared" si="146"/>
        <v>0</v>
      </c>
      <c r="K572" s="32">
        <f t="shared" si="147"/>
        <v>0</v>
      </c>
      <c r="L572" s="32">
        <f t="shared" si="148"/>
        <v>0</v>
      </c>
      <c r="M572" s="32">
        <f>IF(AND(AND(T571="",A572&lt;=S571),A572=入力!$B$15),ROUND(MIN(入力!$B$16,MAX(0,C572-L572)),0),0)</f>
        <v>0</v>
      </c>
      <c r="N572" s="32">
        <f t="shared" si="149"/>
        <v>0</v>
      </c>
      <c r="O572" s="32">
        <f t="shared" si="150"/>
        <v>12386706</v>
      </c>
      <c r="P572" s="34" t="str">
        <f>IF(NOT(AND(T571="",A572&lt;=S571)),"",IF(A572=入力!$B$15+1,"繰上返済後再計算","")&amp;IF(AND(入力!$B$13="有効",A572&gt;1,MOD(A572-1,60)=0),IF(A572=入力!$B$15+1,"・","")&amp;"5年見直し","")&amp;IF(AND(A572=入力!$B$11,A572&gt;1),IF(OR(A572=入力!$B$15+1,AND(入力!$B$13="有効",A572&gt;1,MOD(A572-1,60)=0)),"・","")&amp;"金利変更","")&amp;IF(AND(OR(AND(入力!$B$13="有効",A572&gt;1,MOD(A572-1,60)=0),AND(A572=入力!$B$11,A572&gt;1)),入力!$B$14="有効",IF(E572=0,ROUND(C572/MAX(1,S571-A572+1),0),ROUND(-PMT(E572/12,MAX(1,S571-A572+1),C572),0))&gt;ROUND(G571*1.25,0),NOT(A572=入力!$B$15+1)),"・上限適用",""))</f>
        <v/>
      </c>
      <c r="Q572" s="35" t="str">
        <f>IF(AND(T571="",A572&lt;=S571),入力!$B$13,"")</f>
        <v/>
      </c>
      <c r="R572" s="32" t="str">
        <f>IF(AND(AND(T571="",A572&lt;=S571),OR(AND(入力!$B$13="有効",A572&gt;1,MOD(A572-1,60)=0),AND(A572=入力!$B$11,A572&gt;1)),入力!$B$14="有効"),ROUND(G571*1.25,0),"")</f>
        <v/>
      </c>
      <c r="S572" s="36">
        <f t="shared" si="151"/>
        <v>420</v>
      </c>
      <c r="T572" s="35" t="str">
        <f t="shared" si="152"/>
        <v/>
      </c>
      <c r="U572" s="3">
        <f t="shared" si="136"/>
        <v>0</v>
      </c>
      <c r="V572" s="3">
        <f t="shared" si="137"/>
        <v>0</v>
      </c>
      <c r="W572" s="3">
        <f t="shared" si="138"/>
        <v>0</v>
      </c>
      <c r="X572" s="3">
        <f t="shared" si="139"/>
        <v>0</v>
      </c>
      <c r="Y572" s="3">
        <f>0</f>
        <v>0</v>
      </c>
      <c r="Z572" s="3">
        <f t="shared" si="140"/>
        <v>0</v>
      </c>
      <c r="AA572">
        <f>ROUND(IF(A572=入力!$B$15+1,IF(E572=0,ROUND(C572/MAX(1,S571-A572+1),0),ROUND(-PMT(E572/12,MAX(1,S571-A572+1)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,0)</f>
        <v>0</v>
      </c>
    </row>
    <row r="573" spans="1:27">
      <c r="A573" s="30">
        <f>568</f>
        <v>568</v>
      </c>
      <c r="B573" s="31">
        <f>EDATE(入力!$B$6,A573-1)</f>
        <v>63494</v>
      </c>
      <c r="C573" s="32">
        <f t="shared" si="141"/>
        <v>0</v>
      </c>
      <c r="D573" s="32">
        <f t="shared" si="142"/>
        <v>0</v>
      </c>
      <c r="E573" s="33">
        <f>IF(AND(T572="",A573&lt;=S572),IF(A573&lt;入力!$B$11,入力!$B$10,入力!$B$12),0)</f>
        <v>0</v>
      </c>
      <c r="F573" s="32">
        <f t="shared" si="143"/>
        <v>0</v>
      </c>
      <c r="G573" s="32">
        <f>ROUND(IF(NOT(AND(T572="",A573&lt;=S572)),0,IF(A573=入力!$B$15+1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),0)</f>
        <v>0</v>
      </c>
      <c r="H573" s="32">
        <f t="shared" si="144"/>
        <v>0</v>
      </c>
      <c r="I573" s="32">
        <f t="shared" si="145"/>
        <v>0</v>
      </c>
      <c r="J573" s="32">
        <f t="shared" si="146"/>
        <v>0</v>
      </c>
      <c r="K573" s="32">
        <f t="shared" si="147"/>
        <v>0</v>
      </c>
      <c r="L573" s="32">
        <f t="shared" si="148"/>
        <v>0</v>
      </c>
      <c r="M573" s="32">
        <f>IF(AND(AND(T572="",A573&lt;=S572),A573=入力!$B$15),ROUND(MIN(入力!$B$16,MAX(0,C573-L573)),0),0)</f>
        <v>0</v>
      </c>
      <c r="N573" s="32">
        <f t="shared" si="149"/>
        <v>0</v>
      </c>
      <c r="O573" s="32">
        <f t="shared" si="150"/>
        <v>12386706</v>
      </c>
      <c r="P573" s="34" t="str">
        <f>IF(NOT(AND(T572="",A573&lt;=S572)),"",IF(A573=入力!$B$15+1,"繰上返済後再計算","")&amp;IF(AND(入力!$B$13="有効",A573&gt;1,MOD(A573-1,60)=0),IF(A573=入力!$B$15+1,"・","")&amp;"5年見直し","")&amp;IF(AND(A573=入力!$B$11,A573&gt;1),IF(OR(A573=入力!$B$15+1,AND(入力!$B$13="有効",A573&gt;1,MOD(A573-1,60)=0)),"・","")&amp;"金利変更","")&amp;IF(AND(OR(AND(入力!$B$13="有効",A573&gt;1,MOD(A573-1,60)=0),AND(A573=入力!$B$11,A573&gt;1)),入力!$B$14="有効",IF(E573=0,ROUND(C573/MAX(1,S572-A573+1),0),ROUND(-PMT(E573/12,MAX(1,S572-A573+1),C573),0))&gt;ROUND(G572*1.25,0),NOT(A573=入力!$B$15+1)),"・上限適用",""))</f>
        <v/>
      </c>
      <c r="Q573" s="35" t="str">
        <f>IF(AND(T572="",A573&lt;=S572),入力!$B$13,"")</f>
        <v/>
      </c>
      <c r="R573" s="32" t="str">
        <f>IF(AND(AND(T572="",A573&lt;=S572),OR(AND(入力!$B$13="有効",A573&gt;1,MOD(A573-1,60)=0),AND(A573=入力!$B$11,A573&gt;1)),入力!$B$14="有効"),ROUND(G572*1.25,0),"")</f>
        <v/>
      </c>
      <c r="S573" s="36">
        <f t="shared" si="151"/>
        <v>420</v>
      </c>
      <c r="T573" s="35" t="str">
        <f t="shared" si="152"/>
        <v/>
      </c>
      <c r="U573" s="3">
        <f t="shared" si="136"/>
        <v>0</v>
      </c>
      <c r="V573" s="3">
        <f t="shared" si="137"/>
        <v>0</v>
      </c>
      <c r="W573" s="3">
        <f t="shared" si="138"/>
        <v>0</v>
      </c>
      <c r="X573" s="3">
        <f t="shared" si="139"/>
        <v>0</v>
      </c>
      <c r="Y573" s="3">
        <f>0</f>
        <v>0</v>
      </c>
      <c r="Z573" s="3">
        <f t="shared" si="140"/>
        <v>0</v>
      </c>
      <c r="AA573">
        <f>ROUND(IF(A573=入力!$B$15+1,IF(E573=0,ROUND(C573/MAX(1,S572-A573+1),0),ROUND(-PMT(E573/12,MAX(1,S572-A573+1)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,0)</f>
        <v>0</v>
      </c>
    </row>
    <row r="574" spans="1:27">
      <c r="A574" s="30">
        <f>569</f>
        <v>569</v>
      </c>
      <c r="B574" s="31">
        <f>EDATE(入力!$B$6,A574-1)</f>
        <v>63524</v>
      </c>
      <c r="C574" s="32">
        <f t="shared" si="141"/>
        <v>0</v>
      </c>
      <c r="D574" s="32">
        <f t="shared" si="142"/>
        <v>0</v>
      </c>
      <c r="E574" s="33">
        <f>IF(AND(T573="",A574&lt;=S573),IF(A574&lt;入力!$B$11,入力!$B$10,入力!$B$12),0)</f>
        <v>0</v>
      </c>
      <c r="F574" s="32">
        <f t="shared" si="143"/>
        <v>0</v>
      </c>
      <c r="G574" s="32">
        <f>ROUND(IF(NOT(AND(T573="",A574&lt;=S573)),0,IF(A574=入力!$B$15+1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),0)</f>
        <v>0</v>
      </c>
      <c r="H574" s="32">
        <f t="shared" si="144"/>
        <v>0</v>
      </c>
      <c r="I574" s="32">
        <f t="shared" si="145"/>
        <v>0</v>
      </c>
      <c r="J574" s="32">
        <f t="shared" si="146"/>
        <v>0</v>
      </c>
      <c r="K574" s="32">
        <f t="shared" si="147"/>
        <v>0</v>
      </c>
      <c r="L574" s="32">
        <f t="shared" si="148"/>
        <v>0</v>
      </c>
      <c r="M574" s="32">
        <f>IF(AND(AND(T573="",A574&lt;=S573),A574=入力!$B$15),ROUND(MIN(入力!$B$16,MAX(0,C574-L574)),0),0)</f>
        <v>0</v>
      </c>
      <c r="N574" s="32">
        <f t="shared" si="149"/>
        <v>0</v>
      </c>
      <c r="O574" s="32">
        <f t="shared" si="150"/>
        <v>12386706</v>
      </c>
      <c r="P574" s="34" t="str">
        <f>IF(NOT(AND(T573="",A574&lt;=S573)),"",IF(A574=入力!$B$15+1,"繰上返済後再計算","")&amp;IF(AND(入力!$B$13="有効",A574&gt;1,MOD(A574-1,60)=0),IF(A574=入力!$B$15+1,"・","")&amp;"5年見直し","")&amp;IF(AND(A574=入力!$B$11,A574&gt;1),IF(OR(A574=入力!$B$15+1,AND(入力!$B$13="有効",A574&gt;1,MOD(A574-1,60)=0)),"・","")&amp;"金利変更","")&amp;IF(AND(OR(AND(入力!$B$13="有効",A574&gt;1,MOD(A574-1,60)=0),AND(A574=入力!$B$11,A574&gt;1)),入力!$B$14="有効",IF(E574=0,ROUND(C574/MAX(1,S573-A574+1),0),ROUND(-PMT(E574/12,MAX(1,S573-A574+1),C574),0))&gt;ROUND(G573*1.25,0),NOT(A574=入力!$B$15+1)),"・上限適用",""))</f>
        <v/>
      </c>
      <c r="Q574" s="35" t="str">
        <f>IF(AND(T573="",A574&lt;=S573),入力!$B$13,"")</f>
        <v/>
      </c>
      <c r="R574" s="32" t="str">
        <f>IF(AND(AND(T573="",A574&lt;=S573),OR(AND(入力!$B$13="有効",A574&gt;1,MOD(A574-1,60)=0),AND(A574=入力!$B$11,A574&gt;1)),入力!$B$14="有効"),ROUND(G573*1.25,0),"")</f>
        <v/>
      </c>
      <c r="S574" s="36">
        <f t="shared" si="151"/>
        <v>420</v>
      </c>
      <c r="T574" s="35" t="str">
        <f t="shared" si="152"/>
        <v/>
      </c>
      <c r="U574" s="3">
        <f t="shared" si="136"/>
        <v>0</v>
      </c>
      <c r="V574" s="3">
        <f t="shared" si="137"/>
        <v>0</v>
      </c>
      <c r="W574" s="3">
        <f t="shared" si="138"/>
        <v>0</v>
      </c>
      <c r="X574" s="3">
        <f t="shared" si="139"/>
        <v>0</v>
      </c>
      <c r="Y574" s="3">
        <f>0</f>
        <v>0</v>
      </c>
      <c r="Z574" s="3">
        <f t="shared" si="140"/>
        <v>0</v>
      </c>
      <c r="AA574">
        <f>ROUND(IF(A574=入力!$B$15+1,IF(E574=0,ROUND(C574/MAX(1,S573-A574+1),0),ROUND(-PMT(E574/12,MAX(1,S573-A574+1)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,0)</f>
        <v>0</v>
      </c>
    </row>
    <row r="575" spans="1:27">
      <c r="A575" s="30">
        <f>570</f>
        <v>570</v>
      </c>
      <c r="B575" s="31">
        <f>EDATE(入力!$B$6,A575-1)</f>
        <v>63555</v>
      </c>
      <c r="C575" s="32">
        <f t="shared" si="141"/>
        <v>0</v>
      </c>
      <c r="D575" s="32">
        <f t="shared" si="142"/>
        <v>0</v>
      </c>
      <c r="E575" s="33">
        <f>IF(AND(T574="",A575&lt;=S574),IF(A575&lt;入力!$B$11,入力!$B$10,入力!$B$12),0)</f>
        <v>0</v>
      </c>
      <c r="F575" s="32">
        <f t="shared" si="143"/>
        <v>0</v>
      </c>
      <c r="G575" s="32">
        <f>ROUND(IF(NOT(AND(T574="",A575&lt;=S574)),0,IF(A575=入力!$B$15+1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),0)</f>
        <v>0</v>
      </c>
      <c r="H575" s="32">
        <f t="shared" si="144"/>
        <v>0</v>
      </c>
      <c r="I575" s="32">
        <f t="shared" si="145"/>
        <v>0</v>
      </c>
      <c r="J575" s="32">
        <f t="shared" si="146"/>
        <v>0</v>
      </c>
      <c r="K575" s="32">
        <f t="shared" si="147"/>
        <v>0</v>
      </c>
      <c r="L575" s="32">
        <f t="shared" si="148"/>
        <v>0</v>
      </c>
      <c r="M575" s="32">
        <f>IF(AND(AND(T574="",A575&lt;=S574),A575=入力!$B$15),ROUND(MIN(入力!$B$16,MAX(0,C575-L575)),0),0)</f>
        <v>0</v>
      </c>
      <c r="N575" s="32">
        <f t="shared" si="149"/>
        <v>0</v>
      </c>
      <c r="O575" s="32">
        <f t="shared" si="150"/>
        <v>12386706</v>
      </c>
      <c r="P575" s="34" t="str">
        <f>IF(NOT(AND(T574="",A575&lt;=S574)),"",IF(A575=入力!$B$15+1,"繰上返済後再計算","")&amp;IF(AND(入力!$B$13="有効",A575&gt;1,MOD(A575-1,60)=0),IF(A575=入力!$B$15+1,"・","")&amp;"5年見直し","")&amp;IF(AND(A575=入力!$B$11,A575&gt;1),IF(OR(A575=入力!$B$15+1,AND(入力!$B$13="有効",A575&gt;1,MOD(A575-1,60)=0)),"・","")&amp;"金利変更","")&amp;IF(AND(OR(AND(入力!$B$13="有効",A575&gt;1,MOD(A575-1,60)=0),AND(A575=入力!$B$11,A575&gt;1)),入力!$B$14="有効",IF(E575=0,ROUND(C575/MAX(1,S574-A575+1),0),ROUND(-PMT(E575/12,MAX(1,S574-A575+1),C575),0))&gt;ROUND(G574*1.25,0),NOT(A575=入力!$B$15+1)),"・上限適用",""))</f>
        <v/>
      </c>
      <c r="Q575" s="35" t="str">
        <f>IF(AND(T574="",A575&lt;=S574),入力!$B$13,"")</f>
        <v/>
      </c>
      <c r="R575" s="32" t="str">
        <f>IF(AND(AND(T574="",A575&lt;=S574),OR(AND(入力!$B$13="有効",A575&gt;1,MOD(A575-1,60)=0),AND(A575=入力!$B$11,A575&gt;1)),入力!$B$14="有効"),ROUND(G574*1.25,0),"")</f>
        <v/>
      </c>
      <c r="S575" s="36">
        <f t="shared" si="151"/>
        <v>420</v>
      </c>
      <c r="T575" s="35" t="str">
        <f t="shared" si="152"/>
        <v/>
      </c>
      <c r="U575" s="3">
        <f t="shared" si="136"/>
        <v>0</v>
      </c>
      <c r="V575" s="3">
        <f t="shared" si="137"/>
        <v>0</v>
      </c>
      <c r="W575" s="3">
        <f t="shared" si="138"/>
        <v>0</v>
      </c>
      <c r="X575" s="3">
        <f t="shared" si="139"/>
        <v>0</v>
      </c>
      <c r="Y575" s="3">
        <f>0</f>
        <v>0</v>
      </c>
      <c r="Z575" s="3">
        <f t="shared" si="140"/>
        <v>0</v>
      </c>
      <c r="AA575">
        <f>ROUND(IF(A575=入力!$B$15+1,IF(E575=0,ROUND(C575/MAX(1,S574-A575+1),0),ROUND(-PMT(E575/12,MAX(1,S574-A575+1)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,0)</f>
        <v>0</v>
      </c>
    </row>
    <row r="576" spans="1:27">
      <c r="A576" s="30">
        <f>571</f>
        <v>571</v>
      </c>
      <c r="B576" s="31">
        <f>EDATE(入力!$B$6,A576-1)</f>
        <v>63586</v>
      </c>
      <c r="C576" s="32">
        <f t="shared" si="141"/>
        <v>0</v>
      </c>
      <c r="D576" s="32">
        <f t="shared" si="142"/>
        <v>0</v>
      </c>
      <c r="E576" s="33">
        <f>IF(AND(T575="",A576&lt;=S575),IF(A576&lt;入力!$B$11,入力!$B$10,入力!$B$12),0)</f>
        <v>0</v>
      </c>
      <c r="F576" s="32">
        <f t="shared" si="143"/>
        <v>0</v>
      </c>
      <c r="G576" s="32">
        <f>ROUND(IF(NOT(AND(T575="",A576&lt;=S575)),0,IF(A576=入力!$B$15+1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),0)</f>
        <v>0</v>
      </c>
      <c r="H576" s="32">
        <f t="shared" si="144"/>
        <v>0</v>
      </c>
      <c r="I576" s="32">
        <f t="shared" si="145"/>
        <v>0</v>
      </c>
      <c r="J576" s="32">
        <f t="shared" si="146"/>
        <v>0</v>
      </c>
      <c r="K576" s="32">
        <f t="shared" si="147"/>
        <v>0</v>
      </c>
      <c r="L576" s="32">
        <f t="shared" si="148"/>
        <v>0</v>
      </c>
      <c r="M576" s="32">
        <f>IF(AND(AND(T575="",A576&lt;=S575),A576=入力!$B$15),ROUND(MIN(入力!$B$16,MAX(0,C576-L576)),0),0)</f>
        <v>0</v>
      </c>
      <c r="N576" s="32">
        <f t="shared" si="149"/>
        <v>0</v>
      </c>
      <c r="O576" s="32">
        <f t="shared" si="150"/>
        <v>12386706</v>
      </c>
      <c r="P576" s="34" t="str">
        <f>IF(NOT(AND(T575="",A576&lt;=S575)),"",IF(A576=入力!$B$15+1,"繰上返済後再計算","")&amp;IF(AND(入力!$B$13="有効",A576&gt;1,MOD(A576-1,60)=0),IF(A576=入力!$B$15+1,"・","")&amp;"5年見直し","")&amp;IF(AND(A576=入力!$B$11,A576&gt;1),IF(OR(A576=入力!$B$15+1,AND(入力!$B$13="有効",A576&gt;1,MOD(A576-1,60)=0)),"・","")&amp;"金利変更","")&amp;IF(AND(OR(AND(入力!$B$13="有効",A576&gt;1,MOD(A576-1,60)=0),AND(A576=入力!$B$11,A576&gt;1)),入力!$B$14="有効",IF(E576=0,ROUND(C576/MAX(1,S575-A576+1),0),ROUND(-PMT(E576/12,MAX(1,S575-A576+1),C576),0))&gt;ROUND(G575*1.25,0),NOT(A576=入力!$B$15+1)),"・上限適用",""))</f>
        <v/>
      </c>
      <c r="Q576" s="35" t="str">
        <f>IF(AND(T575="",A576&lt;=S575),入力!$B$13,"")</f>
        <v/>
      </c>
      <c r="R576" s="32" t="str">
        <f>IF(AND(AND(T575="",A576&lt;=S575),OR(AND(入力!$B$13="有効",A576&gt;1,MOD(A576-1,60)=0),AND(A576=入力!$B$11,A576&gt;1)),入力!$B$14="有効"),ROUND(G575*1.25,0),"")</f>
        <v/>
      </c>
      <c r="S576" s="36">
        <f t="shared" si="151"/>
        <v>420</v>
      </c>
      <c r="T576" s="35" t="str">
        <f t="shared" si="152"/>
        <v/>
      </c>
      <c r="U576" s="3">
        <f t="shared" si="136"/>
        <v>0</v>
      </c>
      <c r="V576" s="3">
        <f t="shared" si="137"/>
        <v>0</v>
      </c>
      <c r="W576" s="3">
        <f t="shared" si="138"/>
        <v>0</v>
      </c>
      <c r="X576" s="3">
        <f t="shared" si="139"/>
        <v>0</v>
      </c>
      <c r="Y576" s="3">
        <f>0</f>
        <v>0</v>
      </c>
      <c r="Z576" s="3">
        <f t="shared" si="140"/>
        <v>0</v>
      </c>
      <c r="AA576">
        <f>ROUND(IF(A576=入力!$B$15+1,IF(E576=0,ROUND(C576/MAX(1,S575-A576+1),0),ROUND(-PMT(E576/12,MAX(1,S575-A576+1)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,0)</f>
        <v>0</v>
      </c>
    </row>
    <row r="577" spans="1:27">
      <c r="A577" s="30">
        <f>572</f>
        <v>572</v>
      </c>
      <c r="B577" s="31">
        <f>EDATE(入力!$B$6,A577-1)</f>
        <v>63614</v>
      </c>
      <c r="C577" s="32">
        <f t="shared" si="141"/>
        <v>0</v>
      </c>
      <c r="D577" s="32">
        <f t="shared" si="142"/>
        <v>0</v>
      </c>
      <c r="E577" s="33">
        <f>IF(AND(T576="",A577&lt;=S576),IF(A577&lt;入力!$B$11,入力!$B$10,入力!$B$12),0)</f>
        <v>0</v>
      </c>
      <c r="F577" s="32">
        <f t="shared" si="143"/>
        <v>0</v>
      </c>
      <c r="G577" s="32">
        <f>ROUND(IF(NOT(AND(T576="",A577&lt;=S576)),0,IF(A577=入力!$B$15+1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),0)</f>
        <v>0</v>
      </c>
      <c r="H577" s="32">
        <f t="shared" si="144"/>
        <v>0</v>
      </c>
      <c r="I577" s="32">
        <f t="shared" si="145"/>
        <v>0</v>
      </c>
      <c r="J577" s="32">
        <f t="shared" si="146"/>
        <v>0</v>
      </c>
      <c r="K577" s="32">
        <f t="shared" si="147"/>
        <v>0</v>
      </c>
      <c r="L577" s="32">
        <f t="shared" si="148"/>
        <v>0</v>
      </c>
      <c r="M577" s="32">
        <f>IF(AND(AND(T576="",A577&lt;=S576),A577=入力!$B$15),ROUND(MIN(入力!$B$16,MAX(0,C577-L577)),0),0)</f>
        <v>0</v>
      </c>
      <c r="N577" s="32">
        <f t="shared" si="149"/>
        <v>0</v>
      </c>
      <c r="O577" s="32">
        <f t="shared" si="150"/>
        <v>12386706</v>
      </c>
      <c r="P577" s="34" t="str">
        <f>IF(NOT(AND(T576="",A577&lt;=S576)),"",IF(A577=入力!$B$15+1,"繰上返済後再計算","")&amp;IF(AND(入力!$B$13="有効",A577&gt;1,MOD(A577-1,60)=0),IF(A577=入力!$B$15+1,"・","")&amp;"5年見直し","")&amp;IF(AND(A577=入力!$B$11,A577&gt;1),IF(OR(A577=入力!$B$15+1,AND(入力!$B$13="有効",A577&gt;1,MOD(A577-1,60)=0)),"・","")&amp;"金利変更","")&amp;IF(AND(OR(AND(入力!$B$13="有効",A577&gt;1,MOD(A577-1,60)=0),AND(A577=入力!$B$11,A577&gt;1)),入力!$B$14="有効",IF(E577=0,ROUND(C577/MAX(1,S576-A577+1),0),ROUND(-PMT(E577/12,MAX(1,S576-A577+1),C577),0))&gt;ROUND(G576*1.25,0),NOT(A577=入力!$B$15+1)),"・上限適用",""))</f>
        <v/>
      </c>
      <c r="Q577" s="35" t="str">
        <f>IF(AND(T576="",A577&lt;=S576),入力!$B$13,"")</f>
        <v/>
      </c>
      <c r="R577" s="32" t="str">
        <f>IF(AND(AND(T576="",A577&lt;=S576),OR(AND(入力!$B$13="有効",A577&gt;1,MOD(A577-1,60)=0),AND(A577=入力!$B$11,A577&gt;1)),入力!$B$14="有効"),ROUND(G576*1.25,0),"")</f>
        <v/>
      </c>
      <c r="S577" s="36">
        <f t="shared" si="151"/>
        <v>420</v>
      </c>
      <c r="T577" s="35" t="str">
        <f t="shared" si="152"/>
        <v/>
      </c>
      <c r="U577" s="3">
        <f t="shared" si="136"/>
        <v>0</v>
      </c>
      <c r="V577" s="3">
        <f t="shared" si="137"/>
        <v>0</v>
      </c>
      <c r="W577" s="3">
        <f t="shared" si="138"/>
        <v>0</v>
      </c>
      <c r="X577" s="3">
        <f t="shared" si="139"/>
        <v>0</v>
      </c>
      <c r="Y577" s="3">
        <f>0</f>
        <v>0</v>
      </c>
      <c r="Z577" s="3">
        <f t="shared" si="140"/>
        <v>0</v>
      </c>
      <c r="AA577">
        <f>ROUND(IF(A577=入力!$B$15+1,IF(E577=0,ROUND(C577/MAX(1,S576-A577+1),0),ROUND(-PMT(E577/12,MAX(1,S576-A577+1)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,0)</f>
        <v>0</v>
      </c>
    </row>
    <row r="578" spans="1:27">
      <c r="A578" s="30">
        <f>573</f>
        <v>573</v>
      </c>
      <c r="B578" s="31">
        <f>EDATE(入力!$B$6,A578-1)</f>
        <v>63645</v>
      </c>
      <c r="C578" s="32">
        <f t="shared" si="141"/>
        <v>0</v>
      </c>
      <c r="D578" s="32">
        <f t="shared" si="142"/>
        <v>0</v>
      </c>
      <c r="E578" s="33">
        <f>IF(AND(T577="",A578&lt;=S577),IF(A578&lt;入力!$B$11,入力!$B$10,入力!$B$12),0)</f>
        <v>0</v>
      </c>
      <c r="F578" s="32">
        <f t="shared" si="143"/>
        <v>0</v>
      </c>
      <c r="G578" s="32">
        <f>ROUND(IF(NOT(AND(T577="",A578&lt;=S577)),0,IF(A578=入力!$B$15+1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),0)</f>
        <v>0</v>
      </c>
      <c r="H578" s="32">
        <f t="shared" si="144"/>
        <v>0</v>
      </c>
      <c r="I578" s="32">
        <f t="shared" si="145"/>
        <v>0</v>
      </c>
      <c r="J578" s="32">
        <f t="shared" si="146"/>
        <v>0</v>
      </c>
      <c r="K578" s="32">
        <f t="shared" si="147"/>
        <v>0</v>
      </c>
      <c r="L578" s="32">
        <f t="shared" si="148"/>
        <v>0</v>
      </c>
      <c r="M578" s="32">
        <f>IF(AND(AND(T577="",A578&lt;=S577),A578=入力!$B$15),ROUND(MIN(入力!$B$16,MAX(0,C578-L578)),0),0)</f>
        <v>0</v>
      </c>
      <c r="N578" s="32">
        <f t="shared" si="149"/>
        <v>0</v>
      </c>
      <c r="O578" s="32">
        <f t="shared" si="150"/>
        <v>12386706</v>
      </c>
      <c r="P578" s="34" t="str">
        <f>IF(NOT(AND(T577="",A578&lt;=S577)),"",IF(A578=入力!$B$15+1,"繰上返済後再計算","")&amp;IF(AND(入力!$B$13="有効",A578&gt;1,MOD(A578-1,60)=0),IF(A578=入力!$B$15+1,"・","")&amp;"5年見直し","")&amp;IF(AND(A578=入力!$B$11,A578&gt;1),IF(OR(A578=入力!$B$15+1,AND(入力!$B$13="有効",A578&gt;1,MOD(A578-1,60)=0)),"・","")&amp;"金利変更","")&amp;IF(AND(OR(AND(入力!$B$13="有効",A578&gt;1,MOD(A578-1,60)=0),AND(A578=入力!$B$11,A578&gt;1)),入力!$B$14="有効",IF(E578=0,ROUND(C578/MAX(1,S577-A578+1),0),ROUND(-PMT(E578/12,MAX(1,S577-A578+1),C578),0))&gt;ROUND(G577*1.25,0),NOT(A578=入力!$B$15+1)),"・上限適用",""))</f>
        <v/>
      </c>
      <c r="Q578" s="35" t="str">
        <f>IF(AND(T577="",A578&lt;=S577),入力!$B$13,"")</f>
        <v/>
      </c>
      <c r="R578" s="32" t="str">
        <f>IF(AND(AND(T577="",A578&lt;=S577),OR(AND(入力!$B$13="有効",A578&gt;1,MOD(A578-1,60)=0),AND(A578=入力!$B$11,A578&gt;1)),入力!$B$14="有効"),ROUND(G577*1.25,0),"")</f>
        <v/>
      </c>
      <c r="S578" s="36">
        <f t="shared" si="151"/>
        <v>420</v>
      </c>
      <c r="T578" s="35" t="str">
        <f t="shared" si="152"/>
        <v/>
      </c>
      <c r="U578" s="3">
        <f t="shared" si="136"/>
        <v>0</v>
      </c>
      <c r="V578" s="3">
        <f t="shared" si="137"/>
        <v>0</v>
      </c>
      <c r="W578" s="3">
        <f t="shared" si="138"/>
        <v>0</v>
      </c>
      <c r="X578" s="3">
        <f t="shared" si="139"/>
        <v>0</v>
      </c>
      <c r="Y578" s="3">
        <f>0</f>
        <v>0</v>
      </c>
      <c r="Z578" s="3">
        <f t="shared" si="140"/>
        <v>0</v>
      </c>
      <c r="AA578">
        <f>ROUND(IF(A578=入力!$B$15+1,IF(E578=0,ROUND(C578/MAX(1,S577-A578+1),0),ROUND(-PMT(E578/12,MAX(1,S577-A578+1)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,0)</f>
        <v>0</v>
      </c>
    </row>
    <row r="579" spans="1:27">
      <c r="A579" s="30">
        <f>574</f>
        <v>574</v>
      </c>
      <c r="B579" s="31">
        <f>EDATE(入力!$B$6,A579-1)</f>
        <v>63675</v>
      </c>
      <c r="C579" s="32">
        <f t="shared" si="141"/>
        <v>0</v>
      </c>
      <c r="D579" s="32">
        <f t="shared" si="142"/>
        <v>0</v>
      </c>
      <c r="E579" s="33">
        <f>IF(AND(T578="",A579&lt;=S578),IF(A579&lt;入力!$B$11,入力!$B$10,入力!$B$12),0)</f>
        <v>0</v>
      </c>
      <c r="F579" s="32">
        <f t="shared" si="143"/>
        <v>0</v>
      </c>
      <c r="G579" s="32">
        <f>ROUND(IF(NOT(AND(T578="",A579&lt;=S578)),0,IF(A579=入力!$B$15+1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),0)</f>
        <v>0</v>
      </c>
      <c r="H579" s="32">
        <f t="shared" si="144"/>
        <v>0</v>
      </c>
      <c r="I579" s="32">
        <f t="shared" si="145"/>
        <v>0</v>
      </c>
      <c r="J579" s="32">
        <f t="shared" si="146"/>
        <v>0</v>
      </c>
      <c r="K579" s="32">
        <f t="shared" si="147"/>
        <v>0</v>
      </c>
      <c r="L579" s="32">
        <f t="shared" si="148"/>
        <v>0</v>
      </c>
      <c r="M579" s="32">
        <f>IF(AND(AND(T578="",A579&lt;=S578),A579=入力!$B$15),ROUND(MIN(入力!$B$16,MAX(0,C579-L579)),0),0)</f>
        <v>0</v>
      </c>
      <c r="N579" s="32">
        <f t="shared" si="149"/>
        <v>0</v>
      </c>
      <c r="O579" s="32">
        <f t="shared" si="150"/>
        <v>12386706</v>
      </c>
      <c r="P579" s="34" t="str">
        <f>IF(NOT(AND(T578="",A579&lt;=S578)),"",IF(A579=入力!$B$15+1,"繰上返済後再計算","")&amp;IF(AND(入力!$B$13="有効",A579&gt;1,MOD(A579-1,60)=0),IF(A579=入力!$B$15+1,"・","")&amp;"5年見直し","")&amp;IF(AND(A579=入力!$B$11,A579&gt;1),IF(OR(A579=入力!$B$15+1,AND(入力!$B$13="有効",A579&gt;1,MOD(A579-1,60)=0)),"・","")&amp;"金利変更","")&amp;IF(AND(OR(AND(入力!$B$13="有効",A579&gt;1,MOD(A579-1,60)=0),AND(A579=入力!$B$11,A579&gt;1)),入力!$B$14="有効",IF(E579=0,ROUND(C579/MAX(1,S578-A579+1),0),ROUND(-PMT(E579/12,MAX(1,S578-A579+1),C579),0))&gt;ROUND(G578*1.25,0),NOT(A579=入力!$B$15+1)),"・上限適用",""))</f>
        <v/>
      </c>
      <c r="Q579" s="35" t="str">
        <f>IF(AND(T578="",A579&lt;=S578),入力!$B$13,"")</f>
        <v/>
      </c>
      <c r="R579" s="32" t="str">
        <f>IF(AND(AND(T578="",A579&lt;=S578),OR(AND(入力!$B$13="有効",A579&gt;1,MOD(A579-1,60)=0),AND(A579=入力!$B$11,A579&gt;1)),入力!$B$14="有効"),ROUND(G578*1.25,0),"")</f>
        <v/>
      </c>
      <c r="S579" s="36">
        <f t="shared" si="151"/>
        <v>420</v>
      </c>
      <c r="T579" s="35" t="str">
        <f t="shared" si="152"/>
        <v/>
      </c>
      <c r="U579" s="3">
        <f t="shared" si="136"/>
        <v>0</v>
      </c>
      <c r="V579" s="3">
        <f t="shared" si="137"/>
        <v>0</v>
      </c>
      <c r="W579" s="3">
        <f t="shared" si="138"/>
        <v>0</v>
      </c>
      <c r="X579" s="3">
        <f t="shared" si="139"/>
        <v>0</v>
      </c>
      <c r="Y579" s="3">
        <f>0</f>
        <v>0</v>
      </c>
      <c r="Z579" s="3">
        <f t="shared" si="140"/>
        <v>0</v>
      </c>
      <c r="AA579">
        <f>ROUND(IF(A579=入力!$B$15+1,IF(E579=0,ROUND(C579/MAX(1,S578-A579+1),0),ROUND(-PMT(E579/12,MAX(1,S578-A579+1)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,0)</f>
        <v>0</v>
      </c>
    </row>
    <row r="580" spans="1:27">
      <c r="A580" s="30">
        <f>575</f>
        <v>575</v>
      </c>
      <c r="B580" s="31">
        <f>EDATE(入力!$B$6,A580-1)</f>
        <v>63706</v>
      </c>
      <c r="C580" s="32">
        <f t="shared" si="141"/>
        <v>0</v>
      </c>
      <c r="D580" s="32">
        <f t="shared" si="142"/>
        <v>0</v>
      </c>
      <c r="E580" s="33">
        <f>IF(AND(T579="",A580&lt;=S579),IF(A580&lt;入力!$B$11,入力!$B$10,入力!$B$12),0)</f>
        <v>0</v>
      </c>
      <c r="F580" s="32">
        <f t="shared" si="143"/>
        <v>0</v>
      </c>
      <c r="G580" s="32">
        <f>ROUND(IF(NOT(AND(T579="",A580&lt;=S579)),0,IF(A580=入力!$B$15+1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),0)</f>
        <v>0</v>
      </c>
      <c r="H580" s="32">
        <f t="shared" si="144"/>
        <v>0</v>
      </c>
      <c r="I580" s="32">
        <f t="shared" si="145"/>
        <v>0</v>
      </c>
      <c r="J580" s="32">
        <f t="shared" si="146"/>
        <v>0</v>
      </c>
      <c r="K580" s="32">
        <f t="shared" si="147"/>
        <v>0</v>
      </c>
      <c r="L580" s="32">
        <f t="shared" si="148"/>
        <v>0</v>
      </c>
      <c r="M580" s="32">
        <f>IF(AND(AND(T579="",A580&lt;=S579),A580=入力!$B$15),ROUND(MIN(入力!$B$16,MAX(0,C580-L580)),0),0)</f>
        <v>0</v>
      </c>
      <c r="N580" s="32">
        <f t="shared" si="149"/>
        <v>0</v>
      </c>
      <c r="O580" s="32">
        <f t="shared" si="150"/>
        <v>12386706</v>
      </c>
      <c r="P580" s="34" t="str">
        <f>IF(NOT(AND(T579="",A580&lt;=S579)),"",IF(A580=入力!$B$15+1,"繰上返済後再計算","")&amp;IF(AND(入力!$B$13="有効",A580&gt;1,MOD(A580-1,60)=0),IF(A580=入力!$B$15+1,"・","")&amp;"5年見直し","")&amp;IF(AND(A580=入力!$B$11,A580&gt;1),IF(OR(A580=入力!$B$15+1,AND(入力!$B$13="有効",A580&gt;1,MOD(A580-1,60)=0)),"・","")&amp;"金利変更","")&amp;IF(AND(OR(AND(入力!$B$13="有効",A580&gt;1,MOD(A580-1,60)=0),AND(A580=入力!$B$11,A580&gt;1)),入力!$B$14="有効",IF(E580=0,ROUND(C580/MAX(1,S579-A580+1),0),ROUND(-PMT(E580/12,MAX(1,S579-A580+1),C580),0))&gt;ROUND(G579*1.25,0),NOT(A580=入力!$B$15+1)),"・上限適用",""))</f>
        <v/>
      </c>
      <c r="Q580" s="35" t="str">
        <f>IF(AND(T579="",A580&lt;=S579),入力!$B$13,"")</f>
        <v/>
      </c>
      <c r="R580" s="32" t="str">
        <f>IF(AND(AND(T579="",A580&lt;=S579),OR(AND(入力!$B$13="有効",A580&gt;1,MOD(A580-1,60)=0),AND(A580=入力!$B$11,A580&gt;1)),入力!$B$14="有効"),ROUND(G579*1.25,0),"")</f>
        <v/>
      </c>
      <c r="S580" s="36">
        <f t="shared" si="151"/>
        <v>420</v>
      </c>
      <c r="T580" s="35" t="str">
        <f t="shared" si="152"/>
        <v/>
      </c>
      <c r="U580" s="3">
        <f t="shared" si="136"/>
        <v>0</v>
      </c>
      <c r="V580" s="3">
        <f t="shared" si="137"/>
        <v>0</v>
      </c>
      <c r="W580" s="3">
        <f t="shared" si="138"/>
        <v>0</v>
      </c>
      <c r="X580" s="3">
        <f t="shared" si="139"/>
        <v>0</v>
      </c>
      <c r="Y580" s="3">
        <f>0</f>
        <v>0</v>
      </c>
      <c r="Z580" s="3">
        <f t="shared" si="140"/>
        <v>0</v>
      </c>
      <c r="AA580">
        <f>ROUND(IF(A580=入力!$B$15+1,IF(E580=0,ROUND(C580/MAX(1,S579-A580+1),0),ROUND(-PMT(E580/12,MAX(1,S579-A580+1)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,0)</f>
        <v>0</v>
      </c>
    </row>
    <row r="581" spans="1:27">
      <c r="A581" s="30">
        <f>576</f>
        <v>576</v>
      </c>
      <c r="B581" s="31">
        <f>EDATE(入力!$B$6,A581-1)</f>
        <v>63736</v>
      </c>
      <c r="C581" s="32">
        <f t="shared" si="141"/>
        <v>0</v>
      </c>
      <c r="D581" s="32">
        <f t="shared" si="142"/>
        <v>0</v>
      </c>
      <c r="E581" s="33">
        <f>IF(AND(T580="",A581&lt;=S580),IF(A581&lt;入力!$B$11,入力!$B$10,入力!$B$12),0)</f>
        <v>0</v>
      </c>
      <c r="F581" s="32">
        <f t="shared" si="143"/>
        <v>0</v>
      </c>
      <c r="G581" s="32">
        <f>ROUND(IF(NOT(AND(T580="",A581&lt;=S580)),0,IF(A581=入力!$B$15+1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),0)</f>
        <v>0</v>
      </c>
      <c r="H581" s="32">
        <f t="shared" si="144"/>
        <v>0</v>
      </c>
      <c r="I581" s="32">
        <f t="shared" si="145"/>
        <v>0</v>
      </c>
      <c r="J581" s="32">
        <f t="shared" si="146"/>
        <v>0</v>
      </c>
      <c r="K581" s="32">
        <f t="shared" si="147"/>
        <v>0</v>
      </c>
      <c r="L581" s="32">
        <f t="shared" si="148"/>
        <v>0</v>
      </c>
      <c r="M581" s="32">
        <f>IF(AND(AND(T580="",A581&lt;=S580),A581=入力!$B$15),ROUND(MIN(入力!$B$16,MAX(0,C581-L581)),0),0)</f>
        <v>0</v>
      </c>
      <c r="N581" s="32">
        <f t="shared" si="149"/>
        <v>0</v>
      </c>
      <c r="O581" s="32">
        <f t="shared" si="150"/>
        <v>12386706</v>
      </c>
      <c r="P581" s="34" t="str">
        <f>IF(NOT(AND(T580="",A581&lt;=S580)),"",IF(A581=入力!$B$15+1,"繰上返済後再計算","")&amp;IF(AND(入力!$B$13="有効",A581&gt;1,MOD(A581-1,60)=0),IF(A581=入力!$B$15+1,"・","")&amp;"5年見直し","")&amp;IF(AND(A581=入力!$B$11,A581&gt;1),IF(OR(A581=入力!$B$15+1,AND(入力!$B$13="有効",A581&gt;1,MOD(A581-1,60)=0)),"・","")&amp;"金利変更","")&amp;IF(AND(OR(AND(入力!$B$13="有効",A581&gt;1,MOD(A581-1,60)=0),AND(A581=入力!$B$11,A581&gt;1)),入力!$B$14="有効",IF(E581=0,ROUND(C581/MAX(1,S580-A581+1),0),ROUND(-PMT(E581/12,MAX(1,S580-A581+1),C581),0))&gt;ROUND(G580*1.25,0),NOT(A581=入力!$B$15+1)),"・上限適用",""))</f>
        <v/>
      </c>
      <c r="Q581" s="35" t="str">
        <f>IF(AND(T580="",A581&lt;=S580),入力!$B$13,"")</f>
        <v/>
      </c>
      <c r="R581" s="32" t="str">
        <f>IF(AND(AND(T580="",A581&lt;=S580),OR(AND(入力!$B$13="有効",A581&gt;1,MOD(A581-1,60)=0),AND(A581=入力!$B$11,A581&gt;1)),入力!$B$14="有効"),ROUND(G580*1.25,0),"")</f>
        <v/>
      </c>
      <c r="S581" s="36">
        <f t="shared" si="151"/>
        <v>420</v>
      </c>
      <c r="T581" s="35" t="str">
        <f t="shared" si="152"/>
        <v/>
      </c>
      <c r="U581" s="3">
        <f t="shared" si="136"/>
        <v>0</v>
      </c>
      <c r="V581" s="3">
        <f t="shared" si="137"/>
        <v>0</v>
      </c>
      <c r="W581" s="3">
        <f t="shared" si="138"/>
        <v>0</v>
      </c>
      <c r="X581" s="3">
        <f t="shared" si="139"/>
        <v>0</v>
      </c>
      <c r="Y581" s="3">
        <f>0</f>
        <v>0</v>
      </c>
      <c r="Z581" s="3">
        <f t="shared" si="140"/>
        <v>0</v>
      </c>
      <c r="AA581">
        <f>ROUND(IF(A581=入力!$B$15+1,IF(E581=0,ROUND(C581/MAX(1,S580-A581+1),0),ROUND(-PMT(E581/12,MAX(1,S580-A581+1)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,0)</f>
        <v>0</v>
      </c>
    </row>
    <row r="582" spans="1:27">
      <c r="A582" s="30">
        <f>577</f>
        <v>577</v>
      </c>
      <c r="B582" s="31">
        <f>EDATE(入力!$B$6,A582-1)</f>
        <v>63767</v>
      </c>
      <c r="C582" s="32">
        <f t="shared" si="141"/>
        <v>0</v>
      </c>
      <c r="D582" s="32">
        <f t="shared" si="142"/>
        <v>0</v>
      </c>
      <c r="E582" s="33">
        <f>IF(AND(T581="",A582&lt;=S581),IF(A582&lt;入力!$B$11,入力!$B$10,入力!$B$12),0)</f>
        <v>0</v>
      </c>
      <c r="F582" s="32">
        <f t="shared" si="143"/>
        <v>0</v>
      </c>
      <c r="G582" s="32">
        <f>ROUND(IF(NOT(AND(T581="",A582&lt;=S581)),0,IF(A582=入力!$B$15+1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),0)</f>
        <v>0</v>
      </c>
      <c r="H582" s="32">
        <f t="shared" si="144"/>
        <v>0</v>
      </c>
      <c r="I582" s="32">
        <f t="shared" si="145"/>
        <v>0</v>
      </c>
      <c r="J582" s="32">
        <f t="shared" si="146"/>
        <v>0</v>
      </c>
      <c r="K582" s="32">
        <f t="shared" si="147"/>
        <v>0</v>
      </c>
      <c r="L582" s="32">
        <f t="shared" si="148"/>
        <v>0</v>
      </c>
      <c r="M582" s="32">
        <f>IF(AND(AND(T581="",A582&lt;=S581),A582=入力!$B$15),ROUND(MIN(入力!$B$16,MAX(0,C582-L582)),0),0)</f>
        <v>0</v>
      </c>
      <c r="N582" s="32">
        <f t="shared" si="149"/>
        <v>0</v>
      </c>
      <c r="O582" s="32">
        <f t="shared" si="150"/>
        <v>12386706</v>
      </c>
      <c r="P582" s="34" t="str">
        <f>IF(NOT(AND(T581="",A582&lt;=S581)),"",IF(A582=入力!$B$15+1,"繰上返済後再計算","")&amp;IF(AND(入力!$B$13="有効",A582&gt;1,MOD(A582-1,60)=0),IF(A582=入力!$B$15+1,"・","")&amp;"5年見直し","")&amp;IF(AND(A582=入力!$B$11,A582&gt;1),IF(OR(A582=入力!$B$15+1,AND(入力!$B$13="有効",A582&gt;1,MOD(A582-1,60)=0)),"・","")&amp;"金利変更","")&amp;IF(AND(OR(AND(入力!$B$13="有効",A582&gt;1,MOD(A582-1,60)=0),AND(A582=入力!$B$11,A582&gt;1)),入力!$B$14="有効",IF(E582=0,ROUND(C582/MAX(1,S581-A582+1),0),ROUND(-PMT(E582/12,MAX(1,S581-A582+1),C582),0))&gt;ROUND(G581*1.25,0),NOT(A582=入力!$B$15+1)),"・上限適用",""))</f>
        <v/>
      </c>
      <c r="Q582" s="35" t="str">
        <f>IF(AND(T581="",A582&lt;=S581),入力!$B$13,"")</f>
        <v/>
      </c>
      <c r="R582" s="32" t="str">
        <f>IF(AND(AND(T581="",A582&lt;=S581),OR(AND(入力!$B$13="有効",A582&gt;1,MOD(A582-1,60)=0),AND(A582=入力!$B$11,A582&gt;1)),入力!$B$14="有効"),ROUND(G581*1.25,0),"")</f>
        <v/>
      </c>
      <c r="S582" s="36">
        <f t="shared" si="151"/>
        <v>420</v>
      </c>
      <c r="T582" s="35" t="str">
        <f t="shared" si="152"/>
        <v/>
      </c>
      <c r="U582" s="3">
        <f t="shared" ref="U582:U605" si="153">ABS(I582-MIN(H582,D582+F582))</f>
        <v>0</v>
      </c>
      <c r="V582" s="3">
        <f t="shared" ref="V582:V605" si="154">ABS(L582-(H582-I582))</f>
        <v>0</v>
      </c>
      <c r="W582" s="3">
        <f t="shared" ref="W582:W605" si="155">ABS(K582-(D582+J582))</f>
        <v>0</v>
      </c>
      <c r="X582" s="3">
        <f t="shared" ref="X582:X605" si="156">ABS(F582-ROUND(F582,0))+ABS(G582-ROUND(G582,0))+ABS(H582-ROUND(H582,0))+ABS(I582-ROUND(I582,0))+ABS(J582-ROUND(J582,0))+ABS(K582-ROUND(K582,0))+ABS(L582-ROUND(L582,0))+ABS(M582-ROUND(M582,0))+ABS(N582-ROUND(N582,0))+ABS(O582-ROUND(O582,0))</f>
        <v>0</v>
      </c>
      <c r="Y582" s="3">
        <f>0</f>
        <v>0</v>
      </c>
      <c r="Z582" s="3">
        <f t="shared" ref="Z582:Z605" si="157">SUM(--ISERROR(A582),--ISERROR(B582),--ISERROR(C582),--ISERROR(D582),--ISERROR(E582),--ISERROR(F582),--ISERROR(G582),--ISERROR(H582),--ISERROR(I582),--ISERROR(J582),--ISERROR(K582),--ISERROR(L582),--ISERROR(M582),--ISERROR(N582),--ISERROR(O582),--ISERROR(P582),--ISERROR(Q582),--ISERROR(R582),--ISERROR(S582),--ISERROR(T582))</f>
        <v>0</v>
      </c>
      <c r="AA582">
        <f>ROUND(IF(A582=入力!$B$15+1,IF(E582=0,ROUND(C582/MAX(1,S581-A582+1),0),ROUND(-PMT(E582/12,MAX(1,S581-A582+1)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,0)</f>
        <v>0</v>
      </c>
    </row>
    <row r="583" spans="1:27">
      <c r="A583" s="30">
        <f>578</f>
        <v>578</v>
      </c>
      <c r="B583" s="31">
        <f>EDATE(入力!$B$6,A583-1)</f>
        <v>63798</v>
      </c>
      <c r="C583" s="32">
        <f t="shared" ref="C583:C605" si="158">IF(AND(T582="",A583&lt;=S582),N582,0)</f>
        <v>0</v>
      </c>
      <c r="D583" s="32">
        <f t="shared" ref="D583:D605" si="159">IF(AND(T582="",A583&lt;=S582),K582,0)</f>
        <v>0</v>
      </c>
      <c r="E583" s="33">
        <f>IF(AND(T582="",A583&lt;=S582),IF(A583&lt;入力!$B$11,入力!$B$10,入力!$B$12),0)</f>
        <v>0</v>
      </c>
      <c r="F583" s="32">
        <f t="shared" ref="F583:F646" si="160">IF(AND(T582="",A583&lt;=S582),ROUND(C583*E583/12,0),0)</f>
        <v>0</v>
      </c>
      <c r="G583" s="32">
        <f>ROUND(IF(NOT(AND(T582="",A583&lt;=S582)),0,IF(A583=入力!$B$15+1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),0)</f>
        <v>0</v>
      </c>
      <c r="H583" s="32">
        <f t="shared" ref="H583:H646" si="161">IF(AND(T582="",A583&lt;=S582),ROUND(MIN(G583,C583+D583+F583),0),0)</f>
        <v>0</v>
      </c>
      <c r="I583" s="32">
        <f t="shared" ref="I583:I646" si="162">IF(AND(T582="",A583&lt;=S582),ROUND(MIN(H583,D583+F583),0),0)</f>
        <v>0</v>
      </c>
      <c r="J583" s="32">
        <f t="shared" ref="J583:J646" si="163">IF(AND(T582="",A583&lt;=S582),ROUND(F583-I583,0),0)</f>
        <v>0</v>
      </c>
      <c r="K583" s="32">
        <f t="shared" ref="K583:K646" si="164">IF(AND(T582="",A583&lt;=S582),ROUND(D583+J583,0),0)</f>
        <v>0</v>
      </c>
      <c r="L583" s="32">
        <f t="shared" ref="L583:L605" si="165">IF(AND(T582="",A583&lt;=S582),ROUND(H583-I583,0),0)</f>
        <v>0</v>
      </c>
      <c r="M583" s="32">
        <f>IF(AND(AND(T582="",A583&lt;=S582),A583=入力!$B$15),ROUND(MIN(入力!$B$16,MAX(0,C583-L583)),0),0)</f>
        <v>0</v>
      </c>
      <c r="N583" s="32">
        <f t="shared" ref="N583:N646" si="166">IF(AND(T582="",A583&lt;=S582),ROUND(MAX(0,C583-L583-M583),0),0)</f>
        <v>0</v>
      </c>
      <c r="O583" s="32">
        <f t="shared" ref="O583:O605" si="167">IF(AND(T582="",A583&lt;=S582),ROUND(O582+F583,0),O582)</f>
        <v>12386706</v>
      </c>
      <c r="P583" s="34" t="str">
        <f>IF(NOT(AND(T582="",A583&lt;=S582)),"",IF(A583=入力!$B$15+1,"繰上返済後再計算","")&amp;IF(AND(入力!$B$13="有効",A583&gt;1,MOD(A583-1,60)=0),IF(A583=入力!$B$15+1,"・","")&amp;"5年見直し","")&amp;IF(AND(A583=入力!$B$11,A583&gt;1),IF(OR(A583=入力!$B$15+1,AND(入力!$B$13="有効",A583&gt;1,MOD(A583-1,60)=0)),"・","")&amp;"金利変更","")&amp;IF(AND(OR(AND(入力!$B$13="有効",A583&gt;1,MOD(A583-1,60)=0),AND(A583=入力!$B$11,A583&gt;1)),入力!$B$14="有効",IF(E583=0,ROUND(C583/MAX(1,S582-A583+1),0),ROUND(-PMT(E583/12,MAX(1,S582-A583+1),C583),0))&gt;ROUND(G582*1.25,0),NOT(A583=入力!$B$15+1)),"・上限適用",""))</f>
        <v/>
      </c>
      <c r="Q583" s="35" t="str">
        <f>IF(AND(T582="",A583&lt;=S582),入力!$B$13,"")</f>
        <v/>
      </c>
      <c r="R583" s="32" t="str">
        <f>IF(AND(AND(T582="",A583&lt;=S582),OR(AND(入力!$B$13="有効",A583&gt;1,MOD(A583-1,60)=0),AND(A583=入力!$B$11,A583&gt;1)),入力!$B$14="有効"),ROUND(G582*1.25,0),"")</f>
        <v/>
      </c>
      <c r="S583" s="36">
        <f t="shared" ref="S583:S605" si="168">S582</f>
        <v>420</v>
      </c>
      <c r="T583" s="35" t="str">
        <f t="shared" ref="T583:T646" si="169">IF(NOT(AND(T582="",A583&lt;=S582)),"",IF(AND(N583=0,K583=0),"完済",IF(A583=S583,"最終回清算","")))</f>
        <v/>
      </c>
      <c r="U583" s="3">
        <f t="shared" si="153"/>
        <v>0</v>
      </c>
      <c r="V583" s="3">
        <f t="shared" si="154"/>
        <v>0</v>
      </c>
      <c r="W583" s="3">
        <f t="shared" si="155"/>
        <v>0</v>
      </c>
      <c r="X583" s="3">
        <f t="shared" si="156"/>
        <v>0</v>
      </c>
      <c r="Y583" s="3">
        <f>0</f>
        <v>0</v>
      </c>
      <c r="Z583" s="3">
        <f t="shared" si="157"/>
        <v>0</v>
      </c>
      <c r="AA583">
        <f>ROUND(IF(A583=入力!$B$15+1,IF(E583=0,ROUND(C583/MAX(1,S582-A583+1),0),ROUND(-PMT(E583/12,MAX(1,S582-A583+1)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,0)</f>
        <v>0</v>
      </c>
    </row>
    <row r="584" spans="1:27">
      <c r="A584" s="30">
        <f>579</f>
        <v>579</v>
      </c>
      <c r="B584" s="31">
        <f>EDATE(入力!$B$6,A584-1)</f>
        <v>63828</v>
      </c>
      <c r="C584" s="32">
        <f t="shared" si="158"/>
        <v>0</v>
      </c>
      <c r="D584" s="32">
        <f t="shared" si="159"/>
        <v>0</v>
      </c>
      <c r="E584" s="33">
        <f>IF(AND(T583="",A584&lt;=S583),IF(A584&lt;入力!$B$11,入力!$B$10,入力!$B$12),0)</f>
        <v>0</v>
      </c>
      <c r="F584" s="32">
        <f t="shared" si="160"/>
        <v>0</v>
      </c>
      <c r="G584" s="32">
        <f>ROUND(IF(NOT(AND(T583="",A584&lt;=S583)),0,IF(A584=入力!$B$15+1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),0)</f>
        <v>0</v>
      </c>
      <c r="H584" s="32">
        <f t="shared" si="161"/>
        <v>0</v>
      </c>
      <c r="I584" s="32">
        <f t="shared" si="162"/>
        <v>0</v>
      </c>
      <c r="J584" s="32">
        <f t="shared" si="163"/>
        <v>0</v>
      </c>
      <c r="K584" s="32">
        <f t="shared" si="164"/>
        <v>0</v>
      </c>
      <c r="L584" s="32">
        <f t="shared" si="165"/>
        <v>0</v>
      </c>
      <c r="M584" s="32">
        <f>IF(AND(AND(T583="",A584&lt;=S583),A584=入力!$B$15),ROUND(MIN(入力!$B$16,MAX(0,C584-L584)),0),0)</f>
        <v>0</v>
      </c>
      <c r="N584" s="32">
        <f t="shared" si="166"/>
        <v>0</v>
      </c>
      <c r="O584" s="32">
        <f t="shared" si="167"/>
        <v>12386706</v>
      </c>
      <c r="P584" s="34" t="str">
        <f>IF(NOT(AND(T583="",A584&lt;=S583)),"",IF(A584=入力!$B$15+1,"繰上返済後再計算","")&amp;IF(AND(入力!$B$13="有効",A584&gt;1,MOD(A584-1,60)=0),IF(A584=入力!$B$15+1,"・","")&amp;"5年見直し","")&amp;IF(AND(A584=入力!$B$11,A584&gt;1),IF(OR(A584=入力!$B$15+1,AND(入力!$B$13="有効",A584&gt;1,MOD(A584-1,60)=0)),"・","")&amp;"金利変更","")&amp;IF(AND(OR(AND(入力!$B$13="有効",A584&gt;1,MOD(A584-1,60)=0),AND(A584=入力!$B$11,A584&gt;1)),入力!$B$14="有効",IF(E584=0,ROUND(C584/MAX(1,S583-A584+1),0),ROUND(-PMT(E584/12,MAX(1,S583-A584+1),C584),0))&gt;ROUND(G583*1.25,0),NOT(A584=入力!$B$15+1)),"・上限適用",""))</f>
        <v/>
      </c>
      <c r="Q584" s="35" t="str">
        <f>IF(AND(T583="",A584&lt;=S583),入力!$B$13,"")</f>
        <v/>
      </c>
      <c r="R584" s="32" t="str">
        <f>IF(AND(AND(T583="",A584&lt;=S583),OR(AND(入力!$B$13="有効",A584&gt;1,MOD(A584-1,60)=0),AND(A584=入力!$B$11,A584&gt;1)),入力!$B$14="有効"),ROUND(G583*1.25,0),"")</f>
        <v/>
      </c>
      <c r="S584" s="36">
        <f t="shared" si="168"/>
        <v>420</v>
      </c>
      <c r="T584" s="35" t="str">
        <f t="shared" si="169"/>
        <v/>
      </c>
      <c r="U584" s="3">
        <f t="shared" si="153"/>
        <v>0</v>
      </c>
      <c r="V584" s="3">
        <f t="shared" si="154"/>
        <v>0</v>
      </c>
      <c r="W584" s="3">
        <f t="shared" si="155"/>
        <v>0</v>
      </c>
      <c r="X584" s="3">
        <f t="shared" si="156"/>
        <v>0</v>
      </c>
      <c r="Y584" s="3">
        <f>0</f>
        <v>0</v>
      </c>
      <c r="Z584" s="3">
        <f t="shared" si="157"/>
        <v>0</v>
      </c>
      <c r="AA584">
        <f>ROUND(IF(A584=入力!$B$15+1,IF(E584=0,ROUND(C584/MAX(1,S583-A584+1),0),ROUND(-PMT(E584/12,MAX(1,S583-A584+1)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,0)</f>
        <v>0</v>
      </c>
    </row>
    <row r="585" spans="1:27">
      <c r="A585" s="30">
        <f>580</f>
        <v>580</v>
      </c>
      <c r="B585" s="31">
        <f>EDATE(入力!$B$6,A585-1)</f>
        <v>63859</v>
      </c>
      <c r="C585" s="32">
        <f t="shared" si="158"/>
        <v>0</v>
      </c>
      <c r="D585" s="32">
        <f t="shared" si="159"/>
        <v>0</v>
      </c>
      <c r="E585" s="33">
        <f>IF(AND(T584="",A585&lt;=S584),IF(A585&lt;入力!$B$11,入力!$B$10,入力!$B$12),0)</f>
        <v>0</v>
      </c>
      <c r="F585" s="32">
        <f t="shared" si="160"/>
        <v>0</v>
      </c>
      <c r="G585" s="32">
        <f>ROUND(IF(NOT(AND(T584="",A585&lt;=S584)),0,IF(A585=入力!$B$15+1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),0)</f>
        <v>0</v>
      </c>
      <c r="H585" s="32">
        <f t="shared" si="161"/>
        <v>0</v>
      </c>
      <c r="I585" s="32">
        <f t="shared" si="162"/>
        <v>0</v>
      </c>
      <c r="J585" s="32">
        <f t="shared" si="163"/>
        <v>0</v>
      </c>
      <c r="K585" s="32">
        <f t="shared" si="164"/>
        <v>0</v>
      </c>
      <c r="L585" s="32">
        <f t="shared" si="165"/>
        <v>0</v>
      </c>
      <c r="M585" s="32">
        <f>IF(AND(AND(T584="",A585&lt;=S584),A585=入力!$B$15),ROUND(MIN(入力!$B$16,MAX(0,C585-L585)),0),0)</f>
        <v>0</v>
      </c>
      <c r="N585" s="32">
        <f t="shared" si="166"/>
        <v>0</v>
      </c>
      <c r="O585" s="32">
        <f t="shared" si="167"/>
        <v>12386706</v>
      </c>
      <c r="P585" s="34" t="str">
        <f>IF(NOT(AND(T584="",A585&lt;=S584)),"",IF(A585=入力!$B$15+1,"繰上返済後再計算","")&amp;IF(AND(入力!$B$13="有効",A585&gt;1,MOD(A585-1,60)=0),IF(A585=入力!$B$15+1,"・","")&amp;"5年見直し","")&amp;IF(AND(A585=入力!$B$11,A585&gt;1),IF(OR(A585=入力!$B$15+1,AND(入力!$B$13="有効",A585&gt;1,MOD(A585-1,60)=0)),"・","")&amp;"金利変更","")&amp;IF(AND(OR(AND(入力!$B$13="有効",A585&gt;1,MOD(A585-1,60)=0),AND(A585=入力!$B$11,A585&gt;1)),入力!$B$14="有効",IF(E585=0,ROUND(C585/MAX(1,S584-A585+1),0),ROUND(-PMT(E585/12,MAX(1,S584-A585+1),C585),0))&gt;ROUND(G584*1.25,0),NOT(A585=入力!$B$15+1)),"・上限適用",""))</f>
        <v/>
      </c>
      <c r="Q585" s="35" t="str">
        <f>IF(AND(T584="",A585&lt;=S584),入力!$B$13,"")</f>
        <v/>
      </c>
      <c r="R585" s="32" t="str">
        <f>IF(AND(AND(T584="",A585&lt;=S584),OR(AND(入力!$B$13="有効",A585&gt;1,MOD(A585-1,60)=0),AND(A585=入力!$B$11,A585&gt;1)),入力!$B$14="有効"),ROUND(G584*1.25,0),"")</f>
        <v/>
      </c>
      <c r="S585" s="36">
        <f t="shared" si="168"/>
        <v>420</v>
      </c>
      <c r="T585" s="35" t="str">
        <f t="shared" si="169"/>
        <v/>
      </c>
      <c r="U585" s="3">
        <f t="shared" si="153"/>
        <v>0</v>
      </c>
      <c r="V585" s="3">
        <f t="shared" si="154"/>
        <v>0</v>
      </c>
      <c r="W585" s="3">
        <f t="shared" si="155"/>
        <v>0</v>
      </c>
      <c r="X585" s="3">
        <f t="shared" si="156"/>
        <v>0</v>
      </c>
      <c r="Y585" s="3">
        <f>0</f>
        <v>0</v>
      </c>
      <c r="Z585" s="3">
        <f t="shared" si="157"/>
        <v>0</v>
      </c>
      <c r="AA585">
        <f>ROUND(IF(A585=入力!$B$15+1,IF(E585=0,ROUND(C585/MAX(1,S584-A585+1),0),ROUND(-PMT(E585/12,MAX(1,S584-A585+1)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,0)</f>
        <v>0</v>
      </c>
    </row>
    <row r="586" spans="1:27">
      <c r="A586" s="30">
        <f>581</f>
        <v>581</v>
      </c>
      <c r="B586" s="31">
        <f>EDATE(入力!$B$6,A586-1)</f>
        <v>63889</v>
      </c>
      <c r="C586" s="32">
        <f t="shared" si="158"/>
        <v>0</v>
      </c>
      <c r="D586" s="32">
        <f t="shared" si="159"/>
        <v>0</v>
      </c>
      <c r="E586" s="33">
        <f>IF(AND(T585="",A586&lt;=S585),IF(A586&lt;入力!$B$11,入力!$B$10,入力!$B$12),0)</f>
        <v>0</v>
      </c>
      <c r="F586" s="32">
        <f t="shared" si="160"/>
        <v>0</v>
      </c>
      <c r="G586" s="32">
        <f>ROUND(IF(NOT(AND(T585="",A586&lt;=S585)),0,IF(A586=入力!$B$15+1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),0)</f>
        <v>0</v>
      </c>
      <c r="H586" s="32">
        <f t="shared" si="161"/>
        <v>0</v>
      </c>
      <c r="I586" s="32">
        <f t="shared" si="162"/>
        <v>0</v>
      </c>
      <c r="J586" s="32">
        <f t="shared" si="163"/>
        <v>0</v>
      </c>
      <c r="K586" s="32">
        <f t="shared" si="164"/>
        <v>0</v>
      </c>
      <c r="L586" s="32">
        <f t="shared" si="165"/>
        <v>0</v>
      </c>
      <c r="M586" s="32">
        <f>IF(AND(AND(T585="",A586&lt;=S585),A586=入力!$B$15),ROUND(MIN(入力!$B$16,MAX(0,C586-L586)),0),0)</f>
        <v>0</v>
      </c>
      <c r="N586" s="32">
        <f t="shared" si="166"/>
        <v>0</v>
      </c>
      <c r="O586" s="32">
        <f t="shared" si="167"/>
        <v>12386706</v>
      </c>
      <c r="P586" s="34" t="str">
        <f>IF(NOT(AND(T585="",A586&lt;=S585)),"",IF(A586=入力!$B$15+1,"繰上返済後再計算","")&amp;IF(AND(入力!$B$13="有効",A586&gt;1,MOD(A586-1,60)=0),IF(A586=入力!$B$15+1,"・","")&amp;"5年見直し","")&amp;IF(AND(A586=入力!$B$11,A586&gt;1),IF(OR(A586=入力!$B$15+1,AND(入力!$B$13="有効",A586&gt;1,MOD(A586-1,60)=0)),"・","")&amp;"金利変更","")&amp;IF(AND(OR(AND(入力!$B$13="有効",A586&gt;1,MOD(A586-1,60)=0),AND(A586=入力!$B$11,A586&gt;1)),入力!$B$14="有効",IF(E586=0,ROUND(C586/MAX(1,S585-A586+1),0),ROUND(-PMT(E586/12,MAX(1,S585-A586+1),C586),0))&gt;ROUND(G585*1.25,0),NOT(A586=入力!$B$15+1)),"・上限適用",""))</f>
        <v/>
      </c>
      <c r="Q586" s="35" t="str">
        <f>IF(AND(T585="",A586&lt;=S585),入力!$B$13,"")</f>
        <v/>
      </c>
      <c r="R586" s="32" t="str">
        <f>IF(AND(AND(T585="",A586&lt;=S585),OR(AND(入力!$B$13="有効",A586&gt;1,MOD(A586-1,60)=0),AND(A586=入力!$B$11,A586&gt;1)),入力!$B$14="有効"),ROUND(G585*1.25,0),"")</f>
        <v/>
      </c>
      <c r="S586" s="36">
        <f t="shared" si="168"/>
        <v>420</v>
      </c>
      <c r="T586" s="35" t="str">
        <f t="shared" si="169"/>
        <v/>
      </c>
      <c r="U586" s="3">
        <f t="shared" si="153"/>
        <v>0</v>
      </c>
      <c r="V586" s="3">
        <f t="shared" si="154"/>
        <v>0</v>
      </c>
      <c r="W586" s="3">
        <f t="shared" si="155"/>
        <v>0</v>
      </c>
      <c r="X586" s="3">
        <f t="shared" si="156"/>
        <v>0</v>
      </c>
      <c r="Y586" s="3">
        <f>0</f>
        <v>0</v>
      </c>
      <c r="Z586" s="3">
        <f t="shared" si="157"/>
        <v>0</v>
      </c>
      <c r="AA586">
        <f>ROUND(IF(A586=入力!$B$15+1,IF(E586=0,ROUND(C586/MAX(1,S585-A586+1),0),ROUND(-PMT(E586/12,MAX(1,S585-A586+1)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,0)</f>
        <v>0</v>
      </c>
    </row>
    <row r="587" spans="1:27">
      <c r="A587" s="30">
        <f>582</f>
        <v>582</v>
      </c>
      <c r="B587" s="31">
        <f>EDATE(入力!$B$6,A587-1)</f>
        <v>63920</v>
      </c>
      <c r="C587" s="32">
        <f t="shared" si="158"/>
        <v>0</v>
      </c>
      <c r="D587" s="32">
        <f t="shared" si="159"/>
        <v>0</v>
      </c>
      <c r="E587" s="33">
        <f>IF(AND(T586="",A587&lt;=S586),IF(A587&lt;入力!$B$11,入力!$B$10,入力!$B$12),0)</f>
        <v>0</v>
      </c>
      <c r="F587" s="32">
        <f t="shared" si="160"/>
        <v>0</v>
      </c>
      <c r="G587" s="32">
        <f>ROUND(IF(NOT(AND(T586="",A587&lt;=S586)),0,IF(A587=入力!$B$15+1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),0)</f>
        <v>0</v>
      </c>
      <c r="H587" s="32">
        <f t="shared" si="161"/>
        <v>0</v>
      </c>
      <c r="I587" s="32">
        <f t="shared" si="162"/>
        <v>0</v>
      </c>
      <c r="J587" s="32">
        <f t="shared" si="163"/>
        <v>0</v>
      </c>
      <c r="K587" s="32">
        <f t="shared" si="164"/>
        <v>0</v>
      </c>
      <c r="L587" s="32">
        <f t="shared" si="165"/>
        <v>0</v>
      </c>
      <c r="M587" s="32">
        <f>IF(AND(AND(T586="",A587&lt;=S586),A587=入力!$B$15),ROUND(MIN(入力!$B$16,MAX(0,C587-L587)),0),0)</f>
        <v>0</v>
      </c>
      <c r="N587" s="32">
        <f t="shared" si="166"/>
        <v>0</v>
      </c>
      <c r="O587" s="32">
        <f t="shared" si="167"/>
        <v>12386706</v>
      </c>
      <c r="P587" s="34" t="str">
        <f>IF(NOT(AND(T586="",A587&lt;=S586)),"",IF(A587=入力!$B$15+1,"繰上返済後再計算","")&amp;IF(AND(入力!$B$13="有効",A587&gt;1,MOD(A587-1,60)=0),IF(A587=入力!$B$15+1,"・","")&amp;"5年見直し","")&amp;IF(AND(A587=入力!$B$11,A587&gt;1),IF(OR(A587=入力!$B$15+1,AND(入力!$B$13="有効",A587&gt;1,MOD(A587-1,60)=0)),"・","")&amp;"金利変更","")&amp;IF(AND(OR(AND(入力!$B$13="有効",A587&gt;1,MOD(A587-1,60)=0),AND(A587=入力!$B$11,A587&gt;1)),入力!$B$14="有効",IF(E587=0,ROUND(C587/MAX(1,S586-A587+1),0),ROUND(-PMT(E587/12,MAX(1,S586-A587+1),C587),0))&gt;ROUND(G586*1.25,0),NOT(A587=入力!$B$15+1)),"・上限適用",""))</f>
        <v/>
      </c>
      <c r="Q587" s="35" t="str">
        <f>IF(AND(T586="",A587&lt;=S586),入力!$B$13,"")</f>
        <v/>
      </c>
      <c r="R587" s="32" t="str">
        <f>IF(AND(AND(T586="",A587&lt;=S586),OR(AND(入力!$B$13="有効",A587&gt;1,MOD(A587-1,60)=0),AND(A587=入力!$B$11,A587&gt;1)),入力!$B$14="有効"),ROUND(G586*1.25,0),"")</f>
        <v/>
      </c>
      <c r="S587" s="36">
        <f t="shared" si="168"/>
        <v>420</v>
      </c>
      <c r="T587" s="35" t="str">
        <f t="shared" si="169"/>
        <v/>
      </c>
      <c r="U587" s="3">
        <f t="shared" si="153"/>
        <v>0</v>
      </c>
      <c r="V587" s="3">
        <f t="shared" si="154"/>
        <v>0</v>
      </c>
      <c r="W587" s="3">
        <f t="shared" si="155"/>
        <v>0</v>
      </c>
      <c r="X587" s="3">
        <f t="shared" si="156"/>
        <v>0</v>
      </c>
      <c r="Y587" s="3">
        <f>0</f>
        <v>0</v>
      </c>
      <c r="Z587" s="3">
        <f t="shared" si="157"/>
        <v>0</v>
      </c>
      <c r="AA587">
        <f>ROUND(IF(A587=入力!$B$15+1,IF(E587=0,ROUND(C587/MAX(1,S586-A587+1),0),ROUND(-PMT(E587/12,MAX(1,S586-A587+1)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,0)</f>
        <v>0</v>
      </c>
    </row>
    <row r="588" spans="1:27">
      <c r="A588" s="30">
        <f>583</f>
        <v>583</v>
      </c>
      <c r="B588" s="31">
        <f>EDATE(入力!$B$6,A588-1)</f>
        <v>63951</v>
      </c>
      <c r="C588" s="32">
        <f t="shared" si="158"/>
        <v>0</v>
      </c>
      <c r="D588" s="32">
        <f t="shared" si="159"/>
        <v>0</v>
      </c>
      <c r="E588" s="33">
        <f>IF(AND(T587="",A588&lt;=S587),IF(A588&lt;入力!$B$11,入力!$B$10,入力!$B$12),0)</f>
        <v>0</v>
      </c>
      <c r="F588" s="32">
        <f t="shared" si="160"/>
        <v>0</v>
      </c>
      <c r="G588" s="32">
        <f>ROUND(IF(NOT(AND(T587="",A588&lt;=S587)),0,IF(A588=入力!$B$15+1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),0)</f>
        <v>0</v>
      </c>
      <c r="H588" s="32">
        <f t="shared" si="161"/>
        <v>0</v>
      </c>
      <c r="I588" s="32">
        <f t="shared" si="162"/>
        <v>0</v>
      </c>
      <c r="J588" s="32">
        <f t="shared" si="163"/>
        <v>0</v>
      </c>
      <c r="K588" s="32">
        <f t="shared" si="164"/>
        <v>0</v>
      </c>
      <c r="L588" s="32">
        <f t="shared" si="165"/>
        <v>0</v>
      </c>
      <c r="M588" s="32">
        <f>IF(AND(AND(T587="",A588&lt;=S587),A588=入力!$B$15),ROUND(MIN(入力!$B$16,MAX(0,C588-L588)),0),0)</f>
        <v>0</v>
      </c>
      <c r="N588" s="32">
        <f t="shared" si="166"/>
        <v>0</v>
      </c>
      <c r="O588" s="32">
        <f t="shared" si="167"/>
        <v>12386706</v>
      </c>
      <c r="P588" s="34" t="str">
        <f>IF(NOT(AND(T587="",A588&lt;=S587)),"",IF(A588=入力!$B$15+1,"繰上返済後再計算","")&amp;IF(AND(入力!$B$13="有効",A588&gt;1,MOD(A588-1,60)=0),IF(A588=入力!$B$15+1,"・","")&amp;"5年見直し","")&amp;IF(AND(A588=入力!$B$11,A588&gt;1),IF(OR(A588=入力!$B$15+1,AND(入力!$B$13="有効",A588&gt;1,MOD(A588-1,60)=0)),"・","")&amp;"金利変更","")&amp;IF(AND(OR(AND(入力!$B$13="有効",A588&gt;1,MOD(A588-1,60)=0),AND(A588=入力!$B$11,A588&gt;1)),入力!$B$14="有効",IF(E588=0,ROUND(C588/MAX(1,S587-A588+1),0),ROUND(-PMT(E588/12,MAX(1,S587-A588+1),C588),0))&gt;ROUND(G587*1.25,0),NOT(A588=入力!$B$15+1)),"・上限適用",""))</f>
        <v/>
      </c>
      <c r="Q588" s="35" t="str">
        <f>IF(AND(T587="",A588&lt;=S587),入力!$B$13,"")</f>
        <v/>
      </c>
      <c r="R588" s="32" t="str">
        <f>IF(AND(AND(T587="",A588&lt;=S587),OR(AND(入力!$B$13="有効",A588&gt;1,MOD(A588-1,60)=0),AND(A588=入力!$B$11,A588&gt;1)),入力!$B$14="有効"),ROUND(G587*1.25,0),"")</f>
        <v/>
      </c>
      <c r="S588" s="36">
        <f t="shared" si="168"/>
        <v>420</v>
      </c>
      <c r="T588" s="35" t="str">
        <f t="shared" si="169"/>
        <v/>
      </c>
      <c r="U588" s="3">
        <f t="shared" si="153"/>
        <v>0</v>
      </c>
      <c r="V588" s="3">
        <f t="shared" si="154"/>
        <v>0</v>
      </c>
      <c r="W588" s="3">
        <f t="shared" si="155"/>
        <v>0</v>
      </c>
      <c r="X588" s="3">
        <f t="shared" si="156"/>
        <v>0</v>
      </c>
      <c r="Y588" s="3">
        <f>0</f>
        <v>0</v>
      </c>
      <c r="Z588" s="3">
        <f t="shared" si="157"/>
        <v>0</v>
      </c>
      <c r="AA588">
        <f>ROUND(IF(A588=入力!$B$15+1,IF(E588=0,ROUND(C588/MAX(1,S587-A588+1),0),ROUND(-PMT(E588/12,MAX(1,S587-A588+1)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,0)</f>
        <v>0</v>
      </c>
    </row>
    <row r="589" spans="1:27">
      <c r="A589" s="30">
        <f>584</f>
        <v>584</v>
      </c>
      <c r="B589" s="31">
        <f>EDATE(入力!$B$6,A589-1)</f>
        <v>63979</v>
      </c>
      <c r="C589" s="32">
        <f t="shared" si="158"/>
        <v>0</v>
      </c>
      <c r="D589" s="32">
        <f t="shared" si="159"/>
        <v>0</v>
      </c>
      <c r="E589" s="33">
        <f>IF(AND(T588="",A589&lt;=S588),IF(A589&lt;入力!$B$11,入力!$B$10,入力!$B$12),0)</f>
        <v>0</v>
      </c>
      <c r="F589" s="32">
        <f t="shared" si="160"/>
        <v>0</v>
      </c>
      <c r="G589" s="32">
        <f>ROUND(IF(NOT(AND(T588="",A589&lt;=S588)),0,IF(A589=入力!$B$15+1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),0)</f>
        <v>0</v>
      </c>
      <c r="H589" s="32">
        <f t="shared" si="161"/>
        <v>0</v>
      </c>
      <c r="I589" s="32">
        <f t="shared" si="162"/>
        <v>0</v>
      </c>
      <c r="J589" s="32">
        <f t="shared" si="163"/>
        <v>0</v>
      </c>
      <c r="K589" s="32">
        <f t="shared" si="164"/>
        <v>0</v>
      </c>
      <c r="L589" s="32">
        <f t="shared" si="165"/>
        <v>0</v>
      </c>
      <c r="M589" s="32">
        <f>IF(AND(AND(T588="",A589&lt;=S588),A589=入力!$B$15),ROUND(MIN(入力!$B$16,MAX(0,C589-L589)),0),0)</f>
        <v>0</v>
      </c>
      <c r="N589" s="32">
        <f t="shared" si="166"/>
        <v>0</v>
      </c>
      <c r="O589" s="32">
        <f t="shared" si="167"/>
        <v>12386706</v>
      </c>
      <c r="P589" s="34" t="str">
        <f>IF(NOT(AND(T588="",A589&lt;=S588)),"",IF(A589=入力!$B$15+1,"繰上返済後再計算","")&amp;IF(AND(入力!$B$13="有効",A589&gt;1,MOD(A589-1,60)=0),IF(A589=入力!$B$15+1,"・","")&amp;"5年見直し","")&amp;IF(AND(A589=入力!$B$11,A589&gt;1),IF(OR(A589=入力!$B$15+1,AND(入力!$B$13="有効",A589&gt;1,MOD(A589-1,60)=0)),"・","")&amp;"金利変更","")&amp;IF(AND(OR(AND(入力!$B$13="有効",A589&gt;1,MOD(A589-1,60)=0),AND(A589=入力!$B$11,A589&gt;1)),入力!$B$14="有効",IF(E589=0,ROUND(C589/MAX(1,S588-A589+1),0),ROUND(-PMT(E589/12,MAX(1,S588-A589+1),C589),0))&gt;ROUND(G588*1.25,0),NOT(A589=入力!$B$15+1)),"・上限適用",""))</f>
        <v/>
      </c>
      <c r="Q589" s="35" t="str">
        <f>IF(AND(T588="",A589&lt;=S588),入力!$B$13,"")</f>
        <v/>
      </c>
      <c r="R589" s="32" t="str">
        <f>IF(AND(AND(T588="",A589&lt;=S588),OR(AND(入力!$B$13="有効",A589&gt;1,MOD(A589-1,60)=0),AND(A589=入力!$B$11,A589&gt;1)),入力!$B$14="有効"),ROUND(G588*1.25,0),"")</f>
        <v/>
      </c>
      <c r="S589" s="36">
        <f t="shared" si="168"/>
        <v>420</v>
      </c>
      <c r="T589" s="35" t="str">
        <f t="shared" si="169"/>
        <v/>
      </c>
      <c r="U589" s="3">
        <f t="shared" si="153"/>
        <v>0</v>
      </c>
      <c r="V589" s="3">
        <f t="shared" si="154"/>
        <v>0</v>
      </c>
      <c r="W589" s="3">
        <f t="shared" si="155"/>
        <v>0</v>
      </c>
      <c r="X589" s="3">
        <f t="shared" si="156"/>
        <v>0</v>
      </c>
      <c r="Y589" s="3">
        <f>0</f>
        <v>0</v>
      </c>
      <c r="Z589" s="3">
        <f t="shared" si="157"/>
        <v>0</v>
      </c>
      <c r="AA589">
        <f>ROUND(IF(A589=入力!$B$15+1,IF(E589=0,ROUND(C589/MAX(1,S588-A589+1),0),ROUND(-PMT(E589/12,MAX(1,S588-A589+1)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,0)</f>
        <v>0</v>
      </c>
    </row>
    <row r="590" spans="1:27">
      <c r="A590" s="30">
        <f>585</f>
        <v>585</v>
      </c>
      <c r="B590" s="31">
        <f>EDATE(入力!$B$6,A590-1)</f>
        <v>64010</v>
      </c>
      <c r="C590" s="32">
        <f t="shared" si="158"/>
        <v>0</v>
      </c>
      <c r="D590" s="32">
        <f t="shared" si="159"/>
        <v>0</v>
      </c>
      <c r="E590" s="33">
        <f>IF(AND(T589="",A590&lt;=S589),IF(A590&lt;入力!$B$11,入力!$B$10,入力!$B$12),0)</f>
        <v>0</v>
      </c>
      <c r="F590" s="32">
        <f t="shared" si="160"/>
        <v>0</v>
      </c>
      <c r="G590" s="32">
        <f>ROUND(IF(NOT(AND(T589="",A590&lt;=S589)),0,IF(A590=入力!$B$15+1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),0)</f>
        <v>0</v>
      </c>
      <c r="H590" s="32">
        <f t="shared" si="161"/>
        <v>0</v>
      </c>
      <c r="I590" s="32">
        <f t="shared" si="162"/>
        <v>0</v>
      </c>
      <c r="J590" s="32">
        <f t="shared" si="163"/>
        <v>0</v>
      </c>
      <c r="K590" s="32">
        <f t="shared" si="164"/>
        <v>0</v>
      </c>
      <c r="L590" s="32">
        <f t="shared" si="165"/>
        <v>0</v>
      </c>
      <c r="M590" s="32">
        <f>IF(AND(AND(T589="",A590&lt;=S589),A590=入力!$B$15),ROUND(MIN(入力!$B$16,MAX(0,C590-L590)),0),0)</f>
        <v>0</v>
      </c>
      <c r="N590" s="32">
        <f t="shared" si="166"/>
        <v>0</v>
      </c>
      <c r="O590" s="32">
        <f t="shared" si="167"/>
        <v>12386706</v>
      </c>
      <c r="P590" s="34" t="str">
        <f>IF(NOT(AND(T589="",A590&lt;=S589)),"",IF(A590=入力!$B$15+1,"繰上返済後再計算","")&amp;IF(AND(入力!$B$13="有効",A590&gt;1,MOD(A590-1,60)=0),IF(A590=入力!$B$15+1,"・","")&amp;"5年見直し","")&amp;IF(AND(A590=入力!$B$11,A590&gt;1),IF(OR(A590=入力!$B$15+1,AND(入力!$B$13="有効",A590&gt;1,MOD(A590-1,60)=0)),"・","")&amp;"金利変更","")&amp;IF(AND(OR(AND(入力!$B$13="有効",A590&gt;1,MOD(A590-1,60)=0),AND(A590=入力!$B$11,A590&gt;1)),入力!$B$14="有効",IF(E590=0,ROUND(C590/MAX(1,S589-A590+1),0),ROUND(-PMT(E590/12,MAX(1,S589-A590+1),C590),0))&gt;ROUND(G589*1.25,0),NOT(A590=入力!$B$15+1)),"・上限適用",""))</f>
        <v/>
      </c>
      <c r="Q590" s="35" t="str">
        <f>IF(AND(T589="",A590&lt;=S589),入力!$B$13,"")</f>
        <v/>
      </c>
      <c r="R590" s="32" t="str">
        <f>IF(AND(AND(T589="",A590&lt;=S589),OR(AND(入力!$B$13="有効",A590&gt;1,MOD(A590-1,60)=0),AND(A590=入力!$B$11,A590&gt;1)),入力!$B$14="有効"),ROUND(G589*1.25,0),"")</f>
        <v/>
      </c>
      <c r="S590" s="36">
        <f t="shared" si="168"/>
        <v>420</v>
      </c>
      <c r="T590" s="35" t="str">
        <f t="shared" si="169"/>
        <v/>
      </c>
      <c r="U590" s="3">
        <f t="shared" si="153"/>
        <v>0</v>
      </c>
      <c r="V590" s="3">
        <f t="shared" si="154"/>
        <v>0</v>
      </c>
      <c r="W590" s="3">
        <f t="shared" si="155"/>
        <v>0</v>
      </c>
      <c r="X590" s="3">
        <f t="shared" si="156"/>
        <v>0</v>
      </c>
      <c r="Y590" s="3">
        <f>0</f>
        <v>0</v>
      </c>
      <c r="Z590" s="3">
        <f t="shared" si="157"/>
        <v>0</v>
      </c>
      <c r="AA590">
        <f>ROUND(IF(A590=入力!$B$15+1,IF(E590=0,ROUND(C590/MAX(1,S589-A590+1),0),ROUND(-PMT(E590/12,MAX(1,S589-A590+1)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,0)</f>
        <v>0</v>
      </c>
    </row>
    <row r="591" spans="1:27">
      <c r="A591" s="30">
        <f>586</f>
        <v>586</v>
      </c>
      <c r="B591" s="31">
        <f>EDATE(入力!$B$6,A591-1)</f>
        <v>64040</v>
      </c>
      <c r="C591" s="32">
        <f t="shared" si="158"/>
        <v>0</v>
      </c>
      <c r="D591" s="32">
        <f t="shared" si="159"/>
        <v>0</v>
      </c>
      <c r="E591" s="33">
        <f>IF(AND(T590="",A591&lt;=S590),IF(A591&lt;入力!$B$11,入力!$B$10,入力!$B$12),0)</f>
        <v>0</v>
      </c>
      <c r="F591" s="32">
        <f t="shared" si="160"/>
        <v>0</v>
      </c>
      <c r="G591" s="32">
        <f>ROUND(IF(NOT(AND(T590="",A591&lt;=S590)),0,IF(A591=入力!$B$15+1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),0)</f>
        <v>0</v>
      </c>
      <c r="H591" s="32">
        <f t="shared" si="161"/>
        <v>0</v>
      </c>
      <c r="I591" s="32">
        <f t="shared" si="162"/>
        <v>0</v>
      </c>
      <c r="J591" s="32">
        <f t="shared" si="163"/>
        <v>0</v>
      </c>
      <c r="K591" s="32">
        <f t="shared" si="164"/>
        <v>0</v>
      </c>
      <c r="L591" s="32">
        <f t="shared" si="165"/>
        <v>0</v>
      </c>
      <c r="M591" s="32">
        <f>IF(AND(AND(T590="",A591&lt;=S590),A591=入力!$B$15),ROUND(MIN(入力!$B$16,MAX(0,C591-L591)),0),0)</f>
        <v>0</v>
      </c>
      <c r="N591" s="32">
        <f t="shared" si="166"/>
        <v>0</v>
      </c>
      <c r="O591" s="32">
        <f t="shared" si="167"/>
        <v>12386706</v>
      </c>
      <c r="P591" s="34" t="str">
        <f>IF(NOT(AND(T590="",A591&lt;=S590)),"",IF(A591=入力!$B$15+1,"繰上返済後再計算","")&amp;IF(AND(入力!$B$13="有効",A591&gt;1,MOD(A591-1,60)=0),IF(A591=入力!$B$15+1,"・","")&amp;"5年見直し","")&amp;IF(AND(A591=入力!$B$11,A591&gt;1),IF(OR(A591=入力!$B$15+1,AND(入力!$B$13="有効",A591&gt;1,MOD(A591-1,60)=0)),"・","")&amp;"金利変更","")&amp;IF(AND(OR(AND(入力!$B$13="有効",A591&gt;1,MOD(A591-1,60)=0),AND(A591=入力!$B$11,A591&gt;1)),入力!$B$14="有効",IF(E591=0,ROUND(C591/MAX(1,S590-A591+1),0),ROUND(-PMT(E591/12,MAX(1,S590-A591+1),C591),0))&gt;ROUND(G590*1.25,0),NOT(A591=入力!$B$15+1)),"・上限適用",""))</f>
        <v/>
      </c>
      <c r="Q591" s="35" t="str">
        <f>IF(AND(T590="",A591&lt;=S590),入力!$B$13,"")</f>
        <v/>
      </c>
      <c r="R591" s="32" t="str">
        <f>IF(AND(AND(T590="",A591&lt;=S590),OR(AND(入力!$B$13="有効",A591&gt;1,MOD(A591-1,60)=0),AND(A591=入力!$B$11,A591&gt;1)),入力!$B$14="有効"),ROUND(G590*1.25,0),"")</f>
        <v/>
      </c>
      <c r="S591" s="36">
        <f t="shared" si="168"/>
        <v>420</v>
      </c>
      <c r="T591" s="35" t="str">
        <f t="shared" si="169"/>
        <v/>
      </c>
      <c r="U591" s="3">
        <f t="shared" si="153"/>
        <v>0</v>
      </c>
      <c r="V591" s="3">
        <f t="shared" si="154"/>
        <v>0</v>
      </c>
      <c r="W591" s="3">
        <f t="shared" si="155"/>
        <v>0</v>
      </c>
      <c r="X591" s="3">
        <f t="shared" si="156"/>
        <v>0</v>
      </c>
      <c r="Y591" s="3">
        <f>0</f>
        <v>0</v>
      </c>
      <c r="Z591" s="3">
        <f t="shared" si="157"/>
        <v>0</v>
      </c>
      <c r="AA591">
        <f>ROUND(IF(A591=入力!$B$15+1,IF(E591=0,ROUND(C591/MAX(1,S590-A591+1),0),ROUND(-PMT(E591/12,MAX(1,S590-A591+1)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,0)</f>
        <v>0</v>
      </c>
    </row>
    <row r="592" spans="1:27">
      <c r="A592" s="30">
        <f>587</f>
        <v>587</v>
      </c>
      <c r="B592" s="31">
        <f>EDATE(入力!$B$6,A592-1)</f>
        <v>64071</v>
      </c>
      <c r="C592" s="32">
        <f t="shared" si="158"/>
        <v>0</v>
      </c>
      <c r="D592" s="32">
        <f t="shared" si="159"/>
        <v>0</v>
      </c>
      <c r="E592" s="33">
        <f>IF(AND(T591="",A592&lt;=S591),IF(A592&lt;入力!$B$11,入力!$B$10,入力!$B$12),0)</f>
        <v>0</v>
      </c>
      <c r="F592" s="32">
        <f t="shared" si="160"/>
        <v>0</v>
      </c>
      <c r="G592" s="32">
        <f>ROUND(IF(NOT(AND(T591="",A592&lt;=S591)),0,IF(A592=入力!$B$15+1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),0)</f>
        <v>0</v>
      </c>
      <c r="H592" s="32">
        <f t="shared" si="161"/>
        <v>0</v>
      </c>
      <c r="I592" s="32">
        <f t="shared" si="162"/>
        <v>0</v>
      </c>
      <c r="J592" s="32">
        <f t="shared" si="163"/>
        <v>0</v>
      </c>
      <c r="K592" s="32">
        <f t="shared" si="164"/>
        <v>0</v>
      </c>
      <c r="L592" s="32">
        <f t="shared" si="165"/>
        <v>0</v>
      </c>
      <c r="M592" s="32">
        <f>IF(AND(AND(T591="",A592&lt;=S591),A592=入力!$B$15),ROUND(MIN(入力!$B$16,MAX(0,C592-L592)),0),0)</f>
        <v>0</v>
      </c>
      <c r="N592" s="32">
        <f t="shared" si="166"/>
        <v>0</v>
      </c>
      <c r="O592" s="32">
        <f t="shared" si="167"/>
        <v>12386706</v>
      </c>
      <c r="P592" s="34" t="str">
        <f>IF(NOT(AND(T591="",A592&lt;=S591)),"",IF(A592=入力!$B$15+1,"繰上返済後再計算","")&amp;IF(AND(入力!$B$13="有効",A592&gt;1,MOD(A592-1,60)=0),IF(A592=入力!$B$15+1,"・","")&amp;"5年見直し","")&amp;IF(AND(A592=入力!$B$11,A592&gt;1),IF(OR(A592=入力!$B$15+1,AND(入力!$B$13="有効",A592&gt;1,MOD(A592-1,60)=0)),"・","")&amp;"金利変更","")&amp;IF(AND(OR(AND(入力!$B$13="有効",A592&gt;1,MOD(A592-1,60)=0),AND(A592=入力!$B$11,A592&gt;1)),入力!$B$14="有効",IF(E592=0,ROUND(C592/MAX(1,S591-A592+1),0),ROUND(-PMT(E592/12,MAX(1,S591-A592+1),C592),0))&gt;ROUND(G591*1.25,0),NOT(A592=入力!$B$15+1)),"・上限適用",""))</f>
        <v/>
      </c>
      <c r="Q592" s="35" t="str">
        <f>IF(AND(T591="",A592&lt;=S591),入力!$B$13,"")</f>
        <v/>
      </c>
      <c r="R592" s="32" t="str">
        <f>IF(AND(AND(T591="",A592&lt;=S591),OR(AND(入力!$B$13="有効",A592&gt;1,MOD(A592-1,60)=0),AND(A592=入力!$B$11,A592&gt;1)),入力!$B$14="有効"),ROUND(G591*1.25,0),"")</f>
        <v/>
      </c>
      <c r="S592" s="36">
        <f t="shared" si="168"/>
        <v>420</v>
      </c>
      <c r="T592" s="35" t="str">
        <f t="shared" si="169"/>
        <v/>
      </c>
      <c r="U592" s="3">
        <f t="shared" si="153"/>
        <v>0</v>
      </c>
      <c r="V592" s="3">
        <f t="shared" si="154"/>
        <v>0</v>
      </c>
      <c r="W592" s="3">
        <f t="shared" si="155"/>
        <v>0</v>
      </c>
      <c r="X592" s="3">
        <f t="shared" si="156"/>
        <v>0</v>
      </c>
      <c r="Y592" s="3">
        <f>0</f>
        <v>0</v>
      </c>
      <c r="Z592" s="3">
        <f t="shared" si="157"/>
        <v>0</v>
      </c>
      <c r="AA592">
        <f>ROUND(IF(A592=入力!$B$15+1,IF(E592=0,ROUND(C592/MAX(1,S591-A592+1),0),ROUND(-PMT(E592/12,MAX(1,S591-A592+1)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,0)</f>
        <v>0</v>
      </c>
    </row>
    <row r="593" spans="1:27">
      <c r="A593" s="30">
        <f>588</f>
        <v>588</v>
      </c>
      <c r="B593" s="31">
        <f>EDATE(入力!$B$6,A593-1)</f>
        <v>64101</v>
      </c>
      <c r="C593" s="32">
        <f t="shared" si="158"/>
        <v>0</v>
      </c>
      <c r="D593" s="32">
        <f t="shared" si="159"/>
        <v>0</v>
      </c>
      <c r="E593" s="33">
        <f>IF(AND(T592="",A593&lt;=S592),IF(A593&lt;入力!$B$11,入力!$B$10,入力!$B$12),0)</f>
        <v>0</v>
      </c>
      <c r="F593" s="32">
        <f t="shared" si="160"/>
        <v>0</v>
      </c>
      <c r="G593" s="32">
        <f>ROUND(IF(NOT(AND(T592="",A593&lt;=S592)),0,IF(A593=入力!$B$15+1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),0)</f>
        <v>0</v>
      </c>
      <c r="H593" s="32">
        <f t="shared" si="161"/>
        <v>0</v>
      </c>
      <c r="I593" s="32">
        <f t="shared" si="162"/>
        <v>0</v>
      </c>
      <c r="J593" s="32">
        <f t="shared" si="163"/>
        <v>0</v>
      </c>
      <c r="K593" s="32">
        <f t="shared" si="164"/>
        <v>0</v>
      </c>
      <c r="L593" s="32">
        <f t="shared" si="165"/>
        <v>0</v>
      </c>
      <c r="M593" s="32">
        <f>IF(AND(AND(T592="",A593&lt;=S592),A593=入力!$B$15),ROUND(MIN(入力!$B$16,MAX(0,C593-L593)),0),0)</f>
        <v>0</v>
      </c>
      <c r="N593" s="32">
        <f t="shared" si="166"/>
        <v>0</v>
      </c>
      <c r="O593" s="32">
        <f t="shared" si="167"/>
        <v>12386706</v>
      </c>
      <c r="P593" s="34" t="str">
        <f>IF(NOT(AND(T592="",A593&lt;=S592)),"",IF(A593=入力!$B$15+1,"繰上返済後再計算","")&amp;IF(AND(入力!$B$13="有効",A593&gt;1,MOD(A593-1,60)=0),IF(A593=入力!$B$15+1,"・","")&amp;"5年見直し","")&amp;IF(AND(A593=入力!$B$11,A593&gt;1),IF(OR(A593=入力!$B$15+1,AND(入力!$B$13="有効",A593&gt;1,MOD(A593-1,60)=0)),"・","")&amp;"金利変更","")&amp;IF(AND(OR(AND(入力!$B$13="有効",A593&gt;1,MOD(A593-1,60)=0),AND(A593=入力!$B$11,A593&gt;1)),入力!$B$14="有効",IF(E593=0,ROUND(C593/MAX(1,S592-A593+1),0),ROUND(-PMT(E593/12,MAX(1,S592-A593+1),C593),0))&gt;ROUND(G592*1.25,0),NOT(A593=入力!$B$15+1)),"・上限適用",""))</f>
        <v/>
      </c>
      <c r="Q593" s="35" t="str">
        <f>IF(AND(T592="",A593&lt;=S592),入力!$B$13,"")</f>
        <v/>
      </c>
      <c r="R593" s="32" t="str">
        <f>IF(AND(AND(T592="",A593&lt;=S592),OR(AND(入力!$B$13="有効",A593&gt;1,MOD(A593-1,60)=0),AND(A593=入力!$B$11,A593&gt;1)),入力!$B$14="有効"),ROUND(G592*1.25,0),"")</f>
        <v/>
      </c>
      <c r="S593" s="36">
        <f t="shared" si="168"/>
        <v>420</v>
      </c>
      <c r="T593" s="35" t="str">
        <f t="shared" si="169"/>
        <v/>
      </c>
      <c r="U593" s="3">
        <f t="shared" si="153"/>
        <v>0</v>
      </c>
      <c r="V593" s="3">
        <f t="shared" si="154"/>
        <v>0</v>
      </c>
      <c r="W593" s="3">
        <f t="shared" si="155"/>
        <v>0</v>
      </c>
      <c r="X593" s="3">
        <f t="shared" si="156"/>
        <v>0</v>
      </c>
      <c r="Y593" s="3">
        <f>0</f>
        <v>0</v>
      </c>
      <c r="Z593" s="3">
        <f t="shared" si="157"/>
        <v>0</v>
      </c>
      <c r="AA593">
        <f>ROUND(IF(A593=入力!$B$15+1,IF(E593=0,ROUND(C593/MAX(1,S592-A593+1),0),ROUND(-PMT(E593/12,MAX(1,S592-A593+1)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,0)</f>
        <v>0</v>
      </c>
    </row>
    <row r="594" spans="1:27">
      <c r="A594" s="30">
        <f>589</f>
        <v>589</v>
      </c>
      <c r="B594" s="31">
        <f>EDATE(入力!$B$6,A594-1)</f>
        <v>64132</v>
      </c>
      <c r="C594" s="32">
        <f t="shared" si="158"/>
        <v>0</v>
      </c>
      <c r="D594" s="32">
        <f t="shared" si="159"/>
        <v>0</v>
      </c>
      <c r="E594" s="33">
        <f>IF(AND(T593="",A594&lt;=S593),IF(A594&lt;入力!$B$11,入力!$B$10,入力!$B$12),0)</f>
        <v>0</v>
      </c>
      <c r="F594" s="32">
        <f t="shared" si="160"/>
        <v>0</v>
      </c>
      <c r="G594" s="32">
        <f>ROUND(IF(NOT(AND(T593="",A594&lt;=S593)),0,IF(A594=入力!$B$15+1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),0)</f>
        <v>0</v>
      </c>
      <c r="H594" s="32">
        <f t="shared" si="161"/>
        <v>0</v>
      </c>
      <c r="I594" s="32">
        <f t="shared" si="162"/>
        <v>0</v>
      </c>
      <c r="J594" s="32">
        <f t="shared" si="163"/>
        <v>0</v>
      </c>
      <c r="K594" s="32">
        <f t="shared" si="164"/>
        <v>0</v>
      </c>
      <c r="L594" s="32">
        <f t="shared" si="165"/>
        <v>0</v>
      </c>
      <c r="M594" s="32">
        <f>IF(AND(AND(T593="",A594&lt;=S593),A594=入力!$B$15),ROUND(MIN(入力!$B$16,MAX(0,C594-L594)),0),0)</f>
        <v>0</v>
      </c>
      <c r="N594" s="32">
        <f t="shared" si="166"/>
        <v>0</v>
      </c>
      <c r="O594" s="32">
        <f t="shared" si="167"/>
        <v>12386706</v>
      </c>
      <c r="P594" s="34" t="str">
        <f>IF(NOT(AND(T593="",A594&lt;=S593)),"",IF(A594=入力!$B$15+1,"繰上返済後再計算","")&amp;IF(AND(入力!$B$13="有効",A594&gt;1,MOD(A594-1,60)=0),IF(A594=入力!$B$15+1,"・","")&amp;"5年見直し","")&amp;IF(AND(A594=入力!$B$11,A594&gt;1),IF(OR(A594=入力!$B$15+1,AND(入力!$B$13="有効",A594&gt;1,MOD(A594-1,60)=0)),"・","")&amp;"金利変更","")&amp;IF(AND(OR(AND(入力!$B$13="有効",A594&gt;1,MOD(A594-1,60)=0),AND(A594=入力!$B$11,A594&gt;1)),入力!$B$14="有効",IF(E594=0,ROUND(C594/MAX(1,S593-A594+1),0),ROUND(-PMT(E594/12,MAX(1,S593-A594+1),C594),0))&gt;ROUND(G593*1.25,0),NOT(A594=入力!$B$15+1)),"・上限適用",""))</f>
        <v/>
      </c>
      <c r="Q594" s="35" t="str">
        <f>IF(AND(T593="",A594&lt;=S593),入力!$B$13,"")</f>
        <v/>
      </c>
      <c r="R594" s="32" t="str">
        <f>IF(AND(AND(T593="",A594&lt;=S593),OR(AND(入力!$B$13="有効",A594&gt;1,MOD(A594-1,60)=0),AND(A594=入力!$B$11,A594&gt;1)),入力!$B$14="有効"),ROUND(G593*1.25,0),"")</f>
        <v/>
      </c>
      <c r="S594" s="36">
        <f t="shared" si="168"/>
        <v>420</v>
      </c>
      <c r="T594" s="35" t="str">
        <f t="shared" si="169"/>
        <v/>
      </c>
      <c r="U594" s="3">
        <f t="shared" si="153"/>
        <v>0</v>
      </c>
      <c r="V594" s="3">
        <f t="shared" si="154"/>
        <v>0</v>
      </c>
      <c r="W594" s="3">
        <f t="shared" si="155"/>
        <v>0</v>
      </c>
      <c r="X594" s="3">
        <f t="shared" si="156"/>
        <v>0</v>
      </c>
      <c r="Y594" s="3">
        <f>0</f>
        <v>0</v>
      </c>
      <c r="Z594" s="3">
        <f t="shared" si="157"/>
        <v>0</v>
      </c>
      <c r="AA594">
        <f>ROUND(IF(A594=入力!$B$15+1,IF(E594=0,ROUND(C594/MAX(1,S593-A594+1),0),ROUND(-PMT(E594/12,MAX(1,S593-A594+1)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,0)</f>
        <v>0</v>
      </c>
    </row>
    <row r="595" spans="1:27">
      <c r="A595" s="30">
        <f>590</f>
        <v>590</v>
      </c>
      <c r="B595" s="31">
        <f>EDATE(入力!$B$6,A595-1)</f>
        <v>64163</v>
      </c>
      <c r="C595" s="32">
        <f t="shared" si="158"/>
        <v>0</v>
      </c>
      <c r="D595" s="32">
        <f t="shared" si="159"/>
        <v>0</v>
      </c>
      <c r="E595" s="33">
        <f>IF(AND(T594="",A595&lt;=S594),IF(A595&lt;入力!$B$11,入力!$B$10,入力!$B$12),0)</f>
        <v>0</v>
      </c>
      <c r="F595" s="32">
        <f t="shared" si="160"/>
        <v>0</v>
      </c>
      <c r="G595" s="32">
        <f>ROUND(IF(NOT(AND(T594="",A595&lt;=S594)),0,IF(A595=入力!$B$15+1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),0)</f>
        <v>0</v>
      </c>
      <c r="H595" s="32">
        <f t="shared" si="161"/>
        <v>0</v>
      </c>
      <c r="I595" s="32">
        <f t="shared" si="162"/>
        <v>0</v>
      </c>
      <c r="J595" s="32">
        <f t="shared" si="163"/>
        <v>0</v>
      </c>
      <c r="K595" s="32">
        <f t="shared" si="164"/>
        <v>0</v>
      </c>
      <c r="L595" s="32">
        <f t="shared" si="165"/>
        <v>0</v>
      </c>
      <c r="M595" s="32">
        <f>IF(AND(AND(T594="",A595&lt;=S594),A595=入力!$B$15),ROUND(MIN(入力!$B$16,MAX(0,C595-L595)),0),0)</f>
        <v>0</v>
      </c>
      <c r="N595" s="32">
        <f t="shared" si="166"/>
        <v>0</v>
      </c>
      <c r="O595" s="32">
        <f t="shared" si="167"/>
        <v>12386706</v>
      </c>
      <c r="P595" s="34" t="str">
        <f>IF(NOT(AND(T594="",A595&lt;=S594)),"",IF(A595=入力!$B$15+1,"繰上返済後再計算","")&amp;IF(AND(入力!$B$13="有効",A595&gt;1,MOD(A595-1,60)=0),IF(A595=入力!$B$15+1,"・","")&amp;"5年見直し","")&amp;IF(AND(A595=入力!$B$11,A595&gt;1),IF(OR(A595=入力!$B$15+1,AND(入力!$B$13="有効",A595&gt;1,MOD(A595-1,60)=0)),"・","")&amp;"金利変更","")&amp;IF(AND(OR(AND(入力!$B$13="有効",A595&gt;1,MOD(A595-1,60)=0),AND(A595=入力!$B$11,A595&gt;1)),入力!$B$14="有効",IF(E595=0,ROUND(C595/MAX(1,S594-A595+1),0),ROUND(-PMT(E595/12,MAX(1,S594-A595+1),C595),0))&gt;ROUND(G594*1.25,0),NOT(A595=入力!$B$15+1)),"・上限適用",""))</f>
        <v/>
      </c>
      <c r="Q595" s="35" t="str">
        <f>IF(AND(T594="",A595&lt;=S594),入力!$B$13,"")</f>
        <v/>
      </c>
      <c r="R595" s="32" t="str">
        <f>IF(AND(AND(T594="",A595&lt;=S594),OR(AND(入力!$B$13="有効",A595&gt;1,MOD(A595-1,60)=0),AND(A595=入力!$B$11,A595&gt;1)),入力!$B$14="有効"),ROUND(G594*1.25,0),"")</f>
        <v/>
      </c>
      <c r="S595" s="36">
        <f t="shared" si="168"/>
        <v>420</v>
      </c>
      <c r="T595" s="35" t="str">
        <f t="shared" si="169"/>
        <v/>
      </c>
      <c r="U595" s="3">
        <f t="shared" si="153"/>
        <v>0</v>
      </c>
      <c r="V595" s="3">
        <f t="shared" si="154"/>
        <v>0</v>
      </c>
      <c r="W595" s="3">
        <f t="shared" si="155"/>
        <v>0</v>
      </c>
      <c r="X595" s="3">
        <f t="shared" si="156"/>
        <v>0</v>
      </c>
      <c r="Y595" s="3">
        <f>0</f>
        <v>0</v>
      </c>
      <c r="Z595" s="3">
        <f t="shared" si="157"/>
        <v>0</v>
      </c>
      <c r="AA595">
        <f>ROUND(IF(A595=入力!$B$15+1,IF(E595=0,ROUND(C595/MAX(1,S594-A595+1),0),ROUND(-PMT(E595/12,MAX(1,S594-A595+1)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,0)</f>
        <v>0</v>
      </c>
    </row>
    <row r="596" spans="1:27">
      <c r="A596" s="30">
        <f>591</f>
        <v>591</v>
      </c>
      <c r="B596" s="31">
        <f>EDATE(入力!$B$6,A596-1)</f>
        <v>64193</v>
      </c>
      <c r="C596" s="32">
        <f t="shared" si="158"/>
        <v>0</v>
      </c>
      <c r="D596" s="32">
        <f t="shared" si="159"/>
        <v>0</v>
      </c>
      <c r="E596" s="33">
        <f>IF(AND(T595="",A596&lt;=S595),IF(A596&lt;入力!$B$11,入力!$B$10,入力!$B$12),0)</f>
        <v>0</v>
      </c>
      <c r="F596" s="32">
        <f t="shared" si="160"/>
        <v>0</v>
      </c>
      <c r="G596" s="32">
        <f>ROUND(IF(NOT(AND(T595="",A596&lt;=S595)),0,IF(A596=入力!$B$15+1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),0)</f>
        <v>0</v>
      </c>
      <c r="H596" s="32">
        <f t="shared" si="161"/>
        <v>0</v>
      </c>
      <c r="I596" s="32">
        <f t="shared" si="162"/>
        <v>0</v>
      </c>
      <c r="J596" s="32">
        <f t="shared" si="163"/>
        <v>0</v>
      </c>
      <c r="K596" s="32">
        <f t="shared" si="164"/>
        <v>0</v>
      </c>
      <c r="L596" s="32">
        <f t="shared" si="165"/>
        <v>0</v>
      </c>
      <c r="M596" s="32">
        <f>IF(AND(AND(T595="",A596&lt;=S595),A596=入力!$B$15),ROUND(MIN(入力!$B$16,MAX(0,C596-L596)),0),0)</f>
        <v>0</v>
      </c>
      <c r="N596" s="32">
        <f t="shared" si="166"/>
        <v>0</v>
      </c>
      <c r="O596" s="32">
        <f t="shared" si="167"/>
        <v>12386706</v>
      </c>
      <c r="P596" s="34" t="str">
        <f>IF(NOT(AND(T595="",A596&lt;=S595)),"",IF(A596=入力!$B$15+1,"繰上返済後再計算","")&amp;IF(AND(入力!$B$13="有効",A596&gt;1,MOD(A596-1,60)=0),IF(A596=入力!$B$15+1,"・","")&amp;"5年見直し","")&amp;IF(AND(A596=入力!$B$11,A596&gt;1),IF(OR(A596=入力!$B$15+1,AND(入力!$B$13="有効",A596&gt;1,MOD(A596-1,60)=0)),"・","")&amp;"金利変更","")&amp;IF(AND(OR(AND(入力!$B$13="有効",A596&gt;1,MOD(A596-1,60)=0),AND(A596=入力!$B$11,A596&gt;1)),入力!$B$14="有効",IF(E596=0,ROUND(C596/MAX(1,S595-A596+1),0),ROUND(-PMT(E596/12,MAX(1,S595-A596+1),C596),0))&gt;ROUND(G595*1.25,0),NOT(A596=入力!$B$15+1)),"・上限適用",""))</f>
        <v/>
      </c>
      <c r="Q596" s="35" t="str">
        <f>IF(AND(T595="",A596&lt;=S595),入力!$B$13,"")</f>
        <v/>
      </c>
      <c r="R596" s="32" t="str">
        <f>IF(AND(AND(T595="",A596&lt;=S595),OR(AND(入力!$B$13="有効",A596&gt;1,MOD(A596-1,60)=0),AND(A596=入力!$B$11,A596&gt;1)),入力!$B$14="有効"),ROUND(G595*1.25,0),"")</f>
        <v/>
      </c>
      <c r="S596" s="36">
        <f t="shared" si="168"/>
        <v>420</v>
      </c>
      <c r="T596" s="35" t="str">
        <f t="shared" si="169"/>
        <v/>
      </c>
      <c r="U596" s="3">
        <f t="shared" si="153"/>
        <v>0</v>
      </c>
      <c r="V596" s="3">
        <f t="shared" si="154"/>
        <v>0</v>
      </c>
      <c r="W596" s="3">
        <f t="shared" si="155"/>
        <v>0</v>
      </c>
      <c r="X596" s="3">
        <f t="shared" si="156"/>
        <v>0</v>
      </c>
      <c r="Y596" s="3">
        <f>0</f>
        <v>0</v>
      </c>
      <c r="Z596" s="3">
        <f t="shared" si="157"/>
        <v>0</v>
      </c>
      <c r="AA596">
        <f>ROUND(IF(A596=入力!$B$15+1,IF(E596=0,ROUND(C596/MAX(1,S595-A596+1),0),ROUND(-PMT(E596/12,MAX(1,S595-A596+1)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,0)</f>
        <v>0</v>
      </c>
    </row>
    <row r="597" spans="1:27">
      <c r="A597" s="30">
        <f>592</f>
        <v>592</v>
      </c>
      <c r="B597" s="31">
        <f>EDATE(入力!$B$6,A597-1)</f>
        <v>64224</v>
      </c>
      <c r="C597" s="32">
        <f t="shared" si="158"/>
        <v>0</v>
      </c>
      <c r="D597" s="32">
        <f t="shared" si="159"/>
        <v>0</v>
      </c>
      <c r="E597" s="33">
        <f>IF(AND(T596="",A597&lt;=S596),IF(A597&lt;入力!$B$11,入力!$B$10,入力!$B$12),0)</f>
        <v>0</v>
      </c>
      <c r="F597" s="32">
        <f t="shared" si="160"/>
        <v>0</v>
      </c>
      <c r="G597" s="32">
        <f>ROUND(IF(NOT(AND(T596="",A597&lt;=S596)),0,IF(A597=入力!$B$15+1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),0)</f>
        <v>0</v>
      </c>
      <c r="H597" s="32">
        <f t="shared" si="161"/>
        <v>0</v>
      </c>
      <c r="I597" s="32">
        <f t="shared" si="162"/>
        <v>0</v>
      </c>
      <c r="J597" s="32">
        <f t="shared" si="163"/>
        <v>0</v>
      </c>
      <c r="K597" s="32">
        <f t="shared" si="164"/>
        <v>0</v>
      </c>
      <c r="L597" s="32">
        <f t="shared" si="165"/>
        <v>0</v>
      </c>
      <c r="M597" s="32">
        <f>IF(AND(AND(T596="",A597&lt;=S596),A597=入力!$B$15),ROUND(MIN(入力!$B$16,MAX(0,C597-L597)),0),0)</f>
        <v>0</v>
      </c>
      <c r="N597" s="32">
        <f t="shared" si="166"/>
        <v>0</v>
      </c>
      <c r="O597" s="32">
        <f t="shared" si="167"/>
        <v>12386706</v>
      </c>
      <c r="P597" s="34" t="str">
        <f>IF(NOT(AND(T596="",A597&lt;=S596)),"",IF(A597=入力!$B$15+1,"繰上返済後再計算","")&amp;IF(AND(入力!$B$13="有効",A597&gt;1,MOD(A597-1,60)=0),IF(A597=入力!$B$15+1,"・","")&amp;"5年見直し","")&amp;IF(AND(A597=入力!$B$11,A597&gt;1),IF(OR(A597=入力!$B$15+1,AND(入力!$B$13="有効",A597&gt;1,MOD(A597-1,60)=0)),"・","")&amp;"金利変更","")&amp;IF(AND(OR(AND(入力!$B$13="有効",A597&gt;1,MOD(A597-1,60)=0),AND(A597=入力!$B$11,A597&gt;1)),入力!$B$14="有効",IF(E597=0,ROUND(C597/MAX(1,S596-A597+1),0),ROUND(-PMT(E597/12,MAX(1,S596-A597+1),C597),0))&gt;ROUND(G596*1.25,0),NOT(A597=入力!$B$15+1)),"・上限適用",""))</f>
        <v/>
      </c>
      <c r="Q597" s="35" t="str">
        <f>IF(AND(T596="",A597&lt;=S596),入力!$B$13,"")</f>
        <v/>
      </c>
      <c r="R597" s="32" t="str">
        <f>IF(AND(AND(T596="",A597&lt;=S596),OR(AND(入力!$B$13="有効",A597&gt;1,MOD(A597-1,60)=0),AND(A597=入力!$B$11,A597&gt;1)),入力!$B$14="有効"),ROUND(G596*1.25,0),"")</f>
        <v/>
      </c>
      <c r="S597" s="36">
        <f t="shared" si="168"/>
        <v>420</v>
      </c>
      <c r="T597" s="35" t="str">
        <f t="shared" si="169"/>
        <v/>
      </c>
      <c r="U597" s="3">
        <f t="shared" si="153"/>
        <v>0</v>
      </c>
      <c r="V597" s="3">
        <f t="shared" si="154"/>
        <v>0</v>
      </c>
      <c r="W597" s="3">
        <f t="shared" si="155"/>
        <v>0</v>
      </c>
      <c r="X597" s="3">
        <f t="shared" si="156"/>
        <v>0</v>
      </c>
      <c r="Y597" s="3">
        <f>0</f>
        <v>0</v>
      </c>
      <c r="Z597" s="3">
        <f t="shared" si="157"/>
        <v>0</v>
      </c>
      <c r="AA597">
        <f>ROUND(IF(A597=入力!$B$15+1,IF(E597=0,ROUND(C597/MAX(1,S596-A597+1),0),ROUND(-PMT(E597/12,MAX(1,S596-A597+1)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,0)</f>
        <v>0</v>
      </c>
    </row>
    <row r="598" spans="1:27">
      <c r="A598" s="30">
        <f>593</f>
        <v>593</v>
      </c>
      <c r="B598" s="31">
        <f>EDATE(入力!$B$6,A598-1)</f>
        <v>64254</v>
      </c>
      <c r="C598" s="32">
        <f t="shared" si="158"/>
        <v>0</v>
      </c>
      <c r="D598" s="32">
        <f t="shared" si="159"/>
        <v>0</v>
      </c>
      <c r="E598" s="33">
        <f>IF(AND(T597="",A598&lt;=S597),IF(A598&lt;入力!$B$11,入力!$B$10,入力!$B$12),0)</f>
        <v>0</v>
      </c>
      <c r="F598" s="32">
        <f t="shared" si="160"/>
        <v>0</v>
      </c>
      <c r="G598" s="32">
        <f>ROUND(IF(NOT(AND(T597="",A598&lt;=S597)),0,IF(A598=入力!$B$15+1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),0)</f>
        <v>0</v>
      </c>
      <c r="H598" s="32">
        <f t="shared" si="161"/>
        <v>0</v>
      </c>
      <c r="I598" s="32">
        <f t="shared" si="162"/>
        <v>0</v>
      </c>
      <c r="J598" s="32">
        <f t="shared" si="163"/>
        <v>0</v>
      </c>
      <c r="K598" s="32">
        <f t="shared" si="164"/>
        <v>0</v>
      </c>
      <c r="L598" s="32">
        <f t="shared" si="165"/>
        <v>0</v>
      </c>
      <c r="M598" s="32">
        <f>IF(AND(AND(T597="",A598&lt;=S597),A598=入力!$B$15),ROUND(MIN(入力!$B$16,MAX(0,C598-L598)),0),0)</f>
        <v>0</v>
      </c>
      <c r="N598" s="32">
        <f t="shared" si="166"/>
        <v>0</v>
      </c>
      <c r="O598" s="32">
        <f t="shared" si="167"/>
        <v>12386706</v>
      </c>
      <c r="P598" s="34" t="str">
        <f>IF(NOT(AND(T597="",A598&lt;=S597)),"",IF(A598=入力!$B$15+1,"繰上返済後再計算","")&amp;IF(AND(入力!$B$13="有効",A598&gt;1,MOD(A598-1,60)=0),IF(A598=入力!$B$15+1,"・","")&amp;"5年見直し","")&amp;IF(AND(A598=入力!$B$11,A598&gt;1),IF(OR(A598=入力!$B$15+1,AND(入力!$B$13="有効",A598&gt;1,MOD(A598-1,60)=0)),"・","")&amp;"金利変更","")&amp;IF(AND(OR(AND(入力!$B$13="有効",A598&gt;1,MOD(A598-1,60)=0),AND(A598=入力!$B$11,A598&gt;1)),入力!$B$14="有効",IF(E598=0,ROUND(C598/MAX(1,S597-A598+1),0),ROUND(-PMT(E598/12,MAX(1,S597-A598+1),C598),0))&gt;ROUND(G597*1.25,0),NOT(A598=入力!$B$15+1)),"・上限適用",""))</f>
        <v/>
      </c>
      <c r="Q598" s="35" t="str">
        <f>IF(AND(T597="",A598&lt;=S597),入力!$B$13,"")</f>
        <v/>
      </c>
      <c r="R598" s="32" t="str">
        <f>IF(AND(AND(T597="",A598&lt;=S597),OR(AND(入力!$B$13="有効",A598&gt;1,MOD(A598-1,60)=0),AND(A598=入力!$B$11,A598&gt;1)),入力!$B$14="有効"),ROUND(G597*1.25,0),"")</f>
        <v/>
      </c>
      <c r="S598" s="36">
        <f t="shared" si="168"/>
        <v>420</v>
      </c>
      <c r="T598" s="35" t="str">
        <f t="shared" si="169"/>
        <v/>
      </c>
      <c r="U598" s="3">
        <f t="shared" si="153"/>
        <v>0</v>
      </c>
      <c r="V598" s="3">
        <f t="shared" si="154"/>
        <v>0</v>
      </c>
      <c r="W598" s="3">
        <f t="shared" si="155"/>
        <v>0</v>
      </c>
      <c r="X598" s="3">
        <f t="shared" si="156"/>
        <v>0</v>
      </c>
      <c r="Y598" s="3">
        <f>0</f>
        <v>0</v>
      </c>
      <c r="Z598" s="3">
        <f t="shared" si="157"/>
        <v>0</v>
      </c>
      <c r="AA598">
        <f>ROUND(IF(A598=入力!$B$15+1,IF(E598=0,ROUND(C598/MAX(1,S597-A598+1),0),ROUND(-PMT(E598/12,MAX(1,S597-A598+1)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,0)</f>
        <v>0</v>
      </c>
    </row>
    <row r="599" spans="1:27">
      <c r="A599" s="30">
        <f>594</f>
        <v>594</v>
      </c>
      <c r="B599" s="31">
        <f>EDATE(入力!$B$6,A599-1)</f>
        <v>64285</v>
      </c>
      <c r="C599" s="32">
        <f t="shared" si="158"/>
        <v>0</v>
      </c>
      <c r="D599" s="32">
        <f t="shared" si="159"/>
        <v>0</v>
      </c>
      <c r="E599" s="33">
        <f>IF(AND(T598="",A599&lt;=S598),IF(A599&lt;入力!$B$11,入力!$B$10,入力!$B$12),0)</f>
        <v>0</v>
      </c>
      <c r="F599" s="32">
        <f t="shared" si="160"/>
        <v>0</v>
      </c>
      <c r="G599" s="32">
        <f>ROUND(IF(NOT(AND(T598="",A599&lt;=S598)),0,IF(A599=入力!$B$15+1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),0)</f>
        <v>0</v>
      </c>
      <c r="H599" s="32">
        <f t="shared" si="161"/>
        <v>0</v>
      </c>
      <c r="I599" s="32">
        <f t="shared" si="162"/>
        <v>0</v>
      </c>
      <c r="J599" s="32">
        <f t="shared" si="163"/>
        <v>0</v>
      </c>
      <c r="K599" s="32">
        <f t="shared" si="164"/>
        <v>0</v>
      </c>
      <c r="L599" s="32">
        <f t="shared" si="165"/>
        <v>0</v>
      </c>
      <c r="M599" s="32">
        <f>IF(AND(AND(T598="",A599&lt;=S598),A599=入力!$B$15),ROUND(MIN(入力!$B$16,MAX(0,C599-L599)),0),0)</f>
        <v>0</v>
      </c>
      <c r="N599" s="32">
        <f t="shared" si="166"/>
        <v>0</v>
      </c>
      <c r="O599" s="32">
        <f t="shared" si="167"/>
        <v>12386706</v>
      </c>
      <c r="P599" s="34" t="str">
        <f>IF(NOT(AND(T598="",A599&lt;=S598)),"",IF(A599=入力!$B$15+1,"繰上返済後再計算","")&amp;IF(AND(入力!$B$13="有効",A599&gt;1,MOD(A599-1,60)=0),IF(A599=入力!$B$15+1,"・","")&amp;"5年見直し","")&amp;IF(AND(A599=入力!$B$11,A599&gt;1),IF(OR(A599=入力!$B$15+1,AND(入力!$B$13="有効",A599&gt;1,MOD(A599-1,60)=0)),"・","")&amp;"金利変更","")&amp;IF(AND(OR(AND(入力!$B$13="有効",A599&gt;1,MOD(A599-1,60)=0),AND(A599=入力!$B$11,A599&gt;1)),入力!$B$14="有効",IF(E599=0,ROUND(C599/MAX(1,S598-A599+1),0),ROUND(-PMT(E599/12,MAX(1,S598-A599+1),C599),0))&gt;ROUND(G598*1.25,0),NOT(A599=入力!$B$15+1)),"・上限適用",""))</f>
        <v/>
      </c>
      <c r="Q599" s="35" t="str">
        <f>IF(AND(T598="",A599&lt;=S598),入力!$B$13,"")</f>
        <v/>
      </c>
      <c r="R599" s="32" t="str">
        <f>IF(AND(AND(T598="",A599&lt;=S598),OR(AND(入力!$B$13="有効",A599&gt;1,MOD(A599-1,60)=0),AND(A599=入力!$B$11,A599&gt;1)),入力!$B$14="有効"),ROUND(G598*1.25,0),"")</f>
        <v/>
      </c>
      <c r="S599" s="36">
        <f t="shared" si="168"/>
        <v>420</v>
      </c>
      <c r="T599" s="35" t="str">
        <f t="shared" si="169"/>
        <v/>
      </c>
      <c r="U599" s="3">
        <f t="shared" si="153"/>
        <v>0</v>
      </c>
      <c r="V599" s="3">
        <f t="shared" si="154"/>
        <v>0</v>
      </c>
      <c r="W599" s="3">
        <f t="shared" si="155"/>
        <v>0</v>
      </c>
      <c r="X599" s="3">
        <f t="shared" si="156"/>
        <v>0</v>
      </c>
      <c r="Y599" s="3">
        <f>0</f>
        <v>0</v>
      </c>
      <c r="Z599" s="3">
        <f t="shared" si="157"/>
        <v>0</v>
      </c>
      <c r="AA599">
        <f>ROUND(IF(A599=入力!$B$15+1,IF(E599=0,ROUND(C599/MAX(1,S598-A599+1),0),ROUND(-PMT(E599/12,MAX(1,S598-A599+1)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,0)</f>
        <v>0</v>
      </c>
    </row>
    <row r="600" spans="1:27">
      <c r="A600" s="30">
        <f>595</f>
        <v>595</v>
      </c>
      <c r="B600" s="31">
        <f>EDATE(入力!$B$6,A600-1)</f>
        <v>64316</v>
      </c>
      <c r="C600" s="32">
        <f t="shared" si="158"/>
        <v>0</v>
      </c>
      <c r="D600" s="32">
        <f t="shared" si="159"/>
        <v>0</v>
      </c>
      <c r="E600" s="33">
        <f>IF(AND(T599="",A600&lt;=S599),IF(A600&lt;入力!$B$11,入力!$B$10,入力!$B$12),0)</f>
        <v>0</v>
      </c>
      <c r="F600" s="32">
        <f t="shared" si="160"/>
        <v>0</v>
      </c>
      <c r="G600" s="32">
        <f>ROUND(IF(NOT(AND(T599="",A600&lt;=S599)),0,IF(A600=入力!$B$15+1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),0)</f>
        <v>0</v>
      </c>
      <c r="H600" s="32">
        <f t="shared" si="161"/>
        <v>0</v>
      </c>
      <c r="I600" s="32">
        <f t="shared" si="162"/>
        <v>0</v>
      </c>
      <c r="J600" s="32">
        <f t="shared" si="163"/>
        <v>0</v>
      </c>
      <c r="K600" s="32">
        <f t="shared" si="164"/>
        <v>0</v>
      </c>
      <c r="L600" s="32">
        <f t="shared" si="165"/>
        <v>0</v>
      </c>
      <c r="M600" s="32">
        <f>IF(AND(AND(T599="",A600&lt;=S599),A600=入力!$B$15),ROUND(MIN(入力!$B$16,MAX(0,C600-L600)),0),0)</f>
        <v>0</v>
      </c>
      <c r="N600" s="32">
        <f t="shared" si="166"/>
        <v>0</v>
      </c>
      <c r="O600" s="32">
        <f t="shared" si="167"/>
        <v>12386706</v>
      </c>
      <c r="P600" s="34" t="str">
        <f>IF(NOT(AND(T599="",A600&lt;=S599)),"",IF(A600=入力!$B$15+1,"繰上返済後再計算","")&amp;IF(AND(入力!$B$13="有効",A600&gt;1,MOD(A600-1,60)=0),IF(A600=入力!$B$15+1,"・","")&amp;"5年見直し","")&amp;IF(AND(A600=入力!$B$11,A600&gt;1),IF(OR(A600=入力!$B$15+1,AND(入力!$B$13="有効",A600&gt;1,MOD(A600-1,60)=0)),"・","")&amp;"金利変更","")&amp;IF(AND(OR(AND(入力!$B$13="有効",A600&gt;1,MOD(A600-1,60)=0),AND(A600=入力!$B$11,A600&gt;1)),入力!$B$14="有効",IF(E600=0,ROUND(C600/MAX(1,S599-A600+1),0),ROUND(-PMT(E600/12,MAX(1,S599-A600+1),C600),0))&gt;ROUND(G599*1.25,0),NOT(A600=入力!$B$15+1)),"・上限適用",""))</f>
        <v/>
      </c>
      <c r="Q600" s="35" t="str">
        <f>IF(AND(T599="",A600&lt;=S599),入力!$B$13,"")</f>
        <v/>
      </c>
      <c r="R600" s="32" t="str">
        <f>IF(AND(AND(T599="",A600&lt;=S599),OR(AND(入力!$B$13="有効",A600&gt;1,MOD(A600-1,60)=0),AND(A600=入力!$B$11,A600&gt;1)),入力!$B$14="有効"),ROUND(G599*1.25,0),"")</f>
        <v/>
      </c>
      <c r="S600" s="36">
        <f t="shared" si="168"/>
        <v>420</v>
      </c>
      <c r="T600" s="35" t="str">
        <f t="shared" si="169"/>
        <v/>
      </c>
      <c r="U600" s="3">
        <f t="shared" si="153"/>
        <v>0</v>
      </c>
      <c r="V600" s="3">
        <f t="shared" si="154"/>
        <v>0</v>
      </c>
      <c r="W600" s="3">
        <f t="shared" si="155"/>
        <v>0</v>
      </c>
      <c r="X600" s="3">
        <f t="shared" si="156"/>
        <v>0</v>
      </c>
      <c r="Y600" s="3">
        <f>0</f>
        <v>0</v>
      </c>
      <c r="Z600" s="3">
        <f t="shared" si="157"/>
        <v>0</v>
      </c>
      <c r="AA600">
        <f>ROUND(IF(A600=入力!$B$15+1,IF(E600=0,ROUND(C600/MAX(1,S599-A600+1),0),ROUND(-PMT(E600/12,MAX(1,S599-A600+1)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,0)</f>
        <v>0</v>
      </c>
    </row>
    <row r="601" spans="1:27">
      <c r="A601" s="30">
        <f>596</f>
        <v>596</v>
      </c>
      <c r="B601" s="31">
        <f>EDATE(入力!$B$6,A601-1)</f>
        <v>64345</v>
      </c>
      <c r="C601" s="32">
        <f t="shared" si="158"/>
        <v>0</v>
      </c>
      <c r="D601" s="32">
        <f t="shared" si="159"/>
        <v>0</v>
      </c>
      <c r="E601" s="33">
        <f>IF(AND(T600="",A601&lt;=S600),IF(A601&lt;入力!$B$11,入力!$B$10,入力!$B$12),0)</f>
        <v>0</v>
      </c>
      <c r="F601" s="32">
        <f t="shared" si="160"/>
        <v>0</v>
      </c>
      <c r="G601" s="32">
        <f>ROUND(IF(NOT(AND(T600="",A601&lt;=S600)),0,IF(A601=入力!$B$15+1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),0)</f>
        <v>0</v>
      </c>
      <c r="H601" s="32">
        <f t="shared" si="161"/>
        <v>0</v>
      </c>
      <c r="I601" s="32">
        <f t="shared" si="162"/>
        <v>0</v>
      </c>
      <c r="J601" s="32">
        <f t="shared" si="163"/>
        <v>0</v>
      </c>
      <c r="K601" s="32">
        <f t="shared" si="164"/>
        <v>0</v>
      </c>
      <c r="L601" s="32">
        <f t="shared" si="165"/>
        <v>0</v>
      </c>
      <c r="M601" s="32">
        <f>IF(AND(AND(T600="",A601&lt;=S600),A601=入力!$B$15),ROUND(MIN(入力!$B$16,MAX(0,C601-L601)),0),0)</f>
        <v>0</v>
      </c>
      <c r="N601" s="32">
        <f t="shared" si="166"/>
        <v>0</v>
      </c>
      <c r="O601" s="32">
        <f t="shared" si="167"/>
        <v>12386706</v>
      </c>
      <c r="P601" s="34" t="str">
        <f>IF(NOT(AND(T600="",A601&lt;=S600)),"",IF(A601=入力!$B$15+1,"繰上返済後再計算","")&amp;IF(AND(入力!$B$13="有効",A601&gt;1,MOD(A601-1,60)=0),IF(A601=入力!$B$15+1,"・","")&amp;"5年見直し","")&amp;IF(AND(A601=入力!$B$11,A601&gt;1),IF(OR(A601=入力!$B$15+1,AND(入力!$B$13="有効",A601&gt;1,MOD(A601-1,60)=0)),"・","")&amp;"金利変更","")&amp;IF(AND(OR(AND(入力!$B$13="有効",A601&gt;1,MOD(A601-1,60)=0),AND(A601=入力!$B$11,A601&gt;1)),入力!$B$14="有効",IF(E601=0,ROUND(C601/MAX(1,S600-A601+1),0),ROUND(-PMT(E601/12,MAX(1,S600-A601+1),C601),0))&gt;ROUND(G600*1.25,0),NOT(A601=入力!$B$15+1)),"・上限適用",""))</f>
        <v/>
      </c>
      <c r="Q601" s="35" t="str">
        <f>IF(AND(T600="",A601&lt;=S600),入力!$B$13,"")</f>
        <v/>
      </c>
      <c r="R601" s="32" t="str">
        <f>IF(AND(AND(T600="",A601&lt;=S600),OR(AND(入力!$B$13="有効",A601&gt;1,MOD(A601-1,60)=0),AND(A601=入力!$B$11,A601&gt;1)),入力!$B$14="有効"),ROUND(G600*1.25,0),"")</f>
        <v/>
      </c>
      <c r="S601" s="36">
        <f t="shared" si="168"/>
        <v>420</v>
      </c>
      <c r="T601" s="35" t="str">
        <f t="shared" si="169"/>
        <v/>
      </c>
      <c r="U601" s="3">
        <f t="shared" si="153"/>
        <v>0</v>
      </c>
      <c r="V601" s="3">
        <f t="shared" si="154"/>
        <v>0</v>
      </c>
      <c r="W601" s="3">
        <f t="shared" si="155"/>
        <v>0</v>
      </c>
      <c r="X601" s="3">
        <f t="shared" si="156"/>
        <v>0</v>
      </c>
      <c r="Y601" s="3">
        <f>0</f>
        <v>0</v>
      </c>
      <c r="Z601" s="3">
        <f t="shared" si="157"/>
        <v>0</v>
      </c>
      <c r="AA601">
        <f>ROUND(IF(A601=入力!$B$15+1,IF(E601=0,ROUND(C601/MAX(1,S600-A601+1),0),ROUND(-PMT(E601/12,MAX(1,S600-A601+1)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,0)</f>
        <v>0</v>
      </c>
    </row>
    <row r="602" spans="1:27">
      <c r="A602" s="30">
        <f>597</f>
        <v>597</v>
      </c>
      <c r="B602" s="31">
        <f>EDATE(入力!$B$6,A602-1)</f>
        <v>64376</v>
      </c>
      <c r="C602" s="32">
        <f t="shared" si="158"/>
        <v>0</v>
      </c>
      <c r="D602" s="32">
        <f t="shared" si="159"/>
        <v>0</v>
      </c>
      <c r="E602" s="33">
        <f>IF(AND(T601="",A602&lt;=S601),IF(A602&lt;入力!$B$11,入力!$B$10,入力!$B$12),0)</f>
        <v>0</v>
      </c>
      <c r="F602" s="32">
        <f t="shared" si="160"/>
        <v>0</v>
      </c>
      <c r="G602" s="32">
        <f>ROUND(IF(NOT(AND(T601="",A602&lt;=S601)),0,IF(A602=入力!$B$15+1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),0)</f>
        <v>0</v>
      </c>
      <c r="H602" s="32">
        <f t="shared" si="161"/>
        <v>0</v>
      </c>
      <c r="I602" s="32">
        <f t="shared" si="162"/>
        <v>0</v>
      </c>
      <c r="J602" s="32">
        <f t="shared" si="163"/>
        <v>0</v>
      </c>
      <c r="K602" s="32">
        <f t="shared" si="164"/>
        <v>0</v>
      </c>
      <c r="L602" s="32">
        <f t="shared" si="165"/>
        <v>0</v>
      </c>
      <c r="M602" s="32">
        <f>IF(AND(AND(T601="",A602&lt;=S601),A602=入力!$B$15),ROUND(MIN(入力!$B$16,MAX(0,C602-L602)),0),0)</f>
        <v>0</v>
      </c>
      <c r="N602" s="32">
        <f t="shared" si="166"/>
        <v>0</v>
      </c>
      <c r="O602" s="32">
        <f t="shared" si="167"/>
        <v>12386706</v>
      </c>
      <c r="P602" s="34" t="str">
        <f>IF(NOT(AND(T601="",A602&lt;=S601)),"",IF(A602=入力!$B$15+1,"繰上返済後再計算","")&amp;IF(AND(入力!$B$13="有効",A602&gt;1,MOD(A602-1,60)=0),IF(A602=入力!$B$15+1,"・","")&amp;"5年見直し","")&amp;IF(AND(A602=入力!$B$11,A602&gt;1),IF(OR(A602=入力!$B$15+1,AND(入力!$B$13="有効",A602&gt;1,MOD(A602-1,60)=0)),"・","")&amp;"金利変更","")&amp;IF(AND(OR(AND(入力!$B$13="有効",A602&gt;1,MOD(A602-1,60)=0),AND(A602=入力!$B$11,A602&gt;1)),入力!$B$14="有効",IF(E602=0,ROUND(C602/MAX(1,S601-A602+1),0),ROUND(-PMT(E602/12,MAX(1,S601-A602+1),C602),0))&gt;ROUND(G601*1.25,0),NOT(A602=入力!$B$15+1)),"・上限適用",""))</f>
        <v/>
      </c>
      <c r="Q602" s="35" t="str">
        <f>IF(AND(T601="",A602&lt;=S601),入力!$B$13,"")</f>
        <v/>
      </c>
      <c r="R602" s="32" t="str">
        <f>IF(AND(AND(T601="",A602&lt;=S601),OR(AND(入力!$B$13="有効",A602&gt;1,MOD(A602-1,60)=0),AND(A602=入力!$B$11,A602&gt;1)),入力!$B$14="有効"),ROUND(G601*1.25,0),"")</f>
        <v/>
      </c>
      <c r="S602" s="36">
        <f t="shared" si="168"/>
        <v>420</v>
      </c>
      <c r="T602" s="35" t="str">
        <f t="shared" si="169"/>
        <v/>
      </c>
      <c r="U602" s="3">
        <f t="shared" si="153"/>
        <v>0</v>
      </c>
      <c r="V602" s="3">
        <f t="shared" si="154"/>
        <v>0</v>
      </c>
      <c r="W602" s="3">
        <f t="shared" si="155"/>
        <v>0</v>
      </c>
      <c r="X602" s="3">
        <f t="shared" si="156"/>
        <v>0</v>
      </c>
      <c r="Y602" s="3">
        <f>0</f>
        <v>0</v>
      </c>
      <c r="Z602" s="3">
        <f t="shared" si="157"/>
        <v>0</v>
      </c>
      <c r="AA602">
        <f>ROUND(IF(A602=入力!$B$15+1,IF(E602=0,ROUND(C602/MAX(1,S601-A602+1),0),ROUND(-PMT(E602/12,MAX(1,S601-A602+1)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,0)</f>
        <v>0</v>
      </c>
    </row>
    <row r="603" spans="1:27">
      <c r="A603" s="30">
        <f>598</f>
        <v>598</v>
      </c>
      <c r="B603" s="31">
        <f>EDATE(入力!$B$6,A603-1)</f>
        <v>64406</v>
      </c>
      <c r="C603" s="32">
        <f t="shared" si="158"/>
        <v>0</v>
      </c>
      <c r="D603" s="32">
        <f t="shared" si="159"/>
        <v>0</v>
      </c>
      <c r="E603" s="33">
        <f>IF(AND(T602="",A603&lt;=S602),IF(A603&lt;入力!$B$11,入力!$B$10,入力!$B$12),0)</f>
        <v>0</v>
      </c>
      <c r="F603" s="32">
        <f t="shared" si="160"/>
        <v>0</v>
      </c>
      <c r="G603" s="32">
        <f>ROUND(IF(NOT(AND(T602="",A603&lt;=S602)),0,IF(A603=入力!$B$15+1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),0)</f>
        <v>0</v>
      </c>
      <c r="H603" s="32">
        <f t="shared" si="161"/>
        <v>0</v>
      </c>
      <c r="I603" s="32">
        <f t="shared" si="162"/>
        <v>0</v>
      </c>
      <c r="J603" s="32">
        <f t="shared" si="163"/>
        <v>0</v>
      </c>
      <c r="K603" s="32">
        <f t="shared" si="164"/>
        <v>0</v>
      </c>
      <c r="L603" s="32">
        <f t="shared" si="165"/>
        <v>0</v>
      </c>
      <c r="M603" s="32">
        <f>IF(AND(AND(T602="",A603&lt;=S602),A603=入力!$B$15),ROUND(MIN(入力!$B$16,MAX(0,C603-L603)),0),0)</f>
        <v>0</v>
      </c>
      <c r="N603" s="32">
        <f t="shared" si="166"/>
        <v>0</v>
      </c>
      <c r="O603" s="32">
        <f t="shared" si="167"/>
        <v>12386706</v>
      </c>
      <c r="P603" s="34" t="str">
        <f>IF(NOT(AND(T602="",A603&lt;=S602)),"",IF(A603=入力!$B$15+1,"繰上返済後再計算","")&amp;IF(AND(入力!$B$13="有効",A603&gt;1,MOD(A603-1,60)=0),IF(A603=入力!$B$15+1,"・","")&amp;"5年見直し","")&amp;IF(AND(A603=入力!$B$11,A603&gt;1),IF(OR(A603=入力!$B$15+1,AND(入力!$B$13="有効",A603&gt;1,MOD(A603-1,60)=0)),"・","")&amp;"金利変更","")&amp;IF(AND(OR(AND(入力!$B$13="有効",A603&gt;1,MOD(A603-1,60)=0),AND(A603=入力!$B$11,A603&gt;1)),入力!$B$14="有効",IF(E603=0,ROUND(C603/MAX(1,S602-A603+1),0),ROUND(-PMT(E603/12,MAX(1,S602-A603+1),C603),0))&gt;ROUND(G602*1.25,0),NOT(A603=入力!$B$15+1)),"・上限適用",""))</f>
        <v/>
      </c>
      <c r="Q603" s="35" t="str">
        <f>IF(AND(T602="",A603&lt;=S602),入力!$B$13,"")</f>
        <v/>
      </c>
      <c r="R603" s="32" t="str">
        <f>IF(AND(AND(T602="",A603&lt;=S602),OR(AND(入力!$B$13="有効",A603&gt;1,MOD(A603-1,60)=0),AND(A603=入力!$B$11,A603&gt;1)),入力!$B$14="有効"),ROUND(G602*1.25,0),"")</f>
        <v/>
      </c>
      <c r="S603" s="36">
        <f t="shared" si="168"/>
        <v>420</v>
      </c>
      <c r="T603" s="35" t="str">
        <f t="shared" si="169"/>
        <v/>
      </c>
      <c r="U603" s="3">
        <f t="shared" si="153"/>
        <v>0</v>
      </c>
      <c r="V603" s="3">
        <f t="shared" si="154"/>
        <v>0</v>
      </c>
      <c r="W603" s="3">
        <f t="shared" si="155"/>
        <v>0</v>
      </c>
      <c r="X603" s="3">
        <f t="shared" si="156"/>
        <v>0</v>
      </c>
      <c r="Y603" s="3">
        <f>0</f>
        <v>0</v>
      </c>
      <c r="Z603" s="3">
        <f t="shared" si="157"/>
        <v>0</v>
      </c>
      <c r="AA603">
        <f>ROUND(IF(A603=入力!$B$15+1,IF(E603=0,ROUND(C603/MAX(1,S602-A603+1),0),ROUND(-PMT(E603/12,MAX(1,S602-A603+1)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,0)</f>
        <v>0</v>
      </c>
    </row>
    <row r="604" spans="1:27">
      <c r="A604" s="30">
        <f>599</f>
        <v>599</v>
      </c>
      <c r="B604" s="31">
        <f>EDATE(入力!$B$6,A604-1)</f>
        <v>64437</v>
      </c>
      <c r="C604" s="32">
        <f t="shared" si="158"/>
        <v>0</v>
      </c>
      <c r="D604" s="32">
        <f t="shared" si="159"/>
        <v>0</v>
      </c>
      <c r="E604" s="33">
        <f>IF(AND(T603="",A604&lt;=S603),IF(A604&lt;入力!$B$11,入力!$B$10,入力!$B$12),0)</f>
        <v>0</v>
      </c>
      <c r="F604" s="32">
        <f t="shared" si="160"/>
        <v>0</v>
      </c>
      <c r="G604" s="32">
        <f>ROUND(IF(NOT(AND(T603="",A604&lt;=S603)),0,IF(A604=入力!$B$15+1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),0)</f>
        <v>0</v>
      </c>
      <c r="H604" s="32">
        <f t="shared" si="161"/>
        <v>0</v>
      </c>
      <c r="I604" s="32">
        <f t="shared" si="162"/>
        <v>0</v>
      </c>
      <c r="J604" s="32">
        <f t="shared" si="163"/>
        <v>0</v>
      </c>
      <c r="K604" s="32">
        <f t="shared" si="164"/>
        <v>0</v>
      </c>
      <c r="L604" s="32">
        <f t="shared" si="165"/>
        <v>0</v>
      </c>
      <c r="M604" s="32">
        <f>IF(AND(AND(T603="",A604&lt;=S603),A604=入力!$B$15),ROUND(MIN(入力!$B$16,MAX(0,C604-L604)),0),0)</f>
        <v>0</v>
      </c>
      <c r="N604" s="32">
        <f t="shared" si="166"/>
        <v>0</v>
      </c>
      <c r="O604" s="32">
        <f t="shared" si="167"/>
        <v>12386706</v>
      </c>
      <c r="P604" s="34" t="str">
        <f>IF(NOT(AND(T603="",A604&lt;=S603)),"",IF(A604=入力!$B$15+1,"繰上返済後再計算","")&amp;IF(AND(入力!$B$13="有効",A604&gt;1,MOD(A604-1,60)=0),IF(A604=入力!$B$15+1,"・","")&amp;"5年見直し","")&amp;IF(AND(A604=入力!$B$11,A604&gt;1),IF(OR(A604=入力!$B$15+1,AND(入力!$B$13="有効",A604&gt;1,MOD(A604-1,60)=0)),"・","")&amp;"金利変更","")&amp;IF(AND(OR(AND(入力!$B$13="有効",A604&gt;1,MOD(A604-1,60)=0),AND(A604=入力!$B$11,A604&gt;1)),入力!$B$14="有効",IF(E604=0,ROUND(C604/MAX(1,S603-A604+1),0),ROUND(-PMT(E604/12,MAX(1,S603-A604+1),C604),0))&gt;ROUND(G603*1.25,0),NOT(A604=入力!$B$15+1)),"・上限適用",""))</f>
        <v/>
      </c>
      <c r="Q604" s="35" t="str">
        <f>IF(AND(T603="",A604&lt;=S603),入力!$B$13,"")</f>
        <v/>
      </c>
      <c r="R604" s="32" t="str">
        <f>IF(AND(AND(T603="",A604&lt;=S603),OR(AND(入力!$B$13="有効",A604&gt;1,MOD(A604-1,60)=0),AND(A604=入力!$B$11,A604&gt;1)),入力!$B$14="有効"),ROUND(G603*1.25,0),"")</f>
        <v/>
      </c>
      <c r="S604" s="36">
        <f t="shared" si="168"/>
        <v>420</v>
      </c>
      <c r="T604" s="35" t="str">
        <f t="shared" si="169"/>
        <v/>
      </c>
      <c r="U604" s="3">
        <f t="shared" si="153"/>
        <v>0</v>
      </c>
      <c r="V604" s="3">
        <f t="shared" si="154"/>
        <v>0</v>
      </c>
      <c r="W604" s="3">
        <f t="shared" si="155"/>
        <v>0</v>
      </c>
      <c r="X604" s="3">
        <f t="shared" si="156"/>
        <v>0</v>
      </c>
      <c r="Y604" s="3">
        <f>0</f>
        <v>0</v>
      </c>
      <c r="Z604" s="3">
        <f t="shared" si="157"/>
        <v>0</v>
      </c>
      <c r="AA604">
        <f>ROUND(IF(A604=入力!$B$15+1,IF(E604=0,ROUND(C604/MAX(1,S603-A604+1),0),ROUND(-PMT(E604/12,MAX(1,S603-A604+1)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,0)</f>
        <v>0</v>
      </c>
    </row>
    <row r="605" spans="1:27">
      <c r="A605" s="37">
        <f>600</f>
        <v>600</v>
      </c>
      <c r="B605" s="38">
        <f>EDATE(入力!$B$6,A605-1)</f>
        <v>64467</v>
      </c>
      <c r="C605" s="39">
        <f t="shared" si="158"/>
        <v>0</v>
      </c>
      <c r="D605" s="39">
        <f t="shared" si="159"/>
        <v>0</v>
      </c>
      <c r="E605" s="40">
        <f>IF(AND(T604="",A605&lt;=S604),IF(A605&lt;入力!$B$11,入力!$B$10,入力!$B$12),0)</f>
        <v>0</v>
      </c>
      <c r="F605" s="39">
        <f t="shared" si="160"/>
        <v>0</v>
      </c>
      <c r="G605" s="39">
        <f>ROUND(IF(NOT(AND(T604="",A605&lt;=S604)),0,IF(A605=入力!$B$15+1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),0)</f>
        <v>0</v>
      </c>
      <c r="H605" s="39">
        <f t="shared" si="161"/>
        <v>0</v>
      </c>
      <c r="I605" s="39">
        <f t="shared" si="162"/>
        <v>0</v>
      </c>
      <c r="J605" s="39">
        <f t="shared" si="163"/>
        <v>0</v>
      </c>
      <c r="K605" s="39">
        <f t="shared" si="164"/>
        <v>0</v>
      </c>
      <c r="L605" s="39">
        <f t="shared" si="165"/>
        <v>0</v>
      </c>
      <c r="M605" s="39">
        <f>IF(AND(AND(T604="",A605&lt;=S604),A605=入力!$B$15),ROUND(MIN(入力!$B$16,MAX(0,C605-L605)),0),0)</f>
        <v>0</v>
      </c>
      <c r="N605" s="39">
        <f t="shared" si="166"/>
        <v>0</v>
      </c>
      <c r="O605" s="39">
        <f t="shared" si="167"/>
        <v>12386706</v>
      </c>
      <c r="P605" s="41" t="str">
        <f>IF(NOT(AND(T604="",A605&lt;=S604)),"",IF(A605=入力!$B$15+1,"繰上返済後再計算","")&amp;IF(AND(入力!$B$13="有効",A605&gt;1,MOD(A605-1,60)=0),IF(A605=入力!$B$15+1,"・","")&amp;"5年見直し","")&amp;IF(AND(A605=入力!$B$11,A605&gt;1),IF(OR(A605=入力!$B$15+1,AND(入力!$B$13="有効",A605&gt;1,MOD(A605-1,60)=0)),"・","")&amp;"金利変更","")&amp;IF(AND(OR(AND(入力!$B$13="有効",A605&gt;1,MOD(A605-1,60)=0),AND(A605=入力!$B$11,A605&gt;1)),入力!$B$14="有効",IF(E605=0,ROUND(C605/MAX(1,S604-A605+1),0),ROUND(-PMT(E605/12,MAX(1,S604-A605+1),C605),0))&gt;ROUND(G604*1.25,0),NOT(A605=入力!$B$15+1)),"・上限適用",""))</f>
        <v/>
      </c>
      <c r="Q605" s="42" t="str">
        <f>IF(AND(T604="",A605&lt;=S604),入力!$B$13,"")</f>
        <v/>
      </c>
      <c r="R605" s="39" t="str">
        <f>IF(AND(AND(T604="",A605&lt;=S604),OR(AND(入力!$B$13="有効",A605&gt;1,MOD(A605-1,60)=0),AND(A605=入力!$B$11,A605&gt;1)),入力!$B$14="有効"),ROUND(G604*1.25,0),"")</f>
        <v/>
      </c>
      <c r="S605" s="43">
        <f t="shared" si="168"/>
        <v>420</v>
      </c>
      <c r="T605" s="42" t="str">
        <f t="shared" si="169"/>
        <v/>
      </c>
      <c r="U605" s="3">
        <f t="shared" si="153"/>
        <v>0</v>
      </c>
      <c r="V605" s="3">
        <f t="shared" si="154"/>
        <v>0</v>
      </c>
      <c r="W605" s="3">
        <f t="shared" si="155"/>
        <v>0</v>
      </c>
      <c r="X605" s="3">
        <f t="shared" si="156"/>
        <v>0</v>
      </c>
      <c r="Y605" s="3">
        <f>0</f>
        <v>0</v>
      </c>
      <c r="Z605" s="3">
        <f t="shared" si="157"/>
        <v>0</v>
      </c>
      <c r="AA605">
        <f>ROUND(IF(A605=入力!$B$15+1,IF(E605=0,ROUND(C605/MAX(1,S604-A605+1),0),ROUND(-PMT(E605/12,MAX(1,S604-A605+1)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,0)</f>
        <v>0</v>
      </c>
    </row>
  </sheetData>
  <mergeCells count="2">
    <mergeCell ref="A1:T1"/>
    <mergeCell ref="A2:T3"/>
  </mergeCells>
  <phoneticPr fontId="1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605"/>
  <sheetViews>
    <sheetView showGridLines="0" workbookViewId="0"/>
  </sheetViews>
  <sheetFormatPr baseColWidth="10" defaultColWidth="8.83203125" defaultRowHeight="14"/>
  <cols>
    <col min="1" max="1" width="7" customWidth="1"/>
    <col min="2" max="2" width="13" customWidth="1"/>
    <col min="3" max="6" width="15" customWidth="1"/>
    <col min="7" max="8" width="18" customWidth="1"/>
    <col min="9" max="15" width="15" customWidth="1"/>
    <col min="16" max="16" width="30" customWidth="1"/>
    <col min="17" max="17" width="12" customWidth="1"/>
    <col min="18" max="18" width="15" customWidth="1"/>
    <col min="19" max="19" width="13" customWidth="1"/>
    <col min="20" max="20" width="14" customWidth="1"/>
    <col min="21" max="27" width="2" customWidth="1"/>
  </cols>
  <sheetData>
    <row r="1" spans="1:27" ht="30" customHeight="1">
      <c r="A1" s="47" t="s">
        <v>84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22"/>
      <c r="V1" s="22"/>
      <c r="W1" s="22"/>
      <c r="X1" s="22"/>
      <c r="Y1" s="22"/>
      <c r="Z1" s="22"/>
      <c r="AA1" s="2"/>
    </row>
    <row r="2" spans="1:27" ht="24" customHeight="1">
      <c r="A2" s="48" t="s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0"/>
      <c r="U2" s="3"/>
      <c r="V2" s="3"/>
      <c r="W2" s="3"/>
      <c r="X2" s="3"/>
      <c r="Y2" s="3"/>
      <c r="Z2" s="3"/>
    </row>
    <row r="3" spans="1:27" ht="24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3"/>
      <c r="V3" s="3"/>
      <c r="W3" s="3"/>
      <c r="X3" s="3"/>
      <c r="Y3" s="3"/>
      <c r="Z3" s="3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7" ht="42" customHeight="1">
      <c r="A5" s="1" t="s">
        <v>57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" t="s">
        <v>25</v>
      </c>
      <c r="N5" s="1" t="s">
        <v>69</v>
      </c>
      <c r="O5" s="1" t="s">
        <v>70</v>
      </c>
      <c r="P5" s="1" t="s">
        <v>71</v>
      </c>
      <c r="Q5" s="1" t="s">
        <v>20</v>
      </c>
      <c r="R5" s="1" t="s">
        <v>72</v>
      </c>
      <c r="S5" s="1" t="s">
        <v>73</v>
      </c>
      <c r="T5" s="1" t="s">
        <v>74</v>
      </c>
      <c r="U5" s="1" t="s">
        <v>75</v>
      </c>
      <c r="V5" s="1" t="s">
        <v>76</v>
      </c>
      <c r="W5" s="1" t="s">
        <v>77</v>
      </c>
      <c r="X5" s="1" t="s">
        <v>78</v>
      </c>
      <c r="Y5" s="1" t="s">
        <v>79</v>
      </c>
      <c r="Z5" s="1" t="s">
        <v>80</v>
      </c>
      <c r="AA5" s="1" t="s">
        <v>81</v>
      </c>
    </row>
    <row r="6" spans="1:27">
      <c r="A6" s="23">
        <f>1</f>
        <v>1</v>
      </c>
      <c r="B6" s="24">
        <f>EDATE(入力!$B$6,A6-1)</f>
        <v>46235</v>
      </c>
      <c r="C6" s="25">
        <f>入力!$B$7</f>
        <v>35000000</v>
      </c>
      <c r="D6" s="25">
        <f>0</f>
        <v>0</v>
      </c>
      <c r="E6" s="26">
        <f>IF(TRUE,IF(A6&lt;入力!$B$11,入力!$B$10,入力!$B$12),0)</f>
        <v>7.0000000000000001E-3</v>
      </c>
      <c r="F6" s="25">
        <f>IF(TRUE,ROUND(C6*E6/12,0),0)</f>
        <v>20417</v>
      </c>
      <c r="G6" s="25">
        <f>ROUND(IF(E6=0,ROUND(入力!$B$7/入力!$B$9,0),ROUND(-PMT(E6/12,入力!$B$9,入力!$B$7),0)),0)</f>
        <v>93982</v>
      </c>
      <c r="H6" s="25">
        <f>IF(TRUE,ROUND(MIN(G6,C6+D6+F6),0),0)</f>
        <v>93982</v>
      </c>
      <c r="I6" s="25">
        <f>IF(TRUE,ROUND(MIN(H6,D6+F6),0),0)</f>
        <v>20417</v>
      </c>
      <c r="J6" s="25">
        <f>IF(TRUE,ROUND(F6-I6,0),0)</f>
        <v>0</v>
      </c>
      <c r="K6" s="25">
        <f>IF(TRUE,ROUND(D6+J6,0),0)</f>
        <v>0</v>
      </c>
      <c r="L6" s="25">
        <f>IF(TRUE,ROUND(H6-I6,0),0)</f>
        <v>73565</v>
      </c>
      <c r="M6" s="25">
        <f>IF(AND(TRUE,A6=入力!$B$15),ROUND(MIN(入力!$B$16,MAX(0,C6-L6)),0),0)</f>
        <v>0</v>
      </c>
      <c r="N6" s="25">
        <f>IF(TRUE,ROUND(MAX(0,C6-L6-M6),0),0)</f>
        <v>34926435</v>
      </c>
      <c r="O6" s="25">
        <f>ROUND(F6,0)</f>
        <v>20417</v>
      </c>
      <c r="P6" s="27" t="str">
        <f>""</f>
        <v/>
      </c>
      <c r="Q6" s="28" t="str">
        <f>IF(TRUE,入力!$B$13,"")</f>
        <v>有効</v>
      </c>
      <c r="R6" s="25" t="str">
        <f>""</f>
        <v/>
      </c>
      <c r="S6" s="29">
        <f>入力!$B$9</f>
        <v>420</v>
      </c>
      <c r="T6" s="28" t="str">
        <f>IF(NOT(TRUE),"",IF(AND(N6=0,K6=0),"完済",IF(A6=S6,"最終回清算","")))</f>
        <v/>
      </c>
      <c r="U6" s="3">
        <f t="shared" ref="U6:U69" si="0">ABS(I6-MIN(H6,D6+F6))</f>
        <v>0</v>
      </c>
      <c r="V6" s="3">
        <f t="shared" ref="V6:V69" si="1">ABS(L6-(H6-I6))</f>
        <v>0</v>
      </c>
      <c r="W6" s="3">
        <f t="shared" ref="W6:W69" si="2">ABS(K6-(D6+J6))</f>
        <v>0</v>
      </c>
      <c r="X6" s="3">
        <f t="shared" ref="X6:X69" si="3">ABS(F6-ROUND(F6,0))+ABS(G6-ROUND(G6,0))+ABS(H6-ROUND(H6,0))+ABS(I6-ROUND(I6,0))+ABS(J6-ROUND(J6,0))+ABS(K6-ROUND(K6,0))+ABS(L6-ROUND(L6,0))+ABS(M6-ROUND(M6,0))+ABS(N6-ROUND(N6,0))+ABS(O6-ROUND(O6,0))</f>
        <v>0</v>
      </c>
      <c r="Y6" s="3">
        <f>IF(A6&lt;入力!$B$15,ABS(G6-何もしない_月次!G6),0)</f>
        <v>0</v>
      </c>
      <c r="Z6" s="3">
        <f t="shared" ref="Z6:Z69" si="4">SUM(--ISERROR(A6),--ISERROR(B6),--ISERROR(C6),--ISERROR(D6),--ISERROR(E6),--ISERROR(F6),--ISERROR(G6),--ISERROR(H6),--ISERROR(I6),--ISERROR(J6),--ISERROR(K6),--ISERROR(L6),--ISERROR(M6),--ISERROR(N6),--ISERROR(O6),--ISERROR(P6),--ISERROR(Q6),--ISERROR(R6),--ISERROR(S6),--ISERROR(T6))</f>
        <v>0</v>
      </c>
      <c r="AA6">
        <f>ROUND(IF(E6=0,ROUND(入力!$B$7/入力!$B$9,0),ROUND(-PMT(E6/12,入力!$B$9,入力!$B$7),0)),0)</f>
        <v>93982</v>
      </c>
    </row>
    <row r="7" spans="1:27">
      <c r="A7" s="30">
        <f>2</f>
        <v>2</v>
      </c>
      <c r="B7" s="31">
        <f>EDATE(入力!$B$6,A7-1)</f>
        <v>46266</v>
      </c>
      <c r="C7" s="32">
        <f t="shared" ref="C7:C70" si="5">IF(AND(T6="",A7&lt;=S6),N6,0)</f>
        <v>34926435</v>
      </c>
      <c r="D7" s="32">
        <f t="shared" ref="D7:D70" si="6">IF(AND(T6="",A7&lt;=S6),K6,0)</f>
        <v>0</v>
      </c>
      <c r="E7" s="33">
        <f>IF(AND(T6="",A7&lt;=S6),IF(A7&lt;入力!$B$11,入力!$B$10,入力!$B$12),0)</f>
        <v>7.0000000000000001E-3</v>
      </c>
      <c r="F7" s="32">
        <f t="shared" ref="F7:F70" si="7">IF(AND(T6="",A7&lt;=S6),ROUND(C7*E7/12,0),0)</f>
        <v>20374</v>
      </c>
      <c r="G7" s="32">
        <f>ROUND(IF(NOT(AND(T6="",A7&lt;=S6)),0,IF(A7=入力!$B$15+1,IF(E7=0,ROUND(C7/入力!$B$19,0),ROUND(-PMT(E7/12,入力!$B$19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),0)</f>
        <v>93982</v>
      </c>
      <c r="H7" s="32">
        <f t="shared" ref="H7:H70" si="8">IF(AND(T6="",A7&lt;=S6),ROUND(MIN(G7,C7+D7+F7),0),0)</f>
        <v>93982</v>
      </c>
      <c r="I7" s="32">
        <f t="shared" ref="I7:I70" si="9">IF(AND(T6="",A7&lt;=S6),ROUND(MIN(H7,D7+F7),0),0)</f>
        <v>20374</v>
      </c>
      <c r="J7" s="32">
        <f t="shared" ref="J7:J70" si="10">IF(AND(T6="",A7&lt;=S6),ROUND(F7-I7,0),0)</f>
        <v>0</v>
      </c>
      <c r="K7" s="32">
        <f t="shared" ref="K7:K70" si="11">IF(AND(T6="",A7&lt;=S6),ROUND(D7+J7,0),0)</f>
        <v>0</v>
      </c>
      <c r="L7" s="32">
        <f t="shared" ref="L7:L70" si="12">IF(AND(T6="",A7&lt;=S6),ROUND(H7-I7,0),0)</f>
        <v>73608</v>
      </c>
      <c r="M7" s="32">
        <f>IF(AND(AND(T6="",A7&lt;=S6),A7=入力!$B$15),ROUND(MIN(入力!$B$16,MAX(0,C7-L7)),0),0)</f>
        <v>0</v>
      </c>
      <c r="N7" s="32">
        <f t="shared" ref="N7:N70" si="13">IF(AND(T6="",A7&lt;=S6),ROUND(MAX(0,C7-L7-M7),0),0)</f>
        <v>34852827</v>
      </c>
      <c r="O7" s="32">
        <f t="shared" ref="O7:O70" si="14">IF(AND(T6="",A7&lt;=S6),ROUND(O6+F7,0),O6)</f>
        <v>40791</v>
      </c>
      <c r="P7" s="34" t="str">
        <f>IF(NOT(AND(T6="",A7&lt;=S6)),"",IF(A7=入力!$B$15+1,"繰上返済後再計算","")&amp;IF(AND(入力!$B$13="有効",A7&gt;1,MOD(A7-1,60)=0),IF(A7=入力!$B$15+1,"・","")&amp;"5年見直し","")&amp;IF(AND(A7=入力!$B$11,A7&gt;1),IF(OR(A7=入力!$B$15+1,AND(入力!$B$13="有効",A7&gt;1,MOD(A7-1,60)=0)),"・","")&amp;"金利変更","")&amp;IF(AND(OR(AND(入力!$B$13="有効",A7&gt;1,MOD(A7-1,60)=0),AND(A7=入力!$B$11,A7&gt;1)),入力!$B$14="有効",IF(E7=0,ROUND(C7/MAX(1,S6-A7+1),0),ROUND(-PMT(E7/12,MAX(1,S6-A7+1),C7),0))&gt;ROUND(G6*1.25,0),NOT(A7=入力!$B$15+1)),"・上限適用",""))</f>
        <v/>
      </c>
      <c r="Q7" s="35" t="str">
        <f>IF(AND(T6="",A7&lt;=S6),入力!$B$13,"")</f>
        <v>有効</v>
      </c>
      <c r="R7" s="32" t="str">
        <f>IF(AND(AND(T6="",A7&lt;=S6),OR(AND(入力!$B$13="有効",A7&gt;1,MOD(A7-1,60)=0),AND(A7=入力!$B$11,A7&gt;1)),入力!$B$14="有効"),ROUND(G6*1.25,0),"")</f>
        <v/>
      </c>
      <c r="S7" s="36">
        <f>IF(A7=入力!$B$15,A7+入力!$B$19,S6)</f>
        <v>420</v>
      </c>
      <c r="T7" s="35" t="str">
        <f t="shared" ref="T7:T70" si="15">IF(NOT(AND(T6="",A7&lt;=S6)),"",IF(AND(N7=0,K7=0),"完済",IF(A7=S7,"最終回清算","")))</f>
        <v/>
      </c>
      <c r="U7" s="3">
        <f t="shared" si="0"/>
        <v>0</v>
      </c>
      <c r="V7" s="3">
        <f t="shared" si="1"/>
        <v>0</v>
      </c>
      <c r="W7" s="3">
        <f t="shared" si="2"/>
        <v>0</v>
      </c>
      <c r="X7" s="3">
        <f t="shared" si="3"/>
        <v>0</v>
      </c>
      <c r="Y7" s="3">
        <f>IF(A7&lt;入力!$B$15,ABS(G7-何もしない_月次!G7),0)</f>
        <v>0</v>
      </c>
      <c r="Z7" s="3">
        <f t="shared" si="4"/>
        <v>0</v>
      </c>
      <c r="AA7">
        <f>ROUND(IF(A7=入力!$B$15+1,IF(E7=0,ROUND(C7/入力!$B$19,0),ROUND(-PMT(E7/12,入力!$B$19,C7),0)),IF(OR(AND(入力!$B$13="有効",A7&gt;1,MOD(A7-1,60)=0),AND(A7=入力!$B$11,A7&gt;1)),IF(入力!$B$14="有効",MIN(IF(E7=0,ROUND(C7/MAX(1,S6-A7+1),0),ROUND(-PMT(E7/12,MAX(1,S6-A7+1),C7),0)),ROUND(G6*1.25,0)),IF(E7=0,ROUND(C7/MAX(1,S6-A7+1),0),ROUND(-PMT(E7/12,MAX(1,S6-A7+1),C7),0))),G6)),0)</f>
        <v>93982</v>
      </c>
    </row>
    <row r="8" spans="1:27">
      <c r="A8" s="30">
        <f>3</f>
        <v>3</v>
      </c>
      <c r="B8" s="31">
        <f>EDATE(入力!$B$6,A8-1)</f>
        <v>46296</v>
      </c>
      <c r="C8" s="32">
        <f t="shared" si="5"/>
        <v>34852827</v>
      </c>
      <c r="D8" s="32">
        <f t="shared" si="6"/>
        <v>0</v>
      </c>
      <c r="E8" s="33">
        <f>IF(AND(T7="",A8&lt;=S7),IF(A8&lt;入力!$B$11,入力!$B$10,入力!$B$12),0)</f>
        <v>7.0000000000000001E-3</v>
      </c>
      <c r="F8" s="32">
        <f t="shared" si="7"/>
        <v>20331</v>
      </c>
      <c r="G8" s="32">
        <f>ROUND(IF(NOT(AND(T7="",A8&lt;=S7)),0,IF(A8=入力!$B$15+1,IF(E8=0,ROUND(C8/入力!$B$19,0),ROUND(-PMT(E8/12,入力!$B$19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),0)</f>
        <v>93982</v>
      </c>
      <c r="H8" s="32">
        <f t="shared" si="8"/>
        <v>93982</v>
      </c>
      <c r="I8" s="32">
        <f t="shared" si="9"/>
        <v>20331</v>
      </c>
      <c r="J8" s="32">
        <f t="shared" si="10"/>
        <v>0</v>
      </c>
      <c r="K8" s="32">
        <f t="shared" si="11"/>
        <v>0</v>
      </c>
      <c r="L8" s="32">
        <f t="shared" si="12"/>
        <v>73651</v>
      </c>
      <c r="M8" s="32">
        <f>IF(AND(AND(T7="",A8&lt;=S7),A8=入力!$B$15),ROUND(MIN(入力!$B$16,MAX(0,C8-L8)),0),0)</f>
        <v>0</v>
      </c>
      <c r="N8" s="32">
        <f t="shared" si="13"/>
        <v>34779176</v>
      </c>
      <c r="O8" s="32">
        <f t="shared" si="14"/>
        <v>61122</v>
      </c>
      <c r="P8" s="34" t="str">
        <f>IF(NOT(AND(T7="",A8&lt;=S7)),"",IF(A8=入力!$B$15+1,"繰上返済後再計算","")&amp;IF(AND(入力!$B$13="有効",A8&gt;1,MOD(A8-1,60)=0),IF(A8=入力!$B$15+1,"・","")&amp;"5年見直し","")&amp;IF(AND(A8=入力!$B$11,A8&gt;1),IF(OR(A8=入力!$B$15+1,AND(入力!$B$13="有効",A8&gt;1,MOD(A8-1,60)=0)),"・","")&amp;"金利変更","")&amp;IF(AND(OR(AND(入力!$B$13="有効",A8&gt;1,MOD(A8-1,60)=0),AND(A8=入力!$B$11,A8&gt;1)),入力!$B$14="有効",IF(E8=0,ROUND(C8/MAX(1,S7-A8+1),0),ROUND(-PMT(E8/12,MAX(1,S7-A8+1),C8),0))&gt;ROUND(G7*1.25,0),NOT(A8=入力!$B$15+1)),"・上限適用",""))</f>
        <v/>
      </c>
      <c r="Q8" s="35" t="str">
        <f>IF(AND(T7="",A8&lt;=S7),入力!$B$13,"")</f>
        <v>有効</v>
      </c>
      <c r="R8" s="32" t="str">
        <f>IF(AND(AND(T7="",A8&lt;=S7),OR(AND(入力!$B$13="有効",A8&gt;1,MOD(A8-1,60)=0),AND(A8=入力!$B$11,A8&gt;1)),入力!$B$14="有効"),ROUND(G7*1.25,0),"")</f>
        <v/>
      </c>
      <c r="S8" s="36">
        <f>IF(A8=入力!$B$15,A8+入力!$B$19,S7)</f>
        <v>420</v>
      </c>
      <c r="T8" s="35" t="str">
        <f t="shared" si="15"/>
        <v/>
      </c>
      <c r="U8" s="3">
        <f t="shared" si="0"/>
        <v>0</v>
      </c>
      <c r="V8" s="3">
        <f t="shared" si="1"/>
        <v>0</v>
      </c>
      <c r="W8" s="3">
        <f t="shared" si="2"/>
        <v>0</v>
      </c>
      <c r="X8" s="3">
        <f t="shared" si="3"/>
        <v>0</v>
      </c>
      <c r="Y8" s="3">
        <f>IF(A8&lt;入力!$B$15,ABS(G8-何もしない_月次!G8),0)</f>
        <v>0</v>
      </c>
      <c r="Z8" s="3">
        <f t="shared" si="4"/>
        <v>0</v>
      </c>
      <c r="AA8">
        <f>ROUND(IF(A8=入力!$B$15+1,IF(E8=0,ROUND(C8/入力!$B$19,0),ROUND(-PMT(E8/12,入力!$B$19,C8),0)),IF(OR(AND(入力!$B$13="有効",A8&gt;1,MOD(A8-1,60)=0),AND(A8=入力!$B$11,A8&gt;1)),IF(入力!$B$14="有効",MIN(IF(E8=0,ROUND(C8/MAX(1,S7-A8+1),0),ROUND(-PMT(E8/12,MAX(1,S7-A8+1),C8),0)),ROUND(G7*1.25,0)),IF(E8=0,ROUND(C8/MAX(1,S7-A8+1),0),ROUND(-PMT(E8/12,MAX(1,S7-A8+1),C8),0))),G7)),0)</f>
        <v>93982</v>
      </c>
    </row>
    <row r="9" spans="1:27">
      <c r="A9" s="30">
        <f>4</f>
        <v>4</v>
      </c>
      <c r="B9" s="31">
        <f>EDATE(入力!$B$6,A9-1)</f>
        <v>46327</v>
      </c>
      <c r="C9" s="32">
        <f t="shared" si="5"/>
        <v>34779176</v>
      </c>
      <c r="D9" s="32">
        <f t="shared" si="6"/>
        <v>0</v>
      </c>
      <c r="E9" s="33">
        <f>IF(AND(T8="",A9&lt;=S8),IF(A9&lt;入力!$B$11,入力!$B$10,入力!$B$12),0)</f>
        <v>7.0000000000000001E-3</v>
      </c>
      <c r="F9" s="32">
        <f t="shared" si="7"/>
        <v>20288</v>
      </c>
      <c r="G9" s="32">
        <f>ROUND(IF(NOT(AND(T8="",A9&lt;=S8)),0,IF(A9=入力!$B$15+1,IF(E9=0,ROUND(C9/入力!$B$19,0),ROUND(-PMT(E9/12,入力!$B$19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),0)</f>
        <v>93982</v>
      </c>
      <c r="H9" s="32">
        <f t="shared" si="8"/>
        <v>93982</v>
      </c>
      <c r="I9" s="32">
        <f t="shared" si="9"/>
        <v>20288</v>
      </c>
      <c r="J9" s="32">
        <f t="shared" si="10"/>
        <v>0</v>
      </c>
      <c r="K9" s="32">
        <f t="shared" si="11"/>
        <v>0</v>
      </c>
      <c r="L9" s="32">
        <f t="shared" si="12"/>
        <v>73694</v>
      </c>
      <c r="M9" s="32">
        <f>IF(AND(AND(T8="",A9&lt;=S8),A9=入力!$B$15),ROUND(MIN(入力!$B$16,MAX(0,C9-L9)),0),0)</f>
        <v>0</v>
      </c>
      <c r="N9" s="32">
        <f t="shared" si="13"/>
        <v>34705482</v>
      </c>
      <c r="O9" s="32">
        <f t="shared" si="14"/>
        <v>81410</v>
      </c>
      <c r="P9" s="34" t="str">
        <f>IF(NOT(AND(T8="",A9&lt;=S8)),"",IF(A9=入力!$B$15+1,"繰上返済後再計算","")&amp;IF(AND(入力!$B$13="有効",A9&gt;1,MOD(A9-1,60)=0),IF(A9=入力!$B$15+1,"・","")&amp;"5年見直し","")&amp;IF(AND(A9=入力!$B$11,A9&gt;1),IF(OR(A9=入力!$B$15+1,AND(入力!$B$13="有効",A9&gt;1,MOD(A9-1,60)=0)),"・","")&amp;"金利変更","")&amp;IF(AND(OR(AND(入力!$B$13="有効",A9&gt;1,MOD(A9-1,60)=0),AND(A9=入力!$B$11,A9&gt;1)),入力!$B$14="有効",IF(E9=0,ROUND(C9/MAX(1,S8-A9+1),0),ROUND(-PMT(E9/12,MAX(1,S8-A9+1),C9),0))&gt;ROUND(G8*1.25,0),NOT(A9=入力!$B$15+1)),"・上限適用",""))</f>
        <v/>
      </c>
      <c r="Q9" s="35" t="str">
        <f>IF(AND(T8="",A9&lt;=S8),入力!$B$13,"")</f>
        <v>有効</v>
      </c>
      <c r="R9" s="32" t="str">
        <f>IF(AND(AND(T8="",A9&lt;=S8),OR(AND(入力!$B$13="有効",A9&gt;1,MOD(A9-1,60)=0),AND(A9=入力!$B$11,A9&gt;1)),入力!$B$14="有効"),ROUND(G8*1.25,0),"")</f>
        <v/>
      </c>
      <c r="S9" s="36">
        <f>IF(A9=入力!$B$15,A9+入力!$B$19,S8)</f>
        <v>420</v>
      </c>
      <c r="T9" s="35" t="str">
        <f t="shared" si="15"/>
        <v/>
      </c>
      <c r="U9" s="3">
        <f t="shared" si="0"/>
        <v>0</v>
      </c>
      <c r="V9" s="3">
        <f t="shared" si="1"/>
        <v>0</v>
      </c>
      <c r="W9" s="3">
        <f t="shared" si="2"/>
        <v>0</v>
      </c>
      <c r="X9" s="3">
        <f t="shared" si="3"/>
        <v>0</v>
      </c>
      <c r="Y9" s="3">
        <f>IF(A9&lt;入力!$B$15,ABS(G9-何もしない_月次!G9),0)</f>
        <v>0</v>
      </c>
      <c r="Z9" s="3">
        <f t="shared" si="4"/>
        <v>0</v>
      </c>
      <c r="AA9">
        <f>ROUND(IF(A9=入力!$B$15+1,IF(E9=0,ROUND(C9/入力!$B$19,0),ROUND(-PMT(E9/12,入力!$B$19,C9),0)),IF(OR(AND(入力!$B$13="有効",A9&gt;1,MOD(A9-1,60)=0),AND(A9=入力!$B$11,A9&gt;1)),IF(入力!$B$14="有効",MIN(IF(E9=0,ROUND(C9/MAX(1,S8-A9+1),0),ROUND(-PMT(E9/12,MAX(1,S8-A9+1),C9),0)),ROUND(G8*1.25,0)),IF(E9=0,ROUND(C9/MAX(1,S8-A9+1),0),ROUND(-PMT(E9/12,MAX(1,S8-A9+1),C9),0))),G8)),0)</f>
        <v>93982</v>
      </c>
    </row>
    <row r="10" spans="1:27">
      <c r="A10" s="30">
        <f>5</f>
        <v>5</v>
      </c>
      <c r="B10" s="31">
        <f>EDATE(入力!$B$6,A10-1)</f>
        <v>46357</v>
      </c>
      <c r="C10" s="32">
        <f t="shared" si="5"/>
        <v>34705482</v>
      </c>
      <c r="D10" s="32">
        <f t="shared" si="6"/>
        <v>0</v>
      </c>
      <c r="E10" s="33">
        <f>IF(AND(T9="",A10&lt;=S9),IF(A10&lt;入力!$B$11,入力!$B$10,入力!$B$12),0)</f>
        <v>7.0000000000000001E-3</v>
      </c>
      <c r="F10" s="32">
        <f t="shared" si="7"/>
        <v>20245</v>
      </c>
      <c r="G10" s="32">
        <f>ROUND(IF(NOT(AND(T9="",A10&lt;=S9)),0,IF(A10=入力!$B$15+1,IF(E10=0,ROUND(C10/入力!$B$19,0),ROUND(-PMT(E10/12,入力!$B$19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),0)</f>
        <v>93982</v>
      </c>
      <c r="H10" s="32">
        <f t="shared" si="8"/>
        <v>93982</v>
      </c>
      <c r="I10" s="32">
        <f t="shared" si="9"/>
        <v>20245</v>
      </c>
      <c r="J10" s="32">
        <f t="shared" si="10"/>
        <v>0</v>
      </c>
      <c r="K10" s="32">
        <f t="shared" si="11"/>
        <v>0</v>
      </c>
      <c r="L10" s="32">
        <f t="shared" si="12"/>
        <v>73737</v>
      </c>
      <c r="M10" s="32">
        <f>IF(AND(AND(T9="",A10&lt;=S9),A10=入力!$B$15),ROUND(MIN(入力!$B$16,MAX(0,C10-L10)),0),0)</f>
        <v>0</v>
      </c>
      <c r="N10" s="32">
        <f t="shared" si="13"/>
        <v>34631745</v>
      </c>
      <c r="O10" s="32">
        <f t="shared" si="14"/>
        <v>101655</v>
      </c>
      <c r="P10" s="34" t="str">
        <f>IF(NOT(AND(T9="",A10&lt;=S9)),"",IF(A10=入力!$B$15+1,"繰上返済後再計算","")&amp;IF(AND(入力!$B$13="有効",A10&gt;1,MOD(A10-1,60)=0),IF(A10=入力!$B$15+1,"・","")&amp;"5年見直し","")&amp;IF(AND(A10=入力!$B$11,A10&gt;1),IF(OR(A10=入力!$B$15+1,AND(入力!$B$13="有効",A10&gt;1,MOD(A10-1,60)=0)),"・","")&amp;"金利変更","")&amp;IF(AND(OR(AND(入力!$B$13="有効",A10&gt;1,MOD(A10-1,60)=0),AND(A10=入力!$B$11,A10&gt;1)),入力!$B$14="有効",IF(E10=0,ROUND(C10/MAX(1,S9-A10+1),0),ROUND(-PMT(E10/12,MAX(1,S9-A10+1),C10),0))&gt;ROUND(G9*1.25,0),NOT(A10=入力!$B$15+1)),"・上限適用",""))</f>
        <v/>
      </c>
      <c r="Q10" s="35" t="str">
        <f>IF(AND(T9="",A10&lt;=S9),入力!$B$13,"")</f>
        <v>有効</v>
      </c>
      <c r="R10" s="32" t="str">
        <f>IF(AND(AND(T9="",A10&lt;=S9),OR(AND(入力!$B$13="有効",A10&gt;1,MOD(A10-1,60)=0),AND(A10=入力!$B$11,A10&gt;1)),入力!$B$14="有効"),ROUND(G9*1.25,0),"")</f>
        <v/>
      </c>
      <c r="S10" s="36">
        <f>IF(A10=入力!$B$15,A10+入力!$B$19,S9)</f>
        <v>420</v>
      </c>
      <c r="T10" s="35" t="str">
        <f t="shared" si="15"/>
        <v/>
      </c>
      <c r="U10" s="3">
        <f t="shared" si="0"/>
        <v>0</v>
      </c>
      <c r="V10" s="3">
        <f t="shared" si="1"/>
        <v>0</v>
      </c>
      <c r="W10" s="3">
        <f t="shared" si="2"/>
        <v>0</v>
      </c>
      <c r="X10" s="3">
        <f t="shared" si="3"/>
        <v>0</v>
      </c>
      <c r="Y10" s="3">
        <f>IF(A10&lt;入力!$B$15,ABS(G10-何もしない_月次!G10),0)</f>
        <v>0</v>
      </c>
      <c r="Z10" s="3">
        <f t="shared" si="4"/>
        <v>0</v>
      </c>
      <c r="AA10">
        <f>ROUND(IF(A10=入力!$B$15+1,IF(E10=0,ROUND(C10/入力!$B$19,0),ROUND(-PMT(E10/12,入力!$B$19,C10),0)),IF(OR(AND(入力!$B$13="有効",A10&gt;1,MOD(A10-1,60)=0),AND(A10=入力!$B$11,A10&gt;1)),IF(入力!$B$14="有効",MIN(IF(E10=0,ROUND(C10/MAX(1,S9-A10+1),0),ROUND(-PMT(E10/12,MAX(1,S9-A10+1),C10),0)),ROUND(G9*1.25,0)),IF(E10=0,ROUND(C10/MAX(1,S9-A10+1),0),ROUND(-PMT(E10/12,MAX(1,S9-A10+1),C10),0))),G9)),0)</f>
        <v>93982</v>
      </c>
    </row>
    <row r="11" spans="1:27">
      <c r="A11" s="30">
        <f>6</f>
        <v>6</v>
      </c>
      <c r="B11" s="31">
        <f>EDATE(入力!$B$6,A11-1)</f>
        <v>46388</v>
      </c>
      <c r="C11" s="32">
        <f t="shared" si="5"/>
        <v>34631745</v>
      </c>
      <c r="D11" s="32">
        <f t="shared" si="6"/>
        <v>0</v>
      </c>
      <c r="E11" s="33">
        <f>IF(AND(T10="",A11&lt;=S10),IF(A11&lt;入力!$B$11,入力!$B$10,入力!$B$12),0)</f>
        <v>7.0000000000000001E-3</v>
      </c>
      <c r="F11" s="32">
        <f t="shared" si="7"/>
        <v>20202</v>
      </c>
      <c r="G11" s="32">
        <f>ROUND(IF(NOT(AND(T10="",A11&lt;=S10)),0,IF(A11=入力!$B$15+1,IF(E11=0,ROUND(C11/入力!$B$19,0),ROUND(-PMT(E11/12,入力!$B$19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),0)</f>
        <v>93982</v>
      </c>
      <c r="H11" s="32">
        <f t="shared" si="8"/>
        <v>93982</v>
      </c>
      <c r="I11" s="32">
        <f t="shared" si="9"/>
        <v>20202</v>
      </c>
      <c r="J11" s="32">
        <f t="shared" si="10"/>
        <v>0</v>
      </c>
      <c r="K11" s="32">
        <f t="shared" si="11"/>
        <v>0</v>
      </c>
      <c r="L11" s="32">
        <f t="shared" si="12"/>
        <v>73780</v>
      </c>
      <c r="M11" s="32">
        <f>IF(AND(AND(T10="",A11&lt;=S10),A11=入力!$B$15),ROUND(MIN(入力!$B$16,MAX(0,C11-L11)),0),0)</f>
        <v>0</v>
      </c>
      <c r="N11" s="32">
        <f t="shared" si="13"/>
        <v>34557965</v>
      </c>
      <c r="O11" s="32">
        <f t="shared" si="14"/>
        <v>121857</v>
      </c>
      <c r="P11" s="34" t="str">
        <f>IF(NOT(AND(T10="",A11&lt;=S10)),"",IF(A11=入力!$B$15+1,"繰上返済後再計算","")&amp;IF(AND(入力!$B$13="有効",A11&gt;1,MOD(A11-1,60)=0),IF(A11=入力!$B$15+1,"・","")&amp;"5年見直し","")&amp;IF(AND(A11=入力!$B$11,A11&gt;1),IF(OR(A11=入力!$B$15+1,AND(入力!$B$13="有効",A11&gt;1,MOD(A11-1,60)=0)),"・","")&amp;"金利変更","")&amp;IF(AND(OR(AND(入力!$B$13="有効",A11&gt;1,MOD(A11-1,60)=0),AND(A11=入力!$B$11,A11&gt;1)),入力!$B$14="有効",IF(E11=0,ROUND(C11/MAX(1,S10-A11+1),0),ROUND(-PMT(E11/12,MAX(1,S10-A11+1),C11),0))&gt;ROUND(G10*1.25,0),NOT(A11=入力!$B$15+1)),"・上限適用",""))</f>
        <v/>
      </c>
      <c r="Q11" s="35" t="str">
        <f>IF(AND(T10="",A11&lt;=S10),入力!$B$13,"")</f>
        <v>有効</v>
      </c>
      <c r="R11" s="32" t="str">
        <f>IF(AND(AND(T10="",A11&lt;=S10),OR(AND(入力!$B$13="有効",A11&gt;1,MOD(A11-1,60)=0),AND(A11=入力!$B$11,A11&gt;1)),入力!$B$14="有効"),ROUND(G10*1.25,0),"")</f>
        <v/>
      </c>
      <c r="S11" s="36">
        <f>IF(A11=入力!$B$15,A11+入力!$B$19,S10)</f>
        <v>420</v>
      </c>
      <c r="T11" s="35" t="str">
        <f t="shared" si="15"/>
        <v/>
      </c>
      <c r="U11" s="3">
        <f t="shared" si="0"/>
        <v>0</v>
      </c>
      <c r="V11" s="3">
        <f t="shared" si="1"/>
        <v>0</v>
      </c>
      <c r="W11" s="3">
        <f t="shared" si="2"/>
        <v>0</v>
      </c>
      <c r="X11" s="3">
        <f t="shared" si="3"/>
        <v>0</v>
      </c>
      <c r="Y11" s="3">
        <f>IF(A11&lt;入力!$B$15,ABS(G11-何もしない_月次!G11),0)</f>
        <v>0</v>
      </c>
      <c r="Z11" s="3">
        <f t="shared" si="4"/>
        <v>0</v>
      </c>
      <c r="AA11">
        <f>ROUND(IF(A11=入力!$B$15+1,IF(E11=0,ROUND(C11/入力!$B$19,0),ROUND(-PMT(E11/12,入力!$B$19,C11),0)),IF(OR(AND(入力!$B$13="有効",A11&gt;1,MOD(A11-1,60)=0),AND(A11=入力!$B$11,A11&gt;1)),IF(入力!$B$14="有効",MIN(IF(E11=0,ROUND(C11/MAX(1,S10-A11+1),0),ROUND(-PMT(E11/12,MAX(1,S10-A11+1),C11),0)),ROUND(G10*1.25,0)),IF(E11=0,ROUND(C11/MAX(1,S10-A11+1),0),ROUND(-PMT(E11/12,MAX(1,S10-A11+1),C11),0))),G10)),0)</f>
        <v>93982</v>
      </c>
    </row>
    <row r="12" spans="1:27">
      <c r="A12" s="30">
        <f>7</f>
        <v>7</v>
      </c>
      <c r="B12" s="31">
        <f>EDATE(入力!$B$6,A12-1)</f>
        <v>46419</v>
      </c>
      <c r="C12" s="32">
        <f t="shared" si="5"/>
        <v>34557965</v>
      </c>
      <c r="D12" s="32">
        <f t="shared" si="6"/>
        <v>0</v>
      </c>
      <c r="E12" s="33">
        <f>IF(AND(T11="",A12&lt;=S11),IF(A12&lt;入力!$B$11,入力!$B$10,入力!$B$12),0)</f>
        <v>7.0000000000000001E-3</v>
      </c>
      <c r="F12" s="32">
        <f t="shared" si="7"/>
        <v>20159</v>
      </c>
      <c r="G12" s="32">
        <f>ROUND(IF(NOT(AND(T11="",A12&lt;=S11)),0,IF(A12=入力!$B$15+1,IF(E12=0,ROUND(C12/入力!$B$19,0),ROUND(-PMT(E12/12,入力!$B$19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),0)</f>
        <v>93982</v>
      </c>
      <c r="H12" s="32">
        <f t="shared" si="8"/>
        <v>93982</v>
      </c>
      <c r="I12" s="32">
        <f t="shared" si="9"/>
        <v>20159</v>
      </c>
      <c r="J12" s="32">
        <f t="shared" si="10"/>
        <v>0</v>
      </c>
      <c r="K12" s="32">
        <f t="shared" si="11"/>
        <v>0</v>
      </c>
      <c r="L12" s="32">
        <f t="shared" si="12"/>
        <v>73823</v>
      </c>
      <c r="M12" s="32">
        <f>IF(AND(AND(T11="",A12&lt;=S11),A12=入力!$B$15),ROUND(MIN(入力!$B$16,MAX(0,C12-L12)),0),0)</f>
        <v>0</v>
      </c>
      <c r="N12" s="32">
        <f t="shared" si="13"/>
        <v>34484142</v>
      </c>
      <c r="O12" s="32">
        <f t="shared" si="14"/>
        <v>142016</v>
      </c>
      <c r="P12" s="34" t="str">
        <f>IF(NOT(AND(T11="",A12&lt;=S11)),"",IF(A12=入力!$B$15+1,"繰上返済後再計算","")&amp;IF(AND(入力!$B$13="有効",A12&gt;1,MOD(A12-1,60)=0),IF(A12=入力!$B$15+1,"・","")&amp;"5年見直し","")&amp;IF(AND(A12=入力!$B$11,A12&gt;1),IF(OR(A12=入力!$B$15+1,AND(入力!$B$13="有効",A12&gt;1,MOD(A12-1,60)=0)),"・","")&amp;"金利変更","")&amp;IF(AND(OR(AND(入力!$B$13="有効",A12&gt;1,MOD(A12-1,60)=0),AND(A12=入力!$B$11,A12&gt;1)),入力!$B$14="有効",IF(E12=0,ROUND(C12/MAX(1,S11-A12+1),0),ROUND(-PMT(E12/12,MAX(1,S11-A12+1),C12),0))&gt;ROUND(G11*1.25,0),NOT(A12=入力!$B$15+1)),"・上限適用",""))</f>
        <v/>
      </c>
      <c r="Q12" s="35" t="str">
        <f>IF(AND(T11="",A12&lt;=S11),入力!$B$13,"")</f>
        <v>有効</v>
      </c>
      <c r="R12" s="32" t="str">
        <f>IF(AND(AND(T11="",A12&lt;=S11),OR(AND(入力!$B$13="有効",A12&gt;1,MOD(A12-1,60)=0),AND(A12=入力!$B$11,A12&gt;1)),入力!$B$14="有効"),ROUND(G11*1.25,0),"")</f>
        <v/>
      </c>
      <c r="S12" s="36">
        <f>IF(A12=入力!$B$15,A12+入力!$B$19,S11)</f>
        <v>420</v>
      </c>
      <c r="T12" s="35" t="str">
        <f t="shared" si="15"/>
        <v/>
      </c>
      <c r="U12" s="3">
        <f t="shared" si="0"/>
        <v>0</v>
      </c>
      <c r="V12" s="3">
        <f t="shared" si="1"/>
        <v>0</v>
      </c>
      <c r="W12" s="3">
        <f t="shared" si="2"/>
        <v>0</v>
      </c>
      <c r="X12" s="3">
        <f t="shared" si="3"/>
        <v>0</v>
      </c>
      <c r="Y12" s="3">
        <f>IF(A12&lt;入力!$B$15,ABS(G12-何もしない_月次!G12),0)</f>
        <v>0</v>
      </c>
      <c r="Z12" s="3">
        <f t="shared" si="4"/>
        <v>0</v>
      </c>
      <c r="AA12">
        <f>ROUND(IF(A12=入力!$B$15+1,IF(E12=0,ROUND(C12/入力!$B$19,0),ROUND(-PMT(E12/12,入力!$B$19,C12),0)),IF(OR(AND(入力!$B$13="有効",A12&gt;1,MOD(A12-1,60)=0),AND(A12=入力!$B$11,A12&gt;1)),IF(入力!$B$14="有効",MIN(IF(E12=0,ROUND(C12/MAX(1,S11-A12+1),0),ROUND(-PMT(E12/12,MAX(1,S11-A12+1),C12),0)),ROUND(G11*1.25,0)),IF(E12=0,ROUND(C12/MAX(1,S11-A12+1),0),ROUND(-PMT(E12/12,MAX(1,S11-A12+1),C12),0))),G11)),0)</f>
        <v>93982</v>
      </c>
    </row>
    <row r="13" spans="1:27">
      <c r="A13" s="30">
        <f>8</f>
        <v>8</v>
      </c>
      <c r="B13" s="31">
        <f>EDATE(入力!$B$6,A13-1)</f>
        <v>46447</v>
      </c>
      <c r="C13" s="32">
        <f t="shared" si="5"/>
        <v>34484142</v>
      </c>
      <c r="D13" s="32">
        <f t="shared" si="6"/>
        <v>0</v>
      </c>
      <c r="E13" s="33">
        <f>IF(AND(T12="",A13&lt;=S12),IF(A13&lt;入力!$B$11,入力!$B$10,入力!$B$12),0)</f>
        <v>7.0000000000000001E-3</v>
      </c>
      <c r="F13" s="32">
        <f t="shared" si="7"/>
        <v>20116</v>
      </c>
      <c r="G13" s="32">
        <f>ROUND(IF(NOT(AND(T12="",A13&lt;=S12)),0,IF(A13=入力!$B$15+1,IF(E13=0,ROUND(C13/入力!$B$19,0),ROUND(-PMT(E13/12,入力!$B$19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),0)</f>
        <v>93982</v>
      </c>
      <c r="H13" s="32">
        <f t="shared" si="8"/>
        <v>93982</v>
      </c>
      <c r="I13" s="32">
        <f t="shared" si="9"/>
        <v>20116</v>
      </c>
      <c r="J13" s="32">
        <f t="shared" si="10"/>
        <v>0</v>
      </c>
      <c r="K13" s="32">
        <f t="shared" si="11"/>
        <v>0</v>
      </c>
      <c r="L13" s="32">
        <f t="shared" si="12"/>
        <v>73866</v>
      </c>
      <c r="M13" s="32">
        <f>IF(AND(AND(T12="",A13&lt;=S12),A13=入力!$B$15),ROUND(MIN(入力!$B$16,MAX(0,C13-L13)),0),0)</f>
        <v>0</v>
      </c>
      <c r="N13" s="32">
        <f t="shared" si="13"/>
        <v>34410276</v>
      </c>
      <c r="O13" s="32">
        <f t="shared" si="14"/>
        <v>162132</v>
      </c>
      <c r="P13" s="34" t="str">
        <f>IF(NOT(AND(T12="",A13&lt;=S12)),"",IF(A13=入力!$B$15+1,"繰上返済後再計算","")&amp;IF(AND(入力!$B$13="有効",A13&gt;1,MOD(A13-1,60)=0),IF(A13=入力!$B$15+1,"・","")&amp;"5年見直し","")&amp;IF(AND(A13=入力!$B$11,A13&gt;1),IF(OR(A13=入力!$B$15+1,AND(入力!$B$13="有効",A13&gt;1,MOD(A13-1,60)=0)),"・","")&amp;"金利変更","")&amp;IF(AND(OR(AND(入力!$B$13="有効",A13&gt;1,MOD(A13-1,60)=0),AND(A13=入力!$B$11,A13&gt;1)),入力!$B$14="有効",IF(E13=0,ROUND(C13/MAX(1,S12-A13+1),0),ROUND(-PMT(E13/12,MAX(1,S12-A13+1),C13),0))&gt;ROUND(G12*1.25,0),NOT(A13=入力!$B$15+1)),"・上限適用",""))</f>
        <v/>
      </c>
      <c r="Q13" s="35" t="str">
        <f>IF(AND(T12="",A13&lt;=S12),入力!$B$13,"")</f>
        <v>有効</v>
      </c>
      <c r="R13" s="32" t="str">
        <f>IF(AND(AND(T12="",A13&lt;=S12),OR(AND(入力!$B$13="有効",A13&gt;1,MOD(A13-1,60)=0),AND(A13=入力!$B$11,A13&gt;1)),入力!$B$14="有効"),ROUND(G12*1.25,0),"")</f>
        <v/>
      </c>
      <c r="S13" s="36">
        <f>IF(A13=入力!$B$15,A13+入力!$B$19,S12)</f>
        <v>420</v>
      </c>
      <c r="T13" s="35" t="str">
        <f t="shared" si="15"/>
        <v/>
      </c>
      <c r="U13" s="3">
        <f t="shared" si="0"/>
        <v>0</v>
      </c>
      <c r="V13" s="3">
        <f t="shared" si="1"/>
        <v>0</v>
      </c>
      <c r="W13" s="3">
        <f t="shared" si="2"/>
        <v>0</v>
      </c>
      <c r="X13" s="3">
        <f t="shared" si="3"/>
        <v>0</v>
      </c>
      <c r="Y13" s="3">
        <f>IF(A13&lt;入力!$B$15,ABS(G13-何もしない_月次!G13),0)</f>
        <v>0</v>
      </c>
      <c r="Z13" s="3">
        <f t="shared" si="4"/>
        <v>0</v>
      </c>
      <c r="AA13">
        <f>ROUND(IF(A13=入力!$B$15+1,IF(E13=0,ROUND(C13/入力!$B$19,0),ROUND(-PMT(E13/12,入力!$B$19,C13),0)),IF(OR(AND(入力!$B$13="有効",A13&gt;1,MOD(A13-1,60)=0),AND(A13=入力!$B$11,A13&gt;1)),IF(入力!$B$14="有効",MIN(IF(E13=0,ROUND(C13/MAX(1,S12-A13+1),0),ROUND(-PMT(E13/12,MAX(1,S12-A13+1),C13),0)),ROUND(G12*1.25,0)),IF(E13=0,ROUND(C13/MAX(1,S12-A13+1),0),ROUND(-PMT(E13/12,MAX(1,S12-A13+1),C13),0))),G12)),0)</f>
        <v>93982</v>
      </c>
    </row>
    <row r="14" spans="1:27">
      <c r="A14" s="30">
        <f>9</f>
        <v>9</v>
      </c>
      <c r="B14" s="31">
        <f>EDATE(入力!$B$6,A14-1)</f>
        <v>46478</v>
      </c>
      <c r="C14" s="32">
        <f t="shared" si="5"/>
        <v>34410276</v>
      </c>
      <c r="D14" s="32">
        <f t="shared" si="6"/>
        <v>0</v>
      </c>
      <c r="E14" s="33">
        <f>IF(AND(T13="",A14&lt;=S13),IF(A14&lt;入力!$B$11,入力!$B$10,入力!$B$12),0)</f>
        <v>7.0000000000000001E-3</v>
      </c>
      <c r="F14" s="32">
        <f t="shared" si="7"/>
        <v>20073</v>
      </c>
      <c r="G14" s="32">
        <f>ROUND(IF(NOT(AND(T13="",A14&lt;=S13)),0,IF(A14=入力!$B$15+1,IF(E14=0,ROUND(C14/入力!$B$19,0),ROUND(-PMT(E14/12,入力!$B$19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),0)</f>
        <v>93982</v>
      </c>
      <c r="H14" s="32">
        <f t="shared" si="8"/>
        <v>93982</v>
      </c>
      <c r="I14" s="32">
        <f t="shared" si="9"/>
        <v>20073</v>
      </c>
      <c r="J14" s="32">
        <f t="shared" si="10"/>
        <v>0</v>
      </c>
      <c r="K14" s="32">
        <f t="shared" si="11"/>
        <v>0</v>
      </c>
      <c r="L14" s="32">
        <f t="shared" si="12"/>
        <v>73909</v>
      </c>
      <c r="M14" s="32">
        <f>IF(AND(AND(T13="",A14&lt;=S13),A14=入力!$B$15),ROUND(MIN(入力!$B$16,MAX(0,C14-L14)),0),0)</f>
        <v>0</v>
      </c>
      <c r="N14" s="32">
        <f t="shared" si="13"/>
        <v>34336367</v>
      </c>
      <c r="O14" s="32">
        <f t="shared" si="14"/>
        <v>182205</v>
      </c>
      <c r="P14" s="34" t="str">
        <f>IF(NOT(AND(T13="",A14&lt;=S13)),"",IF(A14=入力!$B$15+1,"繰上返済後再計算","")&amp;IF(AND(入力!$B$13="有効",A14&gt;1,MOD(A14-1,60)=0),IF(A14=入力!$B$15+1,"・","")&amp;"5年見直し","")&amp;IF(AND(A14=入力!$B$11,A14&gt;1),IF(OR(A14=入力!$B$15+1,AND(入力!$B$13="有効",A14&gt;1,MOD(A14-1,60)=0)),"・","")&amp;"金利変更","")&amp;IF(AND(OR(AND(入力!$B$13="有効",A14&gt;1,MOD(A14-1,60)=0),AND(A14=入力!$B$11,A14&gt;1)),入力!$B$14="有効",IF(E14=0,ROUND(C14/MAX(1,S13-A14+1),0),ROUND(-PMT(E14/12,MAX(1,S13-A14+1),C14),0))&gt;ROUND(G13*1.25,0),NOT(A14=入力!$B$15+1)),"・上限適用",""))</f>
        <v/>
      </c>
      <c r="Q14" s="35" t="str">
        <f>IF(AND(T13="",A14&lt;=S13),入力!$B$13,"")</f>
        <v>有効</v>
      </c>
      <c r="R14" s="32" t="str">
        <f>IF(AND(AND(T13="",A14&lt;=S13),OR(AND(入力!$B$13="有効",A14&gt;1,MOD(A14-1,60)=0),AND(A14=入力!$B$11,A14&gt;1)),入力!$B$14="有効"),ROUND(G13*1.25,0),"")</f>
        <v/>
      </c>
      <c r="S14" s="36">
        <f>IF(A14=入力!$B$15,A14+入力!$B$19,S13)</f>
        <v>420</v>
      </c>
      <c r="T14" s="35" t="str">
        <f t="shared" si="15"/>
        <v/>
      </c>
      <c r="U14" s="3">
        <f t="shared" si="0"/>
        <v>0</v>
      </c>
      <c r="V14" s="3">
        <f t="shared" si="1"/>
        <v>0</v>
      </c>
      <c r="W14" s="3">
        <f t="shared" si="2"/>
        <v>0</v>
      </c>
      <c r="X14" s="3">
        <f t="shared" si="3"/>
        <v>0</v>
      </c>
      <c r="Y14" s="3">
        <f>IF(A14&lt;入力!$B$15,ABS(G14-何もしない_月次!G14),0)</f>
        <v>0</v>
      </c>
      <c r="Z14" s="3">
        <f t="shared" si="4"/>
        <v>0</v>
      </c>
      <c r="AA14">
        <f>ROUND(IF(A14=入力!$B$15+1,IF(E14=0,ROUND(C14/入力!$B$19,0),ROUND(-PMT(E14/12,入力!$B$19,C14),0)),IF(OR(AND(入力!$B$13="有効",A14&gt;1,MOD(A14-1,60)=0),AND(A14=入力!$B$11,A14&gt;1)),IF(入力!$B$14="有効",MIN(IF(E14=0,ROUND(C14/MAX(1,S13-A14+1),0),ROUND(-PMT(E14/12,MAX(1,S13-A14+1),C14),0)),ROUND(G13*1.25,0)),IF(E14=0,ROUND(C14/MAX(1,S13-A14+1),0),ROUND(-PMT(E14/12,MAX(1,S13-A14+1),C14),0))),G13)),0)</f>
        <v>93982</v>
      </c>
    </row>
    <row r="15" spans="1:27">
      <c r="A15" s="30">
        <f>10</f>
        <v>10</v>
      </c>
      <c r="B15" s="31">
        <f>EDATE(入力!$B$6,A15-1)</f>
        <v>46508</v>
      </c>
      <c r="C15" s="32">
        <f t="shared" si="5"/>
        <v>34336367</v>
      </c>
      <c r="D15" s="32">
        <f t="shared" si="6"/>
        <v>0</v>
      </c>
      <c r="E15" s="33">
        <f>IF(AND(T14="",A15&lt;=S14),IF(A15&lt;入力!$B$11,入力!$B$10,入力!$B$12),0)</f>
        <v>7.0000000000000001E-3</v>
      </c>
      <c r="F15" s="32">
        <f t="shared" si="7"/>
        <v>20030</v>
      </c>
      <c r="G15" s="32">
        <f>ROUND(IF(NOT(AND(T14="",A15&lt;=S14)),0,IF(A15=入力!$B$15+1,IF(E15=0,ROUND(C15/入力!$B$19,0),ROUND(-PMT(E15/12,入力!$B$19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),0)</f>
        <v>93982</v>
      </c>
      <c r="H15" s="32">
        <f t="shared" si="8"/>
        <v>93982</v>
      </c>
      <c r="I15" s="32">
        <f t="shared" si="9"/>
        <v>20030</v>
      </c>
      <c r="J15" s="32">
        <f t="shared" si="10"/>
        <v>0</v>
      </c>
      <c r="K15" s="32">
        <f t="shared" si="11"/>
        <v>0</v>
      </c>
      <c r="L15" s="32">
        <f t="shared" si="12"/>
        <v>73952</v>
      </c>
      <c r="M15" s="32">
        <f>IF(AND(AND(T14="",A15&lt;=S14),A15=入力!$B$15),ROUND(MIN(入力!$B$16,MAX(0,C15-L15)),0),0)</f>
        <v>0</v>
      </c>
      <c r="N15" s="32">
        <f t="shared" si="13"/>
        <v>34262415</v>
      </c>
      <c r="O15" s="32">
        <f t="shared" si="14"/>
        <v>202235</v>
      </c>
      <c r="P15" s="34" t="str">
        <f>IF(NOT(AND(T14="",A15&lt;=S14)),"",IF(A15=入力!$B$15+1,"繰上返済後再計算","")&amp;IF(AND(入力!$B$13="有効",A15&gt;1,MOD(A15-1,60)=0),IF(A15=入力!$B$15+1,"・","")&amp;"5年見直し","")&amp;IF(AND(A15=入力!$B$11,A15&gt;1),IF(OR(A15=入力!$B$15+1,AND(入力!$B$13="有効",A15&gt;1,MOD(A15-1,60)=0)),"・","")&amp;"金利変更","")&amp;IF(AND(OR(AND(入力!$B$13="有効",A15&gt;1,MOD(A15-1,60)=0),AND(A15=入力!$B$11,A15&gt;1)),入力!$B$14="有効",IF(E15=0,ROUND(C15/MAX(1,S14-A15+1),0),ROUND(-PMT(E15/12,MAX(1,S14-A15+1),C15),0))&gt;ROUND(G14*1.25,0),NOT(A15=入力!$B$15+1)),"・上限適用",""))</f>
        <v/>
      </c>
      <c r="Q15" s="35" t="str">
        <f>IF(AND(T14="",A15&lt;=S14),入力!$B$13,"")</f>
        <v>有効</v>
      </c>
      <c r="R15" s="32" t="str">
        <f>IF(AND(AND(T14="",A15&lt;=S14),OR(AND(入力!$B$13="有効",A15&gt;1,MOD(A15-1,60)=0),AND(A15=入力!$B$11,A15&gt;1)),入力!$B$14="有効"),ROUND(G14*1.25,0),"")</f>
        <v/>
      </c>
      <c r="S15" s="36">
        <f>IF(A15=入力!$B$15,A15+入力!$B$19,S14)</f>
        <v>420</v>
      </c>
      <c r="T15" s="35" t="str">
        <f t="shared" si="15"/>
        <v/>
      </c>
      <c r="U15" s="3">
        <f t="shared" si="0"/>
        <v>0</v>
      </c>
      <c r="V15" s="3">
        <f t="shared" si="1"/>
        <v>0</v>
      </c>
      <c r="W15" s="3">
        <f t="shared" si="2"/>
        <v>0</v>
      </c>
      <c r="X15" s="3">
        <f t="shared" si="3"/>
        <v>0</v>
      </c>
      <c r="Y15" s="3">
        <f>IF(A15&lt;入力!$B$15,ABS(G15-何もしない_月次!G15),0)</f>
        <v>0</v>
      </c>
      <c r="Z15" s="3">
        <f t="shared" si="4"/>
        <v>0</v>
      </c>
      <c r="AA15">
        <f>ROUND(IF(A15=入力!$B$15+1,IF(E15=0,ROUND(C15/入力!$B$19,0),ROUND(-PMT(E15/12,入力!$B$19,C15),0)),IF(OR(AND(入力!$B$13="有効",A15&gt;1,MOD(A15-1,60)=0),AND(A15=入力!$B$11,A15&gt;1)),IF(入力!$B$14="有効",MIN(IF(E15=0,ROUND(C15/MAX(1,S14-A15+1),0),ROUND(-PMT(E15/12,MAX(1,S14-A15+1),C15),0)),ROUND(G14*1.25,0)),IF(E15=0,ROUND(C15/MAX(1,S14-A15+1),0),ROUND(-PMT(E15/12,MAX(1,S14-A15+1),C15),0))),G14)),0)</f>
        <v>93982</v>
      </c>
    </row>
    <row r="16" spans="1:27">
      <c r="A16" s="30">
        <f>11</f>
        <v>11</v>
      </c>
      <c r="B16" s="31">
        <f>EDATE(入力!$B$6,A16-1)</f>
        <v>46539</v>
      </c>
      <c r="C16" s="32">
        <f t="shared" si="5"/>
        <v>34262415</v>
      </c>
      <c r="D16" s="32">
        <f t="shared" si="6"/>
        <v>0</v>
      </c>
      <c r="E16" s="33">
        <f>IF(AND(T15="",A16&lt;=S15),IF(A16&lt;入力!$B$11,入力!$B$10,入力!$B$12),0)</f>
        <v>7.0000000000000001E-3</v>
      </c>
      <c r="F16" s="32">
        <f t="shared" si="7"/>
        <v>19986</v>
      </c>
      <c r="G16" s="32">
        <f>ROUND(IF(NOT(AND(T15="",A16&lt;=S15)),0,IF(A16=入力!$B$15+1,IF(E16=0,ROUND(C16/入力!$B$19,0),ROUND(-PMT(E16/12,入力!$B$19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),0)</f>
        <v>93982</v>
      </c>
      <c r="H16" s="32">
        <f t="shared" si="8"/>
        <v>93982</v>
      </c>
      <c r="I16" s="32">
        <f t="shared" si="9"/>
        <v>19986</v>
      </c>
      <c r="J16" s="32">
        <f t="shared" si="10"/>
        <v>0</v>
      </c>
      <c r="K16" s="32">
        <f t="shared" si="11"/>
        <v>0</v>
      </c>
      <c r="L16" s="32">
        <f t="shared" si="12"/>
        <v>73996</v>
      </c>
      <c r="M16" s="32">
        <f>IF(AND(AND(T15="",A16&lt;=S15),A16=入力!$B$15),ROUND(MIN(入力!$B$16,MAX(0,C16-L16)),0),0)</f>
        <v>0</v>
      </c>
      <c r="N16" s="32">
        <f t="shared" si="13"/>
        <v>34188419</v>
      </c>
      <c r="O16" s="32">
        <f t="shared" si="14"/>
        <v>222221</v>
      </c>
      <c r="P16" s="34" t="str">
        <f>IF(NOT(AND(T15="",A16&lt;=S15)),"",IF(A16=入力!$B$15+1,"繰上返済後再計算","")&amp;IF(AND(入力!$B$13="有効",A16&gt;1,MOD(A16-1,60)=0),IF(A16=入力!$B$15+1,"・","")&amp;"5年見直し","")&amp;IF(AND(A16=入力!$B$11,A16&gt;1),IF(OR(A16=入力!$B$15+1,AND(入力!$B$13="有効",A16&gt;1,MOD(A16-1,60)=0)),"・","")&amp;"金利変更","")&amp;IF(AND(OR(AND(入力!$B$13="有効",A16&gt;1,MOD(A16-1,60)=0),AND(A16=入力!$B$11,A16&gt;1)),入力!$B$14="有効",IF(E16=0,ROUND(C16/MAX(1,S15-A16+1),0),ROUND(-PMT(E16/12,MAX(1,S15-A16+1),C16),0))&gt;ROUND(G15*1.25,0),NOT(A16=入力!$B$15+1)),"・上限適用",""))</f>
        <v/>
      </c>
      <c r="Q16" s="35" t="str">
        <f>IF(AND(T15="",A16&lt;=S15),入力!$B$13,"")</f>
        <v>有効</v>
      </c>
      <c r="R16" s="32" t="str">
        <f>IF(AND(AND(T15="",A16&lt;=S15),OR(AND(入力!$B$13="有効",A16&gt;1,MOD(A16-1,60)=0),AND(A16=入力!$B$11,A16&gt;1)),入力!$B$14="有効"),ROUND(G15*1.25,0),"")</f>
        <v/>
      </c>
      <c r="S16" s="36">
        <f>IF(A16=入力!$B$15,A16+入力!$B$19,S15)</f>
        <v>420</v>
      </c>
      <c r="T16" s="35" t="str">
        <f t="shared" si="15"/>
        <v/>
      </c>
      <c r="U16" s="3">
        <f t="shared" si="0"/>
        <v>0</v>
      </c>
      <c r="V16" s="3">
        <f t="shared" si="1"/>
        <v>0</v>
      </c>
      <c r="W16" s="3">
        <f t="shared" si="2"/>
        <v>0</v>
      </c>
      <c r="X16" s="3">
        <f t="shared" si="3"/>
        <v>0</v>
      </c>
      <c r="Y16" s="3">
        <f>IF(A16&lt;入力!$B$15,ABS(G16-何もしない_月次!G16),0)</f>
        <v>0</v>
      </c>
      <c r="Z16" s="3">
        <f t="shared" si="4"/>
        <v>0</v>
      </c>
      <c r="AA16">
        <f>ROUND(IF(A16=入力!$B$15+1,IF(E16=0,ROUND(C16/入力!$B$19,0),ROUND(-PMT(E16/12,入力!$B$19,C16),0)),IF(OR(AND(入力!$B$13="有効",A16&gt;1,MOD(A16-1,60)=0),AND(A16=入力!$B$11,A16&gt;1)),IF(入力!$B$14="有効",MIN(IF(E16=0,ROUND(C16/MAX(1,S15-A16+1),0),ROUND(-PMT(E16/12,MAX(1,S15-A16+1),C16),0)),ROUND(G15*1.25,0)),IF(E16=0,ROUND(C16/MAX(1,S15-A16+1),0),ROUND(-PMT(E16/12,MAX(1,S15-A16+1),C16),0))),G15)),0)</f>
        <v>93982</v>
      </c>
    </row>
    <row r="17" spans="1:27">
      <c r="A17" s="30">
        <f>12</f>
        <v>12</v>
      </c>
      <c r="B17" s="31">
        <f>EDATE(入力!$B$6,A17-1)</f>
        <v>46569</v>
      </c>
      <c r="C17" s="32">
        <f t="shared" si="5"/>
        <v>34188419</v>
      </c>
      <c r="D17" s="32">
        <f t="shared" si="6"/>
        <v>0</v>
      </c>
      <c r="E17" s="33">
        <f>IF(AND(T16="",A17&lt;=S16),IF(A17&lt;入力!$B$11,入力!$B$10,入力!$B$12),0)</f>
        <v>7.0000000000000001E-3</v>
      </c>
      <c r="F17" s="32">
        <f t="shared" si="7"/>
        <v>19943</v>
      </c>
      <c r="G17" s="32">
        <f>ROUND(IF(NOT(AND(T16="",A17&lt;=S16)),0,IF(A17=入力!$B$15+1,IF(E17=0,ROUND(C17/入力!$B$19,0),ROUND(-PMT(E17/12,入力!$B$19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),0)</f>
        <v>93982</v>
      </c>
      <c r="H17" s="32">
        <f t="shared" si="8"/>
        <v>93982</v>
      </c>
      <c r="I17" s="32">
        <f t="shared" si="9"/>
        <v>19943</v>
      </c>
      <c r="J17" s="32">
        <f t="shared" si="10"/>
        <v>0</v>
      </c>
      <c r="K17" s="32">
        <f t="shared" si="11"/>
        <v>0</v>
      </c>
      <c r="L17" s="32">
        <f t="shared" si="12"/>
        <v>74039</v>
      </c>
      <c r="M17" s="32">
        <f>IF(AND(AND(T16="",A17&lt;=S16),A17=入力!$B$15),ROUND(MIN(入力!$B$16,MAX(0,C17-L17)),0),0)</f>
        <v>0</v>
      </c>
      <c r="N17" s="32">
        <f t="shared" si="13"/>
        <v>34114380</v>
      </c>
      <c r="O17" s="32">
        <f t="shared" si="14"/>
        <v>242164</v>
      </c>
      <c r="P17" s="34" t="str">
        <f>IF(NOT(AND(T16="",A17&lt;=S16)),"",IF(A17=入力!$B$15+1,"繰上返済後再計算","")&amp;IF(AND(入力!$B$13="有効",A17&gt;1,MOD(A17-1,60)=0),IF(A17=入力!$B$15+1,"・","")&amp;"5年見直し","")&amp;IF(AND(A17=入力!$B$11,A17&gt;1),IF(OR(A17=入力!$B$15+1,AND(入力!$B$13="有効",A17&gt;1,MOD(A17-1,60)=0)),"・","")&amp;"金利変更","")&amp;IF(AND(OR(AND(入力!$B$13="有効",A17&gt;1,MOD(A17-1,60)=0),AND(A17=入力!$B$11,A17&gt;1)),入力!$B$14="有効",IF(E17=0,ROUND(C17/MAX(1,S16-A17+1),0),ROUND(-PMT(E17/12,MAX(1,S16-A17+1),C17),0))&gt;ROUND(G16*1.25,0),NOT(A17=入力!$B$15+1)),"・上限適用",""))</f>
        <v/>
      </c>
      <c r="Q17" s="35" t="str">
        <f>IF(AND(T16="",A17&lt;=S16),入力!$B$13,"")</f>
        <v>有効</v>
      </c>
      <c r="R17" s="32" t="str">
        <f>IF(AND(AND(T16="",A17&lt;=S16),OR(AND(入力!$B$13="有効",A17&gt;1,MOD(A17-1,60)=0),AND(A17=入力!$B$11,A17&gt;1)),入力!$B$14="有効"),ROUND(G16*1.25,0),"")</f>
        <v/>
      </c>
      <c r="S17" s="36">
        <f>IF(A17=入力!$B$15,A17+入力!$B$19,S16)</f>
        <v>420</v>
      </c>
      <c r="T17" s="35" t="str">
        <f t="shared" si="15"/>
        <v/>
      </c>
      <c r="U17" s="3">
        <f t="shared" si="0"/>
        <v>0</v>
      </c>
      <c r="V17" s="3">
        <f t="shared" si="1"/>
        <v>0</v>
      </c>
      <c r="W17" s="3">
        <f t="shared" si="2"/>
        <v>0</v>
      </c>
      <c r="X17" s="3">
        <f t="shared" si="3"/>
        <v>0</v>
      </c>
      <c r="Y17" s="3">
        <f>IF(A17&lt;入力!$B$15,ABS(G17-何もしない_月次!G17),0)</f>
        <v>0</v>
      </c>
      <c r="Z17" s="3">
        <f t="shared" si="4"/>
        <v>0</v>
      </c>
      <c r="AA17">
        <f>ROUND(IF(A17=入力!$B$15+1,IF(E17=0,ROUND(C17/入力!$B$19,0),ROUND(-PMT(E17/12,入力!$B$19,C17),0)),IF(OR(AND(入力!$B$13="有効",A17&gt;1,MOD(A17-1,60)=0),AND(A17=入力!$B$11,A17&gt;1)),IF(入力!$B$14="有効",MIN(IF(E17=0,ROUND(C17/MAX(1,S16-A17+1),0),ROUND(-PMT(E17/12,MAX(1,S16-A17+1),C17),0)),ROUND(G16*1.25,0)),IF(E17=0,ROUND(C17/MAX(1,S16-A17+1),0),ROUND(-PMT(E17/12,MAX(1,S16-A17+1),C17),0))),G16)),0)</f>
        <v>93982</v>
      </c>
    </row>
    <row r="18" spans="1:27">
      <c r="A18" s="30">
        <f>13</f>
        <v>13</v>
      </c>
      <c r="B18" s="31">
        <f>EDATE(入力!$B$6,A18-1)</f>
        <v>46600</v>
      </c>
      <c r="C18" s="32">
        <f t="shared" si="5"/>
        <v>34114380</v>
      </c>
      <c r="D18" s="32">
        <f t="shared" si="6"/>
        <v>0</v>
      </c>
      <c r="E18" s="33">
        <f>IF(AND(T17="",A18&lt;=S17),IF(A18&lt;入力!$B$11,入力!$B$10,入力!$B$12),0)</f>
        <v>7.0000000000000001E-3</v>
      </c>
      <c r="F18" s="32">
        <f t="shared" si="7"/>
        <v>19900</v>
      </c>
      <c r="G18" s="32">
        <f>ROUND(IF(NOT(AND(T17="",A18&lt;=S17)),0,IF(A18=入力!$B$15+1,IF(E18=0,ROUND(C18/入力!$B$19,0),ROUND(-PMT(E18/12,入力!$B$19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),0)</f>
        <v>93982</v>
      </c>
      <c r="H18" s="32">
        <f t="shared" si="8"/>
        <v>93982</v>
      </c>
      <c r="I18" s="32">
        <f t="shared" si="9"/>
        <v>19900</v>
      </c>
      <c r="J18" s="32">
        <f t="shared" si="10"/>
        <v>0</v>
      </c>
      <c r="K18" s="32">
        <f t="shared" si="11"/>
        <v>0</v>
      </c>
      <c r="L18" s="32">
        <f t="shared" si="12"/>
        <v>74082</v>
      </c>
      <c r="M18" s="32">
        <f>IF(AND(AND(T17="",A18&lt;=S17),A18=入力!$B$15),ROUND(MIN(入力!$B$16,MAX(0,C18-L18)),0),0)</f>
        <v>0</v>
      </c>
      <c r="N18" s="32">
        <f t="shared" si="13"/>
        <v>34040298</v>
      </c>
      <c r="O18" s="32">
        <f t="shared" si="14"/>
        <v>262064</v>
      </c>
      <c r="P18" s="34" t="str">
        <f>IF(NOT(AND(T17="",A18&lt;=S17)),"",IF(A18=入力!$B$15+1,"繰上返済後再計算","")&amp;IF(AND(入力!$B$13="有効",A18&gt;1,MOD(A18-1,60)=0),IF(A18=入力!$B$15+1,"・","")&amp;"5年見直し","")&amp;IF(AND(A18=入力!$B$11,A18&gt;1),IF(OR(A18=入力!$B$15+1,AND(入力!$B$13="有効",A18&gt;1,MOD(A18-1,60)=0)),"・","")&amp;"金利変更","")&amp;IF(AND(OR(AND(入力!$B$13="有効",A18&gt;1,MOD(A18-1,60)=0),AND(A18=入力!$B$11,A18&gt;1)),入力!$B$14="有効",IF(E18=0,ROUND(C18/MAX(1,S17-A18+1),0),ROUND(-PMT(E18/12,MAX(1,S17-A18+1),C18),0))&gt;ROUND(G17*1.25,0),NOT(A18=入力!$B$15+1)),"・上限適用",""))</f>
        <v/>
      </c>
      <c r="Q18" s="35" t="str">
        <f>IF(AND(T17="",A18&lt;=S17),入力!$B$13,"")</f>
        <v>有効</v>
      </c>
      <c r="R18" s="32" t="str">
        <f>IF(AND(AND(T17="",A18&lt;=S17),OR(AND(入力!$B$13="有効",A18&gt;1,MOD(A18-1,60)=0),AND(A18=入力!$B$11,A18&gt;1)),入力!$B$14="有効"),ROUND(G17*1.25,0),"")</f>
        <v/>
      </c>
      <c r="S18" s="36">
        <f>IF(A18=入力!$B$15,A18+入力!$B$19,S17)</f>
        <v>420</v>
      </c>
      <c r="T18" s="35" t="str">
        <f t="shared" si="15"/>
        <v/>
      </c>
      <c r="U18" s="3">
        <f t="shared" si="0"/>
        <v>0</v>
      </c>
      <c r="V18" s="3">
        <f t="shared" si="1"/>
        <v>0</v>
      </c>
      <c r="W18" s="3">
        <f t="shared" si="2"/>
        <v>0</v>
      </c>
      <c r="X18" s="3">
        <f t="shared" si="3"/>
        <v>0</v>
      </c>
      <c r="Y18" s="3">
        <f>IF(A18&lt;入力!$B$15,ABS(G18-何もしない_月次!G18),0)</f>
        <v>0</v>
      </c>
      <c r="Z18" s="3">
        <f t="shared" si="4"/>
        <v>0</v>
      </c>
      <c r="AA18">
        <f>ROUND(IF(A18=入力!$B$15+1,IF(E18=0,ROUND(C18/入力!$B$19,0),ROUND(-PMT(E18/12,入力!$B$19,C18),0)),IF(OR(AND(入力!$B$13="有効",A18&gt;1,MOD(A18-1,60)=0),AND(A18=入力!$B$11,A18&gt;1)),IF(入力!$B$14="有効",MIN(IF(E18=0,ROUND(C18/MAX(1,S17-A18+1),0),ROUND(-PMT(E18/12,MAX(1,S17-A18+1),C18),0)),ROUND(G17*1.25,0)),IF(E18=0,ROUND(C18/MAX(1,S17-A18+1),0),ROUND(-PMT(E18/12,MAX(1,S17-A18+1),C18),0))),G17)),0)</f>
        <v>93982</v>
      </c>
    </row>
    <row r="19" spans="1:27">
      <c r="A19" s="30">
        <f>14</f>
        <v>14</v>
      </c>
      <c r="B19" s="31">
        <f>EDATE(入力!$B$6,A19-1)</f>
        <v>46631</v>
      </c>
      <c r="C19" s="32">
        <f t="shared" si="5"/>
        <v>34040298</v>
      </c>
      <c r="D19" s="32">
        <f t="shared" si="6"/>
        <v>0</v>
      </c>
      <c r="E19" s="33">
        <f>IF(AND(T18="",A19&lt;=S18),IF(A19&lt;入力!$B$11,入力!$B$10,入力!$B$12),0)</f>
        <v>7.0000000000000001E-3</v>
      </c>
      <c r="F19" s="32">
        <f t="shared" si="7"/>
        <v>19857</v>
      </c>
      <c r="G19" s="32">
        <f>ROUND(IF(NOT(AND(T18="",A19&lt;=S18)),0,IF(A19=入力!$B$15+1,IF(E19=0,ROUND(C19/入力!$B$19,0),ROUND(-PMT(E19/12,入力!$B$19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),0)</f>
        <v>93982</v>
      </c>
      <c r="H19" s="32">
        <f t="shared" si="8"/>
        <v>93982</v>
      </c>
      <c r="I19" s="32">
        <f t="shared" si="9"/>
        <v>19857</v>
      </c>
      <c r="J19" s="32">
        <f t="shared" si="10"/>
        <v>0</v>
      </c>
      <c r="K19" s="32">
        <f t="shared" si="11"/>
        <v>0</v>
      </c>
      <c r="L19" s="32">
        <f t="shared" si="12"/>
        <v>74125</v>
      </c>
      <c r="M19" s="32">
        <f>IF(AND(AND(T18="",A19&lt;=S18),A19=入力!$B$15),ROUND(MIN(入力!$B$16,MAX(0,C19-L19)),0),0)</f>
        <v>0</v>
      </c>
      <c r="N19" s="32">
        <f t="shared" si="13"/>
        <v>33966173</v>
      </c>
      <c r="O19" s="32">
        <f t="shared" si="14"/>
        <v>281921</v>
      </c>
      <c r="P19" s="34" t="str">
        <f>IF(NOT(AND(T18="",A19&lt;=S18)),"",IF(A19=入力!$B$15+1,"繰上返済後再計算","")&amp;IF(AND(入力!$B$13="有効",A19&gt;1,MOD(A19-1,60)=0),IF(A19=入力!$B$15+1,"・","")&amp;"5年見直し","")&amp;IF(AND(A19=入力!$B$11,A19&gt;1),IF(OR(A19=入力!$B$15+1,AND(入力!$B$13="有効",A19&gt;1,MOD(A19-1,60)=0)),"・","")&amp;"金利変更","")&amp;IF(AND(OR(AND(入力!$B$13="有効",A19&gt;1,MOD(A19-1,60)=0),AND(A19=入力!$B$11,A19&gt;1)),入力!$B$14="有効",IF(E19=0,ROUND(C19/MAX(1,S18-A19+1),0),ROUND(-PMT(E19/12,MAX(1,S18-A19+1),C19),0))&gt;ROUND(G18*1.25,0),NOT(A19=入力!$B$15+1)),"・上限適用",""))</f>
        <v/>
      </c>
      <c r="Q19" s="35" t="str">
        <f>IF(AND(T18="",A19&lt;=S18),入力!$B$13,"")</f>
        <v>有効</v>
      </c>
      <c r="R19" s="32" t="str">
        <f>IF(AND(AND(T18="",A19&lt;=S18),OR(AND(入力!$B$13="有効",A19&gt;1,MOD(A19-1,60)=0),AND(A19=入力!$B$11,A19&gt;1)),入力!$B$14="有効"),ROUND(G18*1.25,0),"")</f>
        <v/>
      </c>
      <c r="S19" s="36">
        <f>IF(A19=入力!$B$15,A19+入力!$B$19,S18)</f>
        <v>420</v>
      </c>
      <c r="T19" s="35" t="str">
        <f t="shared" si="15"/>
        <v/>
      </c>
      <c r="U19" s="3">
        <f t="shared" si="0"/>
        <v>0</v>
      </c>
      <c r="V19" s="3">
        <f t="shared" si="1"/>
        <v>0</v>
      </c>
      <c r="W19" s="3">
        <f t="shared" si="2"/>
        <v>0</v>
      </c>
      <c r="X19" s="3">
        <f t="shared" si="3"/>
        <v>0</v>
      </c>
      <c r="Y19" s="3">
        <f>IF(A19&lt;入力!$B$15,ABS(G19-何もしない_月次!G19),0)</f>
        <v>0</v>
      </c>
      <c r="Z19" s="3">
        <f t="shared" si="4"/>
        <v>0</v>
      </c>
      <c r="AA19">
        <f>ROUND(IF(A19=入力!$B$15+1,IF(E19=0,ROUND(C19/入力!$B$19,0),ROUND(-PMT(E19/12,入力!$B$19,C19),0)),IF(OR(AND(入力!$B$13="有効",A19&gt;1,MOD(A19-1,60)=0),AND(A19=入力!$B$11,A19&gt;1)),IF(入力!$B$14="有効",MIN(IF(E19=0,ROUND(C19/MAX(1,S18-A19+1),0),ROUND(-PMT(E19/12,MAX(1,S18-A19+1),C19),0)),ROUND(G18*1.25,0)),IF(E19=0,ROUND(C19/MAX(1,S18-A19+1),0),ROUND(-PMT(E19/12,MAX(1,S18-A19+1),C19),0))),G18)),0)</f>
        <v>93982</v>
      </c>
    </row>
    <row r="20" spans="1:27">
      <c r="A20" s="30">
        <f>15</f>
        <v>15</v>
      </c>
      <c r="B20" s="31">
        <f>EDATE(入力!$B$6,A20-1)</f>
        <v>46661</v>
      </c>
      <c r="C20" s="32">
        <f t="shared" si="5"/>
        <v>33966173</v>
      </c>
      <c r="D20" s="32">
        <f t="shared" si="6"/>
        <v>0</v>
      </c>
      <c r="E20" s="33">
        <f>IF(AND(T19="",A20&lt;=S19),IF(A20&lt;入力!$B$11,入力!$B$10,入力!$B$12),0)</f>
        <v>7.0000000000000001E-3</v>
      </c>
      <c r="F20" s="32">
        <f t="shared" si="7"/>
        <v>19814</v>
      </c>
      <c r="G20" s="32">
        <f>ROUND(IF(NOT(AND(T19="",A20&lt;=S19)),0,IF(A20=入力!$B$15+1,IF(E20=0,ROUND(C20/入力!$B$19,0),ROUND(-PMT(E20/12,入力!$B$19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),0)</f>
        <v>93982</v>
      </c>
      <c r="H20" s="32">
        <f t="shared" si="8"/>
        <v>93982</v>
      </c>
      <c r="I20" s="32">
        <f t="shared" si="9"/>
        <v>19814</v>
      </c>
      <c r="J20" s="32">
        <f t="shared" si="10"/>
        <v>0</v>
      </c>
      <c r="K20" s="32">
        <f t="shared" si="11"/>
        <v>0</v>
      </c>
      <c r="L20" s="32">
        <f t="shared" si="12"/>
        <v>74168</v>
      </c>
      <c r="M20" s="32">
        <f>IF(AND(AND(T19="",A20&lt;=S19),A20=入力!$B$15),ROUND(MIN(入力!$B$16,MAX(0,C20-L20)),0),0)</f>
        <v>0</v>
      </c>
      <c r="N20" s="32">
        <f t="shared" si="13"/>
        <v>33892005</v>
      </c>
      <c r="O20" s="32">
        <f t="shared" si="14"/>
        <v>301735</v>
      </c>
      <c r="P20" s="34" t="str">
        <f>IF(NOT(AND(T19="",A20&lt;=S19)),"",IF(A20=入力!$B$15+1,"繰上返済後再計算","")&amp;IF(AND(入力!$B$13="有効",A20&gt;1,MOD(A20-1,60)=0),IF(A20=入力!$B$15+1,"・","")&amp;"5年見直し","")&amp;IF(AND(A20=入力!$B$11,A20&gt;1),IF(OR(A20=入力!$B$15+1,AND(入力!$B$13="有効",A20&gt;1,MOD(A20-1,60)=0)),"・","")&amp;"金利変更","")&amp;IF(AND(OR(AND(入力!$B$13="有効",A20&gt;1,MOD(A20-1,60)=0),AND(A20=入力!$B$11,A20&gt;1)),入力!$B$14="有効",IF(E20=0,ROUND(C20/MAX(1,S19-A20+1),0),ROUND(-PMT(E20/12,MAX(1,S19-A20+1),C20),0))&gt;ROUND(G19*1.25,0),NOT(A20=入力!$B$15+1)),"・上限適用",""))</f>
        <v/>
      </c>
      <c r="Q20" s="35" t="str">
        <f>IF(AND(T19="",A20&lt;=S19),入力!$B$13,"")</f>
        <v>有効</v>
      </c>
      <c r="R20" s="32" t="str">
        <f>IF(AND(AND(T19="",A20&lt;=S19),OR(AND(入力!$B$13="有効",A20&gt;1,MOD(A20-1,60)=0),AND(A20=入力!$B$11,A20&gt;1)),入力!$B$14="有効"),ROUND(G19*1.25,0),"")</f>
        <v/>
      </c>
      <c r="S20" s="36">
        <f>IF(A20=入力!$B$15,A20+入力!$B$19,S19)</f>
        <v>420</v>
      </c>
      <c r="T20" s="35" t="str">
        <f t="shared" si="15"/>
        <v/>
      </c>
      <c r="U20" s="3">
        <f t="shared" si="0"/>
        <v>0</v>
      </c>
      <c r="V20" s="3">
        <f t="shared" si="1"/>
        <v>0</v>
      </c>
      <c r="W20" s="3">
        <f t="shared" si="2"/>
        <v>0</v>
      </c>
      <c r="X20" s="3">
        <f t="shared" si="3"/>
        <v>0</v>
      </c>
      <c r="Y20" s="3">
        <f>IF(A20&lt;入力!$B$15,ABS(G20-何もしない_月次!G20),0)</f>
        <v>0</v>
      </c>
      <c r="Z20" s="3">
        <f t="shared" si="4"/>
        <v>0</v>
      </c>
      <c r="AA20">
        <f>ROUND(IF(A20=入力!$B$15+1,IF(E20=0,ROUND(C20/入力!$B$19,0),ROUND(-PMT(E20/12,入力!$B$19,C20),0)),IF(OR(AND(入力!$B$13="有効",A20&gt;1,MOD(A20-1,60)=0),AND(A20=入力!$B$11,A20&gt;1)),IF(入力!$B$14="有効",MIN(IF(E20=0,ROUND(C20/MAX(1,S19-A20+1),0),ROUND(-PMT(E20/12,MAX(1,S19-A20+1),C20),0)),ROUND(G19*1.25,0)),IF(E20=0,ROUND(C20/MAX(1,S19-A20+1),0),ROUND(-PMT(E20/12,MAX(1,S19-A20+1),C20),0))),G19)),0)</f>
        <v>93982</v>
      </c>
    </row>
    <row r="21" spans="1:27">
      <c r="A21" s="30">
        <f>16</f>
        <v>16</v>
      </c>
      <c r="B21" s="31">
        <f>EDATE(入力!$B$6,A21-1)</f>
        <v>46692</v>
      </c>
      <c r="C21" s="32">
        <f t="shared" si="5"/>
        <v>33892005</v>
      </c>
      <c r="D21" s="32">
        <f t="shared" si="6"/>
        <v>0</v>
      </c>
      <c r="E21" s="33">
        <f>IF(AND(T20="",A21&lt;=S20),IF(A21&lt;入力!$B$11,入力!$B$10,入力!$B$12),0)</f>
        <v>7.0000000000000001E-3</v>
      </c>
      <c r="F21" s="32">
        <f t="shared" si="7"/>
        <v>19770</v>
      </c>
      <c r="G21" s="32">
        <f>ROUND(IF(NOT(AND(T20="",A21&lt;=S20)),0,IF(A21=入力!$B$15+1,IF(E21=0,ROUND(C21/入力!$B$19,0),ROUND(-PMT(E21/12,入力!$B$19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),0)</f>
        <v>93982</v>
      </c>
      <c r="H21" s="32">
        <f t="shared" si="8"/>
        <v>93982</v>
      </c>
      <c r="I21" s="32">
        <f t="shared" si="9"/>
        <v>19770</v>
      </c>
      <c r="J21" s="32">
        <f t="shared" si="10"/>
        <v>0</v>
      </c>
      <c r="K21" s="32">
        <f t="shared" si="11"/>
        <v>0</v>
      </c>
      <c r="L21" s="32">
        <f t="shared" si="12"/>
        <v>74212</v>
      </c>
      <c r="M21" s="32">
        <f>IF(AND(AND(T20="",A21&lt;=S20),A21=入力!$B$15),ROUND(MIN(入力!$B$16,MAX(0,C21-L21)),0),0)</f>
        <v>0</v>
      </c>
      <c r="N21" s="32">
        <f t="shared" si="13"/>
        <v>33817793</v>
      </c>
      <c r="O21" s="32">
        <f t="shared" si="14"/>
        <v>321505</v>
      </c>
      <c r="P21" s="34" t="str">
        <f>IF(NOT(AND(T20="",A21&lt;=S20)),"",IF(A21=入力!$B$15+1,"繰上返済後再計算","")&amp;IF(AND(入力!$B$13="有効",A21&gt;1,MOD(A21-1,60)=0),IF(A21=入力!$B$15+1,"・","")&amp;"5年見直し","")&amp;IF(AND(A21=入力!$B$11,A21&gt;1),IF(OR(A21=入力!$B$15+1,AND(入力!$B$13="有効",A21&gt;1,MOD(A21-1,60)=0)),"・","")&amp;"金利変更","")&amp;IF(AND(OR(AND(入力!$B$13="有効",A21&gt;1,MOD(A21-1,60)=0),AND(A21=入力!$B$11,A21&gt;1)),入力!$B$14="有効",IF(E21=0,ROUND(C21/MAX(1,S20-A21+1),0),ROUND(-PMT(E21/12,MAX(1,S20-A21+1),C21),0))&gt;ROUND(G20*1.25,0),NOT(A21=入力!$B$15+1)),"・上限適用",""))</f>
        <v/>
      </c>
      <c r="Q21" s="35" t="str">
        <f>IF(AND(T20="",A21&lt;=S20),入力!$B$13,"")</f>
        <v>有効</v>
      </c>
      <c r="R21" s="32" t="str">
        <f>IF(AND(AND(T20="",A21&lt;=S20),OR(AND(入力!$B$13="有効",A21&gt;1,MOD(A21-1,60)=0),AND(A21=入力!$B$11,A21&gt;1)),入力!$B$14="有効"),ROUND(G20*1.25,0),"")</f>
        <v/>
      </c>
      <c r="S21" s="36">
        <f>IF(A21=入力!$B$15,A21+入力!$B$19,S20)</f>
        <v>420</v>
      </c>
      <c r="T21" s="35" t="str">
        <f t="shared" si="15"/>
        <v/>
      </c>
      <c r="U21" s="3">
        <f t="shared" si="0"/>
        <v>0</v>
      </c>
      <c r="V21" s="3">
        <f t="shared" si="1"/>
        <v>0</v>
      </c>
      <c r="W21" s="3">
        <f t="shared" si="2"/>
        <v>0</v>
      </c>
      <c r="X21" s="3">
        <f t="shared" si="3"/>
        <v>0</v>
      </c>
      <c r="Y21" s="3">
        <f>IF(A21&lt;入力!$B$15,ABS(G21-何もしない_月次!G21),0)</f>
        <v>0</v>
      </c>
      <c r="Z21" s="3">
        <f t="shared" si="4"/>
        <v>0</v>
      </c>
      <c r="AA21">
        <f>ROUND(IF(A21=入力!$B$15+1,IF(E21=0,ROUND(C21/入力!$B$19,0),ROUND(-PMT(E21/12,入力!$B$19,C21),0)),IF(OR(AND(入力!$B$13="有効",A21&gt;1,MOD(A21-1,60)=0),AND(A21=入力!$B$11,A21&gt;1)),IF(入力!$B$14="有効",MIN(IF(E21=0,ROUND(C21/MAX(1,S20-A21+1),0),ROUND(-PMT(E21/12,MAX(1,S20-A21+1),C21),0)),ROUND(G20*1.25,0)),IF(E21=0,ROUND(C21/MAX(1,S20-A21+1),0),ROUND(-PMT(E21/12,MAX(1,S20-A21+1),C21),0))),G20)),0)</f>
        <v>93982</v>
      </c>
    </row>
    <row r="22" spans="1:27">
      <c r="A22" s="30">
        <f>17</f>
        <v>17</v>
      </c>
      <c r="B22" s="31">
        <f>EDATE(入力!$B$6,A22-1)</f>
        <v>46722</v>
      </c>
      <c r="C22" s="32">
        <f t="shared" si="5"/>
        <v>33817793</v>
      </c>
      <c r="D22" s="32">
        <f t="shared" si="6"/>
        <v>0</v>
      </c>
      <c r="E22" s="33">
        <f>IF(AND(T21="",A22&lt;=S21),IF(A22&lt;入力!$B$11,入力!$B$10,入力!$B$12),0)</f>
        <v>7.0000000000000001E-3</v>
      </c>
      <c r="F22" s="32">
        <f t="shared" si="7"/>
        <v>19727</v>
      </c>
      <c r="G22" s="32">
        <f>ROUND(IF(NOT(AND(T21="",A22&lt;=S21)),0,IF(A22=入力!$B$15+1,IF(E22=0,ROUND(C22/入力!$B$19,0),ROUND(-PMT(E22/12,入力!$B$19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),0)</f>
        <v>93982</v>
      </c>
      <c r="H22" s="32">
        <f t="shared" si="8"/>
        <v>93982</v>
      </c>
      <c r="I22" s="32">
        <f t="shared" si="9"/>
        <v>19727</v>
      </c>
      <c r="J22" s="32">
        <f t="shared" si="10"/>
        <v>0</v>
      </c>
      <c r="K22" s="32">
        <f t="shared" si="11"/>
        <v>0</v>
      </c>
      <c r="L22" s="32">
        <f t="shared" si="12"/>
        <v>74255</v>
      </c>
      <c r="M22" s="32">
        <f>IF(AND(AND(T21="",A22&lt;=S21),A22=入力!$B$15),ROUND(MIN(入力!$B$16,MAX(0,C22-L22)),0),0)</f>
        <v>0</v>
      </c>
      <c r="N22" s="32">
        <f t="shared" si="13"/>
        <v>33743538</v>
      </c>
      <c r="O22" s="32">
        <f t="shared" si="14"/>
        <v>341232</v>
      </c>
      <c r="P22" s="34" t="str">
        <f>IF(NOT(AND(T21="",A22&lt;=S21)),"",IF(A22=入力!$B$15+1,"繰上返済後再計算","")&amp;IF(AND(入力!$B$13="有効",A22&gt;1,MOD(A22-1,60)=0),IF(A22=入力!$B$15+1,"・","")&amp;"5年見直し","")&amp;IF(AND(A22=入力!$B$11,A22&gt;1),IF(OR(A22=入力!$B$15+1,AND(入力!$B$13="有効",A22&gt;1,MOD(A22-1,60)=0)),"・","")&amp;"金利変更","")&amp;IF(AND(OR(AND(入力!$B$13="有効",A22&gt;1,MOD(A22-1,60)=0),AND(A22=入力!$B$11,A22&gt;1)),入力!$B$14="有効",IF(E22=0,ROUND(C22/MAX(1,S21-A22+1),0),ROUND(-PMT(E22/12,MAX(1,S21-A22+1),C22),0))&gt;ROUND(G21*1.25,0),NOT(A22=入力!$B$15+1)),"・上限適用",""))</f>
        <v/>
      </c>
      <c r="Q22" s="35" t="str">
        <f>IF(AND(T21="",A22&lt;=S21),入力!$B$13,"")</f>
        <v>有効</v>
      </c>
      <c r="R22" s="32" t="str">
        <f>IF(AND(AND(T21="",A22&lt;=S21),OR(AND(入力!$B$13="有効",A22&gt;1,MOD(A22-1,60)=0),AND(A22=入力!$B$11,A22&gt;1)),入力!$B$14="有効"),ROUND(G21*1.25,0),"")</f>
        <v/>
      </c>
      <c r="S22" s="36">
        <f>IF(A22=入力!$B$15,A22+入力!$B$19,S21)</f>
        <v>420</v>
      </c>
      <c r="T22" s="35" t="str">
        <f t="shared" si="15"/>
        <v/>
      </c>
      <c r="U22" s="3">
        <f t="shared" si="0"/>
        <v>0</v>
      </c>
      <c r="V22" s="3">
        <f t="shared" si="1"/>
        <v>0</v>
      </c>
      <c r="W22" s="3">
        <f t="shared" si="2"/>
        <v>0</v>
      </c>
      <c r="X22" s="3">
        <f t="shared" si="3"/>
        <v>0</v>
      </c>
      <c r="Y22" s="3">
        <f>IF(A22&lt;入力!$B$15,ABS(G22-何もしない_月次!G22),0)</f>
        <v>0</v>
      </c>
      <c r="Z22" s="3">
        <f t="shared" si="4"/>
        <v>0</v>
      </c>
      <c r="AA22">
        <f>ROUND(IF(A22=入力!$B$15+1,IF(E22=0,ROUND(C22/入力!$B$19,0),ROUND(-PMT(E22/12,入力!$B$19,C22),0)),IF(OR(AND(入力!$B$13="有効",A22&gt;1,MOD(A22-1,60)=0),AND(A22=入力!$B$11,A22&gt;1)),IF(入力!$B$14="有効",MIN(IF(E22=0,ROUND(C22/MAX(1,S21-A22+1),0),ROUND(-PMT(E22/12,MAX(1,S21-A22+1),C22),0)),ROUND(G21*1.25,0)),IF(E22=0,ROUND(C22/MAX(1,S21-A22+1),0),ROUND(-PMT(E22/12,MAX(1,S21-A22+1),C22),0))),G21)),0)</f>
        <v>93982</v>
      </c>
    </row>
    <row r="23" spans="1:27">
      <c r="A23" s="30">
        <f>18</f>
        <v>18</v>
      </c>
      <c r="B23" s="31">
        <f>EDATE(入力!$B$6,A23-1)</f>
        <v>46753</v>
      </c>
      <c r="C23" s="32">
        <f t="shared" si="5"/>
        <v>33743538</v>
      </c>
      <c r="D23" s="32">
        <f t="shared" si="6"/>
        <v>0</v>
      </c>
      <c r="E23" s="33">
        <f>IF(AND(T22="",A23&lt;=S22),IF(A23&lt;入力!$B$11,入力!$B$10,入力!$B$12),0)</f>
        <v>7.0000000000000001E-3</v>
      </c>
      <c r="F23" s="32">
        <f t="shared" si="7"/>
        <v>19684</v>
      </c>
      <c r="G23" s="32">
        <f>ROUND(IF(NOT(AND(T22="",A23&lt;=S22)),0,IF(A23=入力!$B$15+1,IF(E23=0,ROUND(C23/入力!$B$19,0),ROUND(-PMT(E23/12,入力!$B$19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),0)</f>
        <v>93982</v>
      </c>
      <c r="H23" s="32">
        <f t="shared" si="8"/>
        <v>93982</v>
      </c>
      <c r="I23" s="32">
        <f t="shared" si="9"/>
        <v>19684</v>
      </c>
      <c r="J23" s="32">
        <f t="shared" si="10"/>
        <v>0</v>
      </c>
      <c r="K23" s="32">
        <f t="shared" si="11"/>
        <v>0</v>
      </c>
      <c r="L23" s="32">
        <f t="shared" si="12"/>
        <v>74298</v>
      </c>
      <c r="M23" s="32">
        <f>IF(AND(AND(T22="",A23&lt;=S22),A23=入力!$B$15),ROUND(MIN(入力!$B$16,MAX(0,C23-L23)),0),0)</f>
        <v>0</v>
      </c>
      <c r="N23" s="32">
        <f t="shared" si="13"/>
        <v>33669240</v>
      </c>
      <c r="O23" s="32">
        <f t="shared" si="14"/>
        <v>360916</v>
      </c>
      <c r="P23" s="34" t="str">
        <f>IF(NOT(AND(T22="",A23&lt;=S22)),"",IF(A23=入力!$B$15+1,"繰上返済後再計算","")&amp;IF(AND(入力!$B$13="有効",A23&gt;1,MOD(A23-1,60)=0),IF(A23=入力!$B$15+1,"・","")&amp;"5年見直し","")&amp;IF(AND(A23=入力!$B$11,A23&gt;1),IF(OR(A23=入力!$B$15+1,AND(入力!$B$13="有効",A23&gt;1,MOD(A23-1,60)=0)),"・","")&amp;"金利変更","")&amp;IF(AND(OR(AND(入力!$B$13="有効",A23&gt;1,MOD(A23-1,60)=0),AND(A23=入力!$B$11,A23&gt;1)),入力!$B$14="有効",IF(E23=0,ROUND(C23/MAX(1,S22-A23+1),0),ROUND(-PMT(E23/12,MAX(1,S22-A23+1),C23),0))&gt;ROUND(G22*1.25,0),NOT(A23=入力!$B$15+1)),"・上限適用",""))</f>
        <v/>
      </c>
      <c r="Q23" s="35" t="str">
        <f>IF(AND(T22="",A23&lt;=S22),入力!$B$13,"")</f>
        <v>有効</v>
      </c>
      <c r="R23" s="32" t="str">
        <f>IF(AND(AND(T22="",A23&lt;=S22),OR(AND(入力!$B$13="有効",A23&gt;1,MOD(A23-1,60)=0),AND(A23=入力!$B$11,A23&gt;1)),入力!$B$14="有効"),ROUND(G22*1.25,0),"")</f>
        <v/>
      </c>
      <c r="S23" s="36">
        <f>IF(A23=入力!$B$15,A23+入力!$B$19,S22)</f>
        <v>420</v>
      </c>
      <c r="T23" s="35" t="str">
        <f t="shared" si="15"/>
        <v/>
      </c>
      <c r="U23" s="3">
        <f t="shared" si="0"/>
        <v>0</v>
      </c>
      <c r="V23" s="3">
        <f t="shared" si="1"/>
        <v>0</v>
      </c>
      <c r="W23" s="3">
        <f t="shared" si="2"/>
        <v>0</v>
      </c>
      <c r="X23" s="3">
        <f t="shared" si="3"/>
        <v>0</v>
      </c>
      <c r="Y23" s="3">
        <f>IF(A23&lt;入力!$B$15,ABS(G23-何もしない_月次!G23),0)</f>
        <v>0</v>
      </c>
      <c r="Z23" s="3">
        <f t="shared" si="4"/>
        <v>0</v>
      </c>
      <c r="AA23">
        <f>ROUND(IF(A23=入力!$B$15+1,IF(E23=0,ROUND(C23/入力!$B$19,0),ROUND(-PMT(E23/12,入力!$B$19,C23),0)),IF(OR(AND(入力!$B$13="有効",A23&gt;1,MOD(A23-1,60)=0),AND(A23=入力!$B$11,A23&gt;1)),IF(入力!$B$14="有効",MIN(IF(E23=0,ROUND(C23/MAX(1,S22-A23+1),0),ROUND(-PMT(E23/12,MAX(1,S22-A23+1),C23),0)),ROUND(G22*1.25,0)),IF(E23=0,ROUND(C23/MAX(1,S22-A23+1),0),ROUND(-PMT(E23/12,MAX(1,S22-A23+1),C23),0))),G22)),0)</f>
        <v>93982</v>
      </c>
    </row>
    <row r="24" spans="1:27">
      <c r="A24" s="30">
        <f>19</f>
        <v>19</v>
      </c>
      <c r="B24" s="31">
        <f>EDATE(入力!$B$6,A24-1)</f>
        <v>46784</v>
      </c>
      <c r="C24" s="32">
        <f t="shared" si="5"/>
        <v>33669240</v>
      </c>
      <c r="D24" s="32">
        <f t="shared" si="6"/>
        <v>0</v>
      </c>
      <c r="E24" s="33">
        <f>IF(AND(T23="",A24&lt;=S23),IF(A24&lt;入力!$B$11,入力!$B$10,入力!$B$12),0)</f>
        <v>7.0000000000000001E-3</v>
      </c>
      <c r="F24" s="32">
        <f t="shared" si="7"/>
        <v>19640</v>
      </c>
      <c r="G24" s="32">
        <f>ROUND(IF(NOT(AND(T23="",A24&lt;=S23)),0,IF(A24=入力!$B$15+1,IF(E24=0,ROUND(C24/入力!$B$19,0),ROUND(-PMT(E24/12,入力!$B$19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),0)</f>
        <v>93982</v>
      </c>
      <c r="H24" s="32">
        <f t="shared" si="8"/>
        <v>93982</v>
      </c>
      <c r="I24" s="32">
        <f t="shared" si="9"/>
        <v>19640</v>
      </c>
      <c r="J24" s="32">
        <f t="shared" si="10"/>
        <v>0</v>
      </c>
      <c r="K24" s="32">
        <f t="shared" si="11"/>
        <v>0</v>
      </c>
      <c r="L24" s="32">
        <f t="shared" si="12"/>
        <v>74342</v>
      </c>
      <c r="M24" s="32">
        <f>IF(AND(AND(T23="",A24&lt;=S23),A24=入力!$B$15),ROUND(MIN(入力!$B$16,MAX(0,C24-L24)),0),0)</f>
        <v>0</v>
      </c>
      <c r="N24" s="32">
        <f t="shared" si="13"/>
        <v>33594898</v>
      </c>
      <c r="O24" s="32">
        <f t="shared" si="14"/>
        <v>380556</v>
      </c>
      <c r="P24" s="34" t="str">
        <f>IF(NOT(AND(T23="",A24&lt;=S23)),"",IF(A24=入力!$B$15+1,"繰上返済後再計算","")&amp;IF(AND(入力!$B$13="有効",A24&gt;1,MOD(A24-1,60)=0),IF(A24=入力!$B$15+1,"・","")&amp;"5年見直し","")&amp;IF(AND(A24=入力!$B$11,A24&gt;1),IF(OR(A24=入力!$B$15+1,AND(入力!$B$13="有効",A24&gt;1,MOD(A24-1,60)=0)),"・","")&amp;"金利変更","")&amp;IF(AND(OR(AND(入力!$B$13="有効",A24&gt;1,MOD(A24-1,60)=0),AND(A24=入力!$B$11,A24&gt;1)),入力!$B$14="有効",IF(E24=0,ROUND(C24/MAX(1,S23-A24+1),0),ROUND(-PMT(E24/12,MAX(1,S23-A24+1),C24),0))&gt;ROUND(G23*1.25,0),NOT(A24=入力!$B$15+1)),"・上限適用",""))</f>
        <v/>
      </c>
      <c r="Q24" s="35" t="str">
        <f>IF(AND(T23="",A24&lt;=S23),入力!$B$13,"")</f>
        <v>有効</v>
      </c>
      <c r="R24" s="32" t="str">
        <f>IF(AND(AND(T23="",A24&lt;=S23),OR(AND(入力!$B$13="有効",A24&gt;1,MOD(A24-1,60)=0),AND(A24=入力!$B$11,A24&gt;1)),入力!$B$14="有効"),ROUND(G23*1.25,0),"")</f>
        <v/>
      </c>
      <c r="S24" s="36">
        <f>IF(A24=入力!$B$15,A24+入力!$B$19,S23)</f>
        <v>420</v>
      </c>
      <c r="T24" s="35" t="str">
        <f t="shared" si="15"/>
        <v/>
      </c>
      <c r="U24" s="3">
        <f t="shared" si="0"/>
        <v>0</v>
      </c>
      <c r="V24" s="3">
        <f t="shared" si="1"/>
        <v>0</v>
      </c>
      <c r="W24" s="3">
        <f t="shared" si="2"/>
        <v>0</v>
      </c>
      <c r="X24" s="3">
        <f t="shared" si="3"/>
        <v>0</v>
      </c>
      <c r="Y24" s="3">
        <f>IF(A24&lt;入力!$B$15,ABS(G24-何もしない_月次!G24),0)</f>
        <v>0</v>
      </c>
      <c r="Z24" s="3">
        <f t="shared" si="4"/>
        <v>0</v>
      </c>
      <c r="AA24">
        <f>ROUND(IF(A24=入力!$B$15+1,IF(E24=0,ROUND(C24/入力!$B$19,0),ROUND(-PMT(E24/12,入力!$B$19,C24),0)),IF(OR(AND(入力!$B$13="有効",A24&gt;1,MOD(A24-1,60)=0),AND(A24=入力!$B$11,A24&gt;1)),IF(入力!$B$14="有効",MIN(IF(E24=0,ROUND(C24/MAX(1,S23-A24+1),0),ROUND(-PMT(E24/12,MAX(1,S23-A24+1),C24),0)),ROUND(G23*1.25,0)),IF(E24=0,ROUND(C24/MAX(1,S23-A24+1),0),ROUND(-PMT(E24/12,MAX(1,S23-A24+1),C24),0))),G23)),0)</f>
        <v>93982</v>
      </c>
    </row>
    <row r="25" spans="1:27">
      <c r="A25" s="30">
        <f>20</f>
        <v>20</v>
      </c>
      <c r="B25" s="31">
        <f>EDATE(入力!$B$6,A25-1)</f>
        <v>46813</v>
      </c>
      <c r="C25" s="32">
        <f t="shared" si="5"/>
        <v>33594898</v>
      </c>
      <c r="D25" s="32">
        <f t="shared" si="6"/>
        <v>0</v>
      </c>
      <c r="E25" s="33">
        <f>IF(AND(T24="",A25&lt;=S24),IF(A25&lt;入力!$B$11,入力!$B$10,入力!$B$12),0)</f>
        <v>7.0000000000000001E-3</v>
      </c>
      <c r="F25" s="32">
        <f t="shared" si="7"/>
        <v>19597</v>
      </c>
      <c r="G25" s="32">
        <f>ROUND(IF(NOT(AND(T24="",A25&lt;=S24)),0,IF(A25=入力!$B$15+1,IF(E25=0,ROUND(C25/入力!$B$19,0),ROUND(-PMT(E25/12,入力!$B$19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),0)</f>
        <v>93982</v>
      </c>
      <c r="H25" s="32">
        <f t="shared" si="8"/>
        <v>93982</v>
      </c>
      <c r="I25" s="32">
        <f t="shared" si="9"/>
        <v>19597</v>
      </c>
      <c r="J25" s="32">
        <f t="shared" si="10"/>
        <v>0</v>
      </c>
      <c r="K25" s="32">
        <f t="shared" si="11"/>
        <v>0</v>
      </c>
      <c r="L25" s="32">
        <f t="shared" si="12"/>
        <v>74385</v>
      </c>
      <c r="M25" s="32">
        <f>IF(AND(AND(T24="",A25&lt;=S24),A25=入力!$B$15),ROUND(MIN(入力!$B$16,MAX(0,C25-L25)),0),0)</f>
        <v>0</v>
      </c>
      <c r="N25" s="32">
        <f t="shared" si="13"/>
        <v>33520513</v>
      </c>
      <c r="O25" s="32">
        <f t="shared" si="14"/>
        <v>400153</v>
      </c>
      <c r="P25" s="34" t="str">
        <f>IF(NOT(AND(T24="",A25&lt;=S24)),"",IF(A25=入力!$B$15+1,"繰上返済後再計算","")&amp;IF(AND(入力!$B$13="有効",A25&gt;1,MOD(A25-1,60)=0),IF(A25=入力!$B$15+1,"・","")&amp;"5年見直し","")&amp;IF(AND(A25=入力!$B$11,A25&gt;1),IF(OR(A25=入力!$B$15+1,AND(入力!$B$13="有効",A25&gt;1,MOD(A25-1,60)=0)),"・","")&amp;"金利変更","")&amp;IF(AND(OR(AND(入力!$B$13="有効",A25&gt;1,MOD(A25-1,60)=0),AND(A25=入力!$B$11,A25&gt;1)),入力!$B$14="有効",IF(E25=0,ROUND(C25/MAX(1,S24-A25+1),0),ROUND(-PMT(E25/12,MAX(1,S24-A25+1),C25),0))&gt;ROUND(G24*1.25,0),NOT(A25=入力!$B$15+1)),"・上限適用",""))</f>
        <v/>
      </c>
      <c r="Q25" s="35" t="str">
        <f>IF(AND(T24="",A25&lt;=S24),入力!$B$13,"")</f>
        <v>有効</v>
      </c>
      <c r="R25" s="32" t="str">
        <f>IF(AND(AND(T24="",A25&lt;=S24),OR(AND(入力!$B$13="有効",A25&gt;1,MOD(A25-1,60)=0),AND(A25=入力!$B$11,A25&gt;1)),入力!$B$14="有効"),ROUND(G24*1.25,0),"")</f>
        <v/>
      </c>
      <c r="S25" s="36">
        <f>IF(A25=入力!$B$15,A25+入力!$B$19,S24)</f>
        <v>420</v>
      </c>
      <c r="T25" s="35" t="str">
        <f t="shared" si="15"/>
        <v/>
      </c>
      <c r="U25" s="3">
        <f t="shared" si="0"/>
        <v>0</v>
      </c>
      <c r="V25" s="3">
        <f t="shared" si="1"/>
        <v>0</v>
      </c>
      <c r="W25" s="3">
        <f t="shared" si="2"/>
        <v>0</v>
      </c>
      <c r="X25" s="3">
        <f t="shared" si="3"/>
        <v>0</v>
      </c>
      <c r="Y25" s="3">
        <f>IF(A25&lt;入力!$B$15,ABS(G25-何もしない_月次!G25),0)</f>
        <v>0</v>
      </c>
      <c r="Z25" s="3">
        <f t="shared" si="4"/>
        <v>0</v>
      </c>
      <c r="AA25">
        <f>ROUND(IF(A25=入力!$B$15+1,IF(E25=0,ROUND(C25/入力!$B$19,0),ROUND(-PMT(E25/12,入力!$B$19,C25),0)),IF(OR(AND(入力!$B$13="有効",A25&gt;1,MOD(A25-1,60)=0),AND(A25=入力!$B$11,A25&gt;1)),IF(入力!$B$14="有効",MIN(IF(E25=0,ROUND(C25/MAX(1,S24-A25+1),0),ROUND(-PMT(E25/12,MAX(1,S24-A25+1),C25),0)),ROUND(G24*1.25,0)),IF(E25=0,ROUND(C25/MAX(1,S24-A25+1),0),ROUND(-PMT(E25/12,MAX(1,S24-A25+1),C25),0))),G24)),0)</f>
        <v>93982</v>
      </c>
    </row>
    <row r="26" spans="1:27">
      <c r="A26" s="30">
        <f>21</f>
        <v>21</v>
      </c>
      <c r="B26" s="31">
        <f>EDATE(入力!$B$6,A26-1)</f>
        <v>46844</v>
      </c>
      <c r="C26" s="32">
        <f t="shared" si="5"/>
        <v>33520513</v>
      </c>
      <c r="D26" s="32">
        <f t="shared" si="6"/>
        <v>0</v>
      </c>
      <c r="E26" s="33">
        <f>IF(AND(T25="",A26&lt;=S25),IF(A26&lt;入力!$B$11,入力!$B$10,入力!$B$12),0)</f>
        <v>7.0000000000000001E-3</v>
      </c>
      <c r="F26" s="32">
        <f t="shared" si="7"/>
        <v>19554</v>
      </c>
      <c r="G26" s="32">
        <f>ROUND(IF(NOT(AND(T25="",A26&lt;=S25)),0,IF(A26=入力!$B$15+1,IF(E26=0,ROUND(C26/入力!$B$19,0),ROUND(-PMT(E26/12,入力!$B$19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),0)</f>
        <v>93982</v>
      </c>
      <c r="H26" s="32">
        <f t="shared" si="8"/>
        <v>93982</v>
      </c>
      <c r="I26" s="32">
        <f t="shared" si="9"/>
        <v>19554</v>
      </c>
      <c r="J26" s="32">
        <f t="shared" si="10"/>
        <v>0</v>
      </c>
      <c r="K26" s="32">
        <f t="shared" si="11"/>
        <v>0</v>
      </c>
      <c r="L26" s="32">
        <f t="shared" si="12"/>
        <v>74428</v>
      </c>
      <c r="M26" s="32">
        <f>IF(AND(AND(T25="",A26&lt;=S25),A26=入力!$B$15),ROUND(MIN(入力!$B$16,MAX(0,C26-L26)),0),0)</f>
        <v>0</v>
      </c>
      <c r="N26" s="32">
        <f t="shared" si="13"/>
        <v>33446085</v>
      </c>
      <c r="O26" s="32">
        <f t="shared" si="14"/>
        <v>419707</v>
      </c>
      <c r="P26" s="34" t="str">
        <f>IF(NOT(AND(T25="",A26&lt;=S25)),"",IF(A26=入力!$B$15+1,"繰上返済後再計算","")&amp;IF(AND(入力!$B$13="有効",A26&gt;1,MOD(A26-1,60)=0),IF(A26=入力!$B$15+1,"・","")&amp;"5年見直し","")&amp;IF(AND(A26=入力!$B$11,A26&gt;1),IF(OR(A26=入力!$B$15+1,AND(入力!$B$13="有効",A26&gt;1,MOD(A26-1,60)=0)),"・","")&amp;"金利変更","")&amp;IF(AND(OR(AND(入力!$B$13="有効",A26&gt;1,MOD(A26-1,60)=0),AND(A26=入力!$B$11,A26&gt;1)),入力!$B$14="有効",IF(E26=0,ROUND(C26/MAX(1,S25-A26+1),0),ROUND(-PMT(E26/12,MAX(1,S25-A26+1),C26),0))&gt;ROUND(G25*1.25,0),NOT(A26=入力!$B$15+1)),"・上限適用",""))</f>
        <v/>
      </c>
      <c r="Q26" s="35" t="str">
        <f>IF(AND(T25="",A26&lt;=S25),入力!$B$13,"")</f>
        <v>有効</v>
      </c>
      <c r="R26" s="32" t="str">
        <f>IF(AND(AND(T25="",A26&lt;=S25),OR(AND(入力!$B$13="有効",A26&gt;1,MOD(A26-1,60)=0),AND(A26=入力!$B$11,A26&gt;1)),入力!$B$14="有効"),ROUND(G25*1.25,0),"")</f>
        <v/>
      </c>
      <c r="S26" s="36">
        <f>IF(A26=入力!$B$15,A26+入力!$B$19,S25)</f>
        <v>420</v>
      </c>
      <c r="T26" s="35" t="str">
        <f t="shared" si="15"/>
        <v/>
      </c>
      <c r="U26" s="3">
        <f t="shared" si="0"/>
        <v>0</v>
      </c>
      <c r="V26" s="3">
        <f t="shared" si="1"/>
        <v>0</v>
      </c>
      <c r="W26" s="3">
        <f t="shared" si="2"/>
        <v>0</v>
      </c>
      <c r="X26" s="3">
        <f t="shared" si="3"/>
        <v>0</v>
      </c>
      <c r="Y26" s="3">
        <f>IF(A26&lt;入力!$B$15,ABS(G26-何もしない_月次!G26),0)</f>
        <v>0</v>
      </c>
      <c r="Z26" s="3">
        <f t="shared" si="4"/>
        <v>0</v>
      </c>
      <c r="AA26">
        <f>ROUND(IF(A26=入力!$B$15+1,IF(E26=0,ROUND(C26/入力!$B$19,0),ROUND(-PMT(E26/12,入力!$B$19,C26),0)),IF(OR(AND(入力!$B$13="有効",A26&gt;1,MOD(A26-1,60)=0),AND(A26=入力!$B$11,A26&gt;1)),IF(入力!$B$14="有効",MIN(IF(E26=0,ROUND(C26/MAX(1,S25-A26+1),0),ROUND(-PMT(E26/12,MAX(1,S25-A26+1),C26),0)),ROUND(G25*1.25,0)),IF(E26=0,ROUND(C26/MAX(1,S25-A26+1),0),ROUND(-PMT(E26/12,MAX(1,S25-A26+1),C26),0))),G25)),0)</f>
        <v>93982</v>
      </c>
    </row>
    <row r="27" spans="1:27">
      <c r="A27" s="30">
        <f>22</f>
        <v>22</v>
      </c>
      <c r="B27" s="31">
        <f>EDATE(入力!$B$6,A27-1)</f>
        <v>46874</v>
      </c>
      <c r="C27" s="32">
        <f t="shared" si="5"/>
        <v>33446085</v>
      </c>
      <c r="D27" s="32">
        <f t="shared" si="6"/>
        <v>0</v>
      </c>
      <c r="E27" s="33">
        <f>IF(AND(T26="",A27&lt;=S26),IF(A27&lt;入力!$B$11,入力!$B$10,入力!$B$12),0)</f>
        <v>7.0000000000000001E-3</v>
      </c>
      <c r="F27" s="32">
        <f t="shared" si="7"/>
        <v>19510</v>
      </c>
      <c r="G27" s="32">
        <f>ROUND(IF(NOT(AND(T26="",A27&lt;=S26)),0,IF(A27=入力!$B$15+1,IF(E27=0,ROUND(C27/入力!$B$19,0),ROUND(-PMT(E27/12,入力!$B$19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),0)</f>
        <v>93982</v>
      </c>
      <c r="H27" s="32">
        <f t="shared" si="8"/>
        <v>93982</v>
      </c>
      <c r="I27" s="32">
        <f t="shared" si="9"/>
        <v>19510</v>
      </c>
      <c r="J27" s="32">
        <f t="shared" si="10"/>
        <v>0</v>
      </c>
      <c r="K27" s="32">
        <f t="shared" si="11"/>
        <v>0</v>
      </c>
      <c r="L27" s="32">
        <f t="shared" si="12"/>
        <v>74472</v>
      </c>
      <c r="M27" s="32">
        <f>IF(AND(AND(T26="",A27&lt;=S26),A27=入力!$B$15),ROUND(MIN(入力!$B$16,MAX(0,C27-L27)),0),0)</f>
        <v>0</v>
      </c>
      <c r="N27" s="32">
        <f t="shared" si="13"/>
        <v>33371613</v>
      </c>
      <c r="O27" s="32">
        <f t="shared" si="14"/>
        <v>439217</v>
      </c>
      <c r="P27" s="34" t="str">
        <f>IF(NOT(AND(T26="",A27&lt;=S26)),"",IF(A27=入力!$B$15+1,"繰上返済後再計算","")&amp;IF(AND(入力!$B$13="有効",A27&gt;1,MOD(A27-1,60)=0),IF(A27=入力!$B$15+1,"・","")&amp;"5年見直し","")&amp;IF(AND(A27=入力!$B$11,A27&gt;1),IF(OR(A27=入力!$B$15+1,AND(入力!$B$13="有効",A27&gt;1,MOD(A27-1,60)=0)),"・","")&amp;"金利変更","")&amp;IF(AND(OR(AND(入力!$B$13="有効",A27&gt;1,MOD(A27-1,60)=0),AND(A27=入力!$B$11,A27&gt;1)),入力!$B$14="有効",IF(E27=0,ROUND(C27/MAX(1,S26-A27+1),0),ROUND(-PMT(E27/12,MAX(1,S26-A27+1),C27),0))&gt;ROUND(G26*1.25,0),NOT(A27=入力!$B$15+1)),"・上限適用",""))</f>
        <v/>
      </c>
      <c r="Q27" s="35" t="str">
        <f>IF(AND(T26="",A27&lt;=S26),入力!$B$13,"")</f>
        <v>有効</v>
      </c>
      <c r="R27" s="32" t="str">
        <f>IF(AND(AND(T26="",A27&lt;=S26),OR(AND(入力!$B$13="有効",A27&gt;1,MOD(A27-1,60)=0),AND(A27=入力!$B$11,A27&gt;1)),入力!$B$14="有効"),ROUND(G26*1.25,0),"")</f>
        <v/>
      </c>
      <c r="S27" s="36">
        <f>IF(A27=入力!$B$15,A27+入力!$B$19,S26)</f>
        <v>420</v>
      </c>
      <c r="T27" s="35" t="str">
        <f t="shared" si="15"/>
        <v/>
      </c>
      <c r="U27" s="3">
        <f t="shared" si="0"/>
        <v>0</v>
      </c>
      <c r="V27" s="3">
        <f t="shared" si="1"/>
        <v>0</v>
      </c>
      <c r="W27" s="3">
        <f t="shared" si="2"/>
        <v>0</v>
      </c>
      <c r="X27" s="3">
        <f t="shared" si="3"/>
        <v>0</v>
      </c>
      <c r="Y27" s="3">
        <f>IF(A27&lt;入力!$B$15,ABS(G27-何もしない_月次!G27),0)</f>
        <v>0</v>
      </c>
      <c r="Z27" s="3">
        <f t="shared" si="4"/>
        <v>0</v>
      </c>
      <c r="AA27">
        <f>ROUND(IF(A27=入力!$B$15+1,IF(E27=0,ROUND(C27/入力!$B$19,0),ROUND(-PMT(E27/12,入力!$B$19,C27),0)),IF(OR(AND(入力!$B$13="有効",A27&gt;1,MOD(A27-1,60)=0),AND(A27=入力!$B$11,A27&gt;1)),IF(入力!$B$14="有効",MIN(IF(E27=0,ROUND(C27/MAX(1,S26-A27+1),0),ROUND(-PMT(E27/12,MAX(1,S26-A27+1),C27),0)),ROUND(G26*1.25,0)),IF(E27=0,ROUND(C27/MAX(1,S26-A27+1),0),ROUND(-PMT(E27/12,MAX(1,S26-A27+1),C27),0))),G26)),0)</f>
        <v>93982</v>
      </c>
    </row>
    <row r="28" spans="1:27">
      <c r="A28" s="30">
        <f>23</f>
        <v>23</v>
      </c>
      <c r="B28" s="31">
        <f>EDATE(入力!$B$6,A28-1)</f>
        <v>46905</v>
      </c>
      <c r="C28" s="32">
        <f t="shared" si="5"/>
        <v>33371613</v>
      </c>
      <c r="D28" s="32">
        <f t="shared" si="6"/>
        <v>0</v>
      </c>
      <c r="E28" s="33">
        <f>IF(AND(T27="",A28&lt;=S27),IF(A28&lt;入力!$B$11,入力!$B$10,入力!$B$12),0)</f>
        <v>7.0000000000000001E-3</v>
      </c>
      <c r="F28" s="32">
        <f t="shared" si="7"/>
        <v>19467</v>
      </c>
      <c r="G28" s="32">
        <f>ROUND(IF(NOT(AND(T27="",A28&lt;=S27)),0,IF(A28=入力!$B$15+1,IF(E28=0,ROUND(C28/入力!$B$19,0),ROUND(-PMT(E28/12,入力!$B$19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),0)</f>
        <v>93982</v>
      </c>
      <c r="H28" s="32">
        <f t="shared" si="8"/>
        <v>93982</v>
      </c>
      <c r="I28" s="32">
        <f t="shared" si="9"/>
        <v>19467</v>
      </c>
      <c r="J28" s="32">
        <f t="shared" si="10"/>
        <v>0</v>
      </c>
      <c r="K28" s="32">
        <f t="shared" si="11"/>
        <v>0</v>
      </c>
      <c r="L28" s="32">
        <f t="shared" si="12"/>
        <v>74515</v>
      </c>
      <c r="M28" s="32">
        <f>IF(AND(AND(T27="",A28&lt;=S27),A28=入力!$B$15),ROUND(MIN(入力!$B$16,MAX(0,C28-L28)),0),0)</f>
        <v>0</v>
      </c>
      <c r="N28" s="32">
        <f t="shared" si="13"/>
        <v>33297098</v>
      </c>
      <c r="O28" s="32">
        <f t="shared" si="14"/>
        <v>458684</v>
      </c>
      <c r="P28" s="34" t="str">
        <f>IF(NOT(AND(T27="",A28&lt;=S27)),"",IF(A28=入力!$B$15+1,"繰上返済後再計算","")&amp;IF(AND(入力!$B$13="有効",A28&gt;1,MOD(A28-1,60)=0),IF(A28=入力!$B$15+1,"・","")&amp;"5年見直し","")&amp;IF(AND(A28=入力!$B$11,A28&gt;1),IF(OR(A28=入力!$B$15+1,AND(入力!$B$13="有効",A28&gt;1,MOD(A28-1,60)=0)),"・","")&amp;"金利変更","")&amp;IF(AND(OR(AND(入力!$B$13="有効",A28&gt;1,MOD(A28-1,60)=0),AND(A28=入力!$B$11,A28&gt;1)),入力!$B$14="有効",IF(E28=0,ROUND(C28/MAX(1,S27-A28+1),0),ROUND(-PMT(E28/12,MAX(1,S27-A28+1),C28),0))&gt;ROUND(G27*1.25,0),NOT(A28=入力!$B$15+1)),"・上限適用",""))</f>
        <v/>
      </c>
      <c r="Q28" s="35" t="str">
        <f>IF(AND(T27="",A28&lt;=S27),入力!$B$13,"")</f>
        <v>有効</v>
      </c>
      <c r="R28" s="32" t="str">
        <f>IF(AND(AND(T27="",A28&lt;=S27),OR(AND(入力!$B$13="有効",A28&gt;1,MOD(A28-1,60)=0),AND(A28=入力!$B$11,A28&gt;1)),入力!$B$14="有効"),ROUND(G27*1.25,0),"")</f>
        <v/>
      </c>
      <c r="S28" s="36">
        <f>IF(A28=入力!$B$15,A28+入力!$B$19,S27)</f>
        <v>420</v>
      </c>
      <c r="T28" s="35" t="str">
        <f t="shared" si="15"/>
        <v/>
      </c>
      <c r="U28" s="3">
        <f t="shared" si="0"/>
        <v>0</v>
      </c>
      <c r="V28" s="3">
        <f t="shared" si="1"/>
        <v>0</v>
      </c>
      <c r="W28" s="3">
        <f t="shared" si="2"/>
        <v>0</v>
      </c>
      <c r="X28" s="3">
        <f t="shared" si="3"/>
        <v>0</v>
      </c>
      <c r="Y28" s="3">
        <f>IF(A28&lt;入力!$B$15,ABS(G28-何もしない_月次!G28),0)</f>
        <v>0</v>
      </c>
      <c r="Z28" s="3">
        <f t="shared" si="4"/>
        <v>0</v>
      </c>
      <c r="AA28">
        <f>ROUND(IF(A28=入力!$B$15+1,IF(E28=0,ROUND(C28/入力!$B$19,0),ROUND(-PMT(E28/12,入力!$B$19,C28),0)),IF(OR(AND(入力!$B$13="有効",A28&gt;1,MOD(A28-1,60)=0),AND(A28=入力!$B$11,A28&gt;1)),IF(入力!$B$14="有効",MIN(IF(E28=0,ROUND(C28/MAX(1,S27-A28+1),0),ROUND(-PMT(E28/12,MAX(1,S27-A28+1),C28),0)),ROUND(G27*1.25,0)),IF(E28=0,ROUND(C28/MAX(1,S27-A28+1),0),ROUND(-PMT(E28/12,MAX(1,S27-A28+1),C28),0))),G27)),0)</f>
        <v>93982</v>
      </c>
    </row>
    <row r="29" spans="1:27">
      <c r="A29" s="30">
        <f>24</f>
        <v>24</v>
      </c>
      <c r="B29" s="31">
        <f>EDATE(入力!$B$6,A29-1)</f>
        <v>46935</v>
      </c>
      <c r="C29" s="32">
        <f t="shared" si="5"/>
        <v>33297098</v>
      </c>
      <c r="D29" s="32">
        <f t="shared" si="6"/>
        <v>0</v>
      </c>
      <c r="E29" s="33">
        <f>IF(AND(T28="",A29&lt;=S28),IF(A29&lt;入力!$B$11,入力!$B$10,入力!$B$12),0)</f>
        <v>7.0000000000000001E-3</v>
      </c>
      <c r="F29" s="32">
        <f t="shared" si="7"/>
        <v>19423</v>
      </c>
      <c r="G29" s="32">
        <f>ROUND(IF(NOT(AND(T28="",A29&lt;=S28)),0,IF(A29=入力!$B$15+1,IF(E29=0,ROUND(C29/入力!$B$19,0),ROUND(-PMT(E29/12,入力!$B$19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),0)</f>
        <v>93982</v>
      </c>
      <c r="H29" s="32">
        <f t="shared" si="8"/>
        <v>93982</v>
      </c>
      <c r="I29" s="32">
        <f t="shared" si="9"/>
        <v>19423</v>
      </c>
      <c r="J29" s="32">
        <f t="shared" si="10"/>
        <v>0</v>
      </c>
      <c r="K29" s="32">
        <f t="shared" si="11"/>
        <v>0</v>
      </c>
      <c r="L29" s="32">
        <f t="shared" si="12"/>
        <v>74559</v>
      </c>
      <c r="M29" s="32">
        <f>IF(AND(AND(T28="",A29&lt;=S28),A29=入力!$B$15),ROUND(MIN(入力!$B$16,MAX(0,C29-L29)),0),0)</f>
        <v>0</v>
      </c>
      <c r="N29" s="32">
        <f t="shared" si="13"/>
        <v>33222539</v>
      </c>
      <c r="O29" s="32">
        <f t="shared" si="14"/>
        <v>478107</v>
      </c>
      <c r="P29" s="34" t="str">
        <f>IF(NOT(AND(T28="",A29&lt;=S28)),"",IF(A29=入力!$B$15+1,"繰上返済後再計算","")&amp;IF(AND(入力!$B$13="有効",A29&gt;1,MOD(A29-1,60)=0),IF(A29=入力!$B$15+1,"・","")&amp;"5年見直し","")&amp;IF(AND(A29=入力!$B$11,A29&gt;1),IF(OR(A29=入力!$B$15+1,AND(入力!$B$13="有効",A29&gt;1,MOD(A29-1,60)=0)),"・","")&amp;"金利変更","")&amp;IF(AND(OR(AND(入力!$B$13="有効",A29&gt;1,MOD(A29-1,60)=0),AND(A29=入力!$B$11,A29&gt;1)),入力!$B$14="有効",IF(E29=0,ROUND(C29/MAX(1,S28-A29+1),0),ROUND(-PMT(E29/12,MAX(1,S28-A29+1),C29),0))&gt;ROUND(G28*1.25,0),NOT(A29=入力!$B$15+1)),"・上限適用",""))</f>
        <v/>
      </c>
      <c r="Q29" s="35" t="str">
        <f>IF(AND(T28="",A29&lt;=S28),入力!$B$13,"")</f>
        <v>有効</v>
      </c>
      <c r="R29" s="32" t="str">
        <f>IF(AND(AND(T28="",A29&lt;=S28),OR(AND(入力!$B$13="有効",A29&gt;1,MOD(A29-1,60)=0),AND(A29=入力!$B$11,A29&gt;1)),入力!$B$14="有効"),ROUND(G28*1.25,0),"")</f>
        <v/>
      </c>
      <c r="S29" s="36">
        <f>IF(A29=入力!$B$15,A29+入力!$B$19,S28)</f>
        <v>420</v>
      </c>
      <c r="T29" s="35" t="str">
        <f t="shared" si="15"/>
        <v/>
      </c>
      <c r="U29" s="3">
        <f t="shared" si="0"/>
        <v>0</v>
      </c>
      <c r="V29" s="3">
        <f t="shared" si="1"/>
        <v>0</v>
      </c>
      <c r="W29" s="3">
        <f t="shared" si="2"/>
        <v>0</v>
      </c>
      <c r="X29" s="3">
        <f t="shared" si="3"/>
        <v>0</v>
      </c>
      <c r="Y29" s="3">
        <f>IF(A29&lt;入力!$B$15,ABS(G29-何もしない_月次!G29),0)</f>
        <v>0</v>
      </c>
      <c r="Z29" s="3">
        <f t="shared" si="4"/>
        <v>0</v>
      </c>
      <c r="AA29">
        <f>ROUND(IF(A29=入力!$B$15+1,IF(E29=0,ROUND(C29/入力!$B$19,0),ROUND(-PMT(E29/12,入力!$B$19,C29),0)),IF(OR(AND(入力!$B$13="有効",A29&gt;1,MOD(A29-1,60)=0),AND(A29=入力!$B$11,A29&gt;1)),IF(入力!$B$14="有効",MIN(IF(E29=0,ROUND(C29/MAX(1,S28-A29+1),0),ROUND(-PMT(E29/12,MAX(1,S28-A29+1),C29),0)),ROUND(G28*1.25,0)),IF(E29=0,ROUND(C29/MAX(1,S28-A29+1),0),ROUND(-PMT(E29/12,MAX(1,S28-A29+1),C29),0))),G28)),0)</f>
        <v>93982</v>
      </c>
    </row>
    <row r="30" spans="1:27">
      <c r="A30" s="30">
        <f>25</f>
        <v>25</v>
      </c>
      <c r="B30" s="31">
        <f>EDATE(入力!$B$6,A30-1)</f>
        <v>46966</v>
      </c>
      <c r="C30" s="32">
        <f t="shared" si="5"/>
        <v>33222539</v>
      </c>
      <c r="D30" s="32">
        <f t="shared" si="6"/>
        <v>0</v>
      </c>
      <c r="E30" s="33">
        <f>IF(AND(T29="",A30&lt;=S29),IF(A30&lt;入力!$B$11,入力!$B$10,入力!$B$12),0)</f>
        <v>7.0000000000000001E-3</v>
      </c>
      <c r="F30" s="32">
        <f t="shared" si="7"/>
        <v>19380</v>
      </c>
      <c r="G30" s="32">
        <f>ROUND(IF(NOT(AND(T29="",A30&lt;=S29)),0,IF(A30=入力!$B$15+1,IF(E30=0,ROUND(C30/入力!$B$19,0),ROUND(-PMT(E30/12,入力!$B$19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),0)</f>
        <v>93982</v>
      </c>
      <c r="H30" s="32">
        <f t="shared" si="8"/>
        <v>93982</v>
      </c>
      <c r="I30" s="32">
        <f t="shared" si="9"/>
        <v>19380</v>
      </c>
      <c r="J30" s="32">
        <f t="shared" si="10"/>
        <v>0</v>
      </c>
      <c r="K30" s="32">
        <f t="shared" si="11"/>
        <v>0</v>
      </c>
      <c r="L30" s="32">
        <f t="shared" si="12"/>
        <v>74602</v>
      </c>
      <c r="M30" s="32">
        <f>IF(AND(AND(T29="",A30&lt;=S29),A30=入力!$B$15),ROUND(MIN(入力!$B$16,MAX(0,C30-L30)),0),0)</f>
        <v>0</v>
      </c>
      <c r="N30" s="32">
        <f t="shared" si="13"/>
        <v>33147937</v>
      </c>
      <c r="O30" s="32">
        <f t="shared" si="14"/>
        <v>497487</v>
      </c>
      <c r="P30" s="34" t="str">
        <f>IF(NOT(AND(T29="",A30&lt;=S29)),"",IF(A30=入力!$B$15+1,"繰上返済後再計算","")&amp;IF(AND(入力!$B$13="有効",A30&gt;1,MOD(A30-1,60)=0),IF(A30=入力!$B$15+1,"・","")&amp;"5年見直し","")&amp;IF(AND(A30=入力!$B$11,A30&gt;1),IF(OR(A30=入力!$B$15+1,AND(入力!$B$13="有効",A30&gt;1,MOD(A30-1,60)=0)),"・","")&amp;"金利変更","")&amp;IF(AND(OR(AND(入力!$B$13="有効",A30&gt;1,MOD(A30-1,60)=0),AND(A30=入力!$B$11,A30&gt;1)),入力!$B$14="有効",IF(E30=0,ROUND(C30/MAX(1,S29-A30+1),0),ROUND(-PMT(E30/12,MAX(1,S29-A30+1),C30),0))&gt;ROUND(G29*1.25,0),NOT(A30=入力!$B$15+1)),"・上限適用",""))</f>
        <v/>
      </c>
      <c r="Q30" s="35" t="str">
        <f>IF(AND(T29="",A30&lt;=S29),入力!$B$13,"")</f>
        <v>有効</v>
      </c>
      <c r="R30" s="32" t="str">
        <f>IF(AND(AND(T29="",A30&lt;=S29),OR(AND(入力!$B$13="有効",A30&gt;1,MOD(A30-1,60)=0),AND(A30=入力!$B$11,A30&gt;1)),入力!$B$14="有効"),ROUND(G29*1.25,0),"")</f>
        <v/>
      </c>
      <c r="S30" s="36">
        <f>IF(A30=入力!$B$15,A30+入力!$B$19,S29)</f>
        <v>420</v>
      </c>
      <c r="T30" s="35" t="str">
        <f t="shared" si="15"/>
        <v/>
      </c>
      <c r="U30" s="3">
        <f t="shared" si="0"/>
        <v>0</v>
      </c>
      <c r="V30" s="3">
        <f t="shared" si="1"/>
        <v>0</v>
      </c>
      <c r="W30" s="3">
        <f t="shared" si="2"/>
        <v>0</v>
      </c>
      <c r="X30" s="3">
        <f t="shared" si="3"/>
        <v>0</v>
      </c>
      <c r="Y30" s="3">
        <f>IF(A30&lt;入力!$B$15,ABS(G30-何もしない_月次!G30),0)</f>
        <v>0</v>
      </c>
      <c r="Z30" s="3">
        <f t="shared" si="4"/>
        <v>0</v>
      </c>
      <c r="AA30">
        <f>ROUND(IF(A30=入力!$B$15+1,IF(E30=0,ROUND(C30/入力!$B$19,0),ROUND(-PMT(E30/12,入力!$B$19,C30),0)),IF(OR(AND(入力!$B$13="有効",A30&gt;1,MOD(A30-1,60)=0),AND(A30=入力!$B$11,A30&gt;1)),IF(入力!$B$14="有効",MIN(IF(E30=0,ROUND(C30/MAX(1,S29-A30+1),0),ROUND(-PMT(E30/12,MAX(1,S29-A30+1),C30),0)),ROUND(G29*1.25,0)),IF(E30=0,ROUND(C30/MAX(1,S29-A30+1),0),ROUND(-PMT(E30/12,MAX(1,S29-A30+1),C30),0))),G29)),0)</f>
        <v>93982</v>
      </c>
    </row>
    <row r="31" spans="1:27">
      <c r="A31" s="30">
        <f>26</f>
        <v>26</v>
      </c>
      <c r="B31" s="31">
        <f>EDATE(入力!$B$6,A31-1)</f>
        <v>46997</v>
      </c>
      <c r="C31" s="32">
        <f t="shared" si="5"/>
        <v>33147937</v>
      </c>
      <c r="D31" s="32">
        <f t="shared" si="6"/>
        <v>0</v>
      </c>
      <c r="E31" s="33">
        <f>IF(AND(T30="",A31&lt;=S30),IF(A31&lt;入力!$B$11,入力!$B$10,入力!$B$12),0)</f>
        <v>7.0000000000000001E-3</v>
      </c>
      <c r="F31" s="32">
        <f t="shared" si="7"/>
        <v>19336</v>
      </c>
      <c r="G31" s="32">
        <f>ROUND(IF(NOT(AND(T30="",A31&lt;=S30)),0,IF(A31=入力!$B$15+1,IF(E31=0,ROUND(C31/入力!$B$19,0),ROUND(-PMT(E31/12,入力!$B$19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),0)</f>
        <v>93982</v>
      </c>
      <c r="H31" s="32">
        <f t="shared" si="8"/>
        <v>93982</v>
      </c>
      <c r="I31" s="32">
        <f t="shared" si="9"/>
        <v>19336</v>
      </c>
      <c r="J31" s="32">
        <f t="shared" si="10"/>
        <v>0</v>
      </c>
      <c r="K31" s="32">
        <f t="shared" si="11"/>
        <v>0</v>
      </c>
      <c r="L31" s="32">
        <f t="shared" si="12"/>
        <v>74646</v>
      </c>
      <c r="M31" s="32">
        <f>IF(AND(AND(T30="",A31&lt;=S30),A31=入力!$B$15),ROUND(MIN(入力!$B$16,MAX(0,C31-L31)),0),0)</f>
        <v>0</v>
      </c>
      <c r="N31" s="32">
        <f t="shared" si="13"/>
        <v>33073291</v>
      </c>
      <c r="O31" s="32">
        <f t="shared" si="14"/>
        <v>516823</v>
      </c>
      <c r="P31" s="34" t="str">
        <f>IF(NOT(AND(T30="",A31&lt;=S30)),"",IF(A31=入力!$B$15+1,"繰上返済後再計算","")&amp;IF(AND(入力!$B$13="有効",A31&gt;1,MOD(A31-1,60)=0),IF(A31=入力!$B$15+1,"・","")&amp;"5年見直し","")&amp;IF(AND(A31=入力!$B$11,A31&gt;1),IF(OR(A31=入力!$B$15+1,AND(入力!$B$13="有効",A31&gt;1,MOD(A31-1,60)=0)),"・","")&amp;"金利変更","")&amp;IF(AND(OR(AND(入力!$B$13="有効",A31&gt;1,MOD(A31-1,60)=0),AND(A31=入力!$B$11,A31&gt;1)),入力!$B$14="有効",IF(E31=0,ROUND(C31/MAX(1,S30-A31+1),0),ROUND(-PMT(E31/12,MAX(1,S30-A31+1),C31),0))&gt;ROUND(G30*1.25,0),NOT(A31=入力!$B$15+1)),"・上限適用",""))</f>
        <v/>
      </c>
      <c r="Q31" s="35" t="str">
        <f>IF(AND(T30="",A31&lt;=S30),入力!$B$13,"")</f>
        <v>有効</v>
      </c>
      <c r="R31" s="32" t="str">
        <f>IF(AND(AND(T30="",A31&lt;=S30),OR(AND(入力!$B$13="有効",A31&gt;1,MOD(A31-1,60)=0),AND(A31=入力!$B$11,A31&gt;1)),入力!$B$14="有効"),ROUND(G30*1.25,0),"")</f>
        <v/>
      </c>
      <c r="S31" s="36">
        <f>IF(A31=入力!$B$15,A31+入力!$B$19,S30)</f>
        <v>420</v>
      </c>
      <c r="T31" s="35" t="str">
        <f t="shared" si="15"/>
        <v/>
      </c>
      <c r="U31" s="3">
        <f t="shared" si="0"/>
        <v>0</v>
      </c>
      <c r="V31" s="3">
        <f t="shared" si="1"/>
        <v>0</v>
      </c>
      <c r="W31" s="3">
        <f t="shared" si="2"/>
        <v>0</v>
      </c>
      <c r="X31" s="3">
        <f t="shared" si="3"/>
        <v>0</v>
      </c>
      <c r="Y31" s="3">
        <f>IF(A31&lt;入力!$B$15,ABS(G31-何もしない_月次!G31),0)</f>
        <v>0</v>
      </c>
      <c r="Z31" s="3">
        <f t="shared" si="4"/>
        <v>0</v>
      </c>
      <c r="AA31">
        <f>ROUND(IF(A31=入力!$B$15+1,IF(E31=0,ROUND(C31/入力!$B$19,0),ROUND(-PMT(E31/12,入力!$B$19,C31),0)),IF(OR(AND(入力!$B$13="有効",A31&gt;1,MOD(A31-1,60)=0),AND(A31=入力!$B$11,A31&gt;1)),IF(入力!$B$14="有効",MIN(IF(E31=0,ROUND(C31/MAX(1,S30-A31+1),0),ROUND(-PMT(E31/12,MAX(1,S30-A31+1),C31),0)),ROUND(G30*1.25,0)),IF(E31=0,ROUND(C31/MAX(1,S30-A31+1),0),ROUND(-PMT(E31/12,MAX(1,S30-A31+1),C31),0))),G30)),0)</f>
        <v>93982</v>
      </c>
    </row>
    <row r="32" spans="1:27">
      <c r="A32" s="30">
        <f>27</f>
        <v>27</v>
      </c>
      <c r="B32" s="31">
        <f>EDATE(入力!$B$6,A32-1)</f>
        <v>47027</v>
      </c>
      <c r="C32" s="32">
        <f t="shared" si="5"/>
        <v>33073291</v>
      </c>
      <c r="D32" s="32">
        <f t="shared" si="6"/>
        <v>0</v>
      </c>
      <c r="E32" s="33">
        <f>IF(AND(T31="",A32&lt;=S31),IF(A32&lt;入力!$B$11,入力!$B$10,入力!$B$12),0)</f>
        <v>7.0000000000000001E-3</v>
      </c>
      <c r="F32" s="32">
        <f t="shared" si="7"/>
        <v>19293</v>
      </c>
      <c r="G32" s="32">
        <f>ROUND(IF(NOT(AND(T31="",A32&lt;=S31)),0,IF(A32=入力!$B$15+1,IF(E32=0,ROUND(C32/入力!$B$19,0),ROUND(-PMT(E32/12,入力!$B$19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),0)</f>
        <v>93982</v>
      </c>
      <c r="H32" s="32">
        <f t="shared" si="8"/>
        <v>93982</v>
      </c>
      <c r="I32" s="32">
        <f t="shared" si="9"/>
        <v>19293</v>
      </c>
      <c r="J32" s="32">
        <f t="shared" si="10"/>
        <v>0</v>
      </c>
      <c r="K32" s="32">
        <f t="shared" si="11"/>
        <v>0</v>
      </c>
      <c r="L32" s="32">
        <f t="shared" si="12"/>
        <v>74689</v>
      </c>
      <c r="M32" s="32">
        <f>IF(AND(AND(T31="",A32&lt;=S31),A32=入力!$B$15),ROUND(MIN(入力!$B$16,MAX(0,C32-L32)),0),0)</f>
        <v>0</v>
      </c>
      <c r="N32" s="32">
        <f t="shared" si="13"/>
        <v>32998602</v>
      </c>
      <c r="O32" s="32">
        <f t="shared" si="14"/>
        <v>536116</v>
      </c>
      <c r="P32" s="34" t="str">
        <f>IF(NOT(AND(T31="",A32&lt;=S31)),"",IF(A32=入力!$B$15+1,"繰上返済後再計算","")&amp;IF(AND(入力!$B$13="有効",A32&gt;1,MOD(A32-1,60)=0),IF(A32=入力!$B$15+1,"・","")&amp;"5年見直し","")&amp;IF(AND(A32=入力!$B$11,A32&gt;1),IF(OR(A32=入力!$B$15+1,AND(入力!$B$13="有効",A32&gt;1,MOD(A32-1,60)=0)),"・","")&amp;"金利変更","")&amp;IF(AND(OR(AND(入力!$B$13="有効",A32&gt;1,MOD(A32-1,60)=0),AND(A32=入力!$B$11,A32&gt;1)),入力!$B$14="有効",IF(E32=0,ROUND(C32/MAX(1,S31-A32+1),0),ROUND(-PMT(E32/12,MAX(1,S31-A32+1),C32),0))&gt;ROUND(G31*1.25,0),NOT(A32=入力!$B$15+1)),"・上限適用",""))</f>
        <v/>
      </c>
      <c r="Q32" s="35" t="str">
        <f>IF(AND(T31="",A32&lt;=S31),入力!$B$13,"")</f>
        <v>有効</v>
      </c>
      <c r="R32" s="32" t="str">
        <f>IF(AND(AND(T31="",A32&lt;=S31),OR(AND(入力!$B$13="有効",A32&gt;1,MOD(A32-1,60)=0),AND(A32=入力!$B$11,A32&gt;1)),入力!$B$14="有効"),ROUND(G31*1.25,0),"")</f>
        <v/>
      </c>
      <c r="S32" s="36">
        <f>IF(A32=入力!$B$15,A32+入力!$B$19,S31)</f>
        <v>420</v>
      </c>
      <c r="T32" s="35" t="str">
        <f t="shared" si="15"/>
        <v/>
      </c>
      <c r="U32" s="3">
        <f t="shared" si="0"/>
        <v>0</v>
      </c>
      <c r="V32" s="3">
        <f t="shared" si="1"/>
        <v>0</v>
      </c>
      <c r="W32" s="3">
        <f t="shared" si="2"/>
        <v>0</v>
      </c>
      <c r="X32" s="3">
        <f t="shared" si="3"/>
        <v>0</v>
      </c>
      <c r="Y32" s="3">
        <f>IF(A32&lt;入力!$B$15,ABS(G32-何もしない_月次!G32),0)</f>
        <v>0</v>
      </c>
      <c r="Z32" s="3">
        <f t="shared" si="4"/>
        <v>0</v>
      </c>
      <c r="AA32">
        <f>ROUND(IF(A32=入力!$B$15+1,IF(E32=0,ROUND(C32/入力!$B$19,0),ROUND(-PMT(E32/12,入力!$B$19,C32),0)),IF(OR(AND(入力!$B$13="有効",A32&gt;1,MOD(A32-1,60)=0),AND(A32=入力!$B$11,A32&gt;1)),IF(入力!$B$14="有効",MIN(IF(E32=0,ROUND(C32/MAX(1,S31-A32+1),0),ROUND(-PMT(E32/12,MAX(1,S31-A32+1),C32),0)),ROUND(G31*1.25,0)),IF(E32=0,ROUND(C32/MAX(1,S31-A32+1),0),ROUND(-PMT(E32/12,MAX(1,S31-A32+1),C32),0))),G31)),0)</f>
        <v>93982</v>
      </c>
    </row>
    <row r="33" spans="1:27">
      <c r="A33" s="30">
        <f>28</f>
        <v>28</v>
      </c>
      <c r="B33" s="31">
        <f>EDATE(入力!$B$6,A33-1)</f>
        <v>47058</v>
      </c>
      <c r="C33" s="32">
        <f t="shared" si="5"/>
        <v>32998602</v>
      </c>
      <c r="D33" s="32">
        <f t="shared" si="6"/>
        <v>0</v>
      </c>
      <c r="E33" s="33">
        <f>IF(AND(T32="",A33&lt;=S32),IF(A33&lt;入力!$B$11,入力!$B$10,入力!$B$12),0)</f>
        <v>7.0000000000000001E-3</v>
      </c>
      <c r="F33" s="32">
        <f t="shared" si="7"/>
        <v>19249</v>
      </c>
      <c r="G33" s="32">
        <f>ROUND(IF(NOT(AND(T32="",A33&lt;=S32)),0,IF(A33=入力!$B$15+1,IF(E33=0,ROUND(C33/入力!$B$19,0),ROUND(-PMT(E33/12,入力!$B$19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),0)</f>
        <v>93982</v>
      </c>
      <c r="H33" s="32">
        <f t="shared" si="8"/>
        <v>93982</v>
      </c>
      <c r="I33" s="32">
        <f t="shared" si="9"/>
        <v>19249</v>
      </c>
      <c r="J33" s="32">
        <f t="shared" si="10"/>
        <v>0</v>
      </c>
      <c r="K33" s="32">
        <f t="shared" si="11"/>
        <v>0</v>
      </c>
      <c r="L33" s="32">
        <f t="shared" si="12"/>
        <v>74733</v>
      </c>
      <c r="M33" s="32">
        <f>IF(AND(AND(T32="",A33&lt;=S32),A33=入力!$B$15),ROUND(MIN(入力!$B$16,MAX(0,C33-L33)),0),0)</f>
        <v>0</v>
      </c>
      <c r="N33" s="32">
        <f t="shared" si="13"/>
        <v>32923869</v>
      </c>
      <c r="O33" s="32">
        <f t="shared" si="14"/>
        <v>555365</v>
      </c>
      <c r="P33" s="34" t="str">
        <f>IF(NOT(AND(T32="",A33&lt;=S32)),"",IF(A33=入力!$B$15+1,"繰上返済後再計算","")&amp;IF(AND(入力!$B$13="有効",A33&gt;1,MOD(A33-1,60)=0),IF(A33=入力!$B$15+1,"・","")&amp;"5年見直し","")&amp;IF(AND(A33=入力!$B$11,A33&gt;1),IF(OR(A33=入力!$B$15+1,AND(入力!$B$13="有効",A33&gt;1,MOD(A33-1,60)=0)),"・","")&amp;"金利変更","")&amp;IF(AND(OR(AND(入力!$B$13="有効",A33&gt;1,MOD(A33-1,60)=0),AND(A33=入力!$B$11,A33&gt;1)),入力!$B$14="有効",IF(E33=0,ROUND(C33/MAX(1,S32-A33+1),0),ROUND(-PMT(E33/12,MAX(1,S32-A33+1),C33),0))&gt;ROUND(G32*1.25,0),NOT(A33=入力!$B$15+1)),"・上限適用",""))</f>
        <v/>
      </c>
      <c r="Q33" s="35" t="str">
        <f>IF(AND(T32="",A33&lt;=S32),入力!$B$13,"")</f>
        <v>有効</v>
      </c>
      <c r="R33" s="32" t="str">
        <f>IF(AND(AND(T32="",A33&lt;=S32),OR(AND(入力!$B$13="有効",A33&gt;1,MOD(A33-1,60)=0),AND(A33=入力!$B$11,A33&gt;1)),入力!$B$14="有効"),ROUND(G32*1.25,0),"")</f>
        <v/>
      </c>
      <c r="S33" s="36">
        <f>IF(A33=入力!$B$15,A33+入力!$B$19,S32)</f>
        <v>420</v>
      </c>
      <c r="T33" s="35" t="str">
        <f t="shared" si="15"/>
        <v/>
      </c>
      <c r="U33" s="3">
        <f t="shared" si="0"/>
        <v>0</v>
      </c>
      <c r="V33" s="3">
        <f t="shared" si="1"/>
        <v>0</v>
      </c>
      <c r="W33" s="3">
        <f t="shared" si="2"/>
        <v>0</v>
      </c>
      <c r="X33" s="3">
        <f t="shared" si="3"/>
        <v>0</v>
      </c>
      <c r="Y33" s="3">
        <f>IF(A33&lt;入力!$B$15,ABS(G33-何もしない_月次!G33),0)</f>
        <v>0</v>
      </c>
      <c r="Z33" s="3">
        <f t="shared" si="4"/>
        <v>0</v>
      </c>
      <c r="AA33">
        <f>ROUND(IF(A33=入力!$B$15+1,IF(E33=0,ROUND(C33/入力!$B$19,0),ROUND(-PMT(E33/12,入力!$B$19,C33),0)),IF(OR(AND(入力!$B$13="有効",A33&gt;1,MOD(A33-1,60)=0),AND(A33=入力!$B$11,A33&gt;1)),IF(入力!$B$14="有効",MIN(IF(E33=0,ROUND(C33/MAX(1,S32-A33+1),0),ROUND(-PMT(E33/12,MAX(1,S32-A33+1),C33),0)),ROUND(G32*1.25,0)),IF(E33=0,ROUND(C33/MAX(1,S32-A33+1),0),ROUND(-PMT(E33/12,MAX(1,S32-A33+1),C33),0))),G32)),0)</f>
        <v>93982</v>
      </c>
    </row>
    <row r="34" spans="1:27">
      <c r="A34" s="30">
        <f>29</f>
        <v>29</v>
      </c>
      <c r="B34" s="31">
        <f>EDATE(入力!$B$6,A34-1)</f>
        <v>47088</v>
      </c>
      <c r="C34" s="32">
        <f t="shared" si="5"/>
        <v>32923869</v>
      </c>
      <c r="D34" s="32">
        <f t="shared" si="6"/>
        <v>0</v>
      </c>
      <c r="E34" s="33">
        <f>IF(AND(T33="",A34&lt;=S33),IF(A34&lt;入力!$B$11,入力!$B$10,入力!$B$12),0)</f>
        <v>7.0000000000000001E-3</v>
      </c>
      <c r="F34" s="32">
        <f t="shared" si="7"/>
        <v>19206</v>
      </c>
      <c r="G34" s="32">
        <f>ROUND(IF(NOT(AND(T33="",A34&lt;=S33)),0,IF(A34=入力!$B$15+1,IF(E34=0,ROUND(C34/入力!$B$19,0),ROUND(-PMT(E34/12,入力!$B$19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),0)</f>
        <v>93982</v>
      </c>
      <c r="H34" s="32">
        <f t="shared" si="8"/>
        <v>93982</v>
      </c>
      <c r="I34" s="32">
        <f t="shared" si="9"/>
        <v>19206</v>
      </c>
      <c r="J34" s="32">
        <f t="shared" si="10"/>
        <v>0</v>
      </c>
      <c r="K34" s="32">
        <f t="shared" si="11"/>
        <v>0</v>
      </c>
      <c r="L34" s="32">
        <f t="shared" si="12"/>
        <v>74776</v>
      </c>
      <c r="M34" s="32">
        <f>IF(AND(AND(T33="",A34&lt;=S33),A34=入力!$B$15),ROUND(MIN(入力!$B$16,MAX(0,C34-L34)),0),0)</f>
        <v>0</v>
      </c>
      <c r="N34" s="32">
        <f t="shared" si="13"/>
        <v>32849093</v>
      </c>
      <c r="O34" s="32">
        <f t="shared" si="14"/>
        <v>574571</v>
      </c>
      <c r="P34" s="34" t="str">
        <f>IF(NOT(AND(T33="",A34&lt;=S33)),"",IF(A34=入力!$B$15+1,"繰上返済後再計算","")&amp;IF(AND(入力!$B$13="有効",A34&gt;1,MOD(A34-1,60)=0),IF(A34=入力!$B$15+1,"・","")&amp;"5年見直し","")&amp;IF(AND(A34=入力!$B$11,A34&gt;1),IF(OR(A34=入力!$B$15+1,AND(入力!$B$13="有効",A34&gt;1,MOD(A34-1,60)=0)),"・","")&amp;"金利変更","")&amp;IF(AND(OR(AND(入力!$B$13="有効",A34&gt;1,MOD(A34-1,60)=0),AND(A34=入力!$B$11,A34&gt;1)),入力!$B$14="有効",IF(E34=0,ROUND(C34/MAX(1,S33-A34+1),0),ROUND(-PMT(E34/12,MAX(1,S33-A34+1),C34),0))&gt;ROUND(G33*1.25,0),NOT(A34=入力!$B$15+1)),"・上限適用",""))</f>
        <v/>
      </c>
      <c r="Q34" s="35" t="str">
        <f>IF(AND(T33="",A34&lt;=S33),入力!$B$13,"")</f>
        <v>有効</v>
      </c>
      <c r="R34" s="32" t="str">
        <f>IF(AND(AND(T33="",A34&lt;=S33),OR(AND(入力!$B$13="有効",A34&gt;1,MOD(A34-1,60)=0),AND(A34=入力!$B$11,A34&gt;1)),入力!$B$14="有効"),ROUND(G33*1.25,0),"")</f>
        <v/>
      </c>
      <c r="S34" s="36">
        <f>IF(A34=入力!$B$15,A34+入力!$B$19,S33)</f>
        <v>420</v>
      </c>
      <c r="T34" s="35" t="str">
        <f t="shared" si="15"/>
        <v/>
      </c>
      <c r="U34" s="3">
        <f t="shared" si="0"/>
        <v>0</v>
      </c>
      <c r="V34" s="3">
        <f t="shared" si="1"/>
        <v>0</v>
      </c>
      <c r="W34" s="3">
        <f t="shared" si="2"/>
        <v>0</v>
      </c>
      <c r="X34" s="3">
        <f t="shared" si="3"/>
        <v>0</v>
      </c>
      <c r="Y34" s="3">
        <f>IF(A34&lt;入力!$B$15,ABS(G34-何もしない_月次!G34),0)</f>
        <v>0</v>
      </c>
      <c r="Z34" s="3">
        <f t="shared" si="4"/>
        <v>0</v>
      </c>
      <c r="AA34">
        <f>ROUND(IF(A34=入力!$B$15+1,IF(E34=0,ROUND(C34/入力!$B$19,0),ROUND(-PMT(E34/12,入力!$B$19,C34),0)),IF(OR(AND(入力!$B$13="有効",A34&gt;1,MOD(A34-1,60)=0),AND(A34=入力!$B$11,A34&gt;1)),IF(入力!$B$14="有効",MIN(IF(E34=0,ROUND(C34/MAX(1,S33-A34+1),0),ROUND(-PMT(E34/12,MAX(1,S33-A34+1),C34),0)),ROUND(G33*1.25,0)),IF(E34=0,ROUND(C34/MAX(1,S33-A34+1),0),ROUND(-PMT(E34/12,MAX(1,S33-A34+1),C34),0))),G33)),0)</f>
        <v>93982</v>
      </c>
    </row>
    <row r="35" spans="1:27">
      <c r="A35" s="30">
        <f>30</f>
        <v>30</v>
      </c>
      <c r="B35" s="31">
        <f>EDATE(入力!$B$6,A35-1)</f>
        <v>47119</v>
      </c>
      <c r="C35" s="32">
        <f t="shared" si="5"/>
        <v>32849093</v>
      </c>
      <c r="D35" s="32">
        <f t="shared" si="6"/>
        <v>0</v>
      </c>
      <c r="E35" s="33">
        <f>IF(AND(T34="",A35&lt;=S34),IF(A35&lt;入力!$B$11,入力!$B$10,入力!$B$12),0)</f>
        <v>7.0000000000000001E-3</v>
      </c>
      <c r="F35" s="32">
        <f t="shared" si="7"/>
        <v>19162</v>
      </c>
      <c r="G35" s="32">
        <f>ROUND(IF(NOT(AND(T34="",A35&lt;=S34)),0,IF(A35=入力!$B$15+1,IF(E35=0,ROUND(C35/入力!$B$19,0),ROUND(-PMT(E35/12,入力!$B$19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),0)</f>
        <v>93982</v>
      </c>
      <c r="H35" s="32">
        <f t="shared" si="8"/>
        <v>93982</v>
      </c>
      <c r="I35" s="32">
        <f t="shared" si="9"/>
        <v>19162</v>
      </c>
      <c r="J35" s="32">
        <f t="shared" si="10"/>
        <v>0</v>
      </c>
      <c r="K35" s="32">
        <f t="shared" si="11"/>
        <v>0</v>
      </c>
      <c r="L35" s="32">
        <f t="shared" si="12"/>
        <v>74820</v>
      </c>
      <c r="M35" s="32">
        <f>IF(AND(AND(T34="",A35&lt;=S34),A35=入力!$B$15),ROUND(MIN(入力!$B$16,MAX(0,C35-L35)),0),0)</f>
        <v>0</v>
      </c>
      <c r="N35" s="32">
        <f t="shared" si="13"/>
        <v>32774273</v>
      </c>
      <c r="O35" s="32">
        <f t="shared" si="14"/>
        <v>593733</v>
      </c>
      <c r="P35" s="34" t="str">
        <f>IF(NOT(AND(T34="",A35&lt;=S34)),"",IF(A35=入力!$B$15+1,"繰上返済後再計算","")&amp;IF(AND(入力!$B$13="有効",A35&gt;1,MOD(A35-1,60)=0),IF(A35=入力!$B$15+1,"・","")&amp;"5年見直し","")&amp;IF(AND(A35=入力!$B$11,A35&gt;1),IF(OR(A35=入力!$B$15+1,AND(入力!$B$13="有効",A35&gt;1,MOD(A35-1,60)=0)),"・","")&amp;"金利変更","")&amp;IF(AND(OR(AND(入力!$B$13="有効",A35&gt;1,MOD(A35-1,60)=0),AND(A35=入力!$B$11,A35&gt;1)),入力!$B$14="有効",IF(E35=0,ROUND(C35/MAX(1,S34-A35+1),0),ROUND(-PMT(E35/12,MAX(1,S34-A35+1),C35),0))&gt;ROUND(G34*1.25,0),NOT(A35=入力!$B$15+1)),"・上限適用",""))</f>
        <v/>
      </c>
      <c r="Q35" s="35" t="str">
        <f>IF(AND(T34="",A35&lt;=S34),入力!$B$13,"")</f>
        <v>有効</v>
      </c>
      <c r="R35" s="32" t="str">
        <f>IF(AND(AND(T34="",A35&lt;=S34),OR(AND(入力!$B$13="有効",A35&gt;1,MOD(A35-1,60)=0),AND(A35=入力!$B$11,A35&gt;1)),入力!$B$14="有効"),ROUND(G34*1.25,0),"")</f>
        <v/>
      </c>
      <c r="S35" s="36">
        <f>IF(A35=入力!$B$15,A35+入力!$B$19,S34)</f>
        <v>420</v>
      </c>
      <c r="T35" s="35" t="str">
        <f t="shared" si="15"/>
        <v/>
      </c>
      <c r="U35" s="3">
        <f t="shared" si="0"/>
        <v>0</v>
      </c>
      <c r="V35" s="3">
        <f t="shared" si="1"/>
        <v>0</v>
      </c>
      <c r="W35" s="3">
        <f t="shared" si="2"/>
        <v>0</v>
      </c>
      <c r="X35" s="3">
        <f t="shared" si="3"/>
        <v>0</v>
      </c>
      <c r="Y35" s="3">
        <f>IF(A35&lt;入力!$B$15,ABS(G35-何もしない_月次!G35),0)</f>
        <v>0</v>
      </c>
      <c r="Z35" s="3">
        <f t="shared" si="4"/>
        <v>0</v>
      </c>
      <c r="AA35">
        <f>ROUND(IF(A35=入力!$B$15+1,IF(E35=0,ROUND(C35/入力!$B$19,0),ROUND(-PMT(E35/12,入力!$B$19,C35),0)),IF(OR(AND(入力!$B$13="有効",A35&gt;1,MOD(A35-1,60)=0),AND(A35=入力!$B$11,A35&gt;1)),IF(入力!$B$14="有効",MIN(IF(E35=0,ROUND(C35/MAX(1,S34-A35+1),0),ROUND(-PMT(E35/12,MAX(1,S34-A35+1),C35),0)),ROUND(G34*1.25,0)),IF(E35=0,ROUND(C35/MAX(1,S34-A35+1),0),ROUND(-PMT(E35/12,MAX(1,S34-A35+1),C35),0))),G34)),0)</f>
        <v>93982</v>
      </c>
    </row>
    <row r="36" spans="1:27">
      <c r="A36" s="30">
        <f>31</f>
        <v>31</v>
      </c>
      <c r="B36" s="31">
        <f>EDATE(入力!$B$6,A36-1)</f>
        <v>47150</v>
      </c>
      <c r="C36" s="32">
        <f t="shared" si="5"/>
        <v>32774273</v>
      </c>
      <c r="D36" s="32">
        <f t="shared" si="6"/>
        <v>0</v>
      </c>
      <c r="E36" s="33">
        <f>IF(AND(T35="",A36&lt;=S35),IF(A36&lt;入力!$B$11,入力!$B$10,入力!$B$12),0)</f>
        <v>7.0000000000000001E-3</v>
      </c>
      <c r="F36" s="32">
        <f t="shared" si="7"/>
        <v>19118</v>
      </c>
      <c r="G36" s="32">
        <f>ROUND(IF(NOT(AND(T35="",A36&lt;=S35)),0,IF(A36=入力!$B$15+1,IF(E36=0,ROUND(C36/入力!$B$19,0),ROUND(-PMT(E36/12,入力!$B$19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),0)</f>
        <v>93982</v>
      </c>
      <c r="H36" s="32">
        <f t="shared" si="8"/>
        <v>93982</v>
      </c>
      <c r="I36" s="32">
        <f t="shared" si="9"/>
        <v>19118</v>
      </c>
      <c r="J36" s="32">
        <f t="shared" si="10"/>
        <v>0</v>
      </c>
      <c r="K36" s="32">
        <f t="shared" si="11"/>
        <v>0</v>
      </c>
      <c r="L36" s="32">
        <f t="shared" si="12"/>
        <v>74864</v>
      </c>
      <c r="M36" s="32">
        <f>IF(AND(AND(T35="",A36&lt;=S35),A36=入力!$B$15),ROUND(MIN(入力!$B$16,MAX(0,C36-L36)),0),0)</f>
        <v>0</v>
      </c>
      <c r="N36" s="32">
        <f t="shared" si="13"/>
        <v>32699409</v>
      </c>
      <c r="O36" s="32">
        <f t="shared" si="14"/>
        <v>612851</v>
      </c>
      <c r="P36" s="34" t="str">
        <f>IF(NOT(AND(T35="",A36&lt;=S35)),"",IF(A36=入力!$B$15+1,"繰上返済後再計算","")&amp;IF(AND(入力!$B$13="有効",A36&gt;1,MOD(A36-1,60)=0),IF(A36=入力!$B$15+1,"・","")&amp;"5年見直し","")&amp;IF(AND(A36=入力!$B$11,A36&gt;1),IF(OR(A36=入力!$B$15+1,AND(入力!$B$13="有効",A36&gt;1,MOD(A36-1,60)=0)),"・","")&amp;"金利変更","")&amp;IF(AND(OR(AND(入力!$B$13="有効",A36&gt;1,MOD(A36-1,60)=0),AND(A36=入力!$B$11,A36&gt;1)),入力!$B$14="有効",IF(E36=0,ROUND(C36/MAX(1,S35-A36+1),0),ROUND(-PMT(E36/12,MAX(1,S35-A36+1),C36),0))&gt;ROUND(G35*1.25,0),NOT(A36=入力!$B$15+1)),"・上限適用",""))</f>
        <v/>
      </c>
      <c r="Q36" s="35" t="str">
        <f>IF(AND(T35="",A36&lt;=S35),入力!$B$13,"")</f>
        <v>有効</v>
      </c>
      <c r="R36" s="32" t="str">
        <f>IF(AND(AND(T35="",A36&lt;=S35),OR(AND(入力!$B$13="有効",A36&gt;1,MOD(A36-1,60)=0),AND(A36=入力!$B$11,A36&gt;1)),入力!$B$14="有効"),ROUND(G35*1.25,0),"")</f>
        <v/>
      </c>
      <c r="S36" s="36">
        <f>IF(A36=入力!$B$15,A36+入力!$B$19,S35)</f>
        <v>420</v>
      </c>
      <c r="T36" s="35" t="str">
        <f t="shared" si="15"/>
        <v/>
      </c>
      <c r="U36" s="3">
        <f t="shared" si="0"/>
        <v>0</v>
      </c>
      <c r="V36" s="3">
        <f t="shared" si="1"/>
        <v>0</v>
      </c>
      <c r="W36" s="3">
        <f t="shared" si="2"/>
        <v>0</v>
      </c>
      <c r="X36" s="3">
        <f t="shared" si="3"/>
        <v>0</v>
      </c>
      <c r="Y36" s="3">
        <f>IF(A36&lt;入力!$B$15,ABS(G36-何もしない_月次!G36),0)</f>
        <v>0</v>
      </c>
      <c r="Z36" s="3">
        <f t="shared" si="4"/>
        <v>0</v>
      </c>
      <c r="AA36">
        <f>ROUND(IF(A36=入力!$B$15+1,IF(E36=0,ROUND(C36/入力!$B$19,0),ROUND(-PMT(E36/12,入力!$B$19,C36),0)),IF(OR(AND(入力!$B$13="有効",A36&gt;1,MOD(A36-1,60)=0),AND(A36=入力!$B$11,A36&gt;1)),IF(入力!$B$14="有効",MIN(IF(E36=0,ROUND(C36/MAX(1,S35-A36+1),0),ROUND(-PMT(E36/12,MAX(1,S35-A36+1),C36),0)),ROUND(G35*1.25,0)),IF(E36=0,ROUND(C36/MAX(1,S35-A36+1),0),ROUND(-PMT(E36/12,MAX(1,S35-A36+1),C36),0))),G35)),0)</f>
        <v>93982</v>
      </c>
    </row>
    <row r="37" spans="1:27">
      <c r="A37" s="30">
        <f>32</f>
        <v>32</v>
      </c>
      <c r="B37" s="31">
        <f>EDATE(入力!$B$6,A37-1)</f>
        <v>47178</v>
      </c>
      <c r="C37" s="32">
        <f t="shared" si="5"/>
        <v>32699409</v>
      </c>
      <c r="D37" s="32">
        <f t="shared" si="6"/>
        <v>0</v>
      </c>
      <c r="E37" s="33">
        <f>IF(AND(T36="",A37&lt;=S36),IF(A37&lt;入力!$B$11,入力!$B$10,入力!$B$12),0)</f>
        <v>7.0000000000000001E-3</v>
      </c>
      <c r="F37" s="32">
        <f t="shared" si="7"/>
        <v>19075</v>
      </c>
      <c r="G37" s="32">
        <f>ROUND(IF(NOT(AND(T36="",A37&lt;=S36)),0,IF(A37=入力!$B$15+1,IF(E37=0,ROUND(C37/入力!$B$19,0),ROUND(-PMT(E37/12,入力!$B$19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),0)</f>
        <v>93982</v>
      </c>
      <c r="H37" s="32">
        <f t="shared" si="8"/>
        <v>93982</v>
      </c>
      <c r="I37" s="32">
        <f t="shared" si="9"/>
        <v>19075</v>
      </c>
      <c r="J37" s="32">
        <f t="shared" si="10"/>
        <v>0</v>
      </c>
      <c r="K37" s="32">
        <f t="shared" si="11"/>
        <v>0</v>
      </c>
      <c r="L37" s="32">
        <f t="shared" si="12"/>
        <v>74907</v>
      </c>
      <c r="M37" s="32">
        <f>IF(AND(AND(T36="",A37&lt;=S36),A37=入力!$B$15),ROUND(MIN(入力!$B$16,MAX(0,C37-L37)),0),0)</f>
        <v>0</v>
      </c>
      <c r="N37" s="32">
        <f t="shared" si="13"/>
        <v>32624502</v>
      </c>
      <c r="O37" s="32">
        <f t="shared" si="14"/>
        <v>631926</v>
      </c>
      <c r="P37" s="34" t="str">
        <f>IF(NOT(AND(T36="",A37&lt;=S36)),"",IF(A37=入力!$B$15+1,"繰上返済後再計算","")&amp;IF(AND(入力!$B$13="有効",A37&gt;1,MOD(A37-1,60)=0),IF(A37=入力!$B$15+1,"・","")&amp;"5年見直し","")&amp;IF(AND(A37=入力!$B$11,A37&gt;1),IF(OR(A37=入力!$B$15+1,AND(入力!$B$13="有効",A37&gt;1,MOD(A37-1,60)=0)),"・","")&amp;"金利変更","")&amp;IF(AND(OR(AND(入力!$B$13="有効",A37&gt;1,MOD(A37-1,60)=0),AND(A37=入力!$B$11,A37&gt;1)),入力!$B$14="有効",IF(E37=0,ROUND(C37/MAX(1,S36-A37+1),0),ROUND(-PMT(E37/12,MAX(1,S36-A37+1),C37),0))&gt;ROUND(G36*1.25,0),NOT(A37=入力!$B$15+1)),"・上限適用",""))</f>
        <v/>
      </c>
      <c r="Q37" s="35" t="str">
        <f>IF(AND(T36="",A37&lt;=S36),入力!$B$13,"")</f>
        <v>有効</v>
      </c>
      <c r="R37" s="32" t="str">
        <f>IF(AND(AND(T36="",A37&lt;=S36),OR(AND(入力!$B$13="有効",A37&gt;1,MOD(A37-1,60)=0),AND(A37=入力!$B$11,A37&gt;1)),入力!$B$14="有効"),ROUND(G36*1.25,0),"")</f>
        <v/>
      </c>
      <c r="S37" s="36">
        <f>IF(A37=入力!$B$15,A37+入力!$B$19,S36)</f>
        <v>420</v>
      </c>
      <c r="T37" s="35" t="str">
        <f t="shared" si="15"/>
        <v/>
      </c>
      <c r="U37" s="3">
        <f t="shared" si="0"/>
        <v>0</v>
      </c>
      <c r="V37" s="3">
        <f t="shared" si="1"/>
        <v>0</v>
      </c>
      <c r="W37" s="3">
        <f t="shared" si="2"/>
        <v>0</v>
      </c>
      <c r="X37" s="3">
        <f t="shared" si="3"/>
        <v>0</v>
      </c>
      <c r="Y37" s="3">
        <f>IF(A37&lt;入力!$B$15,ABS(G37-何もしない_月次!G37),0)</f>
        <v>0</v>
      </c>
      <c r="Z37" s="3">
        <f t="shared" si="4"/>
        <v>0</v>
      </c>
      <c r="AA37">
        <f>ROUND(IF(A37=入力!$B$15+1,IF(E37=0,ROUND(C37/入力!$B$19,0),ROUND(-PMT(E37/12,入力!$B$19,C37),0)),IF(OR(AND(入力!$B$13="有効",A37&gt;1,MOD(A37-1,60)=0),AND(A37=入力!$B$11,A37&gt;1)),IF(入力!$B$14="有効",MIN(IF(E37=0,ROUND(C37/MAX(1,S36-A37+1),0),ROUND(-PMT(E37/12,MAX(1,S36-A37+1),C37),0)),ROUND(G36*1.25,0)),IF(E37=0,ROUND(C37/MAX(1,S36-A37+1),0),ROUND(-PMT(E37/12,MAX(1,S36-A37+1),C37),0))),G36)),0)</f>
        <v>93982</v>
      </c>
    </row>
    <row r="38" spans="1:27">
      <c r="A38" s="30">
        <f>33</f>
        <v>33</v>
      </c>
      <c r="B38" s="31">
        <f>EDATE(入力!$B$6,A38-1)</f>
        <v>47209</v>
      </c>
      <c r="C38" s="32">
        <f t="shared" si="5"/>
        <v>32624502</v>
      </c>
      <c r="D38" s="32">
        <f t="shared" si="6"/>
        <v>0</v>
      </c>
      <c r="E38" s="33">
        <f>IF(AND(T37="",A38&lt;=S37),IF(A38&lt;入力!$B$11,入力!$B$10,入力!$B$12),0)</f>
        <v>7.0000000000000001E-3</v>
      </c>
      <c r="F38" s="32">
        <f t="shared" si="7"/>
        <v>19031</v>
      </c>
      <c r="G38" s="32">
        <f>ROUND(IF(NOT(AND(T37="",A38&lt;=S37)),0,IF(A38=入力!$B$15+1,IF(E38=0,ROUND(C38/入力!$B$19,0),ROUND(-PMT(E38/12,入力!$B$19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),0)</f>
        <v>93982</v>
      </c>
      <c r="H38" s="32">
        <f t="shared" si="8"/>
        <v>93982</v>
      </c>
      <c r="I38" s="32">
        <f t="shared" si="9"/>
        <v>19031</v>
      </c>
      <c r="J38" s="32">
        <f t="shared" si="10"/>
        <v>0</v>
      </c>
      <c r="K38" s="32">
        <f t="shared" si="11"/>
        <v>0</v>
      </c>
      <c r="L38" s="32">
        <f t="shared" si="12"/>
        <v>74951</v>
      </c>
      <c r="M38" s="32">
        <f>IF(AND(AND(T37="",A38&lt;=S37),A38=入力!$B$15),ROUND(MIN(入力!$B$16,MAX(0,C38-L38)),0),0)</f>
        <v>0</v>
      </c>
      <c r="N38" s="32">
        <f t="shared" si="13"/>
        <v>32549551</v>
      </c>
      <c r="O38" s="32">
        <f t="shared" si="14"/>
        <v>650957</v>
      </c>
      <c r="P38" s="34" t="str">
        <f>IF(NOT(AND(T37="",A38&lt;=S37)),"",IF(A38=入力!$B$15+1,"繰上返済後再計算","")&amp;IF(AND(入力!$B$13="有効",A38&gt;1,MOD(A38-1,60)=0),IF(A38=入力!$B$15+1,"・","")&amp;"5年見直し","")&amp;IF(AND(A38=入力!$B$11,A38&gt;1),IF(OR(A38=入力!$B$15+1,AND(入力!$B$13="有効",A38&gt;1,MOD(A38-1,60)=0)),"・","")&amp;"金利変更","")&amp;IF(AND(OR(AND(入力!$B$13="有効",A38&gt;1,MOD(A38-1,60)=0),AND(A38=入力!$B$11,A38&gt;1)),入力!$B$14="有効",IF(E38=0,ROUND(C38/MAX(1,S37-A38+1),0),ROUND(-PMT(E38/12,MAX(1,S37-A38+1),C38),0))&gt;ROUND(G37*1.25,0),NOT(A38=入力!$B$15+1)),"・上限適用",""))</f>
        <v/>
      </c>
      <c r="Q38" s="35" t="str">
        <f>IF(AND(T37="",A38&lt;=S37),入力!$B$13,"")</f>
        <v>有効</v>
      </c>
      <c r="R38" s="32" t="str">
        <f>IF(AND(AND(T37="",A38&lt;=S37),OR(AND(入力!$B$13="有効",A38&gt;1,MOD(A38-1,60)=0),AND(A38=入力!$B$11,A38&gt;1)),入力!$B$14="有効"),ROUND(G37*1.25,0),"")</f>
        <v/>
      </c>
      <c r="S38" s="36">
        <f>IF(A38=入力!$B$15,A38+入力!$B$19,S37)</f>
        <v>420</v>
      </c>
      <c r="T38" s="35" t="str">
        <f t="shared" si="15"/>
        <v/>
      </c>
      <c r="U38" s="3">
        <f t="shared" si="0"/>
        <v>0</v>
      </c>
      <c r="V38" s="3">
        <f t="shared" si="1"/>
        <v>0</v>
      </c>
      <c r="W38" s="3">
        <f t="shared" si="2"/>
        <v>0</v>
      </c>
      <c r="X38" s="3">
        <f t="shared" si="3"/>
        <v>0</v>
      </c>
      <c r="Y38" s="3">
        <f>IF(A38&lt;入力!$B$15,ABS(G38-何もしない_月次!G38),0)</f>
        <v>0</v>
      </c>
      <c r="Z38" s="3">
        <f t="shared" si="4"/>
        <v>0</v>
      </c>
      <c r="AA38">
        <f>ROUND(IF(A38=入力!$B$15+1,IF(E38=0,ROUND(C38/入力!$B$19,0),ROUND(-PMT(E38/12,入力!$B$19,C38),0)),IF(OR(AND(入力!$B$13="有効",A38&gt;1,MOD(A38-1,60)=0),AND(A38=入力!$B$11,A38&gt;1)),IF(入力!$B$14="有効",MIN(IF(E38=0,ROUND(C38/MAX(1,S37-A38+1),0),ROUND(-PMT(E38/12,MAX(1,S37-A38+1),C38),0)),ROUND(G37*1.25,0)),IF(E38=0,ROUND(C38/MAX(1,S37-A38+1),0),ROUND(-PMT(E38/12,MAX(1,S37-A38+1),C38),0))),G37)),0)</f>
        <v>93982</v>
      </c>
    </row>
    <row r="39" spans="1:27">
      <c r="A39" s="30">
        <f>34</f>
        <v>34</v>
      </c>
      <c r="B39" s="31">
        <f>EDATE(入力!$B$6,A39-1)</f>
        <v>47239</v>
      </c>
      <c r="C39" s="32">
        <f t="shared" si="5"/>
        <v>32549551</v>
      </c>
      <c r="D39" s="32">
        <f t="shared" si="6"/>
        <v>0</v>
      </c>
      <c r="E39" s="33">
        <f>IF(AND(T38="",A39&lt;=S38),IF(A39&lt;入力!$B$11,入力!$B$10,入力!$B$12),0)</f>
        <v>7.0000000000000001E-3</v>
      </c>
      <c r="F39" s="32">
        <f t="shared" si="7"/>
        <v>18987</v>
      </c>
      <c r="G39" s="32">
        <f>ROUND(IF(NOT(AND(T38="",A39&lt;=S38)),0,IF(A39=入力!$B$15+1,IF(E39=0,ROUND(C39/入力!$B$19,0),ROUND(-PMT(E39/12,入力!$B$19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),0)</f>
        <v>93982</v>
      </c>
      <c r="H39" s="32">
        <f t="shared" si="8"/>
        <v>93982</v>
      </c>
      <c r="I39" s="32">
        <f t="shared" si="9"/>
        <v>18987</v>
      </c>
      <c r="J39" s="32">
        <f t="shared" si="10"/>
        <v>0</v>
      </c>
      <c r="K39" s="32">
        <f t="shared" si="11"/>
        <v>0</v>
      </c>
      <c r="L39" s="32">
        <f t="shared" si="12"/>
        <v>74995</v>
      </c>
      <c r="M39" s="32">
        <f>IF(AND(AND(T38="",A39&lt;=S38),A39=入力!$B$15),ROUND(MIN(入力!$B$16,MAX(0,C39-L39)),0),0)</f>
        <v>0</v>
      </c>
      <c r="N39" s="32">
        <f t="shared" si="13"/>
        <v>32474556</v>
      </c>
      <c r="O39" s="32">
        <f t="shared" si="14"/>
        <v>669944</v>
      </c>
      <c r="P39" s="34" t="str">
        <f>IF(NOT(AND(T38="",A39&lt;=S38)),"",IF(A39=入力!$B$15+1,"繰上返済後再計算","")&amp;IF(AND(入力!$B$13="有効",A39&gt;1,MOD(A39-1,60)=0),IF(A39=入力!$B$15+1,"・","")&amp;"5年見直し","")&amp;IF(AND(A39=入力!$B$11,A39&gt;1),IF(OR(A39=入力!$B$15+1,AND(入力!$B$13="有効",A39&gt;1,MOD(A39-1,60)=0)),"・","")&amp;"金利変更","")&amp;IF(AND(OR(AND(入力!$B$13="有効",A39&gt;1,MOD(A39-1,60)=0),AND(A39=入力!$B$11,A39&gt;1)),入力!$B$14="有効",IF(E39=0,ROUND(C39/MAX(1,S38-A39+1),0),ROUND(-PMT(E39/12,MAX(1,S38-A39+1),C39),0))&gt;ROUND(G38*1.25,0),NOT(A39=入力!$B$15+1)),"・上限適用",""))</f>
        <v/>
      </c>
      <c r="Q39" s="35" t="str">
        <f>IF(AND(T38="",A39&lt;=S38),入力!$B$13,"")</f>
        <v>有効</v>
      </c>
      <c r="R39" s="32" t="str">
        <f>IF(AND(AND(T38="",A39&lt;=S38),OR(AND(入力!$B$13="有効",A39&gt;1,MOD(A39-1,60)=0),AND(A39=入力!$B$11,A39&gt;1)),入力!$B$14="有効"),ROUND(G38*1.25,0),"")</f>
        <v/>
      </c>
      <c r="S39" s="36">
        <f>IF(A39=入力!$B$15,A39+入力!$B$19,S38)</f>
        <v>420</v>
      </c>
      <c r="T39" s="35" t="str">
        <f t="shared" si="15"/>
        <v/>
      </c>
      <c r="U39" s="3">
        <f t="shared" si="0"/>
        <v>0</v>
      </c>
      <c r="V39" s="3">
        <f t="shared" si="1"/>
        <v>0</v>
      </c>
      <c r="W39" s="3">
        <f t="shared" si="2"/>
        <v>0</v>
      </c>
      <c r="X39" s="3">
        <f t="shared" si="3"/>
        <v>0</v>
      </c>
      <c r="Y39" s="3">
        <f>IF(A39&lt;入力!$B$15,ABS(G39-何もしない_月次!G39),0)</f>
        <v>0</v>
      </c>
      <c r="Z39" s="3">
        <f t="shared" si="4"/>
        <v>0</v>
      </c>
      <c r="AA39">
        <f>ROUND(IF(A39=入力!$B$15+1,IF(E39=0,ROUND(C39/入力!$B$19,0),ROUND(-PMT(E39/12,入力!$B$19,C39),0)),IF(OR(AND(入力!$B$13="有効",A39&gt;1,MOD(A39-1,60)=0),AND(A39=入力!$B$11,A39&gt;1)),IF(入力!$B$14="有効",MIN(IF(E39=0,ROUND(C39/MAX(1,S38-A39+1),0),ROUND(-PMT(E39/12,MAX(1,S38-A39+1),C39),0)),ROUND(G38*1.25,0)),IF(E39=0,ROUND(C39/MAX(1,S38-A39+1),0),ROUND(-PMT(E39/12,MAX(1,S38-A39+1),C39),0))),G38)),0)</f>
        <v>93982</v>
      </c>
    </row>
    <row r="40" spans="1:27">
      <c r="A40" s="30">
        <f>35</f>
        <v>35</v>
      </c>
      <c r="B40" s="31">
        <f>EDATE(入力!$B$6,A40-1)</f>
        <v>47270</v>
      </c>
      <c r="C40" s="32">
        <f t="shared" si="5"/>
        <v>32474556</v>
      </c>
      <c r="D40" s="32">
        <f t="shared" si="6"/>
        <v>0</v>
      </c>
      <c r="E40" s="33">
        <f>IF(AND(T39="",A40&lt;=S39),IF(A40&lt;入力!$B$11,入力!$B$10,入力!$B$12),0)</f>
        <v>7.0000000000000001E-3</v>
      </c>
      <c r="F40" s="32">
        <f t="shared" si="7"/>
        <v>18943</v>
      </c>
      <c r="G40" s="32">
        <f>ROUND(IF(NOT(AND(T39="",A40&lt;=S39)),0,IF(A40=入力!$B$15+1,IF(E40=0,ROUND(C40/入力!$B$19,0),ROUND(-PMT(E40/12,入力!$B$19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),0)</f>
        <v>93982</v>
      </c>
      <c r="H40" s="32">
        <f t="shared" si="8"/>
        <v>93982</v>
      </c>
      <c r="I40" s="32">
        <f t="shared" si="9"/>
        <v>18943</v>
      </c>
      <c r="J40" s="32">
        <f t="shared" si="10"/>
        <v>0</v>
      </c>
      <c r="K40" s="32">
        <f t="shared" si="11"/>
        <v>0</v>
      </c>
      <c r="L40" s="32">
        <f t="shared" si="12"/>
        <v>75039</v>
      </c>
      <c r="M40" s="32">
        <f>IF(AND(AND(T39="",A40&lt;=S39),A40=入力!$B$15),ROUND(MIN(入力!$B$16,MAX(0,C40-L40)),0),0)</f>
        <v>0</v>
      </c>
      <c r="N40" s="32">
        <f t="shared" si="13"/>
        <v>32399517</v>
      </c>
      <c r="O40" s="32">
        <f t="shared" si="14"/>
        <v>688887</v>
      </c>
      <c r="P40" s="34" t="str">
        <f>IF(NOT(AND(T39="",A40&lt;=S39)),"",IF(A40=入力!$B$15+1,"繰上返済後再計算","")&amp;IF(AND(入力!$B$13="有効",A40&gt;1,MOD(A40-1,60)=0),IF(A40=入力!$B$15+1,"・","")&amp;"5年見直し","")&amp;IF(AND(A40=入力!$B$11,A40&gt;1),IF(OR(A40=入力!$B$15+1,AND(入力!$B$13="有効",A40&gt;1,MOD(A40-1,60)=0)),"・","")&amp;"金利変更","")&amp;IF(AND(OR(AND(入力!$B$13="有効",A40&gt;1,MOD(A40-1,60)=0),AND(A40=入力!$B$11,A40&gt;1)),入力!$B$14="有効",IF(E40=0,ROUND(C40/MAX(1,S39-A40+1),0),ROUND(-PMT(E40/12,MAX(1,S39-A40+1),C40),0))&gt;ROUND(G39*1.25,0),NOT(A40=入力!$B$15+1)),"・上限適用",""))</f>
        <v/>
      </c>
      <c r="Q40" s="35" t="str">
        <f>IF(AND(T39="",A40&lt;=S39),入力!$B$13,"")</f>
        <v>有効</v>
      </c>
      <c r="R40" s="32" t="str">
        <f>IF(AND(AND(T39="",A40&lt;=S39),OR(AND(入力!$B$13="有効",A40&gt;1,MOD(A40-1,60)=0),AND(A40=入力!$B$11,A40&gt;1)),入力!$B$14="有効"),ROUND(G39*1.25,0),"")</f>
        <v/>
      </c>
      <c r="S40" s="36">
        <f>IF(A40=入力!$B$15,A40+入力!$B$19,S39)</f>
        <v>420</v>
      </c>
      <c r="T40" s="35" t="str">
        <f t="shared" si="15"/>
        <v/>
      </c>
      <c r="U40" s="3">
        <f t="shared" si="0"/>
        <v>0</v>
      </c>
      <c r="V40" s="3">
        <f t="shared" si="1"/>
        <v>0</v>
      </c>
      <c r="W40" s="3">
        <f t="shared" si="2"/>
        <v>0</v>
      </c>
      <c r="X40" s="3">
        <f t="shared" si="3"/>
        <v>0</v>
      </c>
      <c r="Y40" s="3">
        <f>IF(A40&lt;入力!$B$15,ABS(G40-何もしない_月次!G40),0)</f>
        <v>0</v>
      </c>
      <c r="Z40" s="3">
        <f t="shared" si="4"/>
        <v>0</v>
      </c>
      <c r="AA40">
        <f>ROUND(IF(A40=入力!$B$15+1,IF(E40=0,ROUND(C40/入力!$B$19,0),ROUND(-PMT(E40/12,入力!$B$19,C40),0)),IF(OR(AND(入力!$B$13="有効",A40&gt;1,MOD(A40-1,60)=0),AND(A40=入力!$B$11,A40&gt;1)),IF(入力!$B$14="有効",MIN(IF(E40=0,ROUND(C40/MAX(1,S39-A40+1),0),ROUND(-PMT(E40/12,MAX(1,S39-A40+1),C40),0)),ROUND(G39*1.25,0)),IF(E40=0,ROUND(C40/MAX(1,S39-A40+1),0),ROUND(-PMT(E40/12,MAX(1,S39-A40+1),C40),0))),G39)),0)</f>
        <v>93982</v>
      </c>
    </row>
    <row r="41" spans="1:27">
      <c r="A41" s="30">
        <f>36</f>
        <v>36</v>
      </c>
      <c r="B41" s="31">
        <f>EDATE(入力!$B$6,A41-1)</f>
        <v>47300</v>
      </c>
      <c r="C41" s="32">
        <f t="shared" si="5"/>
        <v>32399517</v>
      </c>
      <c r="D41" s="32">
        <f t="shared" si="6"/>
        <v>0</v>
      </c>
      <c r="E41" s="33">
        <f>IF(AND(T40="",A41&lt;=S40),IF(A41&lt;入力!$B$11,入力!$B$10,入力!$B$12),0)</f>
        <v>7.0000000000000001E-3</v>
      </c>
      <c r="F41" s="32">
        <f t="shared" si="7"/>
        <v>18900</v>
      </c>
      <c r="G41" s="32">
        <f>ROUND(IF(NOT(AND(T40="",A41&lt;=S40)),0,IF(A41=入力!$B$15+1,IF(E41=0,ROUND(C41/入力!$B$19,0),ROUND(-PMT(E41/12,入力!$B$19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),0)</f>
        <v>93982</v>
      </c>
      <c r="H41" s="32">
        <f t="shared" si="8"/>
        <v>93982</v>
      </c>
      <c r="I41" s="32">
        <f t="shared" si="9"/>
        <v>18900</v>
      </c>
      <c r="J41" s="32">
        <f t="shared" si="10"/>
        <v>0</v>
      </c>
      <c r="K41" s="32">
        <f t="shared" si="11"/>
        <v>0</v>
      </c>
      <c r="L41" s="32">
        <f t="shared" si="12"/>
        <v>75082</v>
      </c>
      <c r="M41" s="32">
        <f>IF(AND(AND(T40="",A41&lt;=S40),A41=入力!$B$15),ROUND(MIN(入力!$B$16,MAX(0,C41-L41)),0),0)</f>
        <v>0</v>
      </c>
      <c r="N41" s="32">
        <f t="shared" si="13"/>
        <v>32324435</v>
      </c>
      <c r="O41" s="32">
        <f t="shared" si="14"/>
        <v>707787</v>
      </c>
      <c r="P41" s="34" t="str">
        <f>IF(NOT(AND(T40="",A41&lt;=S40)),"",IF(A41=入力!$B$15+1,"繰上返済後再計算","")&amp;IF(AND(入力!$B$13="有効",A41&gt;1,MOD(A41-1,60)=0),IF(A41=入力!$B$15+1,"・","")&amp;"5年見直し","")&amp;IF(AND(A41=入力!$B$11,A41&gt;1),IF(OR(A41=入力!$B$15+1,AND(入力!$B$13="有効",A41&gt;1,MOD(A41-1,60)=0)),"・","")&amp;"金利変更","")&amp;IF(AND(OR(AND(入力!$B$13="有効",A41&gt;1,MOD(A41-1,60)=0),AND(A41=入力!$B$11,A41&gt;1)),入力!$B$14="有効",IF(E41=0,ROUND(C41/MAX(1,S40-A41+1),0),ROUND(-PMT(E41/12,MAX(1,S40-A41+1),C41),0))&gt;ROUND(G40*1.25,0),NOT(A41=入力!$B$15+1)),"・上限適用",""))</f>
        <v/>
      </c>
      <c r="Q41" s="35" t="str">
        <f>IF(AND(T40="",A41&lt;=S40),入力!$B$13,"")</f>
        <v>有効</v>
      </c>
      <c r="R41" s="32" t="str">
        <f>IF(AND(AND(T40="",A41&lt;=S40),OR(AND(入力!$B$13="有効",A41&gt;1,MOD(A41-1,60)=0),AND(A41=入力!$B$11,A41&gt;1)),入力!$B$14="有効"),ROUND(G40*1.25,0),"")</f>
        <v/>
      </c>
      <c r="S41" s="36">
        <f>IF(A41=入力!$B$15,A41+入力!$B$19,S40)</f>
        <v>420</v>
      </c>
      <c r="T41" s="35" t="str">
        <f t="shared" si="15"/>
        <v/>
      </c>
      <c r="U41" s="3">
        <f t="shared" si="0"/>
        <v>0</v>
      </c>
      <c r="V41" s="3">
        <f t="shared" si="1"/>
        <v>0</v>
      </c>
      <c r="W41" s="3">
        <f t="shared" si="2"/>
        <v>0</v>
      </c>
      <c r="X41" s="3">
        <f t="shared" si="3"/>
        <v>0</v>
      </c>
      <c r="Y41" s="3">
        <f>IF(A41&lt;入力!$B$15,ABS(G41-何もしない_月次!G41),0)</f>
        <v>0</v>
      </c>
      <c r="Z41" s="3">
        <f t="shared" si="4"/>
        <v>0</v>
      </c>
      <c r="AA41">
        <f>ROUND(IF(A41=入力!$B$15+1,IF(E41=0,ROUND(C41/入力!$B$19,0),ROUND(-PMT(E41/12,入力!$B$19,C41),0)),IF(OR(AND(入力!$B$13="有効",A41&gt;1,MOD(A41-1,60)=0),AND(A41=入力!$B$11,A41&gt;1)),IF(入力!$B$14="有効",MIN(IF(E41=0,ROUND(C41/MAX(1,S40-A41+1),0),ROUND(-PMT(E41/12,MAX(1,S40-A41+1),C41),0)),ROUND(G40*1.25,0)),IF(E41=0,ROUND(C41/MAX(1,S40-A41+1),0),ROUND(-PMT(E41/12,MAX(1,S40-A41+1),C41),0))),G40)),0)</f>
        <v>93982</v>
      </c>
    </row>
    <row r="42" spans="1:27">
      <c r="A42" s="30">
        <f>37</f>
        <v>37</v>
      </c>
      <c r="B42" s="31">
        <f>EDATE(入力!$B$6,A42-1)</f>
        <v>47331</v>
      </c>
      <c r="C42" s="32">
        <f t="shared" si="5"/>
        <v>32324435</v>
      </c>
      <c r="D42" s="32">
        <f t="shared" si="6"/>
        <v>0</v>
      </c>
      <c r="E42" s="33">
        <f>IF(AND(T41="",A42&lt;=S41),IF(A42&lt;入力!$B$11,入力!$B$10,入力!$B$12),0)</f>
        <v>7.0000000000000001E-3</v>
      </c>
      <c r="F42" s="32">
        <f t="shared" si="7"/>
        <v>18856</v>
      </c>
      <c r="G42" s="32">
        <f>ROUND(IF(NOT(AND(T41="",A42&lt;=S41)),0,IF(A42=入力!$B$15+1,IF(E42=0,ROUND(C42/入力!$B$19,0),ROUND(-PMT(E42/12,入力!$B$19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),0)</f>
        <v>93982</v>
      </c>
      <c r="H42" s="32">
        <f t="shared" si="8"/>
        <v>93982</v>
      </c>
      <c r="I42" s="32">
        <f t="shared" si="9"/>
        <v>18856</v>
      </c>
      <c r="J42" s="32">
        <f t="shared" si="10"/>
        <v>0</v>
      </c>
      <c r="K42" s="32">
        <f t="shared" si="11"/>
        <v>0</v>
      </c>
      <c r="L42" s="32">
        <f t="shared" si="12"/>
        <v>75126</v>
      </c>
      <c r="M42" s="32">
        <f>IF(AND(AND(T41="",A42&lt;=S41),A42=入力!$B$15),ROUND(MIN(入力!$B$16,MAX(0,C42-L42)),0),0)</f>
        <v>0</v>
      </c>
      <c r="N42" s="32">
        <f t="shared" si="13"/>
        <v>32249309</v>
      </c>
      <c r="O42" s="32">
        <f t="shared" si="14"/>
        <v>726643</v>
      </c>
      <c r="P42" s="34" t="str">
        <f>IF(NOT(AND(T41="",A42&lt;=S41)),"",IF(A42=入力!$B$15+1,"繰上返済後再計算","")&amp;IF(AND(入力!$B$13="有効",A42&gt;1,MOD(A42-1,60)=0),IF(A42=入力!$B$15+1,"・","")&amp;"5年見直し","")&amp;IF(AND(A42=入力!$B$11,A42&gt;1),IF(OR(A42=入力!$B$15+1,AND(入力!$B$13="有効",A42&gt;1,MOD(A42-1,60)=0)),"・","")&amp;"金利変更","")&amp;IF(AND(OR(AND(入力!$B$13="有効",A42&gt;1,MOD(A42-1,60)=0),AND(A42=入力!$B$11,A42&gt;1)),入力!$B$14="有効",IF(E42=0,ROUND(C42/MAX(1,S41-A42+1),0),ROUND(-PMT(E42/12,MAX(1,S41-A42+1),C42),0))&gt;ROUND(G41*1.25,0),NOT(A42=入力!$B$15+1)),"・上限適用",""))</f>
        <v/>
      </c>
      <c r="Q42" s="35" t="str">
        <f>IF(AND(T41="",A42&lt;=S41),入力!$B$13,"")</f>
        <v>有効</v>
      </c>
      <c r="R42" s="32" t="str">
        <f>IF(AND(AND(T41="",A42&lt;=S41),OR(AND(入力!$B$13="有効",A42&gt;1,MOD(A42-1,60)=0),AND(A42=入力!$B$11,A42&gt;1)),入力!$B$14="有効"),ROUND(G41*1.25,0),"")</f>
        <v/>
      </c>
      <c r="S42" s="36">
        <f>IF(A42=入力!$B$15,A42+入力!$B$19,S41)</f>
        <v>420</v>
      </c>
      <c r="T42" s="35" t="str">
        <f t="shared" si="15"/>
        <v/>
      </c>
      <c r="U42" s="3">
        <f t="shared" si="0"/>
        <v>0</v>
      </c>
      <c r="V42" s="3">
        <f t="shared" si="1"/>
        <v>0</v>
      </c>
      <c r="W42" s="3">
        <f t="shared" si="2"/>
        <v>0</v>
      </c>
      <c r="X42" s="3">
        <f t="shared" si="3"/>
        <v>0</v>
      </c>
      <c r="Y42" s="3">
        <f>IF(A42&lt;入力!$B$15,ABS(G42-何もしない_月次!G42),0)</f>
        <v>0</v>
      </c>
      <c r="Z42" s="3">
        <f t="shared" si="4"/>
        <v>0</v>
      </c>
      <c r="AA42">
        <f>ROUND(IF(A42=入力!$B$15+1,IF(E42=0,ROUND(C42/入力!$B$19,0),ROUND(-PMT(E42/12,入力!$B$19,C42),0)),IF(OR(AND(入力!$B$13="有効",A42&gt;1,MOD(A42-1,60)=0),AND(A42=入力!$B$11,A42&gt;1)),IF(入力!$B$14="有効",MIN(IF(E42=0,ROUND(C42/MAX(1,S41-A42+1),0),ROUND(-PMT(E42/12,MAX(1,S41-A42+1),C42),0)),ROUND(G41*1.25,0)),IF(E42=0,ROUND(C42/MAX(1,S41-A42+1),0),ROUND(-PMT(E42/12,MAX(1,S41-A42+1),C42),0))),G41)),0)</f>
        <v>93982</v>
      </c>
    </row>
    <row r="43" spans="1:27">
      <c r="A43" s="30">
        <f>38</f>
        <v>38</v>
      </c>
      <c r="B43" s="31">
        <f>EDATE(入力!$B$6,A43-1)</f>
        <v>47362</v>
      </c>
      <c r="C43" s="32">
        <f t="shared" si="5"/>
        <v>32249309</v>
      </c>
      <c r="D43" s="32">
        <f t="shared" si="6"/>
        <v>0</v>
      </c>
      <c r="E43" s="33">
        <f>IF(AND(T42="",A43&lt;=S42),IF(A43&lt;入力!$B$11,入力!$B$10,入力!$B$12),0)</f>
        <v>7.0000000000000001E-3</v>
      </c>
      <c r="F43" s="32">
        <f t="shared" si="7"/>
        <v>18812</v>
      </c>
      <c r="G43" s="32">
        <f>ROUND(IF(NOT(AND(T42="",A43&lt;=S42)),0,IF(A43=入力!$B$15+1,IF(E43=0,ROUND(C43/入力!$B$19,0),ROUND(-PMT(E43/12,入力!$B$19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),0)</f>
        <v>93982</v>
      </c>
      <c r="H43" s="32">
        <f t="shared" si="8"/>
        <v>93982</v>
      </c>
      <c r="I43" s="32">
        <f t="shared" si="9"/>
        <v>18812</v>
      </c>
      <c r="J43" s="32">
        <f t="shared" si="10"/>
        <v>0</v>
      </c>
      <c r="K43" s="32">
        <f t="shared" si="11"/>
        <v>0</v>
      </c>
      <c r="L43" s="32">
        <f t="shared" si="12"/>
        <v>75170</v>
      </c>
      <c r="M43" s="32">
        <f>IF(AND(AND(T42="",A43&lt;=S42),A43=入力!$B$15),ROUND(MIN(入力!$B$16,MAX(0,C43-L43)),0),0)</f>
        <v>0</v>
      </c>
      <c r="N43" s="32">
        <f t="shared" si="13"/>
        <v>32174139</v>
      </c>
      <c r="O43" s="32">
        <f t="shared" si="14"/>
        <v>745455</v>
      </c>
      <c r="P43" s="34" t="str">
        <f>IF(NOT(AND(T42="",A43&lt;=S42)),"",IF(A43=入力!$B$15+1,"繰上返済後再計算","")&amp;IF(AND(入力!$B$13="有効",A43&gt;1,MOD(A43-1,60)=0),IF(A43=入力!$B$15+1,"・","")&amp;"5年見直し","")&amp;IF(AND(A43=入力!$B$11,A43&gt;1),IF(OR(A43=入力!$B$15+1,AND(入力!$B$13="有効",A43&gt;1,MOD(A43-1,60)=0)),"・","")&amp;"金利変更","")&amp;IF(AND(OR(AND(入力!$B$13="有効",A43&gt;1,MOD(A43-1,60)=0),AND(A43=入力!$B$11,A43&gt;1)),入力!$B$14="有効",IF(E43=0,ROUND(C43/MAX(1,S42-A43+1),0),ROUND(-PMT(E43/12,MAX(1,S42-A43+1),C43),0))&gt;ROUND(G42*1.25,0),NOT(A43=入力!$B$15+1)),"・上限適用",""))</f>
        <v/>
      </c>
      <c r="Q43" s="35" t="str">
        <f>IF(AND(T42="",A43&lt;=S42),入力!$B$13,"")</f>
        <v>有効</v>
      </c>
      <c r="R43" s="32" t="str">
        <f>IF(AND(AND(T42="",A43&lt;=S42),OR(AND(入力!$B$13="有効",A43&gt;1,MOD(A43-1,60)=0),AND(A43=入力!$B$11,A43&gt;1)),入力!$B$14="有効"),ROUND(G42*1.25,0),"")</f>
        <v/>
      </c>
      <c r="S43" s="36">
        <f>IF(A43=入力!$B$15,A43+入力!$B$19,S42)</f>
        <v>420</v>
      </c>
      <c r="T43" s="35" t="str">
        <f t="shared" si="15"/>
        <v/>
      </c>
      <c r="U43" s="3">
        <f t="shared" si="0"/>
        <v>0</v>
      </c>
      <c r="V43" s="3">
        <f t="shared" si="1"/>
        <v>0</v>
      </c>
      <c r="W43" s="3">
        <f t="shared" si="2"/>
        <v>0</v>
      </c>
      <c r="X43" s="3">
        <f t="shared" si="3"/>
        <v>0</v>
      </c>
      <c r="Y43" s="3">
        <f>IF(A43&lt;入力!$B$15,ABS(G43-何もしない_月次!G43),0)</f>
        <v>0</v>
      </c>
      <c r="Z43" s="3">
        <f t="shared" si="4"/>
        <v>0</v>
      </c>
      <c r="AA43">
        <f>ROUND(IF(A43=入力!$B$15+1,IF(E43=0,ROUND(C43/入力!$B$19,0),ROUND(-PMT(E43/12,入力!$B$19,C43),0)),IF(OR(AND(入力!$B$13="有効",A43&gt;1,MOD(A43-1,60)=0),AND(A43=入力!$B$11,A43&gt;1)),IF(入力!$B$14="有効",MIN(IF(E43=0,ROUND(C43/MAX(1,S42-A43+1),0),ROUND(-PMT(E43/12,MAX(1,S42-A43+1),C43),0)),ROUND(G42*1.25,0)),IF(E43=0,ROUND(C43/MAX(1,S42-A43+1),0),ROUND(-PMT(E43/12,MAX(1,S42-A43+1),C43),0))),G42)),0)</f>
        <v>93982</v>
      </c>
    </row>
    <row r="44" spans="1:27">
      <c r="A44" s="30">
        <f>39</f>
        <v>39</v>
      </c>
      <c r="B44" s="31">
        <f>EDATE(入力!$B$6,A44-1)</f>
        <v>47392</v>
      </c>
      <c r="C44" s="32">
        <f t="shared" si="5"/>
        <v>32174139</v>
      </c>
      <c r="D44" s="32">
        <f t="shared" si="6"/>
        <v>0</v>
      </c>
      <c r="E44" s="33">
        <f>IF(AND(T43="",A44&lt;=S43),IF(A44&lt;入力!$B$11,入力!$B$10,入力!$B$12),0)</f>
        <v>7.0000000000000001E-3</v>
      </c>
      <c r="F44" s="32">
        <f t="shared" si="7"/>
        <v>18768</v>
      </c>
      <c r="G44" s="32">
        <f>ROUND(IF(NOT(AND(T43="",A44&lt;=S43)),0,IF(A44=入力!$B$15+1,IF(E44=0,ROUND(C44/入力!$B$19,0),ROUND(-PMT(E44/12,入力!$B$19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),0)</f>
        <v>93982</v>
      </c>
      <c r="H44" s="32">
        <f t="shared" si="8"/>
        <v>93982</v>
      </c>
      <c r="I44" s="32">
        <f t="shared" si="9"/>
        <v>18768</v>
      </c>
      <c r="J44" s="32">
        <f t="shared" si="10"/>
        <v>0</v>
      </c>
      <c r="K44" s="32">
        <f t="shared" si="11"/>
        <v>0</v>
      </c>
      <c r="L44" s="32">
        <f t="shared" si="12"/>
        <v>75214</v>
      </c>
      <c r="M44" s="32">
        <f>IF(AND(AND(T43="",A44&lt;=S43),A44=入力!$B$15),ROUND(MIN(入力!$B$16,MAX(0,C44-L44)),0),0)</f>
        <v>0</v>
      </c>
      <c r="N44" s="32">
        <f t="shared" si="13"/>
        <v>32098925</v>
      </c>
      <c r="O44" s="32">
        <f t="shared" si="14"/>
        <v>764223</v>
      </c>
      <c r="P44" s="34" t="str">
        <f>IF(NOT(AND(T43="",A44&lt;=S43)),"",IF(A44=入力!$B$15+1,"繰上返済後再計算","")&amp;IF(AND(入力!$B$13="有効",A44&gt;1,MOD(A44-1,60)=0),IF(A44=入力!$B$15+1,"・","")&amp;"5年見直し","")&amp;IF(AND(A44=入力!$B$11,A44&gt;1),IF(OR(A44=入力!$B$15+1,AND(入力!$B$13="有効",A44&gt;1,MOD(A44-1,60)=0)),"・","")&amp;"金利変更","")&amp;IF(AND(OR(AND(入力!$B$13="有効",A44&gt;1,MOD(A44-1,60)=0),AND(A44=入力!$B$11,A44&gt;1)),入力!$B$14="有効",IF(E44=0,ROUND(C44/MAX(1,S43-A44+1),0),ROUND(-PMT(E44/12,MAX(1,S43-A44+1),C44),0))&gt;ROUND(G43*1.25,0),NOT(A44=入力!$B$15+1)),"・上限適用",""))</f>
        <v/>
      </c>
      <c r="Q44" s="35" t="str">
        <f>IF(AND(T43="",A44&lt;=S43),入力!$B$13,"")</f>
        <v>有効</v>
      </c>
      <c r="R44" s="32" t="str">
        <f>IF(AND(AND(T43="",A44&lt;=S43),OR(AND(入力!$B$13="有効",A44&gt;1,MOD(A44-1,60)=0),AND(A44=入力!$B$11,A44&gt;1)),入力!$B$14="有効"),ROUND(G43*1.25,0),"")</f>
        <v/>
      </c>
      <c r="S44" s="36">
        <f>IF(A44=入力!$B$15,A44+入力!$B$19,S43)</f>
        <v>420</v>
      </c>
      <c r="T44" s="35" t="str">
        <f t="shared" si="15"/>
        <v/>
      </c>
      <c r="U44" s="3">
        <f t="shared" si="0"/>
        <v>0</v>
      </c>
      <c r="V44" s="3">
        <f t="shared" si="1"/>
        <v>0</v>
      </c>
      <c r="W44" s="3">
        <f t="shared" si="2"/>
        <v>0</v>
      </c>
      <c r="X44" s="3">
        <f t="shared" si="3"/>
        <v>0</v>
      </c>
      <c r="Y44" s="3">
        <f>IF(A44&lt;入力!$B$15,ABS(G44-何もしない_月次!G44),0)</f>
        <v>0</v>
      </c>
      <c r="Z44" s="3">
        <f t="shared" si="4"/>
        <v>0</v>
      </c>
      <c r="AA44">
        <f>ROUND(IF(A44=入力!$B$15+1,IF(E44=0,ROUND(C44/入力!$B$19,0),ROUND(-PMT(E44/12,入力!$B$19,C44),0)),IF(OR(AND(入力!$B$13="有効",A44&gt;1,MOD(A44-1,60)=0),AND(A44=入力!$B$11,A44&gt;1)),IF(入力!$B$14="有効",MIN(IF(E44=0,ROUND(C44/MAX(1,S43-A44+1),0),ROUND(-PMT(E44/12,MAX(1,S43-A44+1),C44),0)),ROUND(G43*1.25,0)),IF(E44=0,ROUND(C44/MAX(1,S43-A44+1),0),ROUND(-PMT(E44/12,MAX(1,S43-A44+1),C44),0))),G43)),0)</f>
        <v>93982</v>
      </c>
    </row>
    <row r="45" spans="1:27">
      <c r="A45" s="30">
        <f>40</f>
        <v>40</v>
      </c>
      <c r="B45" s="31">
        <f>EDATE(入力!$B$6,A45-1)</f>
        <v>47423</v>
      </c>
      <c r="C45" s="32">
        <f t="shared" si="5"/>
        <v>32098925</v>
      </c>
      <c r="D45" s="32">
        <f t="shared" si="6"/>
        <v>0</v>
      </c>
      <c r="E45" s="33">
        <f>IF(AND(T44="",A45&lt;=S44),IF(A45&lt;入力!$B$11,入力!$B$10,入力!$B$12),0)</f>
        <v>7.0000000000000001E-3</v>
      </c>
      <c r="F45" s="32">
        <f t="shared" si="7"/>
        <v>18724</v>
      </c>
      <c r="G45" s="32">
        <f>ROUND(IF(NOT(AND(T44="",A45&lt;=S44)),0,IF(A45=入力!$B$15+1,IF(E45=0,ROUND(C45/入力!$B$19,0),ROUND(-PMT(E45/12,入力!$B$19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),0)</f>
        <v>93982</v>
      </c>
      <c r="H45" s="32">
        <f t="shared" si="8"/>
        <v>93982</v>
      </c>
      <c r="I45" s="32">
        <f t="shared" si="9"/>
        <v>18724</v>
      </c>
      <c r="J45" s="32">
        <f t="shared" si="10"/>
        <v>0</v>
      </c>
      <c r="K45" s="32">
        <f t="shared" si="11"/>
        <v>0</v>
      </c>
      <c r="L45" s="32">
        <f t="shared" si="12"/>
        <v>75258</v>
      </c>
      <c r="M45" s="32">
        <f>IF(AND(AND(T44="",A45&lt;=S44),A45=入力!$B$15),ROUND(MIN(入力!$B$16,MAX(0,C45-L45)),0),0)</f>
        <v>0</v>
      </c>
      <c r="N45" s="32">
        <f t="shared" si="13"/>
        <v>32023667</v>
      </c>
      <c r="O45" s="32">
        <f t="shared" si="14"/>
        <v>782947</v>
      </c>
      <c r="P45" s="34" t="str">
        <f>IF(NOT(AND(T44="",A45&lt;=S44)),"",IF(A45=入力!$B$15+1,"繰上返済後再計算","")&amp;IF(AND(入力!$B$13="有効",A45&gt;1,MOD(A45-1,60)=0),IF(A45=入力!$B$15+1,"・","")&amp;"5年見直し","")&amp;IF(AND(A45=入力!$B$11,A45&gt;1),IF(OR(A45=入力!$B$15+1,AND(入力!$B$13="有効",A45&gt;1,MOD(A45-1,60)=0)),"・","")&amp;"金利変更","")&amp;IF(AND(OR(AND(入力!$B$13="有効",A45&gt;1,MOD(A45-1,60)=0),AND(A45=入力!$B$11,A45&gt;1)),入力!$B$14="有効",IF(E45=0,ROUND(C45/MAX(1,S44-A45+1),0),ROUND(-PMT(E45/12,MAX(1,S44-A45+1),C45),0))&gt;ROUND(G44*1.25,0),NOT(A45=入力!$B$15+1)),"・上限適用",""))</f>
        <v/>
      </c>
      <c r="Q45" s="35" t="str">
        <f>IF(AND(T44="",A45&lt;=S44),入力!$B$13,"")</f>
        <v>有効</v>
      </c>
      <c r="R45" s="32" t="str">
        <f>IF(AND(AND(T44="",A45&lt;=S44),OR(AND(入力!$B$13="有効",A45&gt;1,MOD(A45-1,60)=0),AND(A45=入力!$B$11,A45&gt;1)),入力!$B$14="有効"),ROUND(G44*1.25,0),"")</f>
        <v/>
      </c>
      <c r="S45" s="36">
        <f>IF(A45=入力!$B$15,A45+入力!$B$19,S44)</f>
        <v>420</v>
      </c>
      <c r="T45" s="35" t="str">
        <f t="shared" si="15"/>
        <v/>
      </c>
      <c r="U45" s="3">
        <f t="shared" si="0"/>
        <v>0</v>
      </c>
      <c r="V45" s="3">
        <f t="shared" si="1"/>
        <v>0</v>
      </c>
      <c r="W45" s="3">
        <f t="shared" si="2"/>
        <v>0</v>
      </c>
      <c r="X45" s="3">
        <f t="shared" si="3"/>
        <v>0</v>
      </c>
      <c r="Y45" s="3">
        <f>IF(A45&lt;入力!$B$15,ABS(G45-何もしない_月次!G45),0)</f>
        <v>0</v>
      </c>
      <c r="Z45" s="3">
        <f t="shared" si="4"/>
        <v>0</v>
      </c>
      <c r="AA45">
        <f>ROUND(IF(A45=入力!$B$15+1,IF(E45=0,ROUND(C45/入力!$B$19,0),ROUND(-PMT(E45/12,入力!$B$19,C45),0)),IF(OR(AND(入力!$B$13="有効",A45&gt;1,MOD(A45-1,60)=0),AND(A45=入力!$B$11,A45&gt;1)),IF(入力!$B$14="有効",MIN(IF(E45=0,ROUND(C45/MAX(1,S44-A45+1),0),ROUND(-PMT(E45/12,MAX(1,S44-A45+1),C45),0)),ROUND(G44*1.25,0)),IF(E45=0,ROUND(C45/MAX(1,S44-A45+1),0),ROUND(-PMT(E45/12,MAX(1,S44-A45+1),C45),0))),G44)),0)</f>
        <v>93982</v>
      </c>
    </row>
    <row r="46" spans="1:27">
      <c r="A46" s="30">
        <f>41</f>
        <v>41</v>
      </c>
      <c r="B46" s="31">
        <f>EDATE(入力!$B$6,A46-1)</f>
        <v>47453</v>
      </c>
      <c r="C46" s="32">
        <f t="shared" si="5"/>
        <v>32023667</v>
      </c>
      <c r="D46" s="32">
        <f t="shared" si="6"/>
        <v>0</v>
      </c>
      <c r="E46" s="33">
        <f>IF(AND(T45="",A46&lt;=S45),IF(A46&lt;入力!$B$11,入力!$B$10,入力!$B$12),0)</f>
        <v>7.0000000000000001E-3</v>
      </c>
      <c r="F46" s="32">
        <f t="shared" si="7"/>
        <v>18680</v>
      </c>
      <c r="G46" s="32">
        <f>ROUND(IF(NOT(AND(T45="",A46&lt;=S45)),0,IF(A46=入力!$B$15+1,IF(E46=0,ROUND(C46/入力!$B$19,0),ROUND(-PMT(E46/12,入力!$B$19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),0)</f>
        <v>93982</v>
      </c>
      <c r="H46" s="32">
        <f t="shared" si="8"/>
        <v>93982</v>
      </c>
      <c r="I46" s="32">
        <f t="shared" si="9"/>
        <v>18680</v>
      </c>
      <c r="J46" s="32">
        <f t="shared" si="10"/>
        <v>0</v>
      </c>
      <c r="K46" s="32">
        <f t="shared" si="11"/>
        <v>0</v>
      </c>
      <c r="L46" s="32">
        <f t="shared" si="12"/>
        <v>75302</v>
      </c>
      <c r="M46" s="32">
        <f>IF(AND(AND(T45="",A46&lt;=S45),A46=入力!$B$15),ROUND(MIN(入力!$B$16,MAX(0,C46-L46)),0),0)</f>
        <v>0</v>
      </c>
      <c r="N46" s="32">
        <f t="shared" si="13"/>
        <v>31948365</v>
      </c>
      <c r="O46" s="32">
        <f t="shared" si="14"/>
        <v>801627</v>
      </c>
      <c r="P46" s="34" t="str">
        <f>IF(NOT(AND(T45="",A46&lt;=S45)),"",IF(A46=入力!$B$15+1,"繰上返済後再計算","")&amp;IF(AND(入力!$B$13="有効",A46&gt;1,MOD(A46-1,60)=0),IF(A46=入力!$B$15+1,"・","")&amp;"5年見直し","")&amp;IF(AND(A46=入力!$B$11,A46&gt;1),IF(OR(A46=入力!$B$15+1,AND(入力!$B$13="有効",A46&gt;1,MOD(A46-1,60)=0)),"・","")&amp;"金利変更","")&amp;IF(AND(OR(AND(入力!$B$13="有効",A46&gt;1,MOD(A46-1,60)=0),AND(A46=入力!$B$11,A46&gt;1)),入力!$B$14="有効",IF(E46=0,ROUND(C46/MAX(1,S45-A46+1),0),ROUND(-PMT(E46/12,MAX(1,S45-A46+1),C46),0))&gt;ROUND(G45*1.25,0),NOT(A46=入力!$B$15+1)),"・上限適用",""))</f>
        <v/>
      </c>
      <c r="Q46" s="35" t="str">
        <f>IF(AND(T45="",A46&lt;=S45),入力!$B$13,"")</f>
        <v>有効</v>
      </c>
      <c r="R46" s="32" t="str">
        <f>IF(AND(AND(T45="",A46&lt;=S45),OR(AND(入力!$B$13="有効",A46&gt;1,MOD(A46-1,60)=0),AND(A46=入力!$B$11,A46&gt;1)),入力!$B$14="有効"),ROUND(G45*1.25,0),"")</f>
        <v/>
      </c>
      <c r="S46" s="36">
        <f>IF(A46=入力!$B$15,A46+入力!$B$19,S45)</f>
        <v>420</v>
      </c>
      <c r="T46" s="35" t="str">
        <f t="shared" si="15"/>
        <v/>
      </c>
      <c r="U46" s="3">
        <f t="shared" si="0"/>
        <v>0</v>
      </c>
      <c r="V46" s="3">
        <f t="shared" si="1"/>
        <v>0</v>
      </c>
      <c r="W46" s="3">
        <f t="shared" si="2"/>
        <v>0</v>
      </c>
      <c r="X46" s="3">
        <f t="shared" si="3"/>
        <v>0</v>
      </c>
      <c r="Y46" s="3">
        <f>IF(A46&lt;入力!$B$15,ABS(G46-何もしない_月次!G46),0)</f>
        <v>0</v>
      </c>
      <c r="Z46" s="3">
        <f t="shared" si="4"/>
        <v>0</v>
      </c>
      <c r="AA46">
        <f>ROUND(IF(A46=入力!$B$15+1,IF(E46=0,ROUND(C46/入力!$B$19,0),ROUND(-PMT(E46/12,入力!$B$19,C46),0)),IF(OR(AND(入力!$B$13="有効",A46&gt;1,MOD(A46-1,60)=0),AND(A46=入力!$B$11,A46&gt;1)),IF(入力!$B$14="有効",MIN(IF(E46=0,ROUND(C46/MAX(1,S45-A46+1),0),ROUND(-PMT(E46/12,MAX(1,S45-A46+1),C46),0)),ROUND(G45*1.25,0)),IF(E46=0,ROUND(C46/MAX(1,S45-A46+1),0),ROUND(-PMT(E46/12,MAX(1,S45-A46+1),C46),0))),G45)),0)</f>
        <v>93982</v>
      </c>
    </row>
    <row r="47" spans="1:27">
      <c r="A47" s="30">
        <f>42</f>
        <v>42</v>
      </c>
      <c r="B47" s="31">
        <f>EDATE(入力!$B$6,A47-1)</f>
        <v>47484</v>
      </c>
      <c r="C47" s="32">
        <f t="shared" si="5"/>
        <v>31948365</v>
      </c>
      <c r="D47" s="32">
        <f t="shared" si="6"/>
        <v>0</v>
      </c>
      <c r="E47" s="33">
        <f>IF(AND(T46="",A47&lt;=S46),IF(A47&lt;入力!$B$11,入力!$B$10,入力!$B$12),0)</f>
        <v>7.0000000000000001E-3</v>
      </c>
      <c r="F47" s="32">
        <f t="shared" si="7"/>
        <v>18637</v>
      </c>
      <c r="G47" s="32">
        <f>ROUND(IF(NOT(AND(T46="",A47&lt;=S46)),0,IF(A47=入力!$B$15+1,IF(E47=0,ROUND(C47/入力!$B$19,0),ROUND(-PMT(E47/12,入力!$B$19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),0)</f>
        <v>93982</v>
      </c>
      <c r="H47" s="32">
        <f t="shared" si="8"/>
        <v>93982</v>
      </c>
      <c r="I47" s="32">
        <f t="shared" si="9"/>
        <v>18637</v>
      </c>
      <c r="J47" s="32">
        <f t="shared" si="10"/>
        <v>0</v>
      </c>
      <c r="K47" s="32">
        <f t="shared" si="11"/>
        <v>0</v>
      </c>
      <c r="L47" s="32">
        <f t="shared" si="12"/>
        <v>75345</v>
      </c>
      <c r="M47" s="32">
        <f>IF(AND(AND(T46="",A47&lt;=S46),A47=入力!$B$15),ROUND(MIN(入力!$B$16,MAX(0,C47-L47)),0),0)</f>
        <v>0</v>
      </c>
      <c r="N47" s="32">
        <f t="shared" si="13"/>
        <v>31873020</v>
      </c>
      <c r="O47" s="32">
        <f t="shared" si="14"/>
        <v>820264</v>
      </c>
      <c r="P47" s="34" t="str">
        <f>IF(NOT(AND(T46="",A47&lt;=S46)),"",IF(A47=入力!$B$15+1,"繰上返済後再計算","")&amp;IF(AND(入力!$B$13="有効",A47&gt;1,MOD(A47-1,60)=0),IF(A47=入力!$B$15+1,"・","")&amp;"5年見直し","")&amp;IF(AND(A47=入力!$B$11,A47&gt;1),IF(OR(A47=入力!$B$15+1,AND(入力!$B$13="有効",A47&gt;1,MOD(A47-1,60)=0)),"・","")&amp;"金利変更","")&amp;IF(AND(OR(AND(入力!$B$13="有効",A47&gt;1,MOD(A47-1,60)=0),AND(A47=入力!$B$11,A47&gt;1)),入力!$B$14="有効",IF(E47=0,ROUND(C47/MAX(1,S46-A47+1),0),ROUND(-PMT(E47/12,MAX(1,S46-A47+1),C47),0))&gt;ROUND(G46*1.25,0),NOT(A47=入力!$B$15+1)),"・上限適用",""))</f>
        <v/>
      </c>
      <c r="Q47" s="35" t="str">
        <f>IF(AND(T46="",A47&lt;=S46),入力!$B$13,"")</f>
        <v>有効</v>
      </c>
      <c r="R47" s="32" t="str">
        <f>IF(AND(AND(T46="",A47&lt;=S46),OR(AND(入力!$B$13="有効",A47&gt;1,MOD(A47-1,60)=0),AND(A47=入力!$B$11,A47&gt;1)),入力!$B$14="有効"),ROUND(G46*1.25,0),"")</f>
        <v/>
      </c>
      <c r="S47" s="36">
        <f>IF(A47=入力!$B$15,A47+入力!$B$19,S46)</f>
        <v>420</v>
      </c>
      <c r="T47" s="35" t="str">
        <f t="shared" si="15"/>
        <v/>
      </c>
      <c r="U47" s="3">
        <f t="shared" si="0"/>
        <v>0</v>
      </c>
      <c r="V47" s="3">
        <f t="shared" si="1"/>
        <v>0</v>
      </c>
      <c r="W47" s="3">
        <f t="shared" si="2"/>
        <v>0</v>
      </c>
      <c r="X47" s="3">
        <f t="shared" si="3"/>
        <v>0</v>
      </c>
      <c r="Y47" s="3">
        <f>IF(A47&lt;入力!$B$15,ABS(G47-何もしない_月次!G47),0)</f>
        <v>0</v>
      </c>
      <c r="Z47" s="3">
        <f t="shared" si="4"/>
        <v>0</v>
      </c>
      <c r="AA47">
        <f>ROUND(IF(A47=入力!$B$15+1,IF(E47=0,ROUND(C47/入力!$B$19,0),ROUND(-PMT(E47/12,入力!$B$19,C47),0)),IF(OR(AND(入力!$B$13="有効",A47&gt;1,MOD(A47-1,60)=0),AND(A47=入力!$B$11,A47&gt;1)),IF(入力!$B$14="有効",MIN(IF(E47=0,ROUND(C47/MAX(1,S46-A47+1),0),ROUND(-PMT(E47/12,MAX(1,S46-A47+1),C47),0)),ROUND(G46*1.25,0)),IF(E47=0,ROUND(C47/MAX(1,S46-A47+1),0),ROUND(-PMT(E47/12,MAX(1,S46-A47+1),C47),0))),G46)),0)</f>
        <v>93982</v>
      </c>
    </row>
    <row r="48" spans="1:27">
      <c r="A48" s="30">
        <f>43</f>
        <v>43</v>
      </c>
      <c r="B48" s="31">
        <f>EDATE(入力!$B$6,A48-1)</f>
        <v>47515</v>
      </c>
      <c r="C48" s="32">
        <f t="shared" si="5"/>
        <v>31873020</v>
      </c>
      <c r="D48" s="32">
        <f t="shared" si="6"/>
        <v>0</v>
      </c>
      <c r="E48" s="33">
        <f>IF(AND(T47="",A48&lt;=S47),IF(A48&lt;入力!$B$11,入力!$B$10,入力!$B$12),0)</f>
        <v>7.0000000000000001E-3</v>
      </c>
      <c r="F48" s="32">
        <f t="shared" si="7"/>
        <v>18593</v>
      </c>
      <c r="G48" s="32">
        <f>ROUND(IF(NOT(AND(T47="",A48&lt;=S47)),0,IF(A48=入力!$B$15+1,IF(E48=0,ROUND(C48/入力!$B$19,0),ROUND(-PMT(E48/12,入力!$B$19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),0)</f>
        <v>93982</v>
      </c>
      <c r="H48" s="32">
        <f t="shared" si="8"/>
        <v>93982</v>
      </c>
      <c r="I48" s="32">
        <f t="shared" si="9"/>
        <v>18593</v>
      </c>
      <c r="J48" s="32">
        <f t="shared" si="10"/>
        <v>0</v>
      </c>
      <c r="K48" s="32">
        <f t="shared" si="11"/>
        <v>0</v>
      </c>
      <c r="L48" s="32">
        <f t="shared" si="12"/>
        <v>75389</v>
      </c>
      <c r="M48" s="32">
        <f>IF(AND(AND(T47="",A48&lt;=S47),A48=入力!$B$15),ROUND(MIN(入力!$B$16,MAX(0,C48-L48)),0),0)</f>
        <v>0</v>
      </c>
      <c r="N48" s="32">
        <f t="shared" si="13"/>
        <v>31797631</v>
      </c>
      <c r="O48" s="32">
        <f t="shared" si="14"/>
        <v>838857</v>
      </c>
      <c r="P48" s="34" t="str">
        <f>IF(NOT(AND(T47="",A48&lt;=S47)),"",IF(A48=入力!$B$15+1,"繰上返済後再計算","")&amp;IF(AND(入力!$B$13="有効",A48&gt;1,MOD(A48-1,60)=0),IF(A48=入力!$B$15+1,"・","")&amp;"5年見直し","")&amp;IF(AND(A48=入力!$B$11,A48&gt;1),IF(OR(A48=入力!$B$15+1,AND(入力!$B$13="有効",A48&gt;1,MOD(A48-1,60)=0)),"・","")&amp;"金利変更","")&amp;IF(AND(OR(AND(入力!$B$13="有効",A48&gt;1,MOD(A48-1,60)=0),AND(A48=入力!$B$11,A48&gt;1)),入力!$B$14="有効",IF(E48=0,ROUND(C48/MAX(1,S47-A48+1),0),ROUND(-PMT(E48/12,MAX(1,S47-A48+1),C48),0))&gt;ROUND(G47*1.25,0),NOT(A48=入力!$B$15+1)),"・上限適用",""))</f>
        <v/>
      </c>
      <c r="Q48" s="35" t="str">
        <f>IF(AND(T47="",A48&lt;=S47),入力!$B$13,"")</f>
        <v>有効</v>
      </c>
      <c r="R48" s="32" t="str">
        <f>IF(AND(AND(T47="",A48&lt;=S47),OR(AND(入力!$B$13="有効",A48&gt;1,MOD(A48-1,60)=0),AND(A48=入力!$B$11,A48&gt;1)),入力!$B$14="有効"),ROUND(G47*1.25,0),"")</f>
        <v/>
      </c>
      <c r="S48" s="36">
        <f>IF(A48=入力!$B$15,A48+入力!$B$19,S47)</f>
        <v>420</v>
      </c>
      <c r="T48" s="35" t="str">
        <f t="shared" si="15"/>
        <v/>
      </c>
      <c r="U48" s="3">
        <f t="shared" si="0"/>
        <v>0</v>
      </c>
      <c r="V48" s="3">
        <f t="shared" si="1"/>
        <v>0</v>
      </c>
      <c r="W48" s="3">
        <f t="shared" si="2"/>
        <v>0</v>
      </c>
      <c r="X48" s="3">
        <f t="shared" si="3"/>
        <v>0</v>
      </c>
      <c r="Y48" s="3">
        <f>IF(A48&lt;入力!$B$15,ABS(G48-何もしない_月次!G48),0)</f>
        <v>0</v>
      </c>
      <c r="Z48" s="3">
        <f t="shared" si="4"/>
        <v>0</v>
      </c>
      <c r="AA48">
        <f>ROUND(IF(A48=入力!$B$15+1,IF(E48=0,ROUND(C48/入力!$B$19,0),ROUND(-PMT(E48/12,入力!$B$19,C48),0)),IF(OR(AND(入力!$B$13="有効",A48&gt;1,MOD(A48-1,60)=0),AND(A48=入力!$B$11,A48&gt;1)),IF(入力!$B$14="有効",MIN(IF(E48=0,ROUND(C48/MAX(1,S47-A48+1),0),ROUND(-PMT(E48/12,MAX(1,S47-A48+1),C48),0)),ROUND(G47*1.25,0)),IF(E48=0,ROUND(C48/MAX(1,S47-A48+1),0),ROUND(-PMT(E48/12,MAX(1,S47-A48+1),C48),0))),G47)),0)</f>
        <v>93982</v>
      </c>
    </row>
    <row r="49" spans="1:27">
      <c r="A49" s="30">
        <f>44</f>
        <v>44</v>
      </c>
      <c r="B49" s="31">
        <f>EDATE(入力!$B$6,A49-1)</f>
        <v>47543</v>
      </c>
      <c r="C49" s="32">
        <f t="shared" si="5"/>
        <v>31797631</v>
      </c>
      <c r="D49" s="32">
        <f t="shared" si="6"/>
        <v>0</v>
      </c>
      <c r="E49" s="33">
        <f>IF(AND(T48="",A49&lt;=S48),IF(A49&lt;入力!$B$11,入力!$B$10,入力!$B$12),0)</f>
        <v>7.0000000000000001E-3</v>
      </c>
      <c r="F49" s="32">
        <f t="shared" si="7"/>
        <v>18549</v>
      </c>
      <c r="G49" s="32">
        <f>ROUND(IF(NOT(AND(T48="",A49&lt;=S48)),0,IF(A49=入力!$B$15+1,IF(E49=0,ROUND(C49/入力!$B$19,0),ROUND(-PMT(E49/12,入力!$B$19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),0)</f>
        <v>93982</v>
      </c>
      <c r="H49" s="32">
        <f t="shared" si="8"/>
        <v>93982</v>
      </c>
      <c r="I49" s="32">
        <f t="shared" si="9"/>
        <v>18549</v>
      </c>
      <c r="J49" s="32">
        <f t="shared" si="10"/>
        <v>0</v>
      </c>
      <c r="K49" s="32">
        <f t="shared" si="11"/>
        <v>0</v>
      </c>
      <c r="L49" s="32">
        <f t="shared" si="12"/>
        <v>75433</v>
      </c>
      <c r="M49" s="32">
        <f>IF(AND(AND(T48="",A49&lt;=S48),A49=入力!$B$15),ROUND(MIN(入力!$B$16,MAX(0,C49-L49)),0),0)</f>
        <v>0</v>
      </c>
      <c r="N49" s="32">
        <f t="shared" si="13"/>
        <v>31722198</v>
      </c>
      <c r="O49" s="32">
        <f t="shared" si="14"/>
        <v>857406</v>
      </c>
      <c r="P49" s="34" t="str">
        <f>IF(NOT(AND(T48="",A49&lt;=S48)),"",IF(A49=入力!$B$15+1,"繰上返済後再計算","")&amp;IF(AND(入力!$B$13="有効",A49&gt;1,MOD(A49-1,60)=0),IF(A49=入力!$B$15+1,"・","")&amp;"5年見直し","")&amp;IF(AND(A49=入力!$B$11,A49&gt;1),IF(OR(A49=入力!$B$15+1,AND(入力!$B$13="有効",A49&gt;1,MOD(A49-1,60)=0)),"・","")&amp;"金利変更","")&amp;IF(AND(OR(AND(入力!$B$13="有効",A49&gt;1,MOD(A49-1,60)=0),AND(A49=入力!$B$11,A49&gt;1)),入力!$B$14="有効",IF(E49=0,ROUND(C49/MAX(1,S48-A49+1),0),ROUND(-PMT(E49/12,MAX(1,S48-A49+1),C49),0))&gt;ROUND(G48*1.25,0),NOT(A49=入力!$B$15+1)),"・上限適用",""))</f>
        <v/>
      </c>
      <c r="Q49" s="35" t="str">
        <f>IF(AND(T48="",A49&lt;=S48),入力!$B$13,"")</f>
        <v>有効</v>
      </c>
      <c r="R49" s="32" t="str">
        <f>IF(AND(AND(T48="",A49&lt;=S48),OR(AND(入力!$B$13="有効",A49&gt;1,MOD(A49-1,60)=0),AND(A49=入力!$B$11,A49&gt;1)),入力!$B$14="有効"),ROUND(G48*1.25,0),"")</f>
        <v/>
      </c>
      <c r="S49" s="36">
        <f>IF(A49=入力!$B$15,A49+入力!$B$19,S48)</f>
        <v>420</v>
      </c>
      <c r="T49" s="35" t="str">
        <f t="shared" si="15"/>
        <v/>
      </c>
      <c r="U49" s="3">
        <f t="shared" si="0"/>
        <v>0</v>
      </c>
      <c r="V49" s="3">
        <f t="shared" si="1"/>
        <v>0</v>
      </c>
      <c r="W49" s="3">
        <f t="shared" si="2"/>
        <v>0</v>
      </c>
      <c r="X49" s="3">
        <f t="shared" si="3"/>
        <v>0</v>
      </c>
      <c r="Y49" s="3">
        <f>IF(A49&lt;入力!$B$15,ABS(G49-何もしない_月次!G49),0)</f>
        <v>0</v>
      </c>
      <c r="Z49" s="3">
        <f t="shared" si="4"/>
        <v>0</v>
      </c>
      <c r="AA49">
        <f>ROUND(IF(A49=入力!$B$15+1,IF(E49=0,ROUND(C49/入力!$B$19,0),ROUND(-PMT(E49/12,入力!$B$19,C49),0)),IF(OR(AND(入力!$B$13="有効",A49&gt;1,MOD(A49-1,60)=0),AND(A49=入力!$B$11,A49&gt;1)),IF(入力!$B$14="有効",MIN(IF(E49=0,ROUND(C49/MAX(1,S48-A49+1),0),ROUND(-PMT(E49/12,MAX(1,S48-A49+1),C49),0)),ROUND(G48*1.25,0)),IF(E49=0,ROUND(C49/MAX(1,S48-A49+1),0),ROUND(-PMT(E49/12,MAX(1,S48-A49+1),C49),0))),G48)),0)</f>
        <v>93982</v>
      </c>
    </row>
    <row r="50" spans="1:27">
      <c r="A50" s="30">
        <f>45</f>
        <v>45</v>
      </c>
      <c r="B50" s="31">
        <f>EDATE(入力!$B$6,A50-1)</f>
        <v>47574</v>
      </c>
      <c r="C50" s="32">
        <f t="shared" si="5"/>
        <v>31722198</v>
      </c>
      <c r="D50" s="32">
        <f t="shared" si="6"/>
        <v>0</v>
      </c>
      <c r="E50" s="33">
        <f>IF(AND(T49="",A50&lt;=S49),IF(A50&lt;入力!$B$11,入力!$B$10,入力!$B$12),0)</f>
        <v>7.0000000000000001E-3</v>
      </c>
      <c r="F50" s="32">
        <f t="shared" si="7"/>
        <v>18505</v>
      </c>
      <c r="G50" s="32">
        <f>ROUND(IF(NOT(AND(T49="",A50&lt;=S49)),0,IF(A50=入力!$B$15+1,IF(E50=0,ROUND(C50/入力!$B$19,0),ROUND(-PMT(E50/12,入力!$B$19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),0)</f>
        <v>93982</v>
      </c>
      <c r="H50" s="32">
        <f t="shared" si="8"/>
        <v>93982</v>
      </c>
      <c r="I50" s="32">
        <f t="shared" si="9"/>
        <v>18505</v>
      </c>
      <c r="J50" s="32">
        <f t="shared" si="10"/>
        <v>0</v>
      </c>
      <c r="K50" s="32">
        <f t="shared" si="11"/>
        <v>0</v>
      </c>
      <c r="L50" s="32">
        <f t="shared" si="12"/>
        <v>75477</v>
      </c>
      <c r="M50" s="32">
        <f>IF(AND(AND(T49="",A50&lt;=S49),A50=入力!$B$15),ROUND(MIN(入力!$B$16,MAX(0,C50-L50)),0),0)</f>
        <v>0</v>
      </c>
      <c r="N50" s="32">
        <f t="shared" si="13"/>
        <v>31646721</v>
      </c>
      <c r="O50" s="32">
        <f t="shared" si="14"/>
        <v>875911</v>
      </c>
      <c r="P50" s="34" t="str">
        <f>IF(NOT(AND(T49="",A50&lt;=S49)),"",IF(A50=入力!$B$15+1,"繰上返済後再計算","")&amp;IF(AND(入力!$B$13="有効",A50&gt;1,MOD(A50-1,60)=0),IF(A50=入力!$B$15+1,"・","")&amp;"5年見直し","")&amp;IF(AND(A50=入力!$B$11,A50&gt;1),IF(OR(A50=入力!$B$15+1,AND(入力!$B$13="有効",A50&gt;1,MOD(A50-1,60)=0)),"・","")&amp;"金利変更","")&amp;IF(AND(OR(AND(入力!$B$13="有効",A50&gt;1,MOD(A50-1,60)=0),AND(A50=入力!$B$11,A50&gt;1)),入力!$B$14="有効",IF(E50=0,ROUND(C50/MAX(1,S49-A50+1),0),ROUND(-PMT(E50/12,MAX(1,S49-A50+1),C50),0))&gt;ROUND(G49*1.25,0),NOT(A50=入力!$B$15+1)),"・上限適用",""))</f>
        <v/>
      </c>
      <c r="Q50" s="35" t="str">
        <f>IF(AND(T49="",A50&lt;=S49),入力!$B$13,"")</f>
        <v>有効</v>
      </c>
      <c r="R50" s="32" t="str">
        <f>IF(AND(AND(T49="",A50&lt;=S49),OR(AND(入力!$B$13="有効",A50&gt;1,MOD(A50-1,60)=0),AND(A50=入力!$B$11,A50&gt;1)),入力!$B$14="有効"),ROUND(G49*1.25,0),"")</f>
        <v/>
      </c>
      <c r="S50" s="36">
        <f>IF(A50=入力!$B$15,A50+入力!$B$19,S49)</f>
        <v>420</v>
      </c>
      <c r="T50" s="35" t="str">
        <f t="shared" si="15"/>
        <v/>
      </c>
      <c r="U50" s="3">
        <f t="shared" si="0"/>
        <v>0</v>
      </c>
      <c r="V50" s="3">
        <f t="shared" si="1"/>
        <v>0</v>
      </c>
      <c r="W50" s="3">
        <f t="shared" si="2"/>
        <v>0</v>
      </c>
      <c r="X50" s="3">
        <f t="shared" si="3"/>
        <v>0</v>
      </c>
      <c r="Y50" s="3">
        <f>IF(A50&lt;入力!$B$15,ABS(G50-何もしない_月次!G50),0)</f>
        <v>0</v>
      </c>
      <c r="Z50" s="3">
        <f t="shared" si="4"/>
        <v>0</v>
      </c>
      <c r="AA50">
        <f>ROUND(IF(A50=入力!$B$15+1,IF(E50=0,ROUND(C50/入力!$B$19,0),ROUND(-PMT(E50/12,入力!$B$19,C50),0)),IF(OR(AND(入力!$B$13="有効",A50&gt;1,MOD(A50-1,60)=0),AND(A50=入力!$B$11,A50&gt;1)),IF(入力!$B$14="有効",MIN(IF(E50=0,ROUND(C50/MAX(1,S49-A50+1),0),ROUND(-PMT(E50/12,MAX(1,S49-A50+1),C50),0)),ROUND(G49*1.25,0)),IF(E50=0,ROUND(C50/MAX(1,S49-A50+1),0),ROUND(-PMT(E50/12,MAX(1,S49-A50+1),C50),0))),G49)),0)</f>
        <v>93982</v>
      </c>
    </row>
    <row r="51" spans="1:27">
      <c r="A51" s="30">
        <f>46</f>
        <v>46</v>
      </c>
      <c r="B51" s="31">
        <f>EDATE(入力!$B$6,A51-1)</f>
        <v>47604</v>
      </c>
      <c r="C51" s="32">
        <f t="shared" si="5"/>
        <v>31646721</v>
      </c>
      <c r="D51" s="32">
        <f t="shared" si="6"/>
        <v>0</v>
      </c>
      <c r="E51" s="33">
        <f>IF(AND(T50="",A51&lt;=S50),IF(A51&lt;入力!$B$11,入力!$B$10,入力!$B$12),0)</f>
        <v>7.0000000000000001E-3</v>
      </c>
      <c r="F51" s="32">
        <f t="shared" si="7"/>
        <v>18461</v>
      </c>
      <c r="G51" s="32">
        <f>ROUND(IF(NOT(AND(T50="",A51&lt;=S50)),0,IF(A51=入力!$B$15+1,IF(E51=0,ROUND(C51/入力!$B$19,0),ROUND(-PMT(E51/12,入力!$B$19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),0)</f>
        <v>93982</v>
      </c>
      <c r="H51" s="32">
        <f t="shared" si="8"/>
        <v>93982</v>
      </c>
      <c r="I51" s="32">
        <f t="shared" si="9"/>
        <v>18461</v>
      </c>
      <c r="J51" s="32">
        <f t="shared" si="10"/>
        <v>0</v>
      </c>
      <c r="K51" s="32">
        <f t="shared" si="11"/>
        <v>0</v>
      </c>
      <c r="L51" s="32">
        <f t="shared" si="12"/>
        <v>75521</v>
      </c>
      <c r="M51" s="32">
        <f>IF(AND(AND(T50="",A51&lt;=S50),A51=入力!$B$15),ROUND(MIN(入力!$B$16,MAX(0,C51-L51)),0),0)</f>
        <v>0</v>
      </c>
      <c r="N51" s="32">
        <f t="shared" si="13"/>
        <v>31571200</v>
      </c>
      <c r="O51" s="32">
        <f t="shared" si="14"/>
        <v>894372</v>
      </c>
      <c r="P51" s="34" t="str">
        <f>IF(NOT(AND(T50="",A51&lt;=S50)),"",IF(A51=入力!$B$15+1,"繰上返済後再計算","")&amp;IF(AND(入力!$B$13="有効",A51&gt;1,MOD(A51-1,60)=0),IF(A51=入力!$B$15+1,"・","")&amp;"5年見直し","")&amp;IF(AND(A51=入力!$B$11,A51&gt;1),IF(OR(A51=入力!$B$15+1,AND(入力!$B$13="有効",A51&gt;1,MOD(A51-1,60)=0)),"・","")&amp;"金利変更","")&amp;IF(AND(OR(AND(入力!$B$13="有効",A51&gt;1,MOD(A51-1,60)=0),AND(A51=入力!$B$11,A51&gt;1)),入力!$B$14="有効",IF(E51=0,ROUND(C51/MAX(1,S50-A51+1),0),ROUND(-PMT(E51/12,MAX(1,S50-A51+1),C51),0))&gt;ROUND(G50*1.25,0),NOT(A51=入力!$B$15+1)),"・上限適用",""))</f>
        <v/>
      </c>
      <c r="Q51" s="35" t="str">
        <f>IF(AND(T50="",A51&lt;=S50),入力!$B$13,"")</f>
        <v>有効</v>
      </c>
      <c r="R51" s="32" t="str">
        <f>IF(AND(AND(T50="",A51&lt;=S50),OR(AND(入力!$B$13="有効",A51&gt;1,MOD(A51-1,60)=0),AND(A51=入力!$B$11,A51&gt;1)),入力!$B$14="有効"),ROUND(G50*1.25,0),"")</f>
        <v/>
      </c>
      <c r="S51" s="36">
        <f>IF(A51=入力!$B$15,A51+入力!$B$19,S50)</f>
        <v>420</v>
      </c>
      <c r="T51" s="35" t="str">
        <f t="shared" si="15"/>
        <v/>
      </c>
      <c r="U51" s="3">
        <f t="shared" si="0"/>
        <v>0</v>
      </c>
      <c r="V51" s="3">
        <f t="shared" si="1"/>
        <v>0</v>
      </c>
      <c r="W51" s="3">
        <f t="shared" si="2"/>
        <v>0</v>
      </c>
      <c r="X51" s="3">
        <f t="shared" si="3"/>
        <v>0</v>
      </c>
      <c r="Y51" s="3">
        <f>IF(A51&lt;入力!$B$15,ABS(G51-何もしない_月次!G51),0)</f>
        <v>0</v>
      </c>
      <c r="Z51" s="3">
        <f t="shared" si="4"/>
        <v>0</v>
      </c>
      <c r="AA51">
        <f>ROUND(IF(A51=入力!$B$15+1,IF(E51=0,ROUND(C51/入力!$B$19,0),ROUND(-PMT(E51/12,入力!$B$19,C51),0)),IF(OR(AND(入力!$B$13="有効",A51&gt;1,MOD(A51-1,60)=0),AND(A51=入力!$B$11,A51&gt;1)),IF(入力!$B$14="有効",MIN(IF(E51=0,ROUND(C51/MAX(1,S50-A51+1),0),ROUND(-PMT(E51/12,MAX(1,S50-A51+1),C51),0)),ROUND(G50*1.25,0)),IF(E51=0,ROUND(C51/MAX(1,S50-A51+1),0),ROUND(-PMT(E51/12,MAX(1,S50-A51+1),C51),0))),G50)),0)</f>
        <v>93982</v>
      </c>
    </row>
    <row r="52" spans="1:27">
      <c r="A52" s="30">
        <f>47</f>
        <v>47</v>
      </c>
      <c r="B52" s="31">
        <f>EDATE(入力!$B$6,A52-1)</f>
        <v>47635</v>
      </c>
      <c r="C52" s="32">
        <f t="shared" si="5"/>
        <v>31571200</v>
      </c>
      <c r="D52" s="32">
        <f t="shared" si="6"/>
        <v>0</v>
      </c>
      <c r="E52" s="33">
        <f>IF(AND(T51="",A52&lt;=S51),IF(A52&lt;入力!$B$11,入力!$B$10,入力!$B$12),0)</f>
        <v>7.0000000000000001E-3</v>
      </c>
      <c r="F52" s="32">
        <f t="shared" si="7"/>
        <v>18417</v>
      </c>
      <c r="G52" s="32">
        <f>ROUND(IF(NOT(AND(T51="",A52&lt;=S51)),0,IF(A52=入力!$B$15+1,IF(E52=0,ROUND(C52/入力!$B$19,0),ROUND(-PMT(E52/12,入力!$B$19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),0)</f>
        <v>93982</v>
      </c>
      <c r="H52" s="32">
        <f t="shared" si="8"/>
        <v>93982</v>
      </c>
      <c r="I52" s="32">
        <f t="shared" si="9"/>
        <v>18417</v>
      </c>
      <c r="J52" s="32">
        <f t="shared" si="10"/>
        <v>0</v>
      </c>
      <c r="K52" s="32">
        <f t="shared" si="11"/>
        <v>0</v>
      </c>
      <c r="L52" s="32">
        <f t="shared" si="12"/>
        <v>75565</v>
      </c>
      <c r="M52" s="32">
        <f>IF(AND(AND(T51="",A52&lt;=S51),A52=入力!$B$15),ROUND(MIN(入力!$B$16,MAX(0,C52-L52)),0),0)</f>
        <v>0</v>
      </c>
      <c r="N52" s="32">
        <f t="shared" si="13"/>
        <v>31495635</v>
      </c>
      <c r="O52" s="32">
        <f t="shared" si="14"/>
        <v>912789</v>
      </c>
      <c r="P52" s="34" t="str">
        <f>IF(NOT(AND(T51="",A52&lt;=S51)),"",IF(A52=入力!$B$15+1,"繰上返済後再計算","")&amp;IF(AND(入力!$B$13="有効",A52&gt;1,MOD(A52-1,60)=0),IF(A52=入力!$B$15+1,"・","")&amp;"5年見直し","")&amp;IF(AND(A52=入力!$B$11,A52&gt;1),IF(OR(A52=入力!$B$15+1,AND(入力!$B$13="有効",A52&gt;1,MOD(A52-1,60)=0)),"・","")&amp;"金利変更","")&amp;IF(AND(OR(AND(入力!$B$13="有効",A52&gt;1,MOD(A52-1,60)=0),AND(A52=入力!$B$11,A52&gt;1)),入力!$B$14="有効",IF(E52=0,ROUND(C52/MAX(1,S51-A52+1),0),ROUND(-PMT(E52/12,MAX(1,S51-A52+1),C52),0))&gt;ROUND(G51*1.25,0),NOT(A52=入力!$B$15+1)),"・上限適用",""))</f>
        <v/>
      </c>
      <c r="Q52" s="35" t="str">
        <f>IF(AND(T51="",A52&lt;=S51),入力!$B$13,"")</f>
        <v>有効</v>
      </c>
      <c r="R52" s="32" t="str">
        <f>IF(AND(AND(T51="",A52&lt;=S51),OR(AND(入力!$B$13="有効",A52&gt;1,MOD(A52-1,60)=0),AND(A52=入力!$B$11,A52&gt;1)),入力!$B$14="有効"),ROUND(G51*1.25,0),"")</f>
        <v/>
      </c>
      <c r="S52" s="36">
        <f>IF(A52=入力!$B$15,A52+入力!$B$19,S51)</f>
        <v>420</v>
      </c>
      <c r="T52" s="35" t="str">
        <f t="shared" si="15"/>
        <v/>
      </c>
      <c r="U52" s="3">
        <f t="shared" si="0"/>
        <v>0</v>
      </c>
      <c r="V52" s="3">
        <f t="shared" si="1"/>
        <v>0</v>
      </c>
      <c r="W52" s="3">
        <f t="shared" si="2"/>
        <v>0</v>
      </c>
      <c r="X52" s="3">
        <f t="shared" si="3"/>
        <v>0</v>
      </c>
      <c r="Y52" s="3">
        <f>IF(A52&lt;入力!$B$15,ABS(G52-何もしない_月次!G52),0)</f>
        <v>0</v>
      </c>
      <c r="Z52" s="3">
        <f t="shared" si="4"/>
        <v>0</v>
      </c>
      <c r="AA52">
        <f>ROUND(IF(A52=入力!$B$15+1,IF(E52=0,ROUND(C52/入力!$B$19,0),ROUND(-PMT(E52/12,入力!$B$19,C52),0)),IF(OR(AND(入力!$B$13="有効",A52&gt;1,MOD(A52-1,60)=0),AND(A52=入力!$B$11,A52&gt;1)),IF(入力!$B$14="有効",MIN(IF(E52=0,ROUND(C52/MAX(1,S51-A52+1),0),ROUND(-PMT(E52/12,MAX(1,S51-A52+1),C52),0)),ROUND(G51*1.25,0)),IF(E52=0,ROUND(C52/MAX(1,S51-A52+1),0),ROUND(-PMT(E52/12,MAX(1,S51-A52+1),C52),0))),G51)),0)</f>
        <v>93982</v>
      </c>
    </row>
    <row r="53" spans="1:27">
      <c r="A53" s="30">
        <f>48</f>
        <v>48</v>
      </c>
      <c r="B53" s="31">
        <f>EDATE(入力!$B$6,A53-1)</f>
        <v>47665</v>
      </c>
      <c r="C53" s="32">
        <f t="shared" si="5"/>
        <v>31495635</v>
      </c>
      <c r="D53" s="32">
        <f t="shared" si="6"/>
        <v>0</v>
      </c>
      <c r="E53" s="33">
        <f>IF(AND(T52="",A53&lt;=S52),IF(A53&lt;入力!$B$11,入力!$B$10,入力!$B$12),0)</f>
        <v>7.0000000000000001E-3</v>
      </c>
      <c r="F53" s="32">
        <f t="shared" si="7"/>
        <v>18372</v>
      </c>
      <c r="G53" s="32">
        <f>ROUND(IF(NOT(AND(T52="",A53&lt;=S52)),0,IF(A53=入力!$B$15+1,IF(E53=0,ROUND(C53/入力!$B$19,0),ROUND(-PMT(E53/12,入力!$B$19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),0)</f>
        <v>93982</v>
      </c>
      <c r="H53" s="32">
        <f t="shared" si="8"/>
        <v>93982</v>
      </c>
      <c r="I53" s="32">
        <f t="shared" si="9"/>
        <v>18372</v>
      </c>
      <c r="J53" s="32">
        <f t="shared" si="10"/>
        <v>0</v>
      </c>
      <c r="K53" s="32">
        <f t="shared" si="11"/>
        <v>0</v>
      </c>
      <c r="L53" s="32">
        <f t="shared" si="12"/>
        <v>75610</v>
      </c>
      <c r="M53" s="32">
        <f>IF(AND(AND(T52="",A53&lt;=S52),A53=入力!$B$15),ROUND(MIN(入力!$B$16,MAX(0,C53-L53)),0),0)</f>
        <v>0</v>
      </c>
      <c r="N53" s="32">
        <f t="shared" si="13"/>
        <v>31420025</v>
      </c>
      <c r="O53" s="32">
        <f t="shared" si="14"/>
        <v>931161</v>
      </c>
      <c r="P53" s="34" t="str">
        <f>IF(NOT(AND(T52="",A53&lt;=S52)),"",IF(A53=入力!$B$15+1,"繰上返済後再計算","")&amp;IF(AND(入力!$B$13="有効",A53&gt;1,MOD(A53-1,60)=0),IF(A53=入力!$B$15+1,"・","")&amp;"5年見直し","")&amp;IF(AND(A53=入力!$B$11,A53&gt;1),IF(OR(A53=入力!$B$15+1,AND(入力!$B$13="有効",A53&gt;1,MOD(A53-1,60)=0)),"・","")&amp;"金利変更","")&amp;IF(AND(OR(AND(入力!$B$13="有効",A53&gt;1,MOD(A53-1,60)=0),AND(A53=入力!$B$11,A53&gt;1)),入力!$B$14="有効",IF(E53=0,ROUND(C53/MAX(1,S52-A53+1),0),ROUND(-PMT(E53/12,MAX(1,S52-A53+1),C53),0))&gt;ROUND(G52*1.25,0),NOT(A53=入力!$B$15+1)),"・上限適用",""))</f>
        <v/>
      </c>
      <c r="Q53" s="35" t="str">
        <f>IF(AND(T52="",A53&lt;=S52),入力!$B$13,"")</f>
        <v>有効</v>
      </c>
      <c r="R53" s="32" t="str">
        <f>IF(AND(AND(T52="",A53&lt;=S52),OR(AND(入力!$B$13="有効",A53&gt;1,MOD(A53-1,60)=0),AND(A53=入力!$B$11,A53&gt;1)),入力!$B$14="有効"),ROUND(G52*1.25,0),"")</f>
        <v/>
      </c>
      <c r="S53" s="36">
        <f>IF(A53=入力!$B$15,A53+入力!$B$19,S52)</f>
        <v>420</v>
      </c>
      <c r="T53" s="35" t="str">
        <f t="shared" si="15"/>
        <v/>
      </c>
      <c r="U53" s="3">
        <f t="shared" si="0"/>
        <v>0</v>
      </c>
      <c r="V53" s="3">
        <f t="shared" si="1"/>
        <v>0</v>
      </c>
      <c r="W53" s="3">
        <f t="shared" si="2"/>
        <v>0</v>
      </c>
      <c r="X53" s="3">
        <f t="shared" si="3"/>
        <v>0</v>
      </c>
      <c r="Y53" s="3">
        <f>IF(A53&lt;入力!$B$15,ABS(G53-何もしない_月次!G53),0)</f>
        <v>0</v>
      </c>
      <c r="Z53" s="3">
        <f t="shared" si="4"/>
        <v>0</v>
      </c>
      <c r="AA53">
        <f>ROUND(IF(A53=入力!$B$15+1,IF(E53=0,ROUND(C53/入力!$B$19,0),ROUND(-PMT(E53/12,入力!$B$19,C53),0)),IF(OR(AND(入力!$B$13="有効",A53&gt;1,MOD(A53-1,60)=0),AND(A53=入力!$B$11,A53&gt;1)),IF(入力!$B$14="有効",MIN(IF(E53=0,ROUND(C53/MAX(1,S52-A53+1),0),ROUND(-PMT(E53/12,MAX(1,S52-A53+1),C53),0)),ROUND(G52*1.25,0)),IF(E53=0,ROUND(C53/MAX(1,S52-A53+1),0),ROUND(-PMT(E53/12,MAX(1,S52-A53+1),C53),0))),G52)),0)</f>
        <v>93982</v>
      </c>
    </row>
    <row r="54" spans="1:27">
      <c r="A54" s="30">
        <f>49</f>
        <v>49</v>
      </c>
      <c r="B54" s="31">
        <f>EDATE(入力!$B$6,A54-1)</f>
        <v>47696</v>
      </c>
      <c r="C54" s="32">
        <f t="shared" si="5"/>
        <v>31420025</v>
      </c>
      <c r="D54" s="32">
        <f t="shared" si="6"/>
        <v>0</v>
      </c>
      <c r="E54" s="33">
        <f>IF(AND(T53="",A54&lt;=S53),IF(A54&lt;入力!$B$11,入力!$B$10,入力!$B$12),0)</f>
        <v>7.0000000000000001E-3</v>
      </c>
      <c r="F54" s="32">
        <f t="shared" si="7"/>
        <v>18328</v>
      </c>
      <c r="G54" s="32">
        <f>ROUND(IF(NOT(AND(T53="",A54&lt;=S53)),0,IF(A54=入力!$B$15+1,IF(E54=0,ROUND(C54/入力!$B$19,0),ROUND(-PMT(E54/12,入力!$B$19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),0)</f>
        <v>93982</v>
      </c>
      <c r="H54" s="32">
        <f t="shared" si="8"/>
        <v>93982</v>
      </c>
      <c r="I54" s="32">
        <f t="shared" si="9"/>
        <v>18328</v>
      </c>
      <c r="J54" s="32">
        <f t="shared" si="10"/>
        <v>0</v>
      </c>
      <c r="K54" s="32">
        <f t="shared" si="11"/>
        <v>0</v>
      </c>
      <c r="L54" s="32">
        <f t="shared" si="12"/>
        <v>75654</v>
      </c>
      <c r="M54" s="32">
        <f>IF(AND(AND(T53="",A54&lt;=S53),A54=入力!$B$15),ROUND(MIN(入力!$B$16,MAX(0,C54-L54)),0),0)</f>
        <v>0</v>
      </c>
      <c r="N54" s="32">
        <f t="shared" si="13"/>
        <v>31344371</v>
      </c>
      <c r="O54" s="32">
        <f t="shared" si="14"/>
        <v>949489</v>
      </c>
      <c r="P54" s="34" t="str">
        <f>IF(NOT(AND(T53="",A54&lt;=S53)),"",IF(A54=入力!$B$15+1,"繰上返済後再計算","")&amp;IF(AND(入力!$B$13="有効",A54&gt;1,MOD(A54-1,60)=0),IF(A54=入力!$B$15+1,"・","")&amp;"5年見直し","")&amp;IF(AND(A54=入力!$B$11,A54&gt;1),IF(OR(A54=入力!$B$15+1,AND(入力!$B$13="有効",A54&gt;1,MOD(A54-1,60)=0)),"・","")&amp;"金利変更","")&amp;IF(AND(OR(AND(入力!$B$13="有効",A54&gt;1,MOD(A54-1,60)=0),AND(A54=入力!$B$11,A54&gt;1)),入力!$B$14="有効",IF(E54=0,ROUND(C54/MAX(1,S53-A54+1),0),ROUND(-PMT(E54/12,MAX(1,S53-A54+1),C54),0))&gt;ROUND(G53*1.25,0),NOT(A54=入力!$B$15+1)),"・上限適用",""))</f>
        <v/>
      </c>
      <c r="Q54" s="35" t="str">
        <f>IF(AND(T53="",A54&lt;=S53),入力!$B$13,"")</f>
        <v>有効</v>
      </c>
      <c r="R54" s="32" t="str">
        <f>IF(AND(AND(T53="",A54&lt;=S53),OR(AND(入力!$B$13="有効",A54&gt;1,MOD(A54-1,60)=0),AND(A54=入力!$B$11,A54&gt;1)),入力!$B$14="有効"),ROUND(G53*1.25,0),"")</f>
        <v/>
      </c>
      <c r="S54" s="36">
        <f>IF(A54=入力!$B$15,A54+入力!$B$19,S53)</f>
        <v>420</v>
      </c>
      <c r="T54" s="35" t="str">
        <f t="shared" si="15"/>
        <v/>
      </c>
      <c r="U54" s="3">
        <f t="shared" si="0"/>
        <v>0</v>
      </c>
      <c r="V54" s="3">
        <f t="shared" si="1"/>
        <v>0</v>
      </c>
      <c r="W54" s="3">
        <f t="shared" si="2"/>
        <v>0</v>
      </c>
      <c r="X54" s="3">
        <f t="shared" si="3"/>
        <v>0</v>
      </c>
      <c r="Y54" s="3">
        <f>IF(A54&lt;入力!$B$15,ABS(G54-何もしない_月次!G54),0)</f>
        <v>0</v>
      </c>
      <c r="Z54" s="3">
        <f t="shared" si="4"/>
        <v>0</v>
      </c>
      <c r="AA54">
        <f>ROUND(IF(A54=入力!$B$15+1,IF(E54=0,ROUND(C54/入力!$B$19,0),ROUND(-PMT(E54/12,入力!$B$19,C54),0)),IF(OR(AND(入力!$B$13="有効",A54&gt;1,MOD(A54-1,60)=0),AND(A54=入力!$B$11,A54&gt;1)),IF(入力!$B$14="有効",MIN(IF(E54=0,ROUND(C54/MAX(1,S53-A54+1),0),ROUND(-PMT(E54/12,MAX(1,S53-A54+1),C54),0)),ROUND(G53*1.25,0)),IF(E54=0,ROUND(C54/MAX(1,S53-A54+1),0),ROUND(-PMT(E54/12,MAX(1,S53-A54+1),C54),0))),G53)),0)</f>
        <v>93982</v>
      </c>
    </row>
    <row r="55" spans="1:27">
      <c r="A55" s="30">
        <f>50</f>
        <v>50</v>
      </c>
      <c r="B55" s="31">
        <f>EDATE(入力!$B$6,A55-1)</f>
        <v>47727</v>
      </c>
      <c r="C55" s="32">
        <f t="shared" si="5"/>
        <v>31344371</v>
      </c>
      <c r="D55" s="32">
        <f t="shared" si="6"/>
        <v>0</v>
      </c>
      <c r="E55" s="33">
        <f>IF(AND(T54="",A55&lt;=S54),IF(A55&lt;入力!$B$11,入力!$B$10,入力!$B$12),0)</f>
        <v>7.0000000000000001E-3</v>
      </c>
      <c r="F55" s="32">
        <f t="shared" si="7"/>
        <v>18284</v>
      </c>
      <c r="G55" s="32">
        <f>ROUND(IF(NOT(AND(T54="",A55&lt;=S54)),0,IF(A55=入力!$B$15+1,IF(E55=0,ROUND(C55/入力!$B$19,0),ROUND(-PMT(E55/12,入力!$B$19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),0)</f>
        <v>93982</v>
      </c>
      <c r="H55" s="32">
        <f t="shared" si="8"/>
        <v>93982</v>
      </c>
      <c r="I55" s="32">
        <f t="shared" si="9"/>
        <v>18284</v>
      </c>
      <c r="J55" s="32">
        <f t="shared" si="10"/>
        <v>0</v>
      </c>
      <c r="K55" s="32">
        <f t="shared" si="11"/>
        <v>0</v>
      </c>
      <c r="L55" s="32">
        <f t="shared" si="12"/>
        <v>75698</v>
      </c>
      <c r="M55" s="32">
        <f>IF(AND(AND(T54="",A55&lt;=S54),A55=入力!$B$15),ROUND(MIN(入力!$B$16,MAX(0,C55-L55)),0),0)</f>
        <v>0</v>
      </c>
      <c r="N55" s="32">
        <f t="shared" si="13"/>
        <v>31268673</v>
      </c>
      <c r="O55" s="32">
        <f t="shared" si="14"/>
        <v>967773</v>
      </c>
      <c r="P55" s="34" t="str">
        <f>IF(NOT(AND(T54="",A55&lt;=S54)),"",IF(A55=入力!$B$15+1,"繰上返済後再計算","")&amp;IF(AND(入力!$B$13="有効",A55&gt;1,MOD(A55-1,60)=0),IF(A55=入力!$B$15+1,"・","")&amp;"5年見直し","")&amp;IF(AND(A55=入力!$B$11,A55&gt;1),IF(OR(A55=入力!$B$15+1,AND(入力!$B$13="有効",A55&gt;1,MOD(A55-1,60)=0)),"・","")&amp;"金利変更","")&amp;IF(AND(OR(AND(入力!$B$13="有効",A55&gt;1,MOD(A55-1,60)=0),AND(A55=入力!$B$11,A55&gt;1)),入力!$B$14="有効",IF(E55=0,ROUND(C55/MAX(1,S54-A55+1),0),ROUND(-PMT(E55/12,MAX(1,S54-A55+1),C55),0))&gt;ROUND(G54*1.25,0),NOT(A55=入力!$B$15+1)),"・上限適用",""))</f>
        <v/>
      </c>
      <c r="Q55" s="35" t="str">
        <f>IF(AND(T54="",A55&lt;=S54),入力!$B$13,"")</f>
        <v>有効</v>
      </c>
      <c r="R55" s="32" t="str">
        <f>IF(AND(AND(T54="",A55&lt;=S54),OR(AND(入力!$B$13="有効",A55&gt;1,MOD(A55-1,60)=0),AND(A55=入力!$B$11,A55&gt;1)),入力!$B$14="有効"),ROUND(G54*1.25,0),"")</f>
        <v/>
      </c>
      <c r="S55" s="36">
        <f>IF(A55=入力!$B$15,A55+入力!$B$19,S54)</f>
        <v>420</v>
      </c>
      <c r="T55" s="35" t="str">
        <f t="shared" si="15"/>
        <v/>
      </c>
      <c r="U55" s="3">
        <f t="shared" si="0"/>
        <v>0</v>
      </c>
      <c r="V55" s="3">
        <f t="shared" si="1"/>
        <v>0</v>
      </c>
      <c r="W55" s="3">
        <f t="shared" si="2"/>
        <v>0</v>
      </c>
      <c r="X55" s="3">
        <f t="shared" si="3"/>
        <v>0</v>
      </c>
      <c r="Y55" s="3">
        <f>IF(A55&lt;入力!$B$15,ABS(G55-何もしない_月次!G55),0)</f>
        <v>0</v>
      </c>
      <c r="Z55" s="3">
        <f t="shared" si="4"/>
        <v>0</v>
      </c>
      <c r="AA55">
        <f>ROUND(IF(A55=入力!$B$15+1,IF(E55=0,ROUND(C55/入力!$B$19,0),ROUND(-PMT(E55/12,入力!$B$19,C55),0)),IF(OR(AND(入力!$B$13="有効",A55&gt;1,MOD(A55-1,60)=0),AND(A55=入力!$B$11,A55&gt;1)),IF(入力!$B$14="有効",MIN(IF(E55=0,ROUND(C55/MAX(1,S54-A55+1),0),ROUND(-PMT(E55/12,MAX(1,S54-A55+1),C55),0)),ROUND(G54*1.25,0)),IF(E55=0,ROUND(C55/MAX(1,S54-A55+1),0),ROUND(-PMT(E55/12,MAX(1,S54-A55+1),C55),0))),G54)),0)</f>
        <v>93982</v>
      </c>
    </row>
    <row r="56" spans="1:27">
      <c r="A56" s="30">
        <f>51</f>
        <v>51</v>
      </c>
      <c r="B56" s="31">
        <f>EDATE(入力!$B$6,A56-1)</f>
        <v>47757</v>
      </c>
      <c r="C56" s="32">
        <f t="shared" si="5"/>
        <v>31268673</v>
      </c>
      <c r="D56" s="32">
        <f t="shared" si="6"/>
        <v>0</v>
      </c>
      <c r="E56" s="33">
        <f>IF(AND(T55="",A56&lt;=S55),IF(A56&lt;入力!$B$11,入力!$B$10,入力!$B$12),0)</f>
        <v>7.0000000000000001E-3</v>
      </c>
      <c r="F56" s="32">
        <f t="shared" si="7"/>
        <v>18240</v>
      </c>
      <c r="G56" s="32">
        <f>ROUND(IF(NOT(AND(T55="",A56&lt;=S55)),0,IF(A56=入力!$B$15+1,IF(E56=0,ROUND(C56/入力!$B$19,0),ROUND(-PMT(E56/12,入力!$B$19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),0)</f>
        <v>93982</v>
      </c>
      <c r="H56" s="32">
        <f t="shared" si="8"/>
        <v>93982</v>
      </c>
      <c r="I56" s="32">
        <f t="shared" si="9"/>
        <v>18240</v>
      </c>
      <c r="J56" s="32">
        <f t="shared" si="10"/>
        <v>0</v>
      </c>
      <c r="K56" s="32">
        <f t="shared" si="11"/>
        <v>0</v>
      </c>
      <c r="L56" s="32">
        <f t="shared" si="12"/>
        <v>75742</v>
      </c>
      <c r="M56" s="32">
        <f>IF(AND(AND(T55="",A56&lt;=S55),A56=入力!$B$15),ROUND(MIN(入力!$B$16,MAX(0,C56-L56)),0),0)</f>
        <v>0</v>
      </c>
      <c r="N56" s="32">
        <f t="shared" si="13"/>
        <v>31192931</v>
      </c>
      <c r="O56" s="32">
        <f t="shared" si="14"/>
        <v>986013</v>
      </c>
      <c r="P56" s="34" t="str">
        <f>IF(NOT(AND(T55="",A56&lt;=S55)),"",IF(A56=入力!$B$15+1,"繰上返済後再計算","")&amp;IF(AND(入力!$B$13="有効",A56&gt;1,MOD(A56-1,60)=0),IF(A56=入力!$B$15+1,"・","")&amp;"5年見直し","")&amp;IF(AND(A56=入力!$B$11,A56&gt;1),IF(OR(A56=入力!$B$15+1,AND(入力!$B$13="有効",A56&gt;1,MOD(A56-1,60)=0)),"・","")&amp;"金利変更","")&amp;IF(AND(OR(AND(入力!$B$13="有効",A56&gt;1,MOD(A56-1,60)=0),AND(A56=入力!$B$11,A56&gt;1)),入力!$B$14="有効",IF(E56=0,ROUND(C56/MAX(1,S55-A56+1),0),ROUND(-PMT(E56/12,MAX(1,S55-A56+1),C56),0))&gt;ROUND(G55*1.25,0),NOT(A56=入力!$B$15+1)),"・上限適用",""))</f>
        <v/>
      </c>
      <c r="Q56" s="35" t="str">
        <f>IF(AND(T55="",A56&lt;=S55),入力!$B$13,"")</f>
        <v>有効</v>
      </c>
      <c r="R56" s="32" t="str">
        <f>IF(AND(AND(T55="",A56&lt;=S55),OR(AND(入力!$B$13="有効",A56&gt;1,MOD(A56-1,60)=0),AND(A56=入力!$B$11,A56&gt;1)),入力!$B$14="有効"),ROUND(G55*1.25,0),"")</f>
        <v/>
      </c>
      <c r="S56" s="36">
        <f>IF(A56=入力!$B$15,A56+入力!$B$19,S55)</f>
        <v>420</v>
      </c>
      <c r="T56" s="35" t="str">
        <f t="shared" si="15"/>
        <v/>
      </c>
      <c r="U56" s="3">
        <f t="shared" si="0"/>
        <v>0</v>
      </c>
      <c r="V56" s="3">
        <f t="shared" si="1"/>
        <v>0</v>
      </c>
      <c r="W56" s="3">
        <f t="shared" si="2"/>
        <v>0</v>
      </c>
      <c r="X56" s="3">
        <f t="shared" si="3"/>
        <v>0</v>
      </c>
      <c r="Y56" s="3">
        <f>IF(A56&lt;入力!$B$15,ABS(G56-何もしない_月次!G56),0)</f>
        <v>0</v>
      </c>
      <c r="Z56" s="3">
        <f t="shared" si="4"/>
        <v>0</v>
      </c>
      <c r="AA56">
        <f>ROUND(IF(A56=入力!$B$15+1,IF(E56=0,ROUND(C56/入力!$B$19,0),ROUND(-PMT(E56/12,入力!$B$19,C56),0)),IF(OR(AND(入力!$B$13="有効",A56&gt;1,MOD(A56-1,60)=0),AND(A56=入力!$B$11,A56&gt;1)),IF(入力!$B$14="有効",MIN(IF(E56=0,ROUND(C56/MAX(1,S55-A56+1),0),ROUND(-PMT(E56/12,MAX(1,S55-A56+1),C56),0)),ROUND(G55*1.25,0)),IF(E56=0,ROUND(C56/MAX(1,S55-A56+1),0),ROUND(-PMT(E56/12,MAX(1,S55-A56+1),C56),0))),G55)),0)</f>
        <v>93982</v>
      </c>
    </row>
    <row r="57" spans="1:27">
      <c r="A57" s="30">
        <f>52</f>
        <v>52</v>
      </c>
      <c r="B57" s="31">
        <f>EDATE(入力!$B$6,A57-1)</f>
        <v>47788</v>
      </c>
      <c r="C57" s="32">
        <f t="shared" si="5"/>
        <v>31192931</v>
      </c>
      <c r="D57" s="32">
        <f t="shared" si="6"/>
        <v>0</v>
      </c>
      <c r="E57" s="33">
        <f>IF(AND(T56="",A57&lt;=S56),IF(A57&lt;入力!$B$11,入力!$B$10,入力!$B$12),0)</f>
        <v>7.0000000000000001E-3</v>
      </c>
      <c r="F57" s="32">
        <f t="shared" si="7"/>
        <v>18196</v>
      </c>
      <c r="G57" s="32">
        <f>ROUND(IF(NOT(AND(T56="",A57&lt;=S56)),0,IF(A57=入力!$B$15+1,IF(E57=0,ROUND(C57/入力!$B$19,0),ROUND(-PMT(E57/12,入力!$B$19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),0)</f>
        <v>93982</v>
      </c>
      <c r="H57" s="32">
        <f t="shared" si="8"/>
        <v>93982</v>
      </c>
      <c r="I57" s="32">
        <f t="shared" si="9"/>
        <v>18196</v>
      </c>
      <c r="J57" s="32">
        <f t="shared" si="10"/>
        <v>0</v>
      </c>
      <c r="K57" s="32">
        <f t="shared" si="11"/>
        <v>0</v>
      </c>
      <c r="L57" s="32">
        <f t="shared" si="12"/>
        <v>75786</v>
      </c>
      <c r="M57" s="32">
        <f>IF(AND(AND(T56="",A57&lt;=S56),A57=入力!$B$15),ROUND(MIN(入力!$B$16,MAX(0,C57-L57)),0),0)</f>
        <v>0</v>
      </c>
      <c r="N57" s="32">
        <f t="shared" si="13"/>
        <v>31117145</v>
      </c>
      <c r="O57" s="32">
        <f t="shared" si="14"/>
        <v>1004209</v>
      </c>
      <c r="P57" s="34" t="str">
        <f>IF(NOT(AND(T56="",A57&lt;=S56)),"",IF(A57=入力!$B$15+1,"繰上返済後再計算","")&amp;IF(AND(入力!$B$13="有効",A57&gt;1,MOD(A57-1,60)=0),IF(A57=入力!$B$15+1,"・","")&amp;"5年見直し","")&amp;IF(AND(A57=入力!$B$11,A57&gt;1),IF(OR(A57=入力!$B$15+1,AND(入力!$B$13="有効",A57&gt;1,MOD(A57-1,60)=0)),"・","")&amp;"金利変更","")&amp;IF(AND(OR(AND(入力!$B$13="有効",A57&gt;1,MOD(A57-1,60)=0),AND(A57=入力!$B$11,A57&gt;1)),入力!$B$14="有効",IF(E57=0,ROUND(C57/MAX(1,S56-A57+1),0),ROUND(-PMT(E57/12,MAX(1,S56-A57+1),C57),0))&gt;ROUND(G56*1.25,0),NOT(A57=入力!$B$15+1)),"・上限適用",""))</f>
        <v/>
      </c>
      <c r="Q57" s="35" t="str">
        <f>IF(AND(T56="",A57&lt;=S56),入力!$B$13,"")</f>
        <v>有効</v>
      </c>
      <c r="R57" s="32" t="str">
        <f>IF(AND(AND(T56="",A57&lt;=S56),OR(AND(入力!$B$13="有効",A57&gt;1,MOD(A57-1,60)=0),AND(A57=入力!$B$11,A57&gt;1)),入力!$B$14="有効"),ROUND(G56*1.25,0),"")</f>
        <v/>
      </c>
      <c r="S57" s="36">
        <f>IF(A57=入力!$B$15,A57+入力!$B$19,S56)</f>
        <v>420</v>
      </c>
      <c r="T57" s="35" t="str">
        <f t="shared" si="15"/>
        <v/>
      </c>
      <c r="U57" s="3">
        <f t="shared" si="0"/>
        <v>0</v>
      </c>
      <c r="V57" s="3">
        <f t="shared" si="1"/>
        <v>0</v>
      </c>
      <c r="W57" s="3">
        <f t="shared" si="2"/>
        <v>0</v>
      </c>
      <c r="X57" s="3">
        <f t="shared" si="3"/>
        <v>0</v>
      </c>
      <c r="Y57" s="3">
        <f>IF(A57&lt;入力!$B$15,ABS(G57-何もしない_月次!G57),0)</f>
        <v>0</v>
      </c>
      <c r="Z57" s="3">
        <f t="shared" si="4"/>
        <v>0</v>
      </c>
      <c r="AA57">
        <f>ROUND(IF(A57=入力!$B$15+1,IF(E57=0,ROUND(C57/入力!$B$19,0),ROUND(-PMT(E57/12,入力!$B$19,C57),0)),IF(OR(AND(入力!$B$13="有効",A57&gt;1,MOD(A57-1,60)=0),AND(A57=入力!$B$11,A57&gt;1)),IF(入力!$B$14="有効",MIN(IF(E57=0,ROUND(C57/MAX(1,S56-A57+1),0),ROUND(-PMT(E57/12,MAX(1,S56-A57+1),C57),0)),ROUND(G56*1.25,0)),IF(E57=0,ROUND(C57/MAX(1,S56-A57+1),0),ROUND(-PMT(E57/12,MAX(1,S56-A57+1),C57),0))),G56)),0)</f>
        <v>93982</v>
      </c>
    </row>
    <row r="58" spans="1:27">
      <c r="A58" s="30">
        <f>53</f>
        <v>53</v>
      </c>
      <c r="B58" s="31">
        <f>EDATE(入力!$B$6,A58-1)</f>
        <v>47818</v>
      </c>
      <c r="C58" s="32">
        <f t="shared" si="5"/>
        <v>31117145</v>
      </c>
      <c r="D58" s="32">
        <f t="shared" si="6"/>
        <v>0</v>
      </c>
      <c r="E58" s="33">
        <f>IF(AND(T57="",A58&lt;=S57),IF(A58&lt;入力!$B$11,入力!$B$10,入力!$B$12),0)</f>
        <v>7.0000000000000001E-3</v>
      </c>
      <c r="F58" s="32">
        <f t="shared" si="7"/>
        <v>18152</v>
      </c>
      <c r="G58" s="32">
        <f>ROUND(IF(NOT(AND(T57="",A58&lt;=S57)),0,IF(A58=入力!$B$15+1,IF(E58=0,ROUND(C58/入力!$B$19,0),ROUND(-PMT(E58/12,入力!$B$19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),0)</f>
        <v>93982</v>
      </c>
      <c r="H58" s="32">
        <f t="shared" si="8"/>
        <v>93982</v>
      </c>
      <c r="I58" s="32">
        <f t="shared" si="9"/>
        <v>18152</v>
      </c>
      <c r="J58" s="32">
        <f t="shared" si="10"/>
        <v>0</v>
      </c>
      <c r="K58" s="32">
        <f t="shared" si="11"/>
        <v>0</v>
      </c>
      <c r="L58" s="32">
        <f t="shared" si="12"/>
        <v>75830</v>
      </c>
      <c r="M58" s="32">
        <f>IF(AND(AND(T57="",A58&lt;=S57),A58=入力!$B$15),ROUND(MIN(入力!$B$16,MAX(0,C58-L58)),0),0)</f>
        <v>0</v>
      </c>
      <c r="N58" s="32">
        <f t="shared" si="13"/>
        <v>31041315</v>
      </c>
      <c r="O58" s="32">
        <f t="shared" si="14"/>
        <v>1022361</v>
      </c>
      <c r="P58" s="34" t="str">
        <f>IF(NOT(AND(T57="",A58&lt;=S57)),"",IF(A58=入力!$B$15+1,"繰上返済後再計算","")&amp;IF(AND(入力!$B$13="有効",A58&gt;1,MOD(A58-1,60)=0),IF(A58=入力!$B$15+1,"・","")&amp;"5年見直し","")&amp;IF(AND(A58=入力!$B$11,A58&gt;1),IF(OR(A58=入力!$B$15+1,AND(入力!$B$13="有効",A58&gt;1,MOD(A58-1,60)=0)),"・","")&amp;"金利変更","")&amp;IF(AND(OR(AND(入力!$B$13="有効",A58&gt;1,MOD(A58-1,60)=0),AND(A58=入力!$B$11,A58&gt;1)),入力!$B$14="有効",IF(E58=0,ROUND(C58/MAX(1,S57-A58+1),0),ROUND(-PMT(E58/12,MAX(1,S57-A58+1),C58),0))&gt;ROUND(G57*1.25,0),NOT(A58=入力!$B$15+1)),"・上限適用",""))</f>
        <v/>
      </c>
      <c r="Q58" s="35" t="str">
        <f>IF(AND(T57="",A58&lt;=S57),入力!$B$13,"")</f>
        <v>有効</v>
      </c>
      <c r="R58" s="32" t="str">
        <f>IF(AND(AND(T57="",A58&lt;=S57),OR(AND(入力!$B$13="有効",A58&gt;1,MOD(A58-1,60)=0),AND(A58=入力!$B$11,A58&gt;1)),入力!$B$14="有効"),ROUND(G57*1.25,0),"")</f>
        <v/>
      </c>
      <c r="S58" s="36">
        <f>IF(A58=入力!$B$15,A58+入力!$B$19,S57)</f>
        <v>420</v>
      </c>
      <c r="T58" s="35" t="str">
        <f t="shared" si="15"/>
        <v/>
      </c>
      <c r="U58" s="3">
        <f t="shared" si="0"/>
        <v>0</v>
      </c>
      <c r="V58" s="3">
        <f t="shared" si="1"/>
        <v>0</v>
      </c>
      <c r="W58" s="3">
        <f t="shared" si="2"/>
        <v>0</v>
      </c>
      <c r="X58" s="3">
        <f t="shared" si="3"/>
        <v>0</v>
      </c>
      <c r="Y58" s="3">
        <f>IF(A58&lt;入力!$B$15,ABS(G58-何もしない_月次!G58),0)</f>
        <v>0</v>
      </c>
      <c r="Z58" s="3">
        <f t="shared" si="4"/>
        <v>0</v>
      </c>
      <c r="AA58">
        <f>ROUND(IF(A58=入力!$B$15+1,IF(E58=0,ROUND(C58/入力!$B$19,0),ROUND(-PMT(E58/12,入力!$B$19,C58),0)),IF(OR(AND(入力!$B$13="有効",A58&gt;1,MOD(A58-1,60)=0),AND(A58=入力!$B$11,A58&gt;1)),IF(入力!$B$14="有効",MIN(IF(E58=0,ROUND(C58/MAX(1,S57-A58+1),0),ROUND(-PMT(E58/12,MAX(1,S57-A58+1),C58),0)),ROUND(G57*1.25,0)),IF(E58=0,ROUND(C58/MAX(1,S57-A58+1),0),ROUND(-PMT(E58/12,MAX(1,S57-A58+1),C58),0))),G57)),0)</f>
        <v>93982</v>
      </c>
    </row>
    <row r="59" spans="1:27">
      <c r="A59" s="30">
        <f>54</f>
        <v>54</v>
      </c>
      <c r="B59" s="31">
        <f>EDATE(入力!$B$6,A59-1)</f>
        <v>47849</v>
      </c>
      <c r="C59" s="32">
        <f t="shared" si="5"/>
        <v>31041315</v>
      </c>
      <c r="D59" s="32">
        <f t="shared" si="6"/>
        <v>0</v>
      </c>
      <c r="E59" s="33">
        <f>IF(AND(T58="",A59&lt;=S58),IF(A59&lt;入力!$B$11,入力!$B$10,入力!$B$12),0)</f>
        <v>7.0000000000000001E-3</v>
      </c>
      <c r="F59" s="32">
        <f t="shared" si="7"/>
        <v>18107</v>
      </c>
      <c r="G59" s="32">
        <f>ROUND(IF(NOT(AND(T58="",A59&lt;=S58)),0,IF(A59=入力!$B$15+1,IF(E59=0,ROUND(C59/入力!$B$19,0),ROUND(-PMT(E59/12,入力!$B$19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),0)</f>
        <v>93982</v>
      </c>
      <c r="H59" s="32">
        <f t="shared" si="8"/>
        <v>93982</v>
      </c>
      <c r="I59" s="32">
        <f t="shared" si="9"/>
        <v>18107</v>
      </c>
      <c r="J59" s="32">
        <f t="shared" si="10"/>
        <v>0</v>
      </c>
      <c r="K59" s="32">
        <f t="shared" si="11"/>
        <v>0</v>
      </c>
      <c r="L59" s="32">
        <f t="shared" si="12"/>
        <v>75875</v>
      </c>
      <c r="M59" s="32">
        <f>IF(AND(AND(T58="",A59&lt;=S58),A59=入力!$B$15),ROUND(MIN(入力!$B$16,MAX(0,C59-L59)),0),0)</f>
        <v>0</v>
      </c>
      <c r="N59" s="32">
        <f t="shared" si="13"/>
        <v>30965440</v>
      </c>
      <c r="O59" s="32">
        <f t="shared" si="14"/>
        <v>1040468</v>
      </c>
      <c r="P59" s="34" t="str">
        <f>IF(NOT(AND(T58="",A59&lt;=S58)),"",IF(A59=入力!$B$15+1,"繰上返済後再計算","")&amp;IF(AND(入力!$B$13="有効",A59&gt;1,MOD(A59-1,60)=0),IF(A59=入力!$B$15+1,"・","")&amp;"5年見直し","")&amp;IF(AND(A59=入力!$B$11,A59&gt;1),IF(OR(A59=入力!$B$15+1,AND(入力!$B$13="有効",A59&gt;1,MOD(A59-1,60)=0)),"・","")&amp;"金利変更","")&amp;IF(AND(OR(AND(入力!$B$13="有効",A59&gt;1,MOD(A59-1,60)=0),AND(A59=入力!$B$11,A59&gt;1)),入力!$B$14="有効",IF(E59=0,ROUND(C59/MAX(1,S58-A59+1),0),ROUND(-PMT(E59/12,MAX(1,S58-A59+1),C59),0))&gt;ROUND(G58*1.25,0),NOT(A59=入力!$B$15+1)),"・上限適用",""))</f>
        <v/>
      </c>
      <c r="Q59" s="35" t="str">
        <f>IF(AND(T58="",A59&lt;=S58),入力!$B$13,"")</f>
        <v>有効</v>
      </c>
      <c r="R59" s="32" t="str">
        <f>IF(AND(AND(T58="",A59&lt;=S58),OR(AND(入力!$B$13="有効",A59&gt;1,MOD(A59-1,60)=0),AND(A59=入力!$B$11,A59&gt;1)),入力!$B$14="有効"),ROUND(G58*1.25,0),"")</f>
        <v/>
      </c>
      <c r="S59" s="36">
        <f>IF(A59=入力!$B$15,A59+入力!$B$19,S58)</f>
        <v>420</v>
      </c>
      <c r="T59" s="35" t="str">
        <f t="shared" si="15"/>
        <v/>
      </c>
      <c r="U59" s="3">
        <f t="shared" si="0"/>
        <v>0</v>
      </c>
      <c r="V59" s="3">
        <f t="shared" si="1"/>
        <v>0</v>
      </c>
      <c r="W59" s="3">
        <f t="shared" si="2"/>
        <v>0</v>
      </c>
      <c r="X59" s="3">
        <f t="shared" si="3"/>
        <v>0</v>
      </c>
      <c r="Y59" s="3">
        <f>IF(A59&lt;入力!$B$15,ABS(G59-何もしない_月次!G59),0)</f>
        <v>0</v>
      </c>
      <c r="Z59" s="3">
        <f t="shared" si="4"/>
        <v>0</v>
      </c>
      <c r="AA59">
        <f>ROUND(IF(A59=入力!$B$15+1,IF(E59=0,ROUND(C59/入力!$B$19,0),ROUND(-PMT(E59/12,入力!$B$19,C59),0)),IF(OR(AND(入力!$B$13="有効",A59&gt;1,MOD(A59-1,60)=0),AND(A59=入力!$B$11,A59&gt;1)),IF(入力!$B$14="有効",MIN(IF(E59=0,ROUND(C59/MAX(1,S58-A59+1),0),ROUND(-PMT(E59/12,MAX(1,S58-A59+1),C59),0)),ROUND(G58*1.25,0)),IF(E59=0,ROUND(C59/MAX(1,S58-A59+1),0),ROUND(-PMT(E59/12,MAX(1,S58-A59+1),C59),0))),G58)),0)</f>
        <v>93982</v>
      </c>
    </row>
    <row r="60" spans="1:27">
      <c r="A60" s="30">
        <f>55</f>
        <v>55</v>
      </c>
      <c r="B60" s="31">
        <f>EDATE(入力!$B$6,A60-1)</f>
        <v>47880</v>
      </c>
      <c r="C60" s="32">
        <f t="shared" si="5"/>
        <v>30965440</v>
      </c>
      <c r="D60" s="32">
        <f t="shared" si="6"/>
        <v>0</v>
      </c>
      <c r="E60" s="33">
        <f>IF(AND(T59="",A60&lt;=S59),IF(A60&lt;入力!$B$11,入力!$B$10,入力!$B$12),0)</f>
        <v>7.0000000000000001E-3</v>
      </c>
      <c r="F60" s="32">
        <f t="shared" si="7"/>
        <v>18063</v>
      </c>
      <c r="G60" s="32">
        <f>ROUND(IF(NOT(AND(T59="",A60&lt;=S59)),0,IF(A60=入力!$B$15+1,IF(E60=0,ROUND(C60/入力!$B$19,0),ROUND(-PMT(E60/12,入力!$B$19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),0)</f>
        <v>93982</v>
      </c>
      <c r="H60" s="32">
        <f t="shared" si="8"/>
        <v>93982</v>
      </c>
      <c r="I60" s="32">
        <f t="shared" si="9"/>
        <v>18063</v>
      </c>
      <c r="J60" s="32">
        <f t="shared" si="10"/>
        <v>0</v>
      </c>
      <c r="K60" s="32">
        <f t="shared" si="11"/>
        <v>0</v>
      </c>
      <c r="L60" s="32">
        <f t="shared" si="12"/>
        <v>75919</v>
      </c>
      <c r="M60" s="32">
        <f>IF(AND(AND(T59="",A60&lt;=S59),A60=入力!$B$15),ROUND(MIN(入力!$B$16,MAX(0,C60-L60)),0),0)</f>
        <v>0</v>
      </c>
      <c r="N60" s="32">
        <f t="shared" si="13"/>
        <v>30889521</v>
      </c>
      <c r="O60" s="32">
        <f t="shared" si="14"/>
        <v>1058531</v>
      </c>
      <c r="P60" s="34" t="str">
        <f>IF(NOT(AND(T59="",A60&lt;=S59)),"",IF(A60=入力!$B$15+1,"繰上返済後再計算","")&amp;IF(AND(入力!$B$13="有効",A60&gt;1,MOD(A60-1,60)=0),IF(A60=入力!$B$15+1,"・","")&amp;"5年見直し","")&amp;IF(AND(A60=入力!$B$11,A60&gt;1),IF(OR(A60=入力!$B$15+1,AND(入力!$B$13="有効",A60&gt;1,MOD(A60-1,60)=0)),"・","")&amp;"金利変更","")&amp;IF(AND(OR(AND(入力!$B$13="有効",A60&gt;1,MOD(A60-1,60)=0),AND(A60=入力!$B$11,A60&gt;1)),入力!$B$14="有効",IF(E60=0,ROUND(C60/MAX(1,S59-A60+1),0),ROUND(-PMT(E60/12,MAX(1,S59-A60+1),C60),0))&gt;ROUND(G59*1.25,0),NOT(A60=入力!$B$15+1)),"・上限適用",""))</f>
        <v/>
      </c>
      <c r="Q60" s="35" t="str">
        <f>IF(AND(T59="",A60&lt;=S59),入力!$B$13,"")</f>
        <v>有効</v>
      </c>
      <c r="R60" s="32" t="str">
        <f>IF(AND(AND(T59="",A60&lt;=S59),OR(AND(入力!$B$13="有効",A60&gt;1,MOD(A60-1,60)=0),AND(A60=入力!$B$11,A60&gt;1)),入力!$B$14="有効"),ROUND(G59*1.25,0),"")</f>
        <v/>
      </c>
      <c r="S60" s="36">
        <f>IF(A60=入力!$B$15,A60+入力!$B$19,S59)</f>
        <v>420</v>
      </c>
      <c r="T60" s="35" t="str">
        <f t="shared" si="15"/>
        <v/>
      </c>
      <c r="U60" s="3">
        <f t="shared" si="0"/>
        <v>0</v>
      </c>
      <c r="V60" s="3">
        <f t="shared" si="1"/>
        <v>0</v>
      </c>
      <c r="W60" s="3">
        <f t="shared" si="2"/>
        <v>0</v>
      </c>
      <c r="X60" s="3">
        <f t="shared" si="3"/>
        <v>0</v>
      </c>
      <c r="Y60" s="3">
        <f>IF(A60&lt;入力!$B$15,ABS(G60-何もしない_月次!G60),0)</f>
        <v>0</v>
      </c>
      <c r="Z60" s="3">
        <f t="shared" si="4"/>
        <v>0</v>
      </c>
      <c r="AA60">
        <f>ROUND(IF(A60=入力!$B$15+1,IF(E60=0,ROUND(C60/入力!$B$19,0),ROUND(-PMT(E60/12,入力!$B$19,C60),0)),IF(OR(AND(入力!$B$13="有効",A60&gt;1,MOD(A60-1,60)=0),AND(A60=入力!$B$11,A60&gt;1)),IF(入力!$B$14="有効",MIN(IF(E60=0,ROUND(C60/MAX(1,S59-A60+1),0),ROUND(-PMT(E60/12,MAX(1,S59-A60+1),C60),0)),ROUND(G59*1.25,0)),IF(E60=0,ROUND(C60/MAX(1,S59-A60+1),0),ROUND(-PMT(E60/12,MAX(1,S59-A60+1),C60),0))),G59)),0)</f>
        <v>93982</v>
      </c>
    </row>
    <row r="61" spans="1:27">
      <c r="A61" s="30">
        <f>56</f>
        <v>56</v>
      </c>
      <c r="B61" s="31">
        <f>EDATE(入力!$B$6,A61-1)</f>
        <v>47908</v>
      </c>
      <c r="C61" s="32">
        <f t="shared" si="5"/>
        <v>30889521</v>
      </c>
      <c r="D61" s="32">
        <f t="shared" si="6"/>
        <v>0</v>
      </c>
      <c r="E61" s="33">
        <f>IF(AND(T60="",A61&lt;=S60),IF(A61&lt;入力!$B$11,入力!$B$10,入力!$B$12),0)</f>
        <v>7.0000000000000001E-3</v>
      </c>
      <c r="F61" s="32">
        <f t="shared" si="7"/>
        <v>18019</v>
      </c>
      <c r="G61" s="32">
        <f>ROUND(IF(NOT(AND(T60="",A61&lt;=S60)),0,IF(A61=入力!$B$15+1,IF(E61=0,ROUND(C61/入力!$B$19,0),ROUND(-PMT(E61/12,入力!$B$19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),0)</f>
        <v>93982</v>
      </c>
      <c r="H61" s="32">
        <f t="shared" si="8"/>
        <v>93982</v>
      </c>
      <c r="I61" s="32">
        <f t="shared" si="9"/>
        <v>18019</v>
      </c>
      <c r="J61" s="32">
        <f t="shared" si="10"/>
        <v>0</v>
      </c>
      <c r="K61" s="32">
        <f t="shared" si="11"/>
        <v>0</v>
      </c>
      <c r="L61" s="32">
        <f t="shared" si="12"/>
        <v>75963</v>
      </c>
      <c r="M61" s="32">
        <f>IF(AND(AND(T60="",A61&lt;=S60),A61=入力!$B$15),ROUND(MIN(入力!$B$16,MAX(0,C61-L61)),0),0)</f>
        <v>0</v>
      </c>
      <c r="N61" s="32">
        <f t="shared" si="13"/>
        <v>30813558</v>
      </c>
      <c r="O61" s="32">
        <f t="shared" si="14"/>
        <v>1076550</v>
      </c>
      <c r="P61" s="34" t="str">
        <f>IF(NOT(AND(T60="",A61&lt;=S60)),"",IF(A61=入力!$B$15+1,"繰上返済後再計算","")&amp;IF(AND(入力!$B$13="有効",A61&gt;1,MOD(A61-1,60)=0),IF(A61=入力!$B$15+1,"・","")&amp;"5年見直し","")&amp;IF(AND(A61=入力!$B$11,A61&gt;1),IF(OR(A61=入力!$B$15+1,AND(入力!$B$13="有効",A61&gt;1,MOD(A61-1,60)=0)),"・","")&amp;"金利変更","")&amp;IF(AND(OR(AND(入力!$B$13="有効",A61&gt;1,MOD(A61-1,60)=0),AND(A61=入力!$B$11,A61&gt;1)),入力!$B$14="有効",IF(E61=0,ROUND(C61/MAX(1,S60-A61+1),0),ROUND(-PMT(E61/12,MAX(1,S60-A61+1),C61),0))&gt;ROUND(G60*1.25,0),NOT(A61=入力!$B$15+1)),"・上限適用",""))</f>
        <v/>
      </c>
      <c r="Q61" s="35" t="str">
        <f>IF(AND(T60="",A61&lt;=S60),入力!$B$13,"")</f>
        <v>有効</v>
      </c>
      <c r="R61" s="32" t="str">
        <f>IF(AND(AND(T60="",A61&lt;=S60),OR(AND(入力!$B$13="有効",A61&gt;1,MOD(A61-1,60)=0),AND(A61=入力!$B$11,A61&gt;1)),入力!$B$14="有効"),ROUND(G60*1.25,0),"")</f>
        <v/>
      </c>
      <c r="S61" s="36">
        <f>IF(A61=入力!$B$15,A61+入力!$B$19,S60)</f>
        <v>420</v>
      </c>
      <c r="T61" s="35" t="str">
        <f t="shared" si="15"/>
        <v/>
      </c>
      <c r="U61" s="3">
        <f t="shared" si="0"/>
        <v>0</v>
      </c>
      <c r="V61" s="3">
        <f t="shared" si="1"/>
        <v>0</v>
      </c>
      <c r="W61" s="3">
        <f t="shared" si="2"/>
        <v>0</v>
      </c>
      <c r="X61" s="3">
        <f t="shared" si="3"/>
        <v>0</v>
      </c>
      <c r="Y61" s="3">
        <f>IF(A61&lt;入力!$B$15,ABS(G61-何もしない_月次!G61),0)</f>
        <v>0</v>
      </c>
      <c r="Z61" s="3">
        <f t="shared" si="4"/>
        <v>0</v>
      </c>
      <c r="AA61">
        <f>ROUND(IF(A61=入力!$B$15+1,IF(E61=0,ROUND(C61/入力!$B$19,0),ROUND(-PMT(E61/12,入力!$B$19,C61),0)),IF(OR(AND(入力!$B$13="有効",A61&gt;1,MOD(A61-1,60)=0),AND(A61=入力!$B$11,A61&gt;1)),IF(入力!$B$14="有効",MIN(IF(E61=0,ROUND(C61/MAX(1,S60-A61+1),0),ROUND(-PMT(E61/12,MAX(1,S60-A61+1),C61),0)),ROUND(G60*1.25,0)),IF(E61=0,ROUND(C61/MAX(1,S60-A61+1),0),ROUND(-PMT(E61/12,MAX(1,S60-A61+1),C61),0))),G60)),0)</f>
        <v>93982</v>
      </c>
    </row>
    <row r="62" spans="1:27">
      <c r="A62" s="30">
        <f>57</f>
        <v>57</v>
      </c>
      <c r="B62" s="31">
        <f>EDATE(入力!$B$6,A62-1)</f>
        <v>47939</v>
      </c>
      <c r="C62" s="32">
        <f t="shared" si="5"/>
        <v>30813558</v>
      </c>
      <c r="D62" s="32">
        <f t="shared" si="6"/>
        <v>0</v>
      </c>
      <c r="E62" s="33">
        <f>IF(AND(T61="",A62&lt;=S61),IF(A62&lt;入力!$B$11,入力!$B$10,入力!$B$12),0)</f>
        <v>7.0000000000000001E-3</v>
      </c>
      <c r="F62" s="32">
        <f t="shared" si="7"/>
        <v>17975</v>
      </c>
      <c r="G62" s="32">
        <f>ROUND(IF(NOT(AND(T61="",A62&lt;=S61)),0,IF(A62=入力!$B$15+1,IF(E62=0,ROUND(C62/入力!$B$19,0),ROUND(-PMT(E62/12,入力!$B$19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),0)</f>
        <v>93982</v>
      </c>
      <c r="H62" s="32">
        <f t="shared" si="8"/>
        <v>93982</v>
      </c>
      <c r="I62" s="32">
        <f t="shared" si="9"/>
        <v>17975</v>
      </c>
      <c r="J62" s="32">
        <f t="shared" si="10"/>
        <v>0</v>
      </c>
      <c r="K62" s="32">
        <f t="shared" si="11"/>
        <v>0</v>
      </c>
      <c r="L62" s="32">
        <f t="shared" si="12"/>
        <v>76007</v>
      </c>
      <c r="M62" s="32">
        <f>IF(AND(AND(T61="",A62&lt;=S61),A62=入力!$B$15),ROUND(MIN(入力!$B$16,MAX(0,C62-L62)),0),0)</f>
        <v>0</v>
      </c>
      <c r="N62" s="32">
        <f t="shared" si="13"/>
        <v>30737551</v>
      </c>
      <c r="O62" s="32">
        <f t="shared" si="14"/>
        <v>1094525</v>
      </c>
      <c r="P62" s="34" t="str">
        <f>IF(NOT(AND(T61="",A62&lt;=S61)),"",IF(A62=入力!$B$15+1,"繰上返済後再計算","")&amp;IF(AND(入力!$B$13="有効",A62&gt;1,MOD(A62-1,60)=0),IF(A62=入力!$B$15+1,"・","")&amp;"5年見直し","")&amp;IF(AND(A62=入力!$B$11,A62&gt;1),IF(OR(A62=入力!$B$15+1,AND(入力!$B$13="有効",A62&gt;1,MOD(A62-1,60)=0)),"・","")&amp;"金利変更","")&amp;IF(AND(OR(AND(入力!$B$13="有効",A62&gt;1,MOD(A62-1,60)=0),AND(A62=入力!$B$11,A62&gt;1)),入力!$B$14="有効",IF(E62=0,ROUND(C62/MAX(1,S61-A62+1),0),ROUND(-PMT(E62/12,MAX(1,S61-A62+1),C62),0))&gt;ROUND(G61*1.25,0),NOT(A62=入力!$B$15+1)),"・上限適用",""))</f>
        <v/>
      </c>
      <c r="Q62" s="35" t="str">
        <f>IF(AND(T61="",A62&lt;=S61),入力!$B$13,"")</f>
        <v>有効</v>
      </c>
      <c r="R62" s="32" t="str">
        <f>IF(AND(AND(T61="",A62&lt;=S61),OR(AND(入力!$B$13="有効",A62&gt;1,MOD(A62-1,60)=0),AND(A62=入力!$B$11,A62&gt;1)),入力!$B$14="有効"),ROUND(G61*1.25,0),"")</f>
        <v/>
      </c>
      <c r="S62" s="36">
        <f>IF(A62=入力!$B$15,A62+入力!$B$19,S61)</f>
        <v>420</v>
      </c>
      <c r="T62" s="35" t="str">
        <f t="shared" si="15"/>
        <v/>
      </c>
      <c r="U62" s="3">
        <f t="shared" si="0"/>
        <v>0</v>
      </c>
      <c r="V62" s="3">
        <f t="shared" si="1"/>
        <v>0</v>
      </c>
      <c r="W62" s="3">
        <f t="shared" si="2"/>
        <v>0</v>
      </c>
      <c r="X62" s="3">
        <f t="shared" si="3"/>
        <v>0</v>
      </c>
      <c r="Y62" s="3">
        <f>IF(A62&lt;入力!$B$15,ABS(G62-何もしない_月次!G62),0)</f>
        <v>0</v>
      </c>
      <c r="Z62" s="3">
        <f t="shared" si="4"/>
        <v>0</v>
      </c>
      <c r="AA62">
        <f>ROUND(IF(A62=入力!$B$15+1,IF(E62=0,ROUND(C62/入力!$B$19,0),ROUND(-PMT(E62/12,入力!$B$19,C62),0)),IF(OR(AND(入力!$B$13="有効",A62&gt;1,MOD(A62-1,60)=0),AND(A62=入力!$B$11,A62&gt;1)),IF(入力!$B$14="有効",MIN(IF(E62=0,ROUND(C62/MAX(1,S61-A62+1),0),ROUND(-PMT(E62/12,MAX(1,S61-A62+1),C62),0)),ROUND(G61*1.25,0)),IF(E62=0,ROUND(C62/MAX(1,S61-A62+1),0),ROUND(-PMT(E62/12,MAX(1,S61-A62+1),C62),0))),G61)),0)</f>
        <v>93982</v>
      </c>
    </row>
    <row r="63" spans="1:27">
      <c r="A63" s="30">
        <f>58</f>
        <v>58</v>
      </c>
      <c r="B63" s="31">
        <f>EDATE(入力!$B$6,A63-1)</f>
        <v>47969</v>
      </c>
      <c r="C63" s="32">
        <f t="shared" si="5"/>
        <v>30737551</v>
      </c>
      <c r="D63" s="32">
        <f t="shared" si="6"/>
        <v>0</v>
      </c>
      <c r="E63" s="33">
        <f>IF(AND(T62="",A63&lt;=S62),IF(A63&lt;入力!$B$11,入力!$B$10,入力!$B$12),0)</f>
        <v>7.0000000000000001E-3</v>
      </c>
      <c r="F63" s="32">
        <f t="shared" si="7"/>
        <v>17930</v>
      </c>
      <c r="G63" s="32">
        <f>ROUND(IF(NOT(AND(T62="",A63&lt;=S62)),0,IF(A63=入力!$B$15+1,IF(E63=0,ROUND(C63/入力!$B$19,0),ROUND(-PMT(E63/12,入力!$B$19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),0)</f>
        <v>93982</v>
      </c>
      <c r="H63" s="32">
        <f t="shared" si="8"/>
        <v>93982</v>
      </c>
      <c r="I63" s="32">
        <f t="shared" si="9"/>
        <v>17930</v>
      </c>
      <c r="J63" s="32">
        <f t="shared" si="10"/>
        <v>0</v>
      </c>
      <c r="K63" s="32">
        <f t="shared" si="11"/>
        <v>0</v>
      </c>
      <c r="L63" s="32">
        <f t="shared" si="12"/>
        <v>76052</v>
      </c>
      <c r="M63" s="32">
        <f>IF(AND(AND(T62="",A63&lt;=S62),A63=入力!$B$15),ROUND(MIN(入力!$B$16,MAX(0,C63-L63)),0),0)</f>
        <v>0</v>
      </c>
      <c r="N63" s="32">
        <f t="shared" si="13"/>
        <v>30661499</v>
      </c>
      <c r="O63" s="32">
        <f t="shared" si="14"/>
        <v>1112455</v>
      </c>
      <c r="P63" s="34" t="str">
        <f>IF(NOT(AND(T62="",A63&lt;=S62)),"",IF(A63=入力!$B$15+1,"繰上返済後再計算","")&amp;IF(AND(入力!$B$13="有効",A63&gt;1,MOD(A63-1,60)=0),IF(A63=入力!$B$15+1,"・","")&amp;"5年見直し","")&amp;IF(AND(A63=入力!$B$11,A63&gt;1),IF(OR(A63=入力!$B$15+1,AND(入力!$B$13="有効",A63&gt;1,MOD(A63-1,60)=0)),"・","")&amp;"金利変更","")&amp;IF(AND(OR(AND(入力!$B$13="有効",A63&gt;1,MOD(A63-1,60)=0),AND(A63=入力!$B$11,A63&gt;1)),入力!$B$14="有効",IF(E63=0,ROUND(C63/MAX(1,S62-A63+1),0),ROUND(-PMT(E63/12,MAX(1,S62-A63+1),C63),0))&gt;ROUND(G62*1.25,0),NOT(A63=入力!$B$15+1)),"・上限適用",""))</f>
        <v/>
      </c>
      <c r="Q63" s="35" t="str">
        <f>IF(AND(T62="",A63&lt;=S62),入力!$B$13,"")</f>
        <v>有効</v>
      </c>
      <c r="R63" s="32" t="str">
        <f>IF(AND(AND(T62="",A63&lt;=S62),OR(AND(入力!$B$13="有効",A63&gt;1,MOD(A63-1,60)=0),AND(A63=入力!$B$11,A63&gt;1)),入力!$B$14="有効"),ROUND(G62*1.25,0),"")</f>
        <v/>
      </c>
      <c r="S63" s="36">
        <f>IF(A63=入力!$B$15,A63+入力!$B$19,S62)</f>
        <v>420</v>
      </c>
      <c r="T63" s="35" t="str">
        <f t="shared" si="15"/>
        <v/>
      </c>
      <c r="U63" s="3">
        <f t="shared" si="0"/>
        <v>0</v>
      </c>
      <c r="V63" s="3">
        <f t="shared" si="1"/>
        <v>0</v>
      </c>
      <c r="W63" s="3">
        <f t="shared" si="2"/>
        <v>0</v>
      </c>
      <c r="X63" s="3">
        <f t="shared" si="3"/>
        <v>0</v>
      </c>
      <c r="Y63" s="3">
        <f>IF(A63&lt;入力!$B$15,ABS(G63-何もしない_月次!G63),0)</f>
        <v>0</v>
      </c>
      <c r="Z63" s="3">
        <f t="shared" si="4"/>
        <v>0</v>
      </c>
      <c r="AA63">
        <f>ROUND(IF(A63=入力!$B$15+1,IF(E63=0,ROUND(C63/入力!$B$19,0),ROUND(-PMT(E63/12,入力!$B$19,C63),0)),IF(OR(AND(入力!$B$13="有効",A63&gt;1,MOD(A63-1,60)=0),AND(A63=入力!$B$11,A63&gt;1)),IF(入力!$B$14="有効",MIN(IF(E63=0,ROUND(C63/MAX(1,S62-A63+1),0),ROUND(-PMT(E63/12,MAX(1,S62-A63+1),C63),0)),ROUND(G62*1.25,0)),IF(E63=0,ROUND(C63/MAX(1,S62-A63+1),0),ROUND(-PMT(E63/12,MAX(1,S62-A63+1),C63),0))),G62)),0)</f>
        <v>93982</v>
      </c>
    </row>
    <row r="64" spans="1:27">
      <c r="A64" s="30">
        <f>59</f>
        <v>59</v>
      </c>
      <c r="B64" s="31">
        <f>EDATE(入力!$B$6,A64-1)</f>
        <v>48000</v>
      </c>
      <c r="C64" s="32">
        <f t="shared" si="5"/>
        <v>30661499</v>
      </c>
      <c r="D64" s="32">
        <f t="shared" si="6"/>
        <v>0</v>
      </c>
      <c r="E64" s="33">
        <f>IF(AND(T63="",A64&lt;=S63),IF(A64&lt;入力!$B$11,入力!$B$10,入力!$B$12),0)</f>
        <v>7.0000000000000001E-3</v>
      </c>
      <c r="F64" s="32">
        <f t="shared" si="7"/>
        <v>17886</v>
      </c>
      <c r="G64" s="32">
        <f>ROUND(IF(NOT(AND(T63="",A64&lt;=S63)),0,IF(A64=入力!$B$15+1,IF(E64=0,ROUND(C64/入力!$B$19,0),ROUND(-PMT(E64/12,入力!$B$19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),0)</f>
        <v>93982</v>
      </c>
      <c r="H64" s="32">
        <f t="shared" si="8"/>
        <v>93982</v>
      </c>
      <c r="I64" s="32">
        <f t="shared" si="9"/>
        <v>17886</v>
      </c>
      <c r="J64" s="32">
        <f t="shared" si="10"/>
        <v>0</v>
      </c>
      <c r="K64" s="32">
        <f t="shared" si="11"/>
        <v>0</v>
      </c>
      <c r="L64" s="32">
        <f t="shared" si="12"/>
        <v>76096</v>
      </c>
      <c r="M64" s="32">
        <f>IF(AND(AND(T63="",A64&lt;=S63),A64=入力!$B$15),ROUND(MIN(入力!$B$16,MAX(0,C64-L64)),0),0)</f>
        <v>0</v>
      </c>
      <c r="N64" s="32">
        <f t="shared" si="13"/>
        <v>30585403</v>
      </c>
      <c r="O64" s="32">
        <f t="shared" si="14"/>
        <v>1130341</v>
      </c>
      <c r="P64" s="34" t="str">
        <f>IF(NOT(AND(T63="",A64&lt;=S63)),"",IF(A64=入力!$B$15+1,"繰上返済後再計算","")&amp;IF(AND(入力!$B$13="有効",A64&gt;1,MOD(A64-1,60)=0),IF(A64=入力!$B$15+1,"・","")&amp;"5年見直し","")&amp;IF(AND(A64=入力!$B$11,A64&gt;1),IF(OR(A64=入力!$B$15+1,AND(入力!$B$13="有効",A64&gt;1,MOD(A64-1,60)=0)),"・","")&amp;"金利変更","")&amp;IF(AND(OR(AND(入力!$B$13="有効",A64&gt;1,MOD(A64-1,60)=0),AND(A64=入力!$B$11,A64&gt;1)),入力!$B$14="有効",IF(E64=0,ROUND(C64/MAX(1,S63-A64+1),0),ROUND(-PMT(E64/12,MAX(1,S63-A64+1),C64),0))&gt;ROUND(G63*1.25,0),NOT(A64=入力!$B$15+1)),"・上限適用",""))</f>
        <v/>
      </c>
      <c r="Q64" s="35" t="str">
        <f>IF(AND(T63="",A64&lt;=S63),入力!$B$13,"")</f>
        <v>有効</v>
      </c>
      <c r="R64" s="32" t="str">
        <f>IF(AND(AND(T63="",A64&lt;=S63),OR(AND(入力!$B$13="有効",A64&gt;1,MOD(A64-1,60)=0),AND(A64=入力!$B$11,A64&gt;1)),入力!$B$14="有効"),ROUND(G63*1.25,0),"")</f>
        <v/>
      </c>
      <c r="S64" s="36">
        <f>IF(A64=入力!$B$15,A64+入力!$B$19,S63)</f>
        <v>420</v>
      </c>
      <c r="T64" s="35" t="str">
        <f t="shared" si="15"/>
        <v/>
      </c>
      <c r="U64" s="3">
        <f t="shared" si="0"/>
        <v>0</v>
      </c>
      <c r="V64" s="3">
        <f t="shared" si="1"/>
        <v>0</v>
      </c>
      <c r="W64" s="3">
        <f t="shared" si="2"/>
        <v>0</v>
      </c>
      <c r="X64" s="3">
        <f t="shared" si="3"/>
        <v>0</v>
      </c>
      <c r="Y64" s="3">
        <f>IF(A64&lt;入力!$B$15,ABS(G64-何もしない_月次!G64),0)</f>
        <v>0</v>
      </c>
      <c r="Z64" s="3">
        <f t="shared" si="4"/>
        <v>0</v>
      </c>
      <c r="AA64">
        <f>ROUND(IF(A64=入力!$B$15+1,IF(E64=0,ROUND(C64/入力!$B$19,0),ROUND(-PMT(E64/12,入力!$B$19,C64),0)),IF(OR(AND(入力!$B$13="有効",A64&gt;1,MOD(A64-1,60)=0),AND(A64=入力!$B$11,A64&gt;1)),IF(入力!$B$14="有効",MIN(IF(E64=0,ROUND(C64/MAX(1,S63-A64+1),0),ROUND(-PMT(E64/12,MAX(1,S63-A64+1),C64),0)),ROUND(G63*1.25,0)),IF(E64=0,ROUND(C64/MAX(1,S63-A64+1),0),ROUND(-PMT(E64/12,MAX(1,S63-A64+1),C64),0))),G63)),0)</f>
        <v>93982</v>
      </c>
    </row>
    <row r="65" spans="1:27">
      <c r="A65" s="30">
        <f>60</f>
        <v>60</v>
      </c>
      <c r="B65" s="31">
        <f>EDATE(入力!$B$6,A65-1)</f>
        <v>48030</v>
      </c>
      <c r="C65" s="32">
        <f t="shared" si="5"/>
        <v>30585403</v>
      </c>
      <c r="D65" s="32">
        <f t="shared" si="6"/>
        <v>0</v>
      </c>
      <c r="E65" s="33">
        <f>IF(AND(T64="",A65&lt;=S64),IF(A65&lt;入力!$B$11,入力!$B$10,入力!$B$12),0)</f>
        <v>7.0000000000000001E-3</v>
      </c>
      <c r="F65" s="32">
        <f t="shared" si="7"/>
        <v>17841</v>
      </c>
      <c r="G65" s="32">
        <f>ROUND(IF(NOT(AND(T64="",A65&lt;=S64)),0,IF(A65=入力!$B$15+1,IF(E65=0,ROUND(C65/入力!$B$19,0),ROUND(-PMT(E65/12,入力!$B$19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),0)</f>
        <v>93982</v>
      </c>
      <c r="H65" s="32">
        <f t="shared" si="8"/>
        <v>93982</v>
      </c>
      <c r="I65" s="32">
        <f t="shared" si="9"/>
        <v>17841</v>
      </c>
      <c r="J65" s="32">
        <f t="shared" si="10"/>
        <v>0</v>
      </c>
      <c r="K65" s="32">
        <f t="shared" si="11"/>
        <v>0</v>
      </c>
      <c r="L65" s="32">
        <f t="shared" si="12"/>
        <v>76141</v>
      </c>
      <c r="M65" s="32">
        <f>IF(AND(AND(T64="",A65&lt;=S64),A65=入力!$B$15),ROUND(MIN(入力!$B$16,MAX(0,C65-L65)),0),0)</f>
        <v>0</v>
      </c>
      <c r="N65" s="32">
        <f t="shared" si="13"/>
        <v>30509262</v>
      </c>
      <c r="O65" s="32">
        <f t="shared" si="14"/>
        <v>1148182</v>
      </c>
      <c r="P65" s="34" t="str">
        <f>IF(NOT(AND(T64="",A65&lt;=S64)),"",IF(A65=入力!$B$15+1,"繰上返済後再計算","")&amp;IF(AND(入力!$B$13="有効",A65&gt;1,MOD(A65-1,60)=0),IF(A65=入力!$B$15+1,"・","")&amp;"5年見直し","")&amp;IF(AND(A65=入力!$B$11,A65&gt;1),IF(OR(A65=入力!$B$15+1,AND(入力!$B$13="有効",A65&gt;1,MOD(A65-1,60)=0)),"・","")&amp;"金利変更","")&amp;IF(AND(OR(AND(入力!$B$13="有効",A65&gt;1,MOD(A65-1,60)=0),AND(A65=入力!$B$11,A65&gt;1)),入力!$B$14="有効",IF(E65=0,ROUND(C65/MAX(1,S64-A65+1),0),ROUND(-PMT(E65/12,MAX(1,S64-A65+1),C65),0))&gt;ROUND(G64*1.25,0),NOT(A65=入力!$B$15+1)),"・上限適用",""))</f>
        <v/>
      </c>
      <c r="Q65" s="35" t="str">
        <f>IF(AND(T64="",A65&lt;=S64),入力!$B$13,"")</f>
        <v>有効</v>
      </c>
      <c r="R65" s="32" t="str">
        <f>IF(AND(AND(T64="",A65&lt;=S64),OR(AND(入力!$B$13="有効",A65&gt;1,MOD(A65-1,60)=0),AND(A65=入力!$B$11,A65&gt;1)),入力!$B$14="有効"),ROUND(G64*1.25,0),"")</f>
        <v/>
      </c>
      <c r="S65" s="36">
        <f>IF(A65=入力!$B$15,A65+入力!$B$19,S64)</f>
        <v>420</v>
      </c>
      <c r="T65" s="35" t="str">
        <f t="shared" si="15"/>
        <v/>
      </c>
      <c r="U65" s="3">
        <f t="shared" si="0"/>
        <v>0</v>
      </c>
      <c r="V65" s="3">
        <f t="shared" si="1"/>
        <v>0</v>
      </c>
      <c r="W65" s="3">
        <f t="shared" si="2"/>
        <v>0</v>
      </c>
      <c r="X65" s="3">
        <f t="shared" si="3"/>
        <v>0</v>
      </c>
      <c r="Y65" s="3">
        <f>IF(A65&lt;入力!$B$15,ABS(G65-何もしない_月次!G65),0)</f>
        <v>0</v>
      </c>
      <c r="Z65" s="3">
        <f t="shared" si="4"/>
        <v>0</v>
      </c>
      <c r="AA65">
        <f>ROUND(IF(A65=入力!$B$15+1,IF(E65=0,ROUND(C65/入力!$B$19,0),ROUND(-PMT(E65/12,入力!$B$19,C65),0)),IF(OR(AND(入力!$B$13="有効",A65&gt;1,MOD(A65-1,60)=0),AND(A65=入力!$B$11,A65&gt;1)),IF(入力!$B$14="有効",MIN(IF(E65=0,ROUND(C65/MAX(1,S64-A65+1),0),ROUND(-PMT(E65/12,MAX(1,S64-A65+1),C65),0)),ROUND(G64*1.25,0)),IF(E65=0,ROUND(C65/MAX(1,S64-A65+1),0),ROUND(-PMT(E65/12,MAX(1,S64-A65+1),C65),0))),G64)),0)</f>
        <v>93982</v>
      </c>
    </row>
    <row r="66" spans="1:27">
      <c r="A66" s="30">
        <f>61</f>
        <v>61</v>
      </c>
      <c r="B66" s="31">
        <f>EDATE(入力!$B$6,A66-1)</f>
        <v>48061</v>
      </c>
      <c r="C66" s="32">
        <f t="shared" si="5"/>
        <v>30509262</v>
      </c>
      <c r="D66" s="32">
        <f t="shared" si="6"/>
        <v>0</v>
      </c>
      <c r="E66" s="33">
        <f>IF(AND(T65="",A66&lt;=S65),IF(A66&lt;入力!$B$11,入力!$B$10,入力!$B$12),0)</f>
        <v>2.5000000000000001E-2</v>
      </c>
      <c r="F66" s="32">
        <f t="shared" si="7"/>
        <v>63561</v>
      </c>
      <c r="G66" s="32">
        <f>ROUND(IF(NOT(AND(T65="",A66&lt;=S65)),0,IF(A66=入力!$B$15+1,IF(E66=0,ROUND(C66/入力!$B$19,0),ROUND(-PMT(E66/12,入力!$B$19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),0)</f>
        <v>117478</v>
      </c>
      <c r="H66" s="32">
        <f t="shared" si="8"/>
        <v>117478</v>
      </c>
      <c r="I66" s="32">
        <f t="shared" si="9"/>
        <v>63561</v>
      </c>
      <c r="J66" s="32">
        <f t="shared" si="10"/>
        <v>0</v>
      </c>
      <c r="K66" s="32">
        <f t="shared" si="11"/>
        <v>0</v>
      </c>
      <c r="L66" s="32">
        <f t="shared" si="12"/>
        <v>53917</v>
      </c>
      <c r="M66" s="32">
        <f>IF(AND(AND(T65="",A66&lt;=S65),A66=入力!$B$15),ROUND(MIN(入力!$B$16,MAX(0,C66-L66)),0),0)</f>
        <v>0</v>
      </c>
      <c r="N66" s="32">
        <f t="shared" si="13"/>
        <v>30455345</v>
      </c>
      <c r="O66" s="32">
        <f t="shared" si="14"/>
        <v>1211743</v>
      </c>
      <c r="P66" s="34" t="str">
        <f>IF(NOT(AND(T65="",A66&lt;=S65)),"",IF(A66=入力!$B$15+1,"繰上返済後再計算","")&amp;IF(AND(入力!$B$13="有効",A66&gt;1,MOD(A66-1,60)=0),IF(A66=入力!$B$15+1,"・","")&amp;"5年見直し","")&amp;IF(AND(A66=入力!$B$11,A66&gt;1),IF(OR(A66=入力!$B$15+1,AND(入力!$B$13="有効",A66&gt;1,MOD(A66-1,60)=0)),"・","")&amp;"金利変更","")&amp;IF(AND(OR(AND(入力!$B$13="有効",A66&gt;1,MOD(A66-1,60)=0),AND(A66=入力!$B$11,A66&gt;1)),入力!$B$14="有効",IF(E66=0,ROUND(C66/MAX(1,S65-A66+1),0),ROUND(-PMT(E66/12,MAX(1,S65-A66+1),C66),0))&gt;ROUND(G65*1.25,0),NOT(A66=入力!$B$15+1)),"・上限適用",""))</f>
        <v>5年見直し・金利変更・上限適用</v>
      </c>
      <c r="Q66" s="35" t="str">
        <f>IF(AND(T65="",A66&lt;=S65),入力!$B$13,"")</f>
        <v>有効</v>
      </c>
      <c r="R66" s="32">
        <f>IF(AND(AND(T65="",A66&lt;=S65),OR(AND(入力!$B$13="有効",A66&gt;1,MOD(A66-1,60)=0),AND(A66=入力!$B$11,A66&gt;1)),入力!$B$14="有効"),ROUND(G65*1.25,0),"")</f>
        <v>117478</v>
      </c>
      <c r="S66" s="36">
        <f>IF(A66=入力!$B$15,A66+入力!$B$19,S65)</f>
        <v>420</v>
      </c>
      <c r="T66" s="35" t="str">
        <f t="shared" si="15"/>
        <v/>
      </c>
      <c r="U66" s="3">
        <f t="shared" si="0"/>
        <v>0</v>
      </c>
      <c r="V66" s="3">
        <f t="shared" si="1"/>
        <v>0</v>
      </c>
      <c r="W66" s="3">
        <f t="shared" si="2"/>
        <v>0</v>
      </c>
      <c r="X66" s="3">
        <f t="shared" si="3"/>
        <v>0</v>
      </c>
      <c r="Y66" s="3">
        <f>IF(A66&lt;入力!$B$15,ABS(G66-何もしない_月次!G66),0)</f>
        <v>0</v>
      </c>
      <c r="Z66" s="3">
        <f t="shared" si="4"/>
        <v>0</v>
      </c>
      <c r="AA66">
        <f>ROUND(IF(A66=入力!$B$15+1,IF(E66=0,ROUND(C66/入力!$B$19,0),ROUND(-PMT(E66/12,入力!$B$19,C66),0)),IF(OR(AND(入力!$B$13="有効",A66&gt;1,MOD(A66-1,60)=0),AND(A66=入力!$B$11,A66&gt;1)),IF(入力!$B$14="有効",MIN(IF(E66=0,ROUND(C66/MAX(1,S65-A66+1),0),ROUND(-PMT(E66/12,MAX(1,S65-A66+1),C66),0)),ROUND(G65*1.25,0)),IF(E66=0,ROUND(C66/MAX(1,S65-A66+1),0),ROUND(-PMT(E66/12,MAX(1,S65-A66+1),C66),0))),G65)),0)</f>
        <v>117478</v>
      </c>
    </row>
    <row r="67" spans="1:27">
      <c r="A67" s="30">
        <f>62</f>
        <v>62</v>
      </c>
      <c r="B67" s="31">
        <f>EDATE(入力!$B$6,A67-1)</f>
        <v>48092</v>
      </c>
      <c r="C67" s="32">
        <f t="shared" si="5"/>
        <v>30455345</v>
      </c>
      <c r="D67" s="32">
        <f t="shared" si="6"/>
        <v>0</v>
      </c>
      <c r="E67" s="33">
        <f>IF(AND(T66="",A67&lt;=S66),IF(A67&lt;入力!$B$11,入力!$B$10,入力!$B$12),0)</f>
        <v>2.5000000000000001E-2</v>
      </c>
      <c r="F67" s="32">
        <f t="shared" si="7"/>
        <v>63449</v>
      </c>
      <c r="G67" s="32">
        <f>ROUND(IF(NOT(AND(T66="",A67&lt;=S66)),0,IF(A67=入力!$B$15+1,IF(E67=0,ROUND(C67/入力!$B$19,0),ROUND(-PMT(E67/12,入力!$B$19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),0)</f>
        <v>117478</v>
      </c>
      <c r="H67" s="32">
        <f t="shared" si="8"/>
        <v>117478</v>
      </c>
      <c r="I67" s="32">
        <f t="shared" si="9"/>
        <v>63449</v>
      </c>
      <c r="J67" s="32">
        <f t="shared" si="10"/>
        <v>0</v>
      </c>
      <c r="K67" s="32">
        <f t="shared" si="11"/>
        <v>0</v>
      </c>
      <c r="L67" s="32">
        <f t="shared" si="12"/>
        <v>54029</v>
      </c>
      <c r="M67" s="32">
        <f>IF(AND(AND(T66="",A67&lt;=S66),A67=入力!$B$15),ROUND(MIN(入力!$B$16,MAX(0,C67-L67)),0),0)</f>
        <v>0</v>
      </c>
      <c r="N67" s="32">
        <f t="shared" si="13"/>
        <v>30401316</v>
      </c>
      <c r="O67" s="32">
        <f t="shared" si="14"/>
        <v>1275192</v>
      </c>
      <c r="P67" s="34" t="str">
        <f>IF(NOT(AND(T66="",A67&lt;=S66)),"",IF(A67=入力!$B$15+1,"繰上返済後再計算","")&amp;IF(AND(入力!$B$13="有効",A67&gt;1,MOD(A67-1,60)=0),IF(A67=入力!$B$15+1,"・","")&amp;"5年見直し","")&amp;IF(AND(A67=入力!$B$11,A67&gt;1),IF(OR(A67=入力!$B$15+1,AND(入力!$B$13="有効",A67&gt;1,MOD(A67-1,60)=0)),"・","")&amp;"金利変更","")&amp;IF(AND(OR(AND(入力!$B$13="有効",A67&gt;1,MOD(A67-1,60)=0),AND(A67=入力!$B$11,A67&gt;1)),入力!$B$14="有効",IF(E67=0,ROUND(C67/MAX(1,S66-A67+1),0),ROUND(-PMT(E67/12,MAX(1,S66-A67+1),C67),0))&gt;ROUND(G66*1.25,0),NOT(A67=入力!$B$15+1)),"・上限適用",""))</f>
        <v/>
      </c>
      <c r="Q67" s="35" t="str">
        <f>IF(AND(T66="",A67&lt;=S66),入力!$B$13,"")</f>
        <v>有効</v>
      </c>
      <c r="R67" s="32" t="str">
        <f>IF(AND(AND(T66="",A67&lt;=S66),OR(AND(入力!$B$13="有効",A67&gt;1,MOD(A67-1,60)=0),AND(A67=入力!$B$11,A67&gt;1)),入力!$B$14="有効"),ROUND(G66*1.25,0),"")</f>
        <v/>
      </c>
      <c r="S67" s="36">
        <f>IF(A67=入力!$B$15,A67+入力!$B$19,S66)</f>
        <v>420</v>
      </c>
      <c r="T67" s="35" t="str">
        <f t="shared" si="15"/>
        <v/>
      </c>
      <c r="U67" s="3">
        <f t="shared" si="0"/>
        <v>0</v>
      </c>
      <c r="V67" s="3">
        <f t="shared" si="1"/>
        <v>0</v>
      </c>
      <c r="W67" s="3">
        <f t="shared" si="2"/>
        <v>0</v>
      </c>
      <c r="X67" s="3">
        <f t="shared" si="3"/>
        <v>0</v>
      </c>
      <c r="Y67" s="3">
        <f>IF(A67&lt;入力!$B$15,ABS(G67-何もしない_月次!G67),0)</f>
        <v>0</v>
      </c>
      <c r="Z67" s="3">
        <f t="shared" si="4"/>
        <v>0</v>
      </c>
      <c r="AA67">
        <f>ROUND(IF(A67=入力!$B$15+1,IF(E67=0,ROUND(C67/入力!$B$19,0),ROUND(-PMT(E67/12,入力!$B$19,C67),0)),IF(OR(AND(入力!$B$13="有効",A67&gt;1,MOD(A67-1,60)=0),AND(A67=入力!$B$11,A67&gt;1)),IF(入力!$B$14="有効",MIN(IF(E67=0,ROUND(C67/MAX(1,S66-A67+1),0),ROUND(-PMT(E67/12,MAX(1,S66-A67+1),C67),0)),ROUND(G66*1.25,0)),IF(E67=0,ROUND(C67/MAX(1,S66-A67+1),0),ROUND(-PMT(E67/12,MAX(1,S66-A67+1),C67),0))),G66)),0)</f>
        <v>117478</v>
      </c>
    </row>
    <row r="68" spans="1:27">
      <c r="A68" s="30">
        <f>63</f>
        <v>63</v>
      </c>
      <c r="B68" s="31">
        <f>EDATE(入力!$B$6,A68-1)</f>
        <v>48122</v>
      </c>
      <c r="C68" s="32">
        <f t="shared" si="5"/>
        <v>30401316</v>
      </c>
      <c r="D68" s="32">
        <f t="shared" si="6"/>
        <v>0</v>
      </c>
      <c r="E68" s="33">
        <f>IF(AND(T67="",A68&lt;=S67),IF(A68&lt;入力!$B$11,入力!$B$10,入力!$B$12),0)</f>
        <v>2.5000000000000001E-2</v>
      </c>
      <c r="F68" s="32">
        <f t="shared" si="7"/>
        <v>63336</v>
      </c>
      <c r="G68" s="32">
        <f>ROUND(IF(NOT(AND(T67="",A68&lt;=S67)),0,IF(A68=入力!$B$15+1,IF(E68=0,ROUND(C68/入力!$B$19,0),ROUND(-PMT(E68/12,入力!$B$19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),0)</f>
        <v>117478</v>
      </c>
      <c r="H68" s="32">
        <f t="shared" si="8"/>
        <v>117478</v>
      </c>
      <c r="I68" s="32">
        <f t="shared" si="9"/>
        <v>63336</v>
      </c>
      <c r="J68" s="32">
        <f t="shared" si="10"/>
        <v>0</v>
      </c>
      <c r="K68" s="32">
        <f t="shared" si="11"/>
        <v>0</v>
      </c>
      <c r="L68" s="32">
        <f t="shared" si="12"/>
        <v>54142</v>
      </c>
      <c r="M68" s="32">
        <f>IF(AND(AND(T67="",A68&lt;=S67),A68=入力!$B$15),ROUND(MIN(入力!$B$16,MAX(0,C68-L68)),0),0)</f>
        <v>0</v>
      </c>
      <c r="N68" s="32">
        <f t="shared" si="13"/>
        <v>30347174</v>
      </c>
      <c r="O68" s="32">
        <f t="shared" si="14"/>
        <v>1338528</v>
      </c>
      <c r="P68" s="34" t="str">
        <f>IF(NOT(AND(T67="",A68&lt;=S67)),"",IF(A68=入力!$B$15+1,"繰上返済後再計算","")&amp;IF(AND(入力!$B$13="有効",A68&gt;1,MOD(A68-1,60)=0),IF(A68=入力!$B$15+1,"・","")&amp;"5年見直し","")&amp;IF(AND(A68=入力!$B$11,A68&gt;1),IF(OR(A68=入力!$B$15+1,AND(入力!$B$13="有効",A68&gt;1,MOD(A68-1,60)=0)),"・","")&amp;"金利変更","")&amp;IF(AND(OR(AND(入力!$B$13="有効",A68&gt;1,MOD(A68-1,60)=0),AND(A68=入力!$B$11,A68&gt;1)),入力!$B$14="有効",IF(E68=0,ROUND(C68/MAX(1,S67-A68+1),0),ROUND(-PMT(E68/12,MAX(1,S67-A68+1),C68),0))&gt;ROUND(G67*1.25,0),NOT(A68=入力!$B$15+1)),"・上限適用",""))</f>
        <v/>
      </c>
      <c r="Q68" s="35" t="str">
        <f>IF(AND(T67="",A68&lt;=S67),入力!$B$13,"")</f>
        <v>有効</v>
      </c>
      <c r="R68" s="32" t="str">
        <f>IF(AND(AND(T67="",A68&lt;=S67),OR(AND(入力!$B$13="有効",A68&gt;1,MOD(A68-1,60)=0),AND(A68=入力!$B$11,A68&gt;1)),入力!$B$14="有効"),ROUND(G67*1.25,0),"")</f>
        <v/>
      </c>
      <c r="S68" s="36">
        <f>IF(A68=入力!$B$15,A68+入力!$B$19,S67)</f>
        <v>420</v>
      </c>
      <c r="T68" s="35" t="str">
        <f t="shared" si="15"/>
        <v/>
      </c>
      <c r="U68" s="3">
        <f t="shared" si="0"/>
        <v>0</v>
      </c>
      <c r="V68" s="3">
        <f t="shared" si="1"/>
        <v>0</v>
      </c>
      <c r="W68" s="3">
        <f t="shared" si="2"/>
        <v>0</v>
      </c>
      <c r="X68" s="3">
        <f t="shared" si="3"/>
        <v>0</v>
      </c>
      <c r="Y68" s="3">
        <f>IF(A68&lt;入力!$B$15,ABS(G68-何もしない_月次!G68),0)</f>
        <v>0</v>
      </c>
      <c r="Z68" s="3">
        <f t="shared" si="4"/>
        <v>0</v>
      </c>
      <c r="AA68">
        <f>ROUND(IF(A68=入力!$B$15+1,IF(E68=0,ROUND(C68/入力!$B$19,0),ROUND(-PMT(E68/12,入力!$B$19,C68),0)),IF(OR(AND(入力!$B$13="有効",A68&gt;1,MOD(A68-1,60)=0),AND(A68=入力!$B$11,A68&gt;1)),IF(入力!$B$14="有効",MIN(IF(E68=0,ROUND(C68/MAX(1,S67-A68+1),0),ROUND(-PMT(E68/12,MAX(1,S67-A68+1),C68),0)),ROUND(G67*1.25,0)),IF(E68=0,ROUND(C68/MAX(1,S67-A68+1),0),ROUND(-PMT(E68/12,MAX(1,S67-A68+1),C68),0))),G67)),0)</f>
        <v>117478</v>
      </c>
    </row>
    <row r="69" spans="1:27">
      <c r="A69" s="30">
        <f>64</f>
        <v>64</v>
      </c>
      <c r="B69" s="31">
        <f>EDATE(入力!$B$6,A69-1)</f>
        <v>48153</v>
      </c>
      <c r="C69" s="32">
        <f t="shared" si="5"/>
        <v>30347174</v>
      </c>
      <c r="D69" s="32">
        <f t="shared" si="6"/>
        <v>0</v>
      </c>
      <c r="E69" s="33">
        <f>IF(AND(T68="",A69&lt;=S68),IF(A69&lt;入力!$B$11,入力!$B$10,入力!$B$12),0)</f>
        <v>2.5000000000000001E-2</v>
      </c>
      <c r="F69" s="32">
        <f t="shared" si="7"/>
        <v>63223</v>
      </c>
      <c r="G69" s="32">
        <f>ROUND(IF(NOT(AND(T68="",A69&lt;=S68)),0,IF(A69=入力!$B$15+1,IF(E69=0,ROUND(C69/入力!$B$19,0),ROUND(-PMT(E69/12,入力!$B$19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),0)</f>
        <v>117478</v>
      </c>
      <c r="H69" s="32">
        <f t="shared" si="8"/>
        <v>117478</v>
      </c>
      <c r="I69" s="32">
        <f t="shared" si="9"/>
        <v>63223</v>
      </c>
      <c r="J69" s="32">
        <f t="shared" si="10"/>
        <v>0</v>
      </c>
      <c r="K69" s="32">
        <f t="shared" si="11"/>
        <v>0</v>
      </c>
      <c r="L69" s="32">
        <f t="shared" si="12"/>
        <v>54255</v>
      </c>
      <c r="M69" s="32">
        <f>IF(AND(AND(T68="",A69&lt;=S68),A69=入力!$B$15),ROUND(MIN(入力!$B$16,MAX(0,C69-L69)),0),0)</f>
        <v>0</v>
      </c>
      <c r="N69" s="32">
        <f t="shared" si="13"/>
        <v>30292919</v>
      </c>
      <c r="O69" s="32">
        <f t="shared" si="14"/>
        <v>1401751</v>
      </c>
      <c r="P69" s="34" t="str">
        <f>IF(NOT(AND(T68="",A69&lt;=S68)),"",IF(A69=入力!$B$15+1,"繰上返済後再計算","")&amp;IF(AND(入力!$B$13="有効",A69&gt;1,MOD(A69-1,60)=0),IF(A69=入力!$B$15+1,"・","")&amp;"5年見直し","")&amp;IF(AND(A69=入力!$B$11,A69&gt;1),IF(OR(A69=入力!$B$15+1,AND(入力!$B$13="有効",A69&gt;1,MOD(A69-1,60)=0)),"・","")&amp;"金利変更","")&amp;IF(AND(OR(AND(入力!$B$13="有効",A69&gt;1,MOD(A69-1,60)=0),AND(A69=入力!$B$11,A69&gt;1)),入力!$B$14="有効",IF(E69=0,ROUND(C69/MAX(1,S68-A69+1),0),ROUND(-PMT(E69/12,MAX(1,S68-A69+1),C69),0))&gt;ROUND(G68*1.25,0),NOT(A69=入力!$B$15+1)),"・上限適用",""))</f>
        <v/>
      </c>
      <c r="Q69" s="35" t="str">
        <f>IF(AND(T68="",A69&lt;=S68),入力!$B$13,"")</f>
        <v>有効</v>
      </c>
      <c r="R69" s="32" t="str">
        <f>IF(AND(AND(T68="",A69&lt;=S68),OR(AND(入力!$B$13="有効",A69&gt;1,MOD(A69-1,60)=0),AND(A69=入力!$B$11,A69&gt;1)),入力!$B$14="有効"),ROUND(G68*1.25,0),"")</f>
        <v/>
      </c>
      <c r="S69" s="36">
        <f>IF(A69=入力!$B$15,A69+入力!$B$19,S68)</f>
        <v>420</v>
      </c>
      <c r="T69" s="35" t="str">
        <f t="shared" si="15"/>
        <v/>
      </c>
      <c r="U69" s="3">
        <f t="shared" si="0"/>
        <v>0</v>
      </c>
      <c r="V69" s="3">
        <f t="shared" si="1"/>
        <v>0</v>
      </c>
      <c r="W69" s="3">
        <f t="shared" si="2"/>
        <v>0</v>
      </c>
      <c r="X69" s="3">
        <f t="shared" si="3"/>
        <v>0</v>
      </c>
      <c r="Y69" s="3">
        <f>IF(A69&lt;入力!$B$15,ABS(G69-何もしない_月次!G69),0)</f>
        <v>0</v>
      </c>
      <c r="Z69" s="3">
        <f t="shared" si="4"/>
        <v>0</v>
      </c>
      <c r="AA69">
        <f>ROUND(IF(A69=入力!$B$15+1,IF(E69=0,ROUND(C69/入力!$B$19,0),ROUND(-PMT(E69/12,入力!$B$19,C69),0)),IF(OR(AND(入力!$B$13="有効",A69&gt;1,MOD(A69-1,60)=0),AND(A69=入力!$B$11,A69&gt;1)),IF(入力!$B$14="有効",MIN(IF(E69=0,ROUND(C69/MAX(1,S68-A69+1),0),ROUND(-PMT(E69/12,MAX(1,S68-A69+1),C69),0)),ROUND(G68*1.25,0)),IF(E69=0,ROUND(C69/MAX(1,S68-A69+1),0),ROUND(-PMT(E69/12,MAX(1,S68-A69+1),C69),0))),G68)),0)</f>
        <v>117478</v>
      </c>
    </row>
    <row r="70" spans="1:27">
      <c r="A70" s="30">
        <f>65</f>
        <v>65</v>
      </c>
      <c r="B70" s="31">
        <f>EDATE(入力!$B$6,A70-1)</f>
        <v>48183</v>
      </c>
      <c r="C70" s="32">
        <f t="shared" si="5"/>
        <v>30292919</v>
      </c>
      <c r="D70" s="32">
        <f t="shared" si="6"/>
        <v>0</v>
      </c>
      <c r="E70" s="33">
        <f>IF(AND(T69="",A70&lt;=S69),IF(A70&lt;入力!$B$11,入力!$B$10,入力!$B$12),0)</f>
        <v>2.5000000000000001E-2</v>
      </c>
      <c r="F70" s="32">
        <f t="shared" si="7"/>
        <v>63110</v>
      </c>
      <c r="G70" s="32">
        <f>ROUND(IF(NOT(AND(T69="",A70&lt;=S69)),0,IF(A70=入力!$B$15+1,IF(E70=0,ROUND(C70/入力!$B$19,0),ROUND(-PMT(E70/12,入力!$B$19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),0)</f>
        <v>117478</v>
      </c>
      <c r="H70" s="32">
        <f t="shared" si="8"/>
        <v>117478</v>
      </c>
      <c r="I70" s="32">
        <f t="shared" si="9"/>
        <v>63110</v>
      </c>
      <c r="J70" s="32">
        <f t="shared" si="10"/>
        <v>0</v>
      </c>
      <c r="K70" s="32">
        <f t="shared" si="11"/>
        <v>0</v>
      </c>
      <c r="L70" s="32">
        <f t="shared" si="12"/>
        <v>54368</v>
      </c>
      <c r="M70" s="32">
        <f>IF(AND(AND(T69="",A70&lt;=S69),A70=入力!$B$15),ROUND(MIN(入力!$B$16,MAX(0,C70-L70)),0),0)</f>
        <v>0</v>
      </c>
      <c r="N70" s="32">
        <f t="shared" si="13"/>
        <v>30238551</v>
      </c>
      <c r="O70" s="32">
        <f t="shared" si="14"/>
        <v>1464861</v>
      </c>
      <c r="P70" s="34" t="str">
        <f>IF(NOT(AND(T69="",A70&lt;=S69)),"",IF(A70=入力!$B$15+1,"繰上返済後再計算","")&amp;IF(AND(入力!$B$13="有効",A70&gt;1,MOD(A70-1,60)=0),IF(A70=入力!$B$15+1,"・","")&amp;"5年見直し","")&amp;IF(AND(A70=入力!$B$11,A70&gt;1),IF(OR(A70=入力!$B$15+1,AND(入力!$B$13="有効",A70&gt;1,MOD(A70-1,60)=0)),"・","")&amp;"金利変更","")&amp;IF(AND(OR(AND(入力!$B$13="有効",A70&gt;1,MOD(A70-1,60)=0),AND(A70=入力!$B$11,A70&gt;1)),入力!$B$14="有効",IF(E70=0,ROUND(C70/MAX(1,S69-A70+1),0),ROUND(-PMT(E70/12,MAX(1,S69-A70+1),C70),0))&gt;ROUND(G69*1.25,0),NOT(A70=入力!$B$15+1)),"・上限適用",""))</f>
        <v/>
      </c>
      <c r="Q70" s="35" t="str">
        <f>IF(AND(T69="",A70&lt;=S69),入力!$B$13,"")</f>
        <v>有効</v>
      </c>
      <c r="R70" s="32" t="str">
        <f>IF(AND(AND(T69="",A70&lt;=S69),OR(AND(入力!$B$13="有効",A70&gt;1,MOD(A70-1,60)=0),AND(A70=入力!$B$11,A70&gt;1)),入力!$B$14="有効"),ROUND(G69*1.25,0),"")</f>
        <v/>
      </c>
      <c r="S70" s="36">
        <f>IF(A70=入力!$B$15,A70+入力!$B$19,S69)</f>
        <v>420</v>
      </c>
      <c r="T70" s="35" t="str">
        <f t="shared" si="15"/>
        <v/>
      </c>
      <c r="U70" s="3">
        <f t="shared" ref="U70:U133" si="16">ABS(I70-MIN(H70,D70+F70))</f>
        <v>0</v>
      </c>
      <c r="V70" s="3">
        <f t="shared" ref="V70:V133" si="17">ABS(L70-(H70-I70))</f>
        <v>0</v>
      </c>
      <c r="W70" s="3">
        <f t="shared" ref="W70:W133" si="18">ABS(K70-(D70+J70))</f>
        <v>0</v>
      </c>
      <c r="X70" s="3">
        <f t="shared" ref="X70:X133" si="19">ABS(F70-ROUND(F70,0))+ABS(G70-ROUND(G70,0))+ABS(H70-ROUND(H70,0))+ABS(I70-ROUND(I70,0))+ABS(J70-ROUND(J70,0))+ABS(K70-ROUND(K70,0))+ABS(L70-ROUND(L70,0))+ABS(M70-ROUND(M70,0))+ABS(N70-ROUND(N70,0))+ABS(O70-ROUND(O70,0))</f>
        <v>0</v>
      </c>
      <c r="Y70" s="3">
        <f>IF(A70&lt;入力!$B$15,ABS(G70-何もしない_月次!G70),0)</f>
        <v>0</v>
      </c>
      <c r="Z70" s="3">
        <f t="shared" ref="Z70:Z133" si="20">SUM(--ISERROR(A70),--ISERROR(B70),--ISERROR(C70),--ISERROR(D70),--ISERROR(E70),--ISERROR(F70),--ISERROR(G70),--ISERROR(H70),--ISERROR(I70),--ISERROR(J70),--ISERROR(K70),--ISERROR(L70),--ISERROR(M70),--ISERROR(N70),--ISERROR(O70),--ISERROR(P70),--ISERROR(Q70),--ISERROR(R70),--ISERROR(S70),--ISERROR(T70))</f>
        <v>0</v>
      </c>
      <c r="AA70">
        <f>ROUND(IF(A70=入力!$B$15+1,IF(E70=0,ROUND(C70/入力!$B$19,0),ROUND(-PMT(E70/12,入力!$B$19,C70),0)),IF(OR(AND(入力!$B$13="有効",A70&gt;1,MOD(A70-1,60)=0),AND(A70=入力!$B$11,A70&gt;1)),IF(入力!$B$14="有効",MIN(IF(E70=0,ROUND(C70/MAX(1,S69-A70+1),0),ROUND(-PMT(E70/12,MAX(1,S69-A70+1),C70),0)),ROUND(G69*1.25,0)),IF(E70=0,ROUND(C70/MAX(1,S69-A70+1),0),ROUND(-PMT(E70/12,MAX(1,S69-A70+1),C70),0))),G69)),0)</f>
        <v>117478</v>
      </c>
    </row>
    <row r="71" spans="1:27">
      <c r="A71" s="30">
        <f>66</f>
        <v>66</v>
      </c>
      <c r="B71" s="31">
        <f>EDATE(入力!$B$6,A71-1)</f>
        <v>48214</v>
      </c>
      <c r="C71" s="32">
        <f t="shared" ref="C71:C134" si="21">IF(AND(T70="",A71&lt;=S70),N70,0)</f>
        <v>30238551</v>
      </c>
      <c r="D71" s="32">
        <f t="shared" ref="D71:D134" si="22">IF(AND(T70="",A71&lt;=S70),K70,0)</f>
        <v>0</v>
      </c>
      <c r="E71" s="33">
        <f>IF(AND(T70="",A71&lt;=S70),IF(A71&lt;入力!$B$11,入力!$B$10,入力!$B$12),0)</f>
        <v>2.5000000000000001E-2</v>
      </c>
      <c r="F71" s="32">
        <f t="shared" ref="F71:F134" si="23">IF(AND(T70="",A71&lt;=S70),ROUND(C71*E71/12,0),0)</f>
        <v>62997</v>
      </c>
      <c r="G71" s="32">
        <f>ROUND(IF(NOT(AND(T70="",A71&lt;=S70)),0,IF(A71=入力!$B$15+1,IF(E71=0,ROUND(C71/入力!$B$19,0),ROUND(-PMT(E71/12,入力!$B$19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),0)</f>
        <v>117478</v>
      </c>
      <c r="H71" s="32">
        <f t="shared" ref="H71:H134" si="24">IF(AND(T70="",A71&lt;=S70),ROUND(MIN(G71,C71+D71+F71),0),0)</f>
        <v>117478</v>
      </c>
      <c r="I71" s="32">
        <f t="shared" ref="I71:I134" si="25">IF(AND(T70="",A71&lt;=S70),ROUND(MIN(H71,D71+F71),0),0)</f>
        <v>62997</v>
      </c>
      <c r="J71" s="32">
        <f t="shared" ref="J71:J134" si="26">IF(AND(T70="",A71&lt;=S70),ROUND(F71-I71,0),0)</f>
        <v>0</v>
      </c>
      <c r="K71" s="32">
        <f t="shared" ref="K71:K134" si="27">IF(AND(T70="",A71&lt;=S70),ROUND(D71+J71,0),0)</f>
        <v>0</v>
      </c>
      <c r="L71" s="32">
        <f t="shared" ref="L71:L134" si="28">IF(AND(T70="",A71&lt;=S70),ROUND(H71-I71,0),0)</f>
        <v>54481</v>
      </c>
      <c r="M71" s="32">
        <f>IF(AND(AND(T70="",A71&lt;=S70),A71=入力!$B$15),ROUND(MIN(入力!$B$16,MAX(0,C71-L71)),0),0)</f>
        <v>0</v>
      </c>
      <c r="N71" s="32">
        <f t="shared" ref="N71:N134" si="29">IF(AND(T70="",A71&lt;=S70),ROUND(MAX(0,C71-L71-M71),0),0)</f>
        <v>30184070</v>
      </c>
      <c r="O71" s="32">
        <f t="shared" ref="O71:O134" si="30">IF(AND(T70="",A71&lt;=S70),ROUND(O70+F71,0),O70)</f>
        <v>1527858</v>
      </c>
      <c r="P71" s="34" t="str">
        <f>IF(NOT(AND(T70="",A71&lt;=S70)),"",IF(A71=入力!$B$15+1,"繰上返済後再計算","")&amp;IF(AND(入力!$B$13="有効",A71&gt;1,MOD(A71-1,60)=0),IF(A71=入力!$B$15+1,"・","")&amp;"5年見直し","")&amp;IF(AND(A71=入力!$B$11,A71&gt;1),IF(OR(A71=入力!$B$15+1,AND(入力!$B$13="有効",A71&gt;1,MOD(A71-1,60)=0)),"・","")&amp;"金利変更","")&amp;IF(AND(OR(AND(入力!$B$13="有効",A71&gt;1,MOD(A71-1,60)=0),AND(A71=入力!$B$11,A71&gt;1)),入力!$B$14="有効",IF(E71=0,ROUND(C71/MAX(1,S70-A71+1),0),ROUND(-PMT(E71/12,MAX(1,S70-A71+1),C71),0))&gt;ROUND(G70*1.25,0),NOT(A71=入力!$B$15+1)),"・上限適用",""))</f>
        <v/>
      </c>
      <c r="Q71" s="35" t="str">
        <f>IF(AND(T70="",A71&lt;=S70),入力!$B$13,"")</f>
        <v>有効</v>
      </c>
      <c r="R71" s="32" t="str">
        <f>IF(AND(AND(T70="",A71&lt;=S70),OR(AND(入力!$B$13="有効",A71&gt;1,MOD(A71-1,60)=0),AND(A71=入力!$B$11,A71&gt;1)),入力!$B$14="有効"),ROUND(G70*1.25,0),"")</f>
        <v/>
      </c>
      <c r="S71" s="36">
        <f>IF(A71=入力!$B$15,A71+入力!$B$19,S70)</f>
        <v>420</v>
      </c>
      <c r="T71" s="35" t="str">
        <f t="shared" ref="T71:T134" si="31">IF(NOT(AND(T70="",A71&lt;=S70)),"",IF(AND(N71=0,K71=0),"完済",IF(A71=S71,"最終回清算","")))</f>
        <v/>
      </c>
      <c r="U71" s="3">
        <f t="shared" si="16"/>
        <v>0</v>
      </c>
      <c r="V71" s="3">
        <f t="shared" si="17"/>
        <v>0</v>
      </c>
      <c r="W71" s="3">
        <f t="shared" si="18"/>
        <v>0</v>
      </c>
      <c r="X71" s="3">
        <f t="shared" si="19"/>
        <v>0</v>
      </c>
      <c r="Y71" s="3">
        <f>IF(A71&lt;入力!$B$15,ABS(G71-何もしない_月次!G71),0)</f>
        <v>0</v>
      </c>
      <c r="Z71" s="3">
        <f t="shared" si="20"/>
        <v>0</v>
      </c>
      <c r="AA71">
        <f>ROUND(IF(A71=入力!$B$15+1,IF(E71=0,ROUND(C71/入力!$B$19,0),ROUND(-PMT(E71/12,入力!$B$19,C71),0)),IF(OR(AND(入力!$B$13="有効",A71&gt;1,MOD(A71-1,60)=0),AND(A71=入力!$B$11,A71&gt;1)),IF(入力!$B$14="有効",MIN(IF(E71=0,ROUND(C71/MAX(1,S70-A71+1),0),ROUND(-PMT(E71/12,MAX(1,S70-A71+1),C71),0)),ROUND(G70*1.25,0)),IF(E71=0,ROUND(C71/MAX(1,S70-A71+1),0),ROUND(-PMT(E71/12,MAX(1,S70-A71+1),C71),0))),G70)),0)</f>
        <v>117478</v>
      </c>
    </row>
    <row r="72" spans="1:27">
      <c r="A72" s="30">
        <f>67</f>
        <v>67</v>
      </c>
      <c r="B72" s="31">
        <f>EDATE(入力!$B$6,A72-1)</f>
        <v>48245</v>
      </c>
      <c r="C72" s="32">
        <f t="shared" si="21"/>
        <v>30184070</v>
      </c>
      <c r="D72" s="32">
        <f t="shared" si="22"/>
        <v>0</v>
      </c>
      <c r="E72" s="33">
        <f>IF(AND(T71="",A72&lt;=S71),IF(A72&lt;入力!$B$11,入力!$B$10,入力!$B$12),0)</f>
        <v>2.5000000000000001E-2</v>
      </c>
      <c r="F72" s="32">
        <f t="shared" si="23"/>
        <v>62883</v>
      </c>
      <c r="G72" s="32">
        <f>ROUND(IF(NOT(AND(T71="",A72&lt;=S71)),0,IF(A72=入力!$B$15+1,IF(E72=0,ROUND(C72/入力!$B$19,0),ROUND(-PMT(E72/12,入力!$B$19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),0)</f>
        <v>117478</v>
      </c>
      <c r="H72" s="32">
        <f t="shared" si="24"/>
        <v>117478</v>
      </c>
      <c r="I72" s="32">
        <f t="shared" si="25"/>
        <v>62883</v>
      </c>
      <c r="J72" s="32">
        <f t="shared" si="26"/>
        <v>0</v>
      </c>
      <c r="K72" s="32">
        <f t="shared" si="27"/>
        <v>0</v>
      </c>
      <c r="L72" s="32">
        <f t="shared" si="28"/>
        <v>54595</v>
      </c>
      <c r="M72" s="32">
        <f>IF(AND(AND(T71="",A72&lt;=S71),A72=入力!$B$15),ROUND(MIN(入力!$B$16,MAX(0,C72-L72)),0),0)</f>
        <v>0</v>
      </c>
      <c r="N72" s="32">
        <f t="shared" si="29"/>
        <v>30129475</v>
      </c>
      <c r="O72" s="32">
        <f t="shared" si="30"/>
        <v>1590741</v>
      </c>
      <c r="P72" s="34" t="str">
        <f>IF(NOT(AND(T71="",A72&lt;=S71)),"",IF(A72=入力!$B$15+1,"繰上返済後再計算","")&amp;IF(AND(入力!$B$13="有効",A72&gt;1,MOD(A72-1,60)=0),IF(A72=入力!$B$15+1,"・","")&amp;"5年見直し","")&amp;IF(AND(A72=入力!$B$11,A72&gt;1),IF(OR(A72=入力!$B$15+1,AND(入力!$B$13="有効",A72&gt;1,MOD(A72-1,60)=0)),"・","")&amp;"金利変更","")&amp;IF(AND(OR(AND(入力!$B$13="有効",A72&gt;1,MOD(A72-1,60)=0),AND(A72=入力!$B$11,A72&gt;1)),入力!$B$14="有効",IF(E72=0,ROUND(C72/MAX(1,S71-A72+1),0),ROUND(-PMT(E72/12,MAX(1,S71-A72+1),C72),0))&gt;ROUND(G71*1.25,0),NOT(A72=入力!$B$15+1)),"・上限適用",""))</f>
        <v/>
      </c>
      <c r="Q72" s="35" t="str">
        <f>IF(AND(T71="",A72&lt;=S71),入力!$B$13,"")</f>
        <v>有効</v>
      </c>
      <c r="R72" s="32" t="str">
        <f>IF(AND(AND(T71="",A72&lt;=S71),OR(AND(入力!$B$13="有効",A72&gt;1,MOD(A72-1,60)=0),AND(A72=入力!$B$11,A72&gt;1)),入力!$B$14="有効"),ROUND(G71*1.25,0),"")</f>
        <v/>
      </c>
      <c r="S72" s="36">
        <f>IF(A72=入力!$B$15,A72+入力!$B$19,S71)</f>
        <v>420</v>
      </c>
      <c r="T72" s="35" t="str">
        <f t="shared" si="31"/>
        <v/>
      </c>
      <c r="U72" s="3">
        <f t="shared" si="16"/>
        <v>0</v>
      </c>
      <c r="V72" s="3">
        <f t="shared" si="17"/>
        <v>0</v>
      </c>
      <c r="W72" s="3">
        <f t="shared" si="18"/>
        <v>0</v>
      </c>
      <c r="X72" s="3">
        <f t="shared" si="19"/>
        <v>0</v>
      </c>
      <c r="Y72" s="3">
        <f>IF(A72&lt;入力!$B$15,ABS(G72-何もしない_月次!G72),0)</f>
        <v>0</v>
      </c>
      <c r="Z72" s="3">
        <f t="shared" si="20"/>
        <v>0</v>
      </c>
      <c r="AA72">
        <f>ROUND(IF(A72=入力!$B$15+1,IF(E72=0,ROUND(C72/入力!$B$19,0),ROUND(-PMT(E72/12,入力!$B$19,C72),0)),IF(OR(AND(入力!$B$13="有効",A72&gt;1,MOD(A72-1,60)=0),AND(A72=入力!$B$11,A72&gt;1)),IF(入力!$B$14="有効",MIN(IF(E72=0,ROUND(C72/MAX(1,S71-A72+1),0),ROUND(-PMT(E72/12,MAX(1,S71-A72+1),C72),0)),ROUND(G71*1.25,0)),IF(E72=0,ROUND(C72/MAX(1,S71-A72+1),0),ROUND(-PMT(E72/12,MAX(1,S71-A72+1),C72),0))),G71)),0)</f>
        <v>117478</v>
      </c>
    </row>
    <row r="73" spans="1:27">
      <c r="A73" s="30">
        <f>68</f>
        <v>68</v>
      </c>
      <c r="B73" s="31">
        <f>EDATE(入力!$B$6,A73-1)</f>
        <v>48274</v>
      </c>
      <c r="C73" s="32">
        <f t="shared" si="21"/>
        <v>30129475</v>
      </c>
      <c r="D73" s="32">
        <f t="shared" si="22"/>
        <v>0</v>
      </c>
      <c r="E73" s="33">
        <f>IF(AND(T72="",A73&lt;=S72),IF(A73&lt;入力!$B$11,入力!$B$10,入力!$B$12),0)</f>
        <v>2.5000000000000001E-2</v>
      </c>
      <c r="F73" s="32">
        <f t="shared" si="23"/>
        <v>62770</v>
      </c>
      <c r="G73" s="32">
        <f>ROUND(IF(NOT(AND(T72="",A73&lt;=S72)),0,IF(A73=入力!$B$15+1,IF(E73=0,ROUND(C73/入力!$B$19,0),ROUND(-PMT(E73/12,入力!$B$19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),0)</f>
        <v>117478</v>
      </c>
      <c r="H73" s="32">
        <f t="shared" si="24"/>
        <v>117478</v>
      </c>
      <c r="I73" s="32">
        <f t="shared" si="25"/>
        <v>62770</v>
      </c>
      <c r="J73" s="32">
        <f t="shared" si="26"/>
        <v>0</v>
      </c>
      <c r="K73" s="32">
        <f t="shared" si="27"/>
        <v>0</v>
      </c>
      <c r="L73" s="32">
        <f t="shared" si="28"/>
        <v>54708</v>
      </c>
      <c r="M73" s="32">
        <f>IF(AND(AND(T72="",A73&lt;=S72),A73=入力!$B$15),ROUND(MIN(入力!$B$16,MAX(0,C73-L73)),0),0)</f>
        <v>0</v>
      </c>
      <c r="N73" s="32">
        <f t="shared" si="29"/>
        <v>30074767</v>
      </c>
      <c r="O73" s="32">
        <f t="shared" si="30"/>
        <v>1653511</v>
      </c>
      <c r="P73" s="34" t="str">
        <f>IF(NOT(AND(T72="",A73&lt;=S72)),"",IF(A73=入力!$B$15+1,"繰上返済後再計算","")&amp;IF(AND(入力!$B$13="有効",A73&gt;1,MOD(A73-1,60)=0),IF(A73=入力!$B$15+1,"・","")&amp;"5年見直し","")&amp;IF(AND(A73=入力!$B$11,A73&gt;1),IF(OR(A73=入力!$B$15+1,AND(入力!$B$13="有効",A73&gt;1,MOD(A73-1,60)=0)),"・","")&amp;"金利変更","")&amp;IF(AND(OR(AND(入力!$B$13="有効",A73&gt;1,MOD(A73-1,60)=0),AND(A73=入力!$B$11,A73&gt;1)),入力!$B$14="有効",IF(E73=0,ROUND(C73/MAX(1,S72-A73+1),0),ROUND(-PMT(E73/12,MAX(1,S72-A73+1),C73),0))&gt;ROUND(G72*1.25,0),NOT(A73=入力!$B$15+1)),"・上限適用",""))</f>
        <v/>
      </c>
      <c r="Q73" s="35" t="str">
        <f>IF(AND(T72="",A73&lt;=S72),入力!$B$13,"")</f>
        <v>有効</v>
      </c>
      <c r="R73" s="32" t="str">
        <f>IF(AND(AND(T72="",A73&lt;=S72),OR(AND(入力!$B$13="有効",A73&gt;1,MOD(A73-1,60)=0),AND(A73=入力!$B$11,A73&gt;1)),入力!$B$14="有効"),ROUND(G72*1.25,0),"")</f>
        <v/>
      </c>
      <c r="S73" s="36">
        <f>IF(A73=入力!$B$15,A73+入力!$B$19,S72)</f>
        <v>420</v>
      </c>
      <c r="T73" s="35" t="str">
        <f t="shared" si="31"/>
        <v/>
      </c>
      <c r="U73" s="3">
        <f t="shared" si="16"/>
        <v>0</v>
      </c>
      <c r="V73" s="3">
        <f t="shared" si="17"/>
        <v>0</v>
      </c>
      <c r="W73" s="3">
        <f t="shared" si="18"/>
        <v>0</v>
      </c>
      <c r="X73" s="3">
        <f t="shared" si="19"/>
        <v>0</v>
      </c>
      <c r="Y73" s="3">
        <f>IF(A73&lt;入力!$B$15,ABS(G73-何もしない_月次!G73),0)</f>
        <v>0</v>
      </c>
      <c r="Z73" s="3">
        <f t="shared" si="20"/>
        <v>0</v>
      </c>
      <c r="AA73">
        <f>ROUND(IF(A73=入力!$B$15+1,IF(E73=0,ROUND(C73/入力!$B$19,0),ROUND(-PMT(E73/12,入力!$B$19,C73),0)),IF(OR(AND(入力!$B$13="有効",A73&gt;1,MOD(A73-1,60)=0),AND(A73=入力!$B$11,A73&gt;1)),IF(入力!$B$14="有効",MIN(IF(E73=0,ROUND(C73/MAX(1,S72-A73+1),0),ROUND(-PMT(E73/12,MAX(1,S72-A73+1),C73),0)),ROUND(G72*1.25,0)),IF(E73=0,ROUND(C73/MAX(1,S72-A73+1),0),ROUND(-PMT(E73/12,MAX(1,S72-A73+1),C73),0))),G72)),0)</f>
        <v>117478</v>
      </c>
    </row>
    <row r="74" spans="1:27">
      <c r="A74" s="30">
        <f>69</f>
        <v>69</v>
      </c>
      <c r="B74" s="31">
        <f>EDATE(入力!$B$6,A74-1)</f>
        <v>48305</v>
      </c>
      <c r="C74" s="32">
        <f t="shared" si="21"/>
        <v>30074767</v>
      </c>
      <c r="D74" s="32">
        <f t="shared" si="22"/>
        <v>0</v>
      </c>
      <c r="E74" s="33">
        <f>IF(AND(T73="",A74&lt;=S73),IF(A74&lt;入力!$B$11,入力!$B$10,入力!$B$12),0)</f>
        <v>2.5000000000000001E-2</v>
      </c>
      <c r="F74" s="32">
        <f t="shared" si="23"/>
        <v>62656</v>
      </c>
      <c r="G74" s="32">
        <f>ROUND(IF(NOT(AND(T73="",A74&lt;=S73)),0,IF(A74=入力!$B$15+1,IF(E74=0,ROUND(C74/入力!$B$19,0),ROUND(-PMT(E74/12,入力!$B$19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),0)</f>
        <v>117478</v>
      </c>
      <c r="H74" s="32">
        <f t="shared" si="24"/>
        <v>117478</v>
      </c>
      <c r="I74" s="32">
        <f t="shared" si="25"/>
        <v>62656</v>
      </c>
      <c r="J74" s="32">
        <f t="shared" si="26"/>
        <v>0</v>
      </c>
      <c r="K74" s="32">
        <f t="shared" si="27"/>
        <v>0</v>
      </c>
      <c r="L74" s="32">
        <f t="shared" si="28"/>
        <v>54822</v>
      </c>
      <c r="M74" s="32">
        <f>IF(AND(AND(T73="",A74&lt;=S73),A74=入力!$B$15),ROUND(MIN(入力!$B$16,MAX(0,C74-L74)),0),0)</f>
        <v>0</v>
      </c>
      <c r="N74" s="32">
        <f t="shared" si="29"/>
        <v>30019945</v>
      </c>
      <c r="O74" s="32">
        <f t="shared" si="30"/>
        <v>1716167</v>
      </c>
      <c r="P74" s="34" t="str">
        <f>IF(NOT(AND(T73="",A74&lt;=S73)),"",IF(A74=入力!$B$15+1,"繰上返済後再計算","")&amp;IF(AND(入力!$B$13="有効",A74&gt;1,MOD(A74-1,60)=0),IF(A74=入力!$B$15+1,"・","")&amp;"5年見直し","")&amp;IF(AND(A74=入力!$B$11,A74&gt;1),IF(OR(A74=入力!$B$15+1,AND(入力!$B$13="有効",A74&gt;1,MOD(A74-1,60)=0)),"・","")&amp;"金利変更","")&amp;IF(AND(OR(AND(入力!$B$13="有効",A74&gt;1,MOD(A74-1,60)=0),AND(A74=入力!$B$11,A74&gt;1)),入力!$B$14="有効",IF(E74=0,ROUND(C74/MAX(1,S73-A74+1),0),ROUND(-PMT(E74/12,MAX(1,S73-A74+1),C74),0))&gt;ROUND(G73*1.25,0),NOT(A74=入力!$B$15+1)),"・上限適用",""))</f>
        <v/>
      </c>
      <c r="Q74" s="35" t="str">
        <f>IF(AND(T73="",A74&lt;=S73),入力!$B$13,"")</f>
        <v>有効</v>
      </c>
      <c r="R74" s="32" t="str">
        <f>IF(AND(AND(T73="",A74&lt;=S73),OR(AND(入力!$B$13="有効",A74&gt;1,MOD(A74-1,60)=0),AND(A74=入力!$B$11,A74&gt;1)),入力!$B$14="有効"),ROUND(G73*1.25,0),"")</f>
        <v/>
      </c>
      <c r="S74" s="36">
        <f>IF(A74=入力!$B$15,A74+入力!$B$19,S73)</f>
        <v>420</v>
      </c>
      <c r="T74" s="35" t="str">
        <f t="shared" si="31"/>
        <v/>
      </c>
      <c r="U74" s="3">
        <f t="shared" si="16"/>
        <v>0</v>
      </c>
      <c r="V74" s="3">
        <f t="shared" si="17"/>
        <v>0</v>
      </c>
      <c r="W74" s="3">
        <f t="shared" si="18"/>
        <v>0</v>
      </c>
      <c r="X74" s="3">
        <f t="shared" si="19"/>
        <v>0</v>
      </c>
      <c r="Y74" s="3">
        <f>IF(A74&lt;入力!$B$15,ABS(G74-何もしない_月次!G74),0)</f>
        <v>0</v>
      </c>
      <c r="Z74" s="3">
        <f t="shared" si="20"/>
        <v>0</v>
      </c>
      <c r="AA74">
        <f>ROUND(IF(A74=入力!$B$15+1,IF(E74=0,ROUND(C74/入力!$B$19,0),ROUND(-PMT(E74/12,入力!$B$19,C74),0)),IF(OR(AND(入力!$B$13="有効",A74&gt;1,MOD(A74-1,60)=0),AND(A74=入力!$B$11,A74&gt;1)),IF(入力!$B$14="有効",MIN(IF(E74=0,ROUND(C74/MAX(1,S73-A74+1),0),ROUND(-PMT(E74/12,MAX(1,S73-A74+1),C74),0)),ROUND(G73*1.25,0)),IF(E74=0,ROUND(C74/MAX(1,S73-A74+1),0),ROUND(-PMT(E74/12,MAX(1,S73-A74+1),C74),0))),G73)),0)</f>
        <v>117478</v>
      </c>
    </row>
    <row r="75" spans="1:27">
      <c r="A75" s="30">
        <f>70</f>
        <v>70</v>
      </c>
      <c r="B75" s="31">
        <f>EDATE(入力!$B$6,A75-1)</f>
        <v>48335</v>
      </c>
      <c r="C75" s="32">
        <f t="shared" si="21"/>
        <v>30019945</v>
      </c>
      <c r="D75" s="32">
        <f t="shared" si="22"/>
        <v>0</v>
      </c>
      <c r="E75" s="33">
        <f>IF(AND(T74="",A75&lt;=S74),IF(A75&lt;入力!$B$11,入力!$B$10,入力!$B$12),0)</f>
        <v>2.5000000000000001E-2</v>
      </c>
      <c r="F75" s="32">
        <f t="shared" si="23"/>
        <v>62542</v>
      </c>
      <c r="G75" s="32">
        <f>ROUND(IF(NOT(AND(T74="",A75&lt;=S74)),0,IF(A75=入力!$B$15+1,IF(E75=0,ROUND(C75/入力!$B$19,0),ROUND(-PMT(E75/12,入力!$B$19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),0)</f>
        <v>117478</v>
      </c>
      <c r="H75" s="32">
        <f t="shared" si="24"/>
        <v>117478</v>
      </c>
      <c r="I75" s="32">
        <f t="shared" si="25"/>
        <v>62542</v>
      </c>
      <c r="J75" s="32">
        <f t="shared" si="26"/>
        <v>0</v>
      </c>
      <c r="K75" s="32">
        <f t="shared" si="27"/>
        <v>0</v>
      </c>
      <c r="L75" s="32">
        <f t="shared" si="28"/>
        <v>54936</v>
      </c>
      <c r="M75" s="32">
        <f>IF(AND(AND(T74="",A75&lt;=S74),A75=入力!$B$15),ROUND(MIN(入力!$B$16,MAX(0,C75-L75)),0),0)</f>
        <v>0</v>
      </c>
      <c r="N75" s="32">
        <f t="shared" si="29"/>
        <v>29965009</v>
      </c>
      <c r="O75" s="32">
        <f t="shared" si="30"/>
        <v>1778709</v>
      </c>
      <c r="P75" s="34" t="str">
        <f>IF(NOT(AND(T74="",A75&lt;=S74)),"",IF(A75=入力!$B$15+1,"繰上返済後再計算","")&amp;IF(AND(入力!$B$13="有効",A75&gt;1,MOD(A75-1,60)=0),IF(A75=入力!$B$15+1,"・","")&amp;"5年見直し","")&amp;IF(AND(A75=入力!$B$11,A75&gt;1),IF(OR(A75=入力!$B$15+1,AND(入力!$B$13="有効",A75&gt;1,MOD(A75-1,60)=0)),"・","")&amp;"金利変更","")&amp;IF(AND(OR(AND(入力!$B$13="有効",A75&gt;1,MOD(A75-1,60)=0),AND(A75=入力!$B$11,A75&gt;1)),入力!$B$14="有効",IF(E75=0,ROUND(C75/MAX(1,S74-A75+1),0),ROUND(-PMT(E75/12,MAX(1,S74-A75+1),C75),0))&gt;ROUND(G74*1.25,0),NOT(A75=入力!$B$15+1)),"・上限適用",""))</f>
        <v/>
      </c>
      <c r="Q75" s="35" t="str">
        <f>IF(AND(T74="",A75&lt;=S74),入力!$B$13,"")</f>
        <v>有効</v>
      </c>
      <c r="R75" s="32" t="str">
        <f>IF(AND(AND(T74="",A75&lt;=S74),OR(AND(入力!$B$13="有効",A75&gt;1,MOD(A75-1,60)=0),AND(A75=入力!$B$11,A75&gt;1)),入力!$B$14="有効"),ROUND(G74*1.25,0),"")</f>
        <v/>
      </c>
      <c r="S75" s="36">
        <f>IF(A75=入力!$B$15,A75+入力!$B$19,S74)</f>
        <v>420</v>
      </c>
      <c r="T75" s="35" t="str">
        <f t="shared" si="31"/>
        <v/>
      </c>
      <c r="U75" s="3">
        <f t="shared" si="16"/>
        <v>0</v>
      </c>
      <c r="V75" s="3">
        <f t="shared" si="17"/>
        <v>0</v>
      </c>
      <c r="W75" s="3">
        <f t="shared" si="18"/>
        <v>0</v>
      </c>
      <c r="X75" s="3">
        <f t="shared" si="19"/>
        <v>0</v>
      </c>
      <c r="Y75" s="3">
        <f>IF(A75&lt;入力!$B$15,ABS(G75-何もしない_月次!G75),0)</f>
        <v>0</v>
      </c>
      <c r="Z75" s="3">
        <f t="shared" si="20"/>
        <v>0</v>
      </c>
      <c r="AA75">
        <f>ROUND(IF(A75=入力!$B$15+1,IF(E75=0,ROUND(C75/入力!$B$19,0),ROUND(-PMT(E75/12,入力!$B$19,C75),0)),IF(OR(AND(入力!$B$13="有効",A75&gt;1,MOD(A75-1,60)=0),AND(A75=入力!$B$11,A75&gt;1)),IF(入力!$B$14="有効",MIN(IF(E75=0,ROUND(C75/MAX(1,S74-A75+1),0),ROUND(-PMT(E75/12,MAX(1,S74-A75+1),C75),0)),ROUND(G74*1.25,0)),IF(E75=0,ROUND(C75/MAX(1,S74-A75+1),0),ROUND(-PMT(E75/12,MAX(1,S74-A75+1),C75),0))),G74)),0)</f>
        <v>117478</v>
      </c>
    </row>
    <row r="76" spans="1:27">
      <c r="A76" s="30">
        <f>71</f>
        <v>71</v>
      </c>
      <c r="B76" s="31">
        <f>EDATE(入力!$B$6,A76-1)</f>
        <v>48366</v>
      </c>
      <c r="C76" s="32">
        <f t="shared" si="21"/>
        <v>29965009</v>
      </c>
      <c r="D76" s="32">
        <f t="shared" si="22"/>
        <v>0</v>
      </c>
      <c r="E76" s="33">
        <f>IF(AND(T75="",A76&lt;=S75),IF(A76&lt;入力!$B$11,入力!$B$10,入力!$B$12),0)</f>
        <v>2.5000000000000001E-2</v>
      </c>
      <c r="F76" s="32">
        <f t="shared" si="23"/>
        <v>62427</v>
      </c>
      <c r="G76" s="32">
        <f>ROUND(IF(NOT(AND(T75="",A76&lt;=S75)),0,IF(A76=入力!$B$15+1,IF(E76=0,ROUND(C76/入力!$B$19,0),ROUND(-PMT(E76/12,入力!$B$19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),0)</f>
        <v>117478</v>
      </c>
      <c r="H76" s="32">
        <f t="shared" si="24"/>
        <v>117478</v>
      </c>
      <c r="I76" s="32">
        <f t="shared" si="25"/>
        <v>62427</v>
      </c>
      <c r="J76" s="32">
        <f t="shared" si="26"/>
        <v>0</v>
      </c>
      <c r="K76" s="32">
        <f t="shared" si="27"/>
        <v>0</v>
      </c>
      <c r="L76" s="32">
        <f t="shared" si="28"/>
        <v>55051</v>
      </c>
      <c r="M76" s="32">
        <f>IF(AND(AND(T75="",A76&lt;=S75),A76=入力!$B$15),ROUND(MIN(入力!$B$16,MAX(0,C76-L76)),0),0)</f>
        <v>0</v>
      </c>
      <c r="N76" s="32">
        <f t="shared" si="29"/>
        <v>29909958</v>
      </c>
      <c r="O76" s="32">
        <f t="shared" si="30"/>
        <v>1841136</v>
      </c>
      <c r="P76" s="34" t="str">
        <f>IF(NOT(AND(T75="",A76&lt;=S75)),"",IF(A76=入力!$B$15+1,"繰上返済後再計算","")&amp;IF(AND(入力!$B$13="有効",A76&gt;1,MOD(A76-1,60)=0),IF(A76=入力!$B$15+1,"・","")&amp;"5年見直し","")&amp;IF(AND(A76=入力!$B$11,A76&gt;1),IF(OR(A76=入力!$B$15+1,AND(入力!$B$13="有効",A76&gt;1,MOD(A76-1,60)=0)),"・","")&amp;"金利変更","")&amp;IF(AND(OR(AND(入力!$B$13="有効",A76&gt;1,MOD(A76-1,60)=0),AND(A76=入力!$B$11,A76&gt;1)),入力!$B$14="有効",IF(E76=0,ROUND(C76/MAX(1,S75-A76+1),0),ROUND(-PMT(E76/12,MAX(1,S75-A76+1),C76),0))&gt;ROUND(G75*1.25,0),NOT(A76=入力!$B$15+1)),"・上限適用",""))</f>
        <v/>
      </c>
      <c r="Q76" s="35" t="str">
        <f>IF(AND(T75="",A76&lt;=S75),入力!$B$13,"")</f>
        <v>有効</v>
      </c>
      <c r="R76" s="32" t="str">
        <f>IF(AND(AND(T75="",A76&lt;=S75),OR(AND(入力!$B$13="有効",A76&gt;1,MOD(A76-1,60)=0),AND(A76=入力!$B$11,A76&gt;1)),入力!$B$14="有効"),ROUND(G75*1.25,0),"")</f>
        <v/>
      </c>
      <c r="S76" s="36">
        <f>IF(A76=入力!$B$15,A76+入力!$B$19,S75)</f>
        <v>420</v>
      </c>
      <c r="T76" s="35" t="str">
        <f t="shared" si="31"/>
        <v/>
      </c>
      <c r="U76" s="3">
        <f t="shared" si="16"/>
        <v>0</v>
      </c>
      <c r="V76" s="3">
        <f t="shared" si="17"/>
        <v>0</v>
      </c>
      <c r="W76" s="3">
        <f t="shared" si="18"/>
        <v>0</v>
      </c>
      <c r="X76" s="3">
        <f t="shared" si="19"/>
        <v>0</v>
      </c>
      <c r="Y76" s="3">
        <f>IF(A76&lt;入力!$B$15,ABS(G76-何もしない_月次!G76),0)</f>
        <v>0</v>
      </c>
      <c r="Z76" s="3">
        <f t="shared" si="20"/>
        <v>0</v>
      </c>
      <c r="AA76">
        <f>ROUND(IF(A76=入力!$B$15+1,IF(E76=0,ROUND(C76/入力!$B$19,0),ROUND(-PMT(E76/12,入力!$B$19,C76),0)),IF(OR(AND(入力!$B$13="有効",A76&gt;1,MOD(A76-1,60)=0),AND(A76=入力!$B$11,A76&gt;1)),IF(入力!$B$14="有効",MIN(IF(E76=0,ROUND(C76/MAX(1,S75-A76+1),0),ROUND(-PMT(E76/12,MAX(1,S75-A76+1),C76),0)),ROUND(G75*1.25,0)),IF(E76=0,ROUND(C76/MAX(1,S75-A76+1),0),ROUND(-PMT(E76/12,MAX(1,S75-A76+1),C76),0))),G75)),0)</f>
        <v>117478</v>
      </c>
    </row>
    <row r="77" spans="1:27">
      <c r="A77" s="30">
        <f>72</f>
        <v>72</v>
      </c>
      <c r="B77" s="31">
        <f>EDATE(入力!$B$6,A77-1)</f>
        <v>48396</v>
      </c>
      <c r="C77" s="32">
        <f t="shared" si="21"/>
        <v>29909958</v>
      </c>
      <c r="D77" s="32">
        <f t="shared" si="22"/>
        <v>0</v>
      </c>
      <c r="E77" s="33">
        <f>IF(AND(T76="",A77&lt;=S76),IF(A77&lt;入力!$B$11,入力!$B$10,入力!$B$12),0)</f>
        <v>2.5000000000000001E-2</v>
      </c>
      <c r="F77" s="32">
        <f t="shared" si="23"/>
        <v>62312</v>
      </c>
      <c r="G77" s="32">
        <f>ROUND(IF(NOT(AND(T76="",A77&lt;=S76)),0,IF(A77=入力!$B$15+1,IF(E77=0,ROUND(C77/入力!$B$19,0),ROUND(-PMT(E77/12,入力!$B$19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),0)</f>
        <v>117478</v>
      </c>
      <c r="H77" s="32">
        <f t="shared" si="24"/>
        <v>117478</v>
      </c>
      <c r="I77" s="32">
        <f t="shared" si="25"/>
        <v>62312</v>
      </c>
      <c r="J77" s="32">
        <f t="shared" si="26"/>
        <v>0</v>
      </c>
      <c r="K77" s="32">
        <f t="shared" si="27"/>
        <v>0</v>
      </c>
      <c r="L77" s="32">
        <f t="shared" si="28"/>
        <v>55166</v>
      </c>
      <c r="M77" s="32">
        <f>IF(AND(AND(T76="",A77&lt;=S76),A77=入力!$B$15),ROUND(MIN(入力!$B$16,MAX(0,C77-L77)),0),0)</f>
        <v>0</v>
      </c>
      <c r="N77" s="32">
        <f t="shared" si="29"/>
        <v>29854792</v>
      </c>
      <c r="O77" s="32">
        <f t="shared" si="30"/>
        <v>1903448</v>
      </c>
      <c r="P77" s="34" t="str">
        <f>IF(NOT(AND(T76="",A77&lt;=S76)),"",IF(A77=入力!$B$15+1,"繰上返済後再計算","")&amp;IF(AND(入力!$B$13="有効",A77&gt;1,MOD(A77-1,60)=0),IF(A77=入力!$B$15+1,"・","")&amp;"5年見直し","")&amp;IF(AND(A77=入力!$B$11,A77&gt;1),IF(OR(A77=入力!$B$15+1,AND(入力!$B$13="有効",A77&gt;1,MOD(A77-1,60)=0)),"・","")&amp;"金利変更","")&amp;IF(AND(OR(AND(入力!$B$13="有効",A77&gt;1,MOD(A77-1,60)=0),AND(A77=入力!$B$11,A77&gt;1)),入力!$B$14="有効",IF(E77=0,ROUND(C77/MAX(1,S76-A77+1),0),ROUND(-PMT(E77/12,MAX(1,S76-A77+1),C77),0))&gt;ROUND(G76*1.25,0),NOT(A77=入力!$B$15+1)),"・上限適用",""))</f>
        <v/>
      </c>
      <c r="Q77" s="35" t="str">
        <f>IF(AND(T76="",A77&lt;=S76),入力!$B$13,"")</f>
        <v>有効</v>
      </c>
      <c r="R77" s="32" t="str">
        <f>IF(AND(AND(T76="",A77&lt;=S76),OR(AND(入力!$B$13="有効",A77&gt;1,MOD(A77-1,60)=0),AND(A77=入力!$B$11,A77&gt;1)),入力!$B$14="有効"),ROUND(G76*1.25,0),"")</f>
        <v/>
      </c>
      <c r="S77" s="36">
        <f>IF(A77=入力!$B$15,A77+入力!$B$19,S76)</f>
        <v>420</v>
      </c>
      <c r="T77" s="35" t="str">
        <f t="shared" si="31"/>
        <v/>
      </c>
      <c r="U77" s="3">
        <f t="shared" si="16"/>
        <v>0</v>
      </c>
      <c r="V77" s="3">
        <f t="shared" si="17"/>
        <v>0</v>
      </c>
      <c r="W77" s="3">
        <f t="shared" si="18"/>
        <v>0</v>
      </c>
      <c r="X77" s="3">
        <f t="shared" si="19"/>
        <v>0</v>
      </c>
      <c r="Y77" s="3">
        <f>IF(A77&lt;入力!$B$15,ABS(G77-何もしない_月次!G77),0)</f>
        <v>0</v>
      </c>
      <c r="Z77" s="3">
        <f t="shared" si="20"/>
        <v>0</v>
      </c>
      <c r="AA77">
        <f>ROUND(IF(A77=入力!$B$15+1,IF(E77=0,ROUND(C77/入力!$B$19,0),ROUND(-PMT(E77/12,入力!$B$19,C77),0)),IF(OR(AND(入力!$B$13="有効",A77&gt;1,MOD(A77-1,60)=0),AND(A77=入力!$B$11,A77&gt;1)),IF(入力!$B$14="有効",MIN(IF(E77=0,ROUND(C77/MAX(1,S76-A77+1),0),ROUND(-PMT(E77/12,MAX(1,S76-A77+1),C77),0)),ROUND(G76*1.25,0)),IF(E77=0,ROUND(C77/MAX(1,S76-A77+1),0),ROUND(-PMT(E77/12,MAX(1,S76-A77+1),C77),0))),G76)),0)</f>
        <v>117478</v>
      </c>
    </row>
    <row r="78" spans="1:27">
      <c r="A78" s="30">
        <f>73</f>
        <v>73</v>
      </c>
      <c r="B78" s="31">
        <f>EDATE(入力!$B$6,A78-1)</f>
        <v>48427</v>
      </c>
      <c r="C78" s="32">
        <f t="shared" si="21"/>
        <v>29854792</v>
      </c>
      <c r="D78" s="32">
        <f t="shared" si="22"/>
        <v>0</v>
      </c>
      <c r="E78" s="33">
        <f>IF(AND(T77="",A78&lt;=S77),IF(A78&lt;入力!$B$11,入力!$B$10,入力!$B$12),0)</f>
        <v>2.5000000000000001E-2</v>
      </c>
      <c r="F78" s="32">
        <f t="shared" si="23"/>
        <v>62197</v>
      </c>
      <c r="G78" s="32">
        <f>ROUND(IF(NOT(AND(T77="",A78&lt;=S77)),0,IF(A78=入力!$B$15+1,IF(E78=0,ROUND(C78/入力!$B$19,0),ROUND(-PMT(E78/12,入力!$B$19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),0)</f>
        <v>117478</v>
      </c>
      <c r="H78" s="32">
        <f t="shared" si="24"/>
        <v>117478</v>
      </c>
      <c r="I78" s="32">
        <f t="shared" si="25"/>
        <v>62197</v>
      </c>
      <c r="J78" s="32">
        <f t="shared" si="26"/>
        <v>0</v>
      </c>
      <c r="K78" s="32">
        <f t="shared" si="27"/>
        <v>0</v>
      </c>
      <c r="L78" s="32">
        <f t="shared" si="28"/>
        <v>55281</v>
      </c>
      <c r="M78" s="32">
        <f>IF(AND(AND(T77="",A78&lt;=S77),A78=入力!$B$15),ROUND(MIN(入力!$B$16,MAX(0,C78-L78)),0),0)</f>
        <v>0</v>
      </c>
      <c r="N78" s="32">
        <f t="shared" si="29"/>
        <v>29799511</v>
      </c>
      <c r="O78" s="32">
        <f t="shared" si="30"/>
        <v>1965645</v>
      </c>
      <c r="P78" s="34" t="str">
        <f>IF(NOT(AND(T77="",A78&lt;=S77)),"",IF(A78=入力!$B$15+1,"繰上返済後再計算","")&amp;IF(AND(入力!$B$13="有効",A78&gt;1,MOD(A78-1,60)=0),IF(A78=入力!$B$15+1,"・","")&amp;"5年見直し","")&amp;IF(AND(A78=入力!$B$11,A78&gt;1),IF(OR(A78=入力!$B$15+1,AND(入力!$B$13="有効",A78&gt;1,MOD(A78-1,60)=0)),"・","")&amp;"金利変更","")&amp;IF(AND(OR(AND(入力!$B$13="有効",A78&gt;1,MOD(A78-1,60)=0),AND(A78=入力!$B$11,A78&gt;1)),入力!$B$14="有効",IF(E78=0,ROUND(C78/MAX(1,S77-A78+1),0),ROUND(-PMT(E78/12,MAX(1,S77-A78+1),C78),0))&gt;ROUND(G77*1.25,0),NOT(A78=入力!$B$15+1)),"・上限適用",""))</f>
        <v/>
      </c>
      <c r="Q78" s="35" t="str">
        <f>IF(AND(T77="",A78&lt;=S77),入力!$B$13,"")</f>
        <v>有効</v>
      </c>
      <c r="R78" s="32" t="str">
        <f>IF(AND(AND(T77="",A78&lt;=S77),OR(AND(入力!$B$13="有効",A78&gt;1,MOD(A78-1,60)=0),AND(A78=入力!$B$11,A78&gt;1)),入力!$B$14="有効"),ROUND(G77*1.25,0),"")</f>
        <v/>
      </c>
      <c r="S78" s="36">
        <f>IF(A78=入力!$B$15,A78+入力!$B$19,S77)</f>
        <v>420</v>
      </c>
      <c r="T78" s="35" t="str">
        <f t="shared" si="31"/>
        <v/>
      </c>
      <c r="U78" s="3">
        <f t="shared" si="16"/>
        <v>0</v>
      </c>
      <c r="V78" s="3">
        <f t="shared" si="17"/>
        <v>0</v>
      </c>
      <c r="W78" s="3">
        <f t="shared" si="18"/>
        <v>0</v>
      </c>
      <c r="X78" s="3">
        <f t="shared" si="19"/>
        <v>0</v>
      </c>
      <c r="Y78" s="3">
        <f>IF(A78&lt;入力!$B$15,ABS(G78-何もしない_月次!G78),0)</f>
        <v>0</v>
      </c>
      <c r="Z78" s="3">
        <f t="shared" si="20"/>
        <v>0</v>
      </c>
      <c r="AA78">
        <f>ROUND(IF(A78=入力!$B$15+1,IF(E78=0,ROUND(C78/入力!$B$19,0),ROUND(-PMT(E78/12,入力!$B$19,C78),0)),IF(OR(AND(入力!$B$13="有効",A78&gt;1,MOD(A78-1,60)=0),AND(A78=入力!$B$11,A78&gt;1)),IF(入力!$B$14="有効",MIN(IF(E78=0,ROUND(C78/MAX(1,S77-A78+1),0),ROUND(-PMT(E78/12,MAX(1,S77-A78+1),C78),0)),ROUND(G77*1.25,0)),IF(E78=0,ROUND(C78/MAX(1,S77-A78+1),0),ROUND(-PMT(E78/12,MAX(1,S77-A78+1),C78),0))),G77)),0)</f>
        <v>117478</v>
      </c>
    </row>
    <row r="79" spans="1:27">
      <c r="A79" s="30">
        <f>74</f>
        <v>74</v>
      </c>
      <c r="B79" s="31">
        <f>EDATE(入力!$B$6,A79-1)</f>
        <v>48458</v>
      </c>
      <c r="C79" s="32">
        <f t="shared" si="21"/>
        <v>29799511</v>
      </c>
      <c r="D79" s="32">
        <f t="shared" si="22"/>
        <v>0</v>
      </c>
      <c r="E79" s="33">
        <f>IF(AND(T78="",A79&lt;=S78),IF(A79&lt;入力!$B$11,入力!$B$10,入力!$B$12),0)</f>
        <v>2.5000000000000001E-2</v>
      </c>
      <c r="F79" s="32">
        <f t="shared" si="23"/>
        <v>62082</v>
      </c>
      <c r="G79" s="32">
        <f>ROUND(IF(NOT(AND(T78="",A79&lt;=S78)),0,IF(A79=入力!$B$15+1,IF(E79=0,ROUND(C79/入力!$B$19,0),ROUND(-PMT(E79/12,入力!$B$19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),0)</f>
        <v>117478</v>
      </c>
      <c r="H79" s="32">
        <f t="shared" si="24"/>
        <v>117478</v>
      </c>
      <c r="I79" s="32">
        <f t="shared" si="25"/>
        <v>62082</v>
      </c>
      <c r="J79" s="32">
        <f t="shared" si="26"/>
        <v>0</v>
      </c>
      <c r="K79" s="32">
        <f t="shared" si="27"/>
        <v>0</v>
      </c>
      <c r="L79" s="32">
        <f t="shared" si="28"/>
        <v>55396</v>
      </c>
      <c r="M79" s="32">
        <f>IF(AND(AND(T78="",A79&lt;=S78),A79=入力!$B$15),ROUND(MIN(入力!$B$16,MAX(0,C79-L79)),0),0)</f>
        <v>0</v>
      </c>
      <c r="N79" s="32">
        <f t="shared" si="29"/>
        <v>29744115</v>
      </c>
      <c r="O79" s="32">
        <f t="shared" si="30"/>
        <v>2027727</v>
      </c>
      <c r="P79" s="34" t="str">
        <f>IF(NOT(AND(T78="",A79&lt;=S78)),"",IF(A79=入力!$B$15+1,"繰上返済後再計算","")&amp;IF(AND(入力!$B$13="有効",A79&gt;1,MOD(A79-1,60)=0),IF(A79=入力!$B$15+1,"・","")&amp;"5年見直し","")&amp;IF(AND(A79=入力!$B$11,A79&gt;1),IF(OR(A79=入力!$B$15+1,AND(入力!$B$13="有効",A79&gt;1,MOD(A79-1,60)=0)),"・","")&amp;"金利変更","")&amp;IF(AND(OR(AND(入力!$B$13="有効",A79&gt;1,MOD(A79-1,60)=0),AND(A79=入力!$B$11,A79&gt;1)),入力!$B$14="有効",IF(E79=0,ROUND(C79/MAX(1,S78-A79+1),0),ROUND(-PMT(E79/12,MAX(1,S78-A79+1),C79),0))&gt;ROUND(G78*1.25,0),NOT(A79=入力!$B$15+1)),"・上限適用",""))</f>
        <v/>
      </c>
      <c r="Q79" s="35" t="str">
        <f>IF(AND(T78="",A79&lt;=S78),入力!$B$13,"")</f>
        <v>有効</v>
      </c>
      <c r="R79" s="32" t="str">
        <f>IF(AND(AND(T78="",A79&lt;=S78),OR(AND(入力!$B$13="有効",A79&gt;1,MOD(A79-1,60)=0),AND(A79=入力!$B$11,A79&gt;1)),入力!$B$14="有効"),ROUND(G78*1.25,0),"")</f>
        <v/>
      </c>
      <c r="S79" s="36">
        <f>IF(A79=入力!$B$15,A79+入力!$B$19,S78)</f>
        <v>420</v>
      </c>
      <c r="T79" s="35" t="str">
        <f t="shared" si="31"/>
        <v/>
      </c>
      <c r="U79" s="3">
        <f t="shared" si="16"/>
        <v>0</v>
      </c>
      <c r="V79" s="3">
        <f t="shared" si="17"/>
        <v>0</v>
      </c>
      <c r="W79" s="3">
        <f t="shared" si="18"/>
        <v>0</v>
      </c>
      <c r="X79" s="3">
        <f t="shared" si="19"/>
        <v>0</v>
      </c>
      <c r="Y79" s="3">
        <f>IF(A79&lt;入力!$B$15,ABS(G79-何もしない_月次!G79),0)</f>
        <v>0</v>
      </c>
      <c r="Z79" s="3">
        <f t="shared" si="20"/>
        <v>0</v>
      </c>
      <c r="AA79">
        <f>ROUND(IF(A79=入力!$B$15+1,IF(E79=0,ROUND(C79/入力!$B$19,0),ROUND(-PMT(E79/12,入力!$B$19,C79),0)),IF(OR(AND(入力!$B$13="有効",A79&gt;1,MOD(A79-1,60)=0),AND(A79=入力!$B$11,A79&gt;1)),IF(入力!$B$14="有効",MIN(IF(E79=0,ROUND(C79/MAX(1,S78-A79+1),0),ROUND(-PMT(E79/12,MAX(1,S78-A79+1),C79),0)),ROUND(G78*1.25,0)),IF(E79=0,ROUND(C79/MAX(1,S78-A79+1),0),ROUND(-PMT(E79/12,MAX(1,S78-A79+1),C79),0))),G78)),0)</f>
        <v>117478</v>
      </c>
    </row>
    <row r="80" spans="1:27">
      <c r="A80" s="30">
        <f>75</f>
        <v>75</v>
      </c>
      <c r="B80" s="31">
        <f>EDATE(入力!$B$6,A80-1)</f>
        <v>48488</v>
      </c>
      <c r="C80" s="32">
        <f t="shared" si="21"/>
        <v>29744115</v>
      </c>
      <c r="D80" s="32">
        <f t="shared" si="22"/>
        <v>0</v>
      </c>
      <c r="E80" s="33">
        <f>IF(AND(T79="",A80&lt;=S79),IF(A80&lt;入力!$B$11,入力!$B$10,入力!$B$12),0)</f>
        <v>2.5000000000000001E-2</v>
      </c>
      <c r="F80" s="32">
        <f t="shared" si="23"/>
        <v>61967</v>
      </c>
      <c r="G80" s="32">
        <f>ROUND(IF(NOT(AND(T79="",A80&lt;=S79)),0,IF(A80=入力!$B$15+1,IF(E80=0,ROUND(C80/入力!$B$19,0),ROUND(-PMT(E80/12,入力!$B$19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),0)</f>
        <v>117478</v>
      </c>
      <c r="H80" s="32">
        <f t="shared" si="24"/>
        <v>117478</v>
      </c>
      <c r="I80" s="32">
        <f t="shared" si="25"/>
        <v>61967</v>
      </c>
      <c r="J80" s="32">
        <f t="shared" si="26"/>
        <v>0</v>
      </c>
      <c r="K80" s="32">
        <f t="shared" si="27"/>
        <v>0</v>
      </c>
      <c r="L80" s="32">
        <f t="shared" si="28"/>
        <v>55511</v>
      </c>
      <c r="M80" s="32">
        <f>IF(AND(AND(T79="",A80&lt;=S79),A80=入力!$B$15),ROUND(MIN(入力!$B$16,MAX(0,C80-L80)),0),0)</f>
        <v>0</v>
      </c>
      <c r="N80" s="32">
        <f t="shared" si="29"/>
        <v>29688604</v>
      </c>
      <c r="O80" s="32">
        <f t="shared" si="30"/>
        <v>2089694</v>
      </c>
      <c r="P80" s="34" t="str">
        <f>IF(NOT(AND(T79="",A80&lt;=S79)),"",IF(A80=入力!$B$15+1,"繰上返済後再計算","")&amp;IF(AND(入力!$B$13="有効",A80&gt;1,MOD(A80-1,60)=0),IF(A80=入力!$B$15+1,"・","")&amp;"5年見直し","")&amp;IF(AND(A80=入力!$B$11,A80&gt;1),IF(OR(A80=入力!$B$15+1,AND(入力!$B$13="有効",A80&gt;1,MOD(A80-1,60)=0)),"・","")&amp;"金利変更","")&amp;IF(AND(OR(AND(入力!$B$13="有効",A80&gt;1,MOD(A80-1,60)=0),AND(A80=入力!$B$11,A80&gt;1)),入力!$B$14="有効",IF(E80=0,ROUND(C80/MAX(1,S79-A80+1),0),ROUND(-PMT(E80/12,MAX(1,S79-A80+1),C80),0))&gt;ROUND(G79*1.25,0),NOT(A80=入力!$B$15+1)),"・上限適用",""))</f>
        <v/>
      </c>
      <c r="Q80" s="35" t="str">
        <f>IF(AND(T79="",A80&lt;=S79),入力!$B$13,"")</f>
        <v>有効</v>
      </c>
      <c r="R80" s="32" t="str">
        <f>IF(AND(AND(T79="",A80&lt;=S79),OR(AND(入力!$B$13="有効",A80&gt;1,MOD(A80-1,60)=0),AND(A80=入力!$B$11,A80&gt;1)),入力!$B$14="有効"),ROUND(G79*1.25,0),"")</f>
        <v/>
      </c>
      <c r="S80" s="36">
        <f>IF(A80=入力!$B$15,A80+入力!$B$19,S79)</f>
        <v>420</v>
      </c>
      <c r="T80" s="35" t="str">
        <f t="shared" si="31"/>
        <v/>
      </c>
      <c r="U80" s="3">
        <f t="shared" si="16"/>
        <v>0</v>
      </c>
      <c r="V80" s="3">
        <f t="shared" si="17"/>
        <v>0</v>
      </c>
      <c r="W80" s="3">
        <f t="shared" si="18"/>
        <v>0</v>
      </c>
      <c r="X80" s="3">
        <f t="shared" si="19"/>
        <v>0</v>
      </c>
      <c r="Y80" s="3">
        <f>IF(A80&lt;入力!$B$15,ABS(G80-何もしない_月次!G80),0)</f>
        <v>0</v>
      </c>
      <c r="Z80" s="3">
        <f t="shared" si="20"/>
        <v>0</v>
      </c>
      <c r="AA80">
        <f>ROUND(IF(A80=入力!$B$15+1,IF(E80=0,ROUND(C80/入力!$B$19,0),ROUND(-PMT(E80/12,入力!$B$19,C80),0)),IF(OR(AND(入力!$B$13="有効",A80&gt;1,MOD(A80-1,60)=0),AND(A80=入力!$B$11,A80&gt;1)),IF(入力!$B$14="有効",MIN(IF(E80=0,ROUND(C80/MAX(1,S79-A80+1),0),ROUND(-PMT(E80/12,MAX(1,S79-A80+1),C80),0)),ROUND(G79*1.25,0)),IF(E80=0,ROUND(C80/MAX(1,S79-A80+1),0),ROUND(-PMT(E80/12,MAX(1,S79-A80+1),C80),0))),G79)),0)</f>
        <v>117478</v>
      </c>
    </row>
    <row r="81" spans="1:27">
      <c r="A81" s="30">
        <f>76</f>
        <v>76</v>
      </c>
      <c r="B81" s="31">
        <f>EDATE(入力!$B$6,A81-1)</f>
        <v>48519</v>
      </c>
      <c r="C81" s="32">
        <f t="shared" si="21"/>
        <v>29688604</v>
      </c>
      <c r="D81" s="32">
        <f t="shared" si="22"/>
        <v>0</v>
      </c>
      <c r="E81" s="33">
        <f>IF(AND(T80="",A81&lt;=S80),IF(A81&lt;入力!$B$11,入力!$B$10,入力!$B$12),0)</f>
        <v>2.5000000000000001E-2</v>
      </c>
      <c r="F81" s="32">
        <f t="shared" si="23"/>
        <v>61851</v>
      </c>
      <c r="G81" s="32">
        <f>ROUND(IF(NOT(AND(T80="",A81&lt;=S80)),0,IF(A81=入力!$B$15+1,IF(E81=0,ROUND(C81/入力!$B$19,0),ROUND(-PMT(E81/12,入力!$B$19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),0)</f>
        <v>117478</v>
      </c>
      <c r="H81" s="32">
        <f t="shared" si="24"/>
        <v>117478</v>
      </c>
      <c r="I81" s="32">
        <f t="shared" si="25"/>
        <v>61851</v>
      </c>
      <c r="J81" s="32">
        <f t="shared" si="26"/>
        <v>0</v>
      </c>
      <c r="K81" s="32">
        <f t="shared" si="27"/>
        <v>0</v>
      </c>
      <c r="L81" s="32">
        <f t="shared" si="28"/>
        <v>55627</v>
      </c>
      <c r="M81" s="32">
        <f>IF(AND(AND(T80="",A81&lt;=S80),A81=入力!$B$15),ROUND(MIN(入力!$B$16,MAX(0,C81-L81)),0),0)</f>
        <v>0</v>
      </c>
      <c r="N81" s="32">
        <f t="shared" si="29"/>
        <v>29632977</v>
      </c>
      <c r="O81" s="32">
        <f t="shared" si="30"/>
        <v>2151545</v>
      </c>
      <c r="P81" s="34" t="str">
        <f>IF(NOT(AND(T80="",A81&lt;=S80)),"",IF(A81=入力!$B$15+1,"繰上返済後再計算","")&amp;IF(AND(入力!$B$13="有効",A81&gt;1,MOD(A81-1,60)=0),IF(A81=入力!$B$15+1,"・","")&amp;"5年見直し","")&amp;IF(AND(A81=入力!$B$11,A81&gt;1),IF(OR(A81=入力!$B$15+1,AND(入力!$B$13="有効",A81&gt;1,MOD(A81-1,60)=0)),"・","")&amp;"金利変更","")&amp;IF(AND(OR(AND(入力!$B$13="有効",A81&gt;1,MOD(A81-1,60)=0),AND(A81=入力!$B$11,A81&gt;1)),入力!$B$14="有効",IF(E81=0,ROUND(C81/MAX(1,S80-A81+1),0),ROUND(-PMT(E81/12,MAX(1,S80-A81+1),C81),0))&gt;ROUND(G80*1.25,0),NOT(A81=入力!$B$15+1)),"・上限適用",""))</f>
        <v/>
      </c>
      <c r="Q81" s="35" t="str">
        <f>IF(AND(T80="",A81&lt;=S80),入力!$B$13,"")</f>
        <v>有効</v>
      </c>
      <c r="R81" s="32" t="str">
        <f>IF(AND(AND(T80="",A81&lt;=S80),OR(AND(入力!$B$13="有効",A81&gt;1,MOD(A81-1,60)=0),AND(A81=入力!$B$11,A81&gt;1)),入力!$B$14="有効"),ROUND(G80*1.25,0),"")</f>
        <v/>
      </c>
      <c r="S81" s="36">
        <f>IF(A81=入力!$B$15,A81+入力!$B$19,S80)</f>
        <v>420</v>
      </c>
      <c r="T81" s="35" t="str">
        <f t="shared" si="31"/>
        <v/>
      </c>
      <c r="U81" s="3">
        <f t="shared" si="16"/>
        <v>0</v>
      </c>
      <c r="V81" s="3">
        <f t="shared" si="17"/>
        <v>0</v>
      </c>
      <c r="W81" s="3">
        <f t="shared" si="18"/>
        <v>0</v>
      </c>
      <c r="X81" s="3">
        <f t="shared" si="19"/>
        <v>0</v>
      </c>
      <c r="Y81" s="3">
        <f>IF(A81&lt;入力!$B$15,ABS(G81-何もしない_月次!G81),0)</f>
        <v>0</v>
      </c>
      <c r="Z81" s="3">
        <f t="shared" si="20"/>
        <v>0</v>
      </c>
      <c r="AA81">
        <f>ROUND(IF(A81=入力!$B$15+1,IF(E81=0,ROUND(C81/入力!$B$19,0),ROUND(-PMT(E81/12,入力!$B$19,C81),0)),IF(OR(AND(入力!$B$13="有効",A81&gt;1,MOD(A81-1,60)=0),AND(A81=入力!$B$11,A81&gt;1)),IF(入力!$B$14="有効",MIN(IF(E81=0,ROUND(C81/MAX(1,S80-A81+1),0),ROUND(-PMT(E81/12,MAX(1,S80-A81+1),C81),0)),ROUND(G80*1.25,0)),IF(E81=0,ROUND(C81/MAX(1,S80-A81+1),0),ROUND(-PMT(E81/12,MAX(1,S80-A81+1),C81),0))),G80)),0)</f>
        <v>117478</v>
      </c>
    </row>
    <row r="82" spans="1:27">
      <c r="A82" s="30">
        <f>77</f>
        <v>77</v>
      </c>
      <c r="B82" s="31">
        <f>EDATE(入力!$B$6,A82-1)</f>
        <v>48549</v>
      </c>
      <c r="C82" s="32">
        <f t="shared" si="21"/>
        <v>29632977</v>
      </c>
      <c r="D82" s="32">
        <f t="shared" si="22"/>
        <v>0</v>
      </c>
      <c r="E82" s="33">
        <f>IF(AND(T81="",A82&lt;=S81),IF(A82&lt;入力!$B$11,入力!$B$10,入力!$B$12),0)</f>
        <v>2.5000000000000001E-2</v>
      </c>
      <c r="F82" s="32">
        <f t="shared" si="23"/>
        <v>61735</v>
      </c>
      <c r="G82" s="32">
        <f>ROUND(IF(NOT(AND(T81="",A82&lt;=S81)),0,IF(A82=入力!$B$15+1,IF(E82=0,ROUND(C82/入力!$B$19,0),ROUND(-PMT(E82/12,入力!$B$19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),0)</f>
        <v>117478</v>
      </c>
      <c r="H82" s="32">
        <f t="shared" si="24"/>
        <v>117478</v>
      </c>
      <c r="I82" s="32">
        <f t="shared" si="25"/>
        <v>61735</v>
      </c>
      <c r="J82" s="32">
        <f t="shared" si="26"/>
        <v>0</v>
      </c>
      <c r="K82" s="32">
        <f t="shared" si="27"/>
        <v>0</v>
      </c>
      <c r="L82" s="32">
        <f t="shared" si="28"/>
        <v>55743</v>
      </c>
      <c r="M82" s="32">
        <f>IF(AND(AND(T81="",A82&lt;=S81),A82=入力!$B$15),ROUND(MIN(入力!$B$16,MAX(0,C82-L82)),0),0)</f>
        <v>0</v>
      </c>
      <c r="N82" s="32">
        <f t="shared" si="29"/>
        <v>29577234</v>
      </c>
      <c r="O82" s="32">
        <f t="shared" si="30"/>
        <v>2213280</v>
      </c>
      <c r="P82" s="34" t="str">
        <f>IF(NOT(AND(T81="",A82&lt;=S81)),"",IF(A82=入力!$B$15+1,"繰上返済後再計算","")&amp;IF(AND(入力!$B$13="有効",A82&gt;1,MOD(A82-1,60)=0),IF(A82=入力!$B$15+1,"・","")&amp;"5年見直し","")&amp;IF(AND(A82=入力!$B$11,A82&gt;1),IF(OR(A82=入力!$B$15+1,AND(入力!$B$13="有効",A82&gt;1,MOD(A82-1,60)=0)),"・","")&amp;"金利変更","")&amp;IF(AND(OR(AND(入力!$B$13="有効",A82&gt;1,MOD(A82-1,60)=0),AND(A82=入力!$B$11,A82&gt;1)),入力!$B$14="有効",IF(E82=0,ROUND(C82/MAX(1,S81-A82+1),0),ROUND(-PMT(E82/12,MAX(1,S81-A82+1),C82),0))&gt;ROUND(G81*1.25,0),NOT(A82=入力!$B$15+1)),"・上限適用",""))</f>
        <v/>
      </c>
      <c r="Q82" s="35" t="str">
        <f>IF(AND(T81="",A82&lt;=S81),入力!$B$13,"")</f>
        <v>有効</v>
      </c>
      <c r="R82" s="32" t="str">
        <f>IF(AND(AND(T81="",A82&lt;=S81),OR(AND(入力!$B$13="有効",A82&gt;1,MOD(A82-1,60)=0),AND(A82=入力!$B$11,A82&gt;1)),入力!$B$14="有効"),ROUND(G81*1.25,0),"")</f>
        <v/>
      </c>
      <c r="S82" s="36">
        <f>IF(A82=入力!$B$15,A82+入力!$B$19,S81)</f>
        <v>420</v>
      </c>
      <c r="T82" s="35" t="str">
        <f t="shared" si="31"/>
        <v/>
      </c>
      <c r="U82" s="3">
        <f t="shared" si="16"/>
        <v>0</v>
      </c>
      <c r="V82" s="3">
        <f t="shared" si="17"/>
        <v>0</v>
      </c>
      <c r="W82" s="3">
        <f t="shared" si="18"/>
        <v>0</v>
      </c>
      <c r="X82" s="3">
        <f t="shared" si="19"/>
        <v>0</v>
      </c>
      <c r="Y82" s="3">
        <f>IF(A82&lt;入力!$B$15,ABS(G82-何もしない_月次!G82),0)</f>
        <v>0</v>
      </c>
      <c r="Z82" s="3">
        <f t="shared" si="20"/>
        <v>0</v>
      </c>
      <c r="AA82">
        <f>ROUND(IF(A82=入力!$B$15+1,IF(E82=0,ROUND(C82/入力!$B$19,0),ROUND(-PMT(E82/12,入力!$B$19,C82),0)),IF(OR(AND(入力!$B$13="有効",A82&gt;1,MOD(A82-1,60)=0),AND(A82=入力!$B$11,A82&gt;1)),IF(入力!$B$14="有効",MIN(IF(E82=0,ROUND(C82/MAX(1,S81-A82+1),0),ROUND(-PMT(E82/12,MAX(1,S81-A82+1),C82),0)),ROUND(G81*1.25,0)),IF(E82=0,ROUND(C82/MAX(1,S81-A82+1),0),ROUND(-PMT(E82/12,MAX(1,S81-A82+1),C82),0))),G81)),0)</f>
        <v>117478</v>
      </c>
    </row>
    <row r="83" spans="1:27">
      <c r="A83" s="30">
        <f>78</f>
        <v>78</v>
      </c>
      <c r="B83" s="31">
        <f>EDATE(入力!$B$6,A83-1)</f>
        <v>48580</v>
      </c>
      <c r="C83" s="32">
        <f t="shared" si="21"/>
        <v>29577234</v>
      </c>
      <c r="D83" s="32">
        <f t="shared" si="22"/>
        <v>0</v>
      </c>
      <c r="E83" s="33">
        <f>IF(AND(T82="",A83&lt;=S82),IF(A83&lt;入力!$B$11,入力!$B$10,入力!$B$12),0)</f>
        <v>2.5000000000000001E-2</v>
      </c>
      <c r="F83" s="32">
        <f t="shared" si="23"/>
        <v>61619</v>
      </c>
      <c r="G83" s="32">
        <f>ROUND(IF(NOT(AND(T82="",A83&lt;=S82)),0,IF(A83=入力!$B$15+1,IF(E83=0,ROUND(C83/入力!$B$19,0),ROUND(-PMT(E83/12,入力!$B$19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),0)</f>
        <v>117478</v>
      </c>
      <c r="H83" s="32">
        <f t="shared" si="24"/>
        <v>117478</v>
      </c>
      <c r="I83" s="32">
        <f t="shared" si="25"/>
        <v>61619</v>
      </c>
      <c r="J83" s="32">
        <f t="shared" si="26"/>
        <v>0</v>
      </c>
      <c r="K83" s="32">
        <f t="shared" si="27"/>
        <v>0</v>
      </c>
      <c r="L83" s="32">
        <f t="shared" si="28"/>
        <v>55859</v>
      </c>
      <c r="M83" s="32">
        <f>IF(AND(AND(T82="",A83&lt;=S82),A83=入力!$B$15),ROUND(MIN(入力!$B$16,MAX(0,C83-L83)),0),0)</f>
        <v>0</v>
      </c>
      <c r="N83" s="32">
        <f t="shared" si="29"/>
        <v>29521375</v>
      </c>
      <c r="O83" s="32">
        <f t="shared" si="30"/>
        <v>2274899</v>
      </c>
      <c r="P83" s="34" t="str">
        <f>IF(NOT(AND(T82="",A83&lt;=S82)),"",IF(A83=入力!$B$15+1,"繰上返済後再計算","")&amp;IF(AND(入力!$B$13="有効",A83&gt;1,MOD(A83-1,60)=0),IF(A83=入力!$B$15+1,"・","")&amp;"5年見直し","")&amp;IF(AND(A83=入力!$B$11,A83&gt;1),IF(OR(A83=入力!$B$15+1,AND(入力!$B$13="有効",A83&gt;1,MOD(A83-1,60)=0)),"・","")&amp;"金利変更","")&amp;IF(AND(OR(AND(入力!$B$13="有効",A83&gt;1,MOD(A83-1,60)=0),AND(A83=入力!$B$11,A83&gt;1)),入力!$B$14="有効",IF(E83=0,ROUND(C83/MAX(1,S82-A83+1),0),ROUND(-PMT(E83/12,MAX(1,S82-A83+1),C83),0))&gt;ROUND(G82*1.25,0),NOT(A83=入力!$B$15+1)),"・上限適用",""))</f>
        <v/>
      </c>
      <c r="Q83" s="35" t="str">
        <f>IF(AND(T82="",A83&lt;=S82),入力!$B$13,"")</f>
        <v>有効</v>
      </c>
      <c r="R83" s="32" t="str">
        <f>IF(AND(AND(T82="",A83&lt;=S82),OR(AND(入力!$B$13="有効",A83&gt;1,MOD(A83-1,60)=0),AND(A83=入力!$B$11,A83&gt;1)),入力!$B$14="有効"),ROUND(G82*1.25,0),"")</f>
        <v/>
      </c>
      <c r="S83" s="36">
        <f>IF(A83=入力!$B$15,A83+入力!$B$19,S82)</f>
        <v>420</v>
      </c>
      <c r="T83" s="35" t="str">
        <f t="shared" si="31"/>
        <v/>
      </c>
      <c r="U83" s="3">
        <f t="shared" si="16"/>
        <v>0</v>
      </c>
      <c r="V83" s="3">
        <f t="shared" si="17"/>
        <v>0</v>
      </c>
      <c r="W83" s="3">
        <f t="shared" si="18"/>
        <v>0</v>
      </c>
      <c r="X83" s="3">
        <f t="shared" si="19"/>
        <v>0</v>
      </c>
      <c r="Y83" s="3">
        <f>IF(A83&lt;入力!$B$15,ABS(G83-何もしない_月次!G83),0)</f>
        <v>0</v>
      </c>
      <c r="Z83" s="3">
        <f t="shared" si="20"/>
        <v>0</v>
      </c>
      <c r="AA83">
        <f>ROUND(IF(A83=入力!$B$15+1,IF(E83=0,ROUND(C83/入力!$B$19,0),ROUND(-PMT(E83/12,入力!$B$19,C83),0)),IF(OR(AND(入力!$B$13="有効",A83&gt;1,MOD(A83-1,60)=0),AND(A83=入力!$B$11,A83&gt;1)),IF(入力!$B$14="有効",MIN(IF(E83=0,ROUND(C83/MAX(1,S82-A83+1),0),ROUND(-PMT(E83/12,MAX(1,S82-A83+1),C83),0)),ROUND(G82*1.25,0)),IF(E83=0,ROUND(C83/MAX(1,S82-A83+1),0),ROUND(-PMT(E83/12,MAX(1,S82-A83+1),C83),0))),G82)),0)</f>
        <v>117478</v>
      </c>
    </row>
    <row r="84" spans="1:27">
      <c r="A84" s="30">
        <f>79</f>
        <v>79</v>
      </c>
      <c r="B84" s="31">
        <f>EDATE(入力!$B$6,A84-1)</f>
        <v>48611</v>
      </c>
      <c r="C84" s="32">
        <f t="shared" si="21"/>
        <v>29521375</v>
      </c>
      <c r="D84" s="32">
        <f t="shared" si="22"/>
        <v>0</v>
      </c>
      <c r="E84" s="33">
        <f>IF(AND(T83="",A84&lt;=S83),IF(A84&lt;入力!$B$11,入力!$B$10,入力!$B$12),0)</f>
        <v>2.5000000000000001E-2</v>
      </c>
      <c r="F84" s="32">
        <f t="shared" si="23"/>
        <v>61503</v>
      </c>
      <c r="G84" s="32">
        <f>ROUND(IF(NOT(AND(T83="",A84&lt;=S83)),0,IF(A84=入力!$B$15+1,IF(E84=0,ROUND(C84/入力!$B$19,0),ROUND(-PMT(E84/12,入力!$B$19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),0)</f>
        <v>117478</v>
      </c>
      <c r="H84" s="32">
        <f t="shared" si="24"/>
        <v>117478</v>
      </c>
      <c r="I84" s="32">
        <f t="shared" si="25"/>
        <v>61503</v>
      </c>
      <c r="J84" s="32">
        <f t="shared" si="26"/>
        <v>0</v>
      </c>
      <c r="K84" s="32">
        <f t="shared" si="27"/>
        <v>0</v>
      </c>
      <c r="L84" s="32">
        <f t="shared" si="28"/>
        <v>55975</v>
      </c>
      <c r="M84" s="32">
        <f>IF(AND(AND(T83="",A84&lt;=S83),A84=入力!$B$15),ROUND(MIN(入力!$B$16,MAX(0,C84-L84)),0),0)</f>
        <v>0</v>
      </c>
      <c r="N84" s="32">
        <f t="shared" si="29"/>
        <v>29465400</v>
      </c>
      <c r="O84" s="32">
        <f t="shared" si="30"/>
        <v>2336402</v>
      </c>
      <c r="P84" s="34" t="str">
        <f>IF(NOT(AND(T83="",A84&lt;=S83)),"",IF(A84=入力!$B$15+1,"繰上返済後再計算","")&amp;IF(AND(入力!$B$13="有効",A84&gt;1,MOD(A84-1,60)=0),IF(A84=入力!$B$15+1,"・","")&amp;"5年見直し","")&amp;IF(AND(A84=入力!$B$11,A84&gt;1),IF(OR(A84=入力!$B$15+1,AND(入力!$B$13="有効",A84&gt;1,MOD(A84-1,60)=0)),"・","")&amp;"金利変更","")&amp;IF(AND(OR(AND(入力!$B$13="有効",A84&gt;1,MOD(A84-1,60)=0),AND(A84=入力!$B$11,A84&gt;1)),入力!$B$14="有効",IF(E84=0,ROUND(C84/MAX(1,S83-A84+1),0),ROUND(-PMT(E84/12,MAX(1,S83-A84+1),C84),0))&gt;ROUND(G83*1.25,0),NOT(A84=入力!$B$15+1)),"・上限適用",""))</f>
        <v/>
      </c>
      <c r="Q84" s="35" t="str">
        <f>IF(AND(T83="",A84&lt;=S83),入力!$B$13,"")</f>
        <v>有効</v>
      </c>
      <c r="R84" s="32" t="str">
        <f>IF(AND(AND(T83="",A84&lt;=S83),OR(AND(入力!$B$13="有効",A84&gt;1,MOD(A84-1,60)=0),AND(A84=入力!$B$11,A84&gt;1)),入力!$B$14="有効"),ROUND(G83*1.25,0),"")</f>
        <v/>
      </c>
      <c r="S84" s="36">
        <f>IF(A84=入力!$B$15,A84+入力!$B$19,S83)</f>
        <v>420</v>
      </c>
      <c r="T84" s="35" t="str">
        <f t="shared" si="31"/>
        <v/>
      </c>
      <c r="U84" s="3">
        <f t="shared" si="16"/>
        <v>0</v>
      </c>
      <c r="V84" s="3">
        <f t="shared" si="17"/>
        <v>0</v>
      </c>
      <c r="W84" s="3">
        <f t="shared" si="18"/>
        <v>0</v>
      </c>
      <c r="X84" s="3">
        <f t="shared" si="19"/>
        <v>0</v>
      </c>
      <c r="Y84" s="3">
        <f>IF(A84&lt;入力!$B$15,ABS(G84-何もしない_月次!G84),0)</f>
        <v>0</v>
      </c>
      <c r="Z84" s="3">
        <f t="shared" si="20"/>
        <v>0</v>
      </c>
      <c r="AA84">
        <f>ROUND(IF(A84=入力!$B$15+1,IF(E84=0,ROUND(C84/入力!$B$19,0),ROUND(-PMT(E84/12,入力!$B$19,C84),0)),IF(OR(AND(入力!$B$13="有効",A84&gt;1,MOD(A84-1,60)=0),AND(A84=入力!$B$11,A84&gt;1)),IF(入力!$B$14="有効",MIN(IF(E84=0,ROUND(C84/MAX(1,S83-A84+1),0),ROUND(-PMT(E84/12,MAX(1,S83-A84+1),C84),0)),ROUND(G83*1.25,0)),IF(E84=0,ROUND(C84/MAX(1,S83-A84+1),0),ROUND(-PMT(E84/12,MAX(1,S83-A84+1),C84),0))),G83)),0)</f>
        <v>117478</v>
      </c>
    </row>
    <row r="85" spans="1:27">
      <c r="A85" s="30">
        <f>80</f>
        <v>80</v>
      </c>
      <c r="B85" s="31">
        <f>EDATE(入力!$B$6,A85-1)</f>
        <v>48639</v>
      </c>
      <c r="C85" s="32">
        <f t="shared" si="21"/>
        <v>29465400</v>
      </c>
      <c r="D85" s="32">
        <f t="shared" si="22"/>
        <v>0</v>
      </c>
      <c r="E85" s="33">
        <f>IF(AND(T84="",A85&lt;=S84),IF(A85&lt;入力!$B$11,入力!$B$10,入力!$B$12),0)</f>
        <v>2.5000000000000001E-2</v>
      </c>
      <c r="F85" s="32">
        <f t="shared" si="23"/>
        <v>61386</v>
      </c>
      <c r="G85" s="32">
        <f>ROUND(IF(NOT(AND(T84="",A85&lt;=S84)),0,IF(A85=入力!$B$15+1,IF(E85=0,ROUND(C85/入力!$B$19,0),ROUND(-PMT(E85/12,入力!$B$19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),0)</f>
        <v>117478</v>
      </c>
      <c r="H85" s="32">
        <f t="shared" si="24"/>
        <v>117478</v>
      </c>
      <c r="I85" s="32">
        <f t="shared" si="25"/>
        <v>61386</v>
      </c>
      <c r="J85" s="32">
        <f t="shared" si="26"/>
        <v>0</v>
      </c>
      <c r="K85" s="32">
        <f t="shared" si="27"/>
        <v>0</v>
      </c>
      <c r="L85" s="32">
        <f t="shared" si="28"/>
        <v>56092</v>
      </c>
      <c r="M85" s="32">
        <f>IF(AND(AND(T84="",A85&lt;=S84),A85=入力!$B$15),ROUND(MIN(入力!$B$16,MAX(0,C85-L85)),0),0)</f>
        <v>0</v>
      </c>
      <c r="N85" s="32">
        <f t="shared" si="29"/>
        <v>29409308</v>
      </c>
      <c r="O85" s="32">
        <f t="shared" si="30"/>
        <v>2397788</v>
      </c>
      <c r="P85" s="34" t="str">
        <f>IF(NOT(AND(T84="",A85&lt;=S84)),"",IF(A85=入力!$B$15+1,"繰上返済後再計算","")&amp;IF(AND(入力!$B$13="有効",A85&gt;1,MOD(A85-1,60)=0),IF(A85=入力!$B$15+1,"・","")&amp;"5年見直し","")&amp;IF(AND(A85=入力!$B$11,A85&gt;1),IF(OR(A85=入力!$B$15+1,AND(入力!$B$13="有効",A85&gt;1,MOD(A85-1,60)=0)),"・","")&amp;"金利変更","")&amp;IF(AND(OR(AND(入力!$B$13="有効",A85&gt;1,MOD(A85-1,60)=0),AND(A85=入力!$B$11,A85&gt;1)),入力!$B$14="有効",IF(E85=0,ROUND(C85/MAX(1,S84-A85+1),0),ROUND(-PMT(E85/12,MAX(1,S84-A85+1),C85),0))&gt;ROUND(G84*1.25,0),NOT(A85=入力!$B$15+1)),"・上限適用",""))</f>
        <v/>
      </c>
      <c r="Q85" s="35" t="str">
        <f>IF(AND(T84="",A85&lt;=S84),入力!$B$13,"")</f>
        <v>有効</v>
      </c>
      <c r="R85" s="32" t="str">
        <f>IF(AND(AND(T84="",A85&lt;=S84),OR(AND(入力!$B$13="有効",A85&gt;1,MOD(A85-1,60)=0),AND(A85=入力!$B$11,A85&gt;1)),入力!$B$14="有効"),ROUND(G84*1.25,0),"")</f>
        <v/>
      </c>
      <c r="S85" s="36">
        <f>IF(A85=入力!$B$15,A85+入力!$B$19,S84)</f>
        <v>420</v>
      </c>
      <c r="T85" s="35" t="str">
        <f t="shared" si="31"/>
        <v/>
      </c>
      <c r="U85" s="3">
        <f t="shared" si="16"/>
        <v>0</v>
      </c>
      <c r="V85" s="3">
        <f t="shared" si="17"/>
        <v>0</v>
      </c>
      <c r="W85" s="3">
        <f t="shared" si="18"/>
        <v>0</v>
      </c>
      <c r="X85" s="3">
        <f t="shared" si="19"/>
        <v>0</v>
      </c>
      <c r="Y85" s="3">
        <f>IF(A85&lt;入力!$B$15,ABS(G85-何もしない_月次!G85),0)</f>
        <v>0</v>
      </c>
      <c r="Z85" s="3">
        <f t="shared" si="20"/>
        <v>0</v>
      </c>
      <c r="AA85">
        <f>ROUND(IF(A85=入力!$B$15+1,IF(E85=0,ROUND(C85/入力!$B$19,0),ROUND(-PMT(E85/12,入力!$B$19,C85),0)),IF(OR(AND(入力!$B$13="有効",A85&gt;1,MOD(A85-1,60)=0),AND(A85=入力!$B$11,A85&gt;1)),IF(入力!$B$14="有効",MIN(IF(E85=0,ROUND(C85/MAX(1,S84-A85+1),0),ROUND(-PMT(E85/12,MAX(1,S84-A85+1),C85),0)),ROUND(G84*1.25,0)),IF(E85=0,ROUND(C85/MAX(1,S84-A85+1),0),ROUND(-PMT(E85/12,MAX(1,S84-A85+1),C85),0))),G84)),0)</f>
        <v>117478</v>
      </c>
    </row>
    <row r="86" spans="1:27">
      <c r="A86" s="30">
        <f>81</f>
        <v>81</v>
      </c>
      <c r="B86" s="31">
        <f>EDATE(入力!$B$6,A86-1)</f>
        <v>48670</v>
      </c>
      <c r="C86" s="32">
        <f t="shared" si="21"/>
        <v>29409308</v>
      </c>
      <c r="D86" s="32">
        <f t="shared" si="22"/>
        <v>0</v>
      </c>
      <c r="E86" s="33">
        <f>IF(AND(T85="",A86&lt;=S85),IF(A86&lt;入力!$B$11,入力!$B$10,入力!$B$12),0)</f>
        <v>2.5000000000000001E-2</v>
      </c>
      <c r="F86" s="32">
        <f t="shared" si="23"/>
        <v>61269</v>
      </c>
      <c r="G86" s="32">
        <f>ROUND(IF(NOT(AND(T85="",A86&lt;=S85)),0,IF(A86=入力!$B$15+1,IF(E86=0,ROUND(C86/入力!$B$19,0),ROUND(-PMT(E86/12,入力!$B$19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),0)</f>
        <v>117478</v>
      </c>
      <c r="H86" s="32">
        <f t="shared" si="24"/>
        <v>117478</v>
      </c>
      <c r="I86" s="32">
        <f t="shared" si="25"/>
        <v>61269</v>
      </c>
      <c r="J86" s="32">
        <f t="shared" si="26"/>
        <v>0</v>
      </c>
      <c r="K86" s="32">
        <f t="shared" si="27"/>
        <v>0</v>
      </c>
      <c r="L86" s="32">
        <f t="shared" si="28"/>
        <v>56209</v>
      </c>
      <c r="M86" s="32">
        <f>IF(AND(AND(T85="",A86&lt;=S85),A86=入力!$B$15),ROUND(MIN(入力!$B$16,MAX(0,C86-L86)),0),0)</f>
        <v>0</v>
      </c>
      <c r="N86" s="32">
        <f t="shared" si="29"/>
        <v>29353099</v>
      </c>
      <c r="O86" s="32">
        <f t="shared" si="30"/>
        <v>2459057</v>
      </c>
      <c r="P86" s="34" t="str">
        <f>IF(NOT(AND(T85="",A86&lt;=S85)),"",IF(A86=入力!$B$15+1,"繰上返済後再計算","")&amp;IF(AND(入力!$B$13="有効",A86&gt;1,MOD(A86-1,60)=0),IF(A86=入力!$B$15+1,"・","")&amp;"5年見直し","")&amp;IF(AND(A86=入力!$B$11,A86&gt;1),IF(OR(A86=入力!$B$15+1,AND(入力!$B$13="有効",A86&gt;1,MOD(A86-1,60)=0)),"・","")&amp;"金利変更","")&amp;IF(AND(OR(AND(入力!$B$13="有効",A86&gt;1,MOD(A86-1,60)=0),AND(A86=入力!$B$11,A86&gt;1)),入力!$B$14="有効",IF(E86=0,ROUND(C86/MAX(1,S85-A86+1),0),ROUND(-PMT(E86/12,MAX(1,S85-A86+1),C86),0))&gt;ROUND(G85*1.25,0),NOT(A86=入力!$B$15+1)),"・上限適用",""))</f>
        <v/>
      </c>
      <c r="Q86" s="35" t="str">
        <f>IF(AND(T85="",A86&lt;=S85),入力!$B$13,"")</f>
        <v>有効</v>
      </c>
      <c r="R86" s="32" t="str">
        <f>IF(AND(AND(T85="",A86&lt;=S85),OR(AND(入力!$B$13="有効",A86&gt;1,MOD(A86-1,60)=0),AND(A86=入力!$B$11,A86&gt;1)),入力!$B$14="有効"),ROUND(G85*1.25,0),"")</f>
        <v/>
      </c>
      <c r="S86" s="36">
        <f>IF(A86=入力!$B$15,A86+入力!$B$19,S85)</f>
        <v>420</v>
      </c>
      <c r="T86" s="35" t="str">
        <f t="shared" si="31"/>
        <v/>
      </c>
      <c r="U86" s="3">
        <f t="shared" si="16"/>
        <v>0</v>
      </c>
      <c r="V86" s="3">
        <f t="shared" si="17"/>
        <v>0</v>
      </c>
      <c r="W86" s="3">
        <f t="shared" si="18"/>
        <v>0</v>
      </c>
      <c r="X86" s="3">
        <f t="shared" si="19"/>
        <v>0</v>
      </c>
      <c r="Y86" s="3">
        <f>IF(A86&lt;入力!$B$15,ABS(G86-何もしない_月次!G86),0)</f>
        <v>0</v>
      </c>
      <c r="Z86" s="3">
        <f t="shared" si="20"/>
        <v>0</v>
      </c>
      <c r="AA86">
        <f>ROUND(IF(A86=入力!$B$15+1,IF(E86=0,ROUND(C86/入力!$B$19,0),ROUND(-PMT(E86/12,入力!$B$19,C86),0)),IF(OR(AND(入力!$B$13="有効",A86&gt;1,MOD(A86-1,60)=0),AND(A86=入力!$B$11,A86&gt;1)),IF(入力!$B$14="有効",MIN(IF(E86=0,ROUND(C86/MAX(1,S85-A86+1),0),ROUND(-PMT(E86/12,MAX(1,S85-A86+1),C86),0)),ROUND(G85*1.25,0)),IF(E86=0,ROUND(C86/MAX(1,S85-A86+1),0),ROUND(-PMT(E86/12,MAX(1,S85-A86+1),C86),0))),G85)),0)</f>
        <v>117478</v>
      </c>
    </row>
    <row r="87" spans="1:27">
      <c r="A87" s="30">
        <f>82</f>
        <v>82</v>
      </c>
      <c r="B87" s="31">
        <f>EDATE(入力!$B$6,A87-1)</f>
        <v>48700</v>
      </c>
      <c r="C87" s="32">
        <f t="shared" si="21"/>
        <v>29353099</v>
      </c>
      <c r="D87" s="32">
        <f t="shared" si="22"/>
        <v>0</v>
      </c>
      <c r="E87" s="33">
        <f>IF(AND(T86="",A87&lt;=S86),IF(A87&lt;入力!$B$11,入力!$B$10,入力!$B$12),0)</f>
        <v>2.5000000000000001E-2</v>
      </c>
      <c r="F87" s="32">
        <f t="shared" si="23"/>
        <v>61152</v>
      </c>
      <c r="G87" s="32">
        <f>ROUND(IF(NOT(AND(T86="",A87&lt;=S86)),0,IF(A87=入力!$B$15+1,IF(E87=0,ROUND(C87/入力!$B$19,0),ROUND(-PMT(E87/12,入力!$B$19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),0)</f>
        <v>117478</v>
      </c>
      <c r="H87" s="32">
        <f t="shared" si="24"/>
        <v>117478</v>
      </c>
      <c r="I87" s="32">
        <f t="shared" si="25"/>
        <v>61152</v>
      </c>
      <c r="J87" s="32">
        <f t="shared" si="26"/>
        <v>0</v>
      </c>
      <c r="K87" s="32">
        <f t="shared" si="27"/>
        <v>0</v>
      </c>
      <c r="L87" s="32">
        <f t="shared" si="28"/>
        <v>56326</v>
      </c>
      <c r="M87" s="32">
        <f>IF(AND(AND(T86="",A87&lt;=S86),A87=入力!$B$15),ROUND(MIN(入力!$B$16,MAX(0,C87-L87)),0),0)</f>
        <v>0</v>
      </c>
      <c r="N87" s="32">
        <f t="shared" si="29"/>
        <v>29296773</v>
      </c>
      <c r="O87" s="32">
        <f t="shared" si="30"/>
        <v>2520209</v>
      </c>
      <c r="P87" s="34" t="str">
        <f>IF(NOT(AND(T86="",A87&lt;=S86)),"",IF(A87=入力!$B$15+1,"繰上返済後再計算","")&amp;IF(AND(入力!$B$13="有効",A87&gt;1,MOD(A87-1,60)=0),IF(A87=入力!$B$15+1,"・","")&amp;"5年見直し","")&amp;IF(AND(A87=入力!$B$11,A87&gt;1),IF(OR(A87=入力!$B$15+1,AND(入力!$B$13="有効",A87&gt;1,MOD(A87-1,60)=0)),"・","")&amp;"金利変更","")&amp;IF(AND(OR(AND(入力!$B$13="有効",A87&gt;1,MOD(A87-1,60)=0),AND(A87=入力!$B$11,A87&gt;1)),入力!$B$14="有効",IF(E87=0,ROUND(C87/MAX(1,S86-A87+1),0),ROUND(-PMT(E87/12,MAX(1,S86-A87+1),C87),0))&gt;ROUND(G86*1.25,0),NOT(A87=入力!$B$15+1)),"・上限適用",""))</f>
        <v/>
      </c>
      <c r="Q87" s="35" t="str">
        <f>IF(AND(T86="",A87&lt;=S86),入力!$B$13,"")</f>
        <v>有効</v>
      </c>
      <c r="R87" s="32" t="str">
        <f>IF(AND(AND(T86="",A87&lt;=S86),OR(AND(入力!$B$13="有効",A87&gt;1,MOD(A87-1,60)=0),AND(A87=入力!$B$11,A87&gt;1)),入力!$B$14="有効"),ROUND(G86*1.25,0),"")</f>
        <v/>
      </c>
      <c r="S87" s="36">
        <f>IF(A87=入力!$B$15,A87+入力!$B$19,S86)</f>
        <v>420</v>
      </c>
      <c r="T87" s="35" t="str">
        <f t="shared" si="31"/>
        <v/>
      </c>
      <c r="U87" s="3">
        <f t="shared" si="16"/>
        <v>0</v>
      </c>
      <c r="V87" s="3">
        <f t="shared" si="17"/>
        <v>0</v>
      </c>
      <c r="W87" s="3">
        <f t="shared" si="18"/>
        <v>0</v>
      </c>
      <c r="X87" s="3">
        <f t="shared" si="19"/>
        <v>0</v>
      </c>
      <c r="Y87" s="3">
        <f>IF(A87&lt;入力!$B$15,ABS(G87-何もしない_月次!G87),0)</f>
        <v>0</v>
      </c>
      <c r="Z87" s="3">
        <f t="shared" si="20"/>
        <v>0</v>
      </c>
      <c r="AA87">
        <f>ROUND(IF(A87=入力!$B$15+1,IF(E87=0,ROUND(C87/入力!$B$19,0),ROUND(-PMT(E87/12,入力!$B$19,C87),0)),IF(OR(AND(入力!$B$13="有効",A87&gt;1,MOD(A87-1,60)=0),AND(A87=入力!$B$11,A87&gt;1)),IF(入力!$B$14="有効",MIN(IF(E87=0,ROUND(C87/MAX(1,S86-A87+1),0),ROUND(-PMT(E87/12,MAX(1,S86-A87+1),C87),0)),ROUND(G86*1.25,0)),IF(E87=0,ROUND(C87/MAX(1,S86-A87+1),0),ROUND(-PMT(E87/12,MAX(1,S86-A87+1),C87),0))),G86)),0)</f>
        <v>117478</v>
      </c>
    </row>
    <row r="88" spans="1:27">
      <c r="A88" s="30">
        <f>83</f>
        <v>83</v>
      </c>
      <c r="B88" s="31">
        <f>EDATE(入力!$B$6,A88-1)</f>
        <v>48731</v>
      </c>
      <c r="C88" s="32">
        <f t="shared" si="21"/>
        <v>29296773</v>
      </c>
      <c r="D88" s="32">
        <f t="shared" si="22"/>
        <v>0</v>
      </c>
      <c r="E88" s="33">
        <f>IF(AND(T87="",A88&lt;=S87),IF(A88&lt;入力!$B$11,入力!$B$10,入力!$B$12),0)</f>
        <v>2.5000000000000001E-2</v>
      </c>
      <c r="F88" s="32">
        <f t="shared" si="23"/>
        <v>61035</v>
      </c>
      <c r="G88" s="32">
        <f>ROUND(IF(NOT(AND(T87="",A88&lt;=S87)),0,IF(A88=入力!$B$15+1,IF(E88=0,ROUND(C88/入力!$B$19,0),ROUND(-PMT(E88/12,入力!$B$19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),0)</f>
        <v>117478</v>
      </c>
      <c r="H88" s="32">
        <f t="shared" si="24"/>
        <v>117478</v>
      </c>
      <c r="I88" s="32">
        <f t="shared" si="25"/>
        <v>61035</v>
      </c>
      <c r="J88" s="32">
        <f t="shared" si="26"/>
        <v>0</v>
      </c>
      <c r="K88" s="32">
        <f t="shared" si="27"/>
        <v>0</v>
      </c>
      <c r="L88" s="32">
        <f t="shared" si="28"/>
        <v>56443</v>
      </c>
      <c r="M88" s="32">
        <f>IF(AND(AND(T87="",A88&lt;=S87),A88=入力!$B$15),ROUND(MIN(入力!$B$16,MAX(0,C88-L88)),0),0)</f>
        <v>0</v>
      </c>
      <c r="N88" s="32">
        <f t="shared" si="29"/>
        <v>29240330</v>
      </c>
      <c r="O88" s="32">
        <f t="shared" si="30"/>
        <v>2581244</v>
      </c>
      <c r="P88" s="34" t="str">
        <f>IF(NOT(AND(T87="",A88&lt;=S87)),"",IF(A88=入力!$B$15+1,"繰上返済後再計算","")&amp;IF(AND(入力!$B$13="有効",A88&gt;1,MOD(A88-1,60)=0),IF(A88=入力!$B$15+1,"・","")&amp;"5年見直し","")&amp;IF(AND(A88=入力!$B$11,A88&gt;1),IF(OR(A88=入力!$B$15+1,AND(入力!$B$13="有効",A88&gt;1,MOD(A88-1,60)=0)),"・","")&amp;"金利変更","")&amp;IF(AND(OR(AND(入力!$B$13="有効",A88&gt;1,MOD(A88-1,60)=0),AND(A88=入力!$B$11,A88&gt;1)),入力!$B$14="有効",IF(E88=0,ROUND(C88/MAX(1,S87-A88+1),0),ROUND(-PMT(E88/12,MAX(1,S87-A88+1),C88),0))&gt;ROUND(G87*1.25,0),NOT(A88=入力!$B$15+1)),"・上限適用",""))</f>
        <v/>
      </c>
      <c r="Q88" s="35" t="str">
        <f>IF(AND(T87="",A88&lt;=S87),入力!$B$13,"")</f>
        <v>有効</v>
      </c>
      <c r="R88" s="32" t="str">
        <f>IF(AND(AND(T87="",A88&lt;=S87),OR(AND(入力!$B$13="有効",A88&gt;1,MOD(A88-1,60)=0),AND(A88=入力!$B$11,A88&gt;1)),入力!$B$14="有効"),ROUND(G87*1.25,0),"")</f>
        <v/>
      </c>
      <c r="S88" s="36">
        <f>IF(A88=入力!$B$15,A88+入力!$B$19,S87)</f>
        <v>420</v>
      </c>
      <c r="T88" s="35" t="str">
        <f t="shared" si="31"/>
        <v/>
      </c>
      <c r="U88" s="3">
        <f t="shared" si="16"/>
        <v>0</v>
      </c>
      <c r="V88" s="3">
        <f t="shared" si="17"/>
        <v>0</v>
      </c>
      <c r="W88" s="3">
        <f t="shared" si="18"/>
        <v>0</v>
      </c>
      <c r="X88" s="3">
        <f t="shared" si="19"/>
        <v>0</v>
      </c>
      <c r="Y88" s="3">
        <f>IF(A88&lt;入力!$B$15,ABS(G88-何もしない_月次!G88),0)</f>
        <v>0</v>
      </c>
      <c r="Z88" s="3">
        <f t="shared" si="20"/>
        <v>0</v>
      </c>
      <c r="AA88">
        <f>ROUND(IF(A88=入力!$B$15+1,IF(E88=0,ROUND(C88/入力!$B$19,0),ROUND(-PMT(E88/12,入力!$B$19,C88),0)),IF(OR(AND(入力!$B$13="有効",A88&gt;1,MOD(A88-1,60)=0),AND(A88=入力!$B$11,A88&gt;1)),IF(入力!$B$14="有効",MIN(IF(E88=0,ROUND(C88/MAX(1,S87-A88+1),0),ROUND(-PMT(E88/12,MAX(1,S87-A88+1),C88),0)),ROUND(G87*1.25,0)),IF(E88=0,ROUND(C88/MAX(1,S87-A88+1),0),ROUND(-PMT(E88/12,MAX(1,S87-A88+1),C88),0))),G87)),0)</f>
        <v>117478</v>
      </c>
    </row>
    <row r="89" spans="1:27">
      <c r="A89" s="30">
        <f>84</f>
        <v>84</v>
      </c>
      <c r="B89" s="31">
        <f>EDATE(入力!$B$6,A89-1)</f>
        <v>48761</v>
      </c>
      <c r="C89" s="32">
        <f t="shared" si="21"/>
        <v>29240330</v>
      </c>
      <c r="D89" s="32">
        <f t="shared" si="22"/>
        <v>0</v>
      </c>
      <c r="E89" s="33">
        <f>IF(AND(T88="",A89&lt;=S88),IF(A89&lt;入力!$B$11,入力!$B$10,入力!$B$12),0)</f>
        <v>2.5000000000000001E-2</v>
      </c>
      <c r="F89" s="32">
        <f t="shared" si="23"/>
        <v>60917</v>
      </c>
      <c r="G89" s="32">
        <f>ROUND(IF(NOT(AND(T88="",A89&lt;=S88)),0,IF(A89=入力!$B$15+1,IF(E89=0,ROUND(C89/入力!$B$19,0),ROUND(-PMT(E89/12,入力!$B$19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),0)</f>
        <v>117478</v>
      </c>
      <c r="H89" s="32">
        <f t="shared" si="24"/>
        <v>117478</v>
      </c>
      <c r="I89" s="32">
        <f t="shared" si="25"/>
        <v>60917</v>
      </c>
      <c r="J89" s="32">
        <f t="shared" si="26"/>
        <v>0</v>
      </c>
      <c r="K89" s="32">
        <f t="shared" si="27"/>
        <v>0</v>
      </c>
      <c r="L89" s="32">
        <f t="shared" si="28"/>
        <v>56561</v>
      </c>
      <c r="M89" s="32">
        <f>IF(AND(AND(T88="",A89&lt;=S88),A89=入力!$B$15),ROUND(MIN(入力!$B$16,MAX(0,C89-L89)),0),0)</f>
        <v>0</v>
      </c>
      <c r="N89" s="32">
        <f t="shared" si="29"/>
        <v>29183769</v>
      </c>
      <c r="O89" s="32">
        <f t="shared" si="30"/>
        <v>2642161</v>
      </c>
      <c r="P89" s="34" t="str">
        <f>IF(NOT(AND(T88="",A89&lt;=S88)),"",IF(A89=入力!$B$15+1,"繰上返済後再計算","")&amp;IF(AND(入力!$B$13="有効",A89&gt;1,MOD(A89-1,60)=0),IF(A89=入力!$B$15+1,"・","")&amp;"5年見直し","")&amp;IF(AND(A89=入力!$B$11,A89&gt;1),IF(OR(A89=入力!$B$15+1,AND(入力!$B$13="有効",A89&gt;1,MOD(A89-1,60)=0)),"・","")&amp;"金利変更","")&amp;IF(AND(OR(AND(入力!$B$13="有効",A89&gt;1,MOD(A89-1,60)=0),AND(A89=入力!$B$11,A89&gt;1)),入力!$B$14="有効",IF(E89=0,ROUND(C89/MAX(1,S88-A89+1),0),ROUND(-PMT(E89/12,MAX(1,S88-A89+1),C89),0))&gt;ROUND(G88*1.25,0),NOT(A89=入力!$B$15+1)),"・上限適用",""))</f>
        <v/>
      </c>
      <c r="Q89" s="35" t="str">
        <f>IF(AND(T88="",A89&lt;=S88),入力!$B$13,"")</f>
        <v>有効</v>
      </c>
      <c r="R89" s="32" t="str">
        <f>IF(AND(AND(T88="",A89&lt;=S88),OR(AND(入力!$B$13="有効",A89&gt;1,MOD(A89-1,60)=0),AND(A89=入力!$B$11,A89&gt;1)),入力!$B$14="有効"),ROUND(G88*1.25,0),"")</f>
        <v/>
      </c>
      <c r="S89" s="36">
        <f>IF(A89=入力!$B$15,A89+入力!$B$19,S88)</f>
        <v>420</v>
      </c>
      <c r="T89" s="35" t="str">
        <f t="shared" si="31"/>
        <v/>
      </c>
      <c r="U89" s="3">
        <f t="shared" si="16"/>
        <v>0</v>
      </c>
      <c r="V89" s="3">
        <f t="shared" si="17"/>
        <v>0</v>
      </c>
      <c r="W89" s="3">
        <f t="shared" si="18"/>
        <v>0</v>
      </c>
      <c r="X89" s="3">
        <f t="shared" si="19"/>
        <v>0</v>
      </c>
      <c r="Y89" s="3">
        <f>IF(A89&lt;入力!$B$15,ABS(G89-何もしない_月次!G89),0)</f>
        <v>0</v>
      </c>
      <c r="Z89" s="3">
        <f t="shared" si="20"/>
        <v>0</v>
      </c>
      <c r="AA89">
        <f>ROUND(IF(A89=入力!$B$15+1,IF(E89=0,ROUND(C89/入力!$B$19,0),ROUND(-PMT(E89/12,入力!$B$19,C89),0)),IF(OR(AND(入力!$B$13="有効",A89&gt;1,MOD(A89-1,60)=0),AND(A89=入力!$B$11,A89&gt;1)),IF(入力!$B$14="有効",MIN(IF(E89=0,ROUND(C89/MAX(1,S88-A89+1),0),ROUND(-PMT(E89/12,MAX(1,S88-A89+1),C89),0)),ROUND(G88*1.25,0)),IF(E89=0,ROUND(C89/MAX(1,S88-A89+1),0),ROUND(-PMT(E89/12,MAX(1,S88-A89+1),C89),0))),G88)),0)</f>
        <v>117478</v>
      </c>
    </row>
    <row r="90" spans="1:27">
      <c r="A90" s="30">
        <f>85</f>
        <v>85</v>
      </c>
      <c r="B90" s="31">
        <f>EDATE(入力!$B$6,A90-1)</f>
        <v>48792</v>
      </c>
      <c r="C90" s="32">
        <f t="shared" si="21"/>
        <v>29183769</v>
      </c>
      <c r="D90" s="32">
        <f t="shared" si="22"/>
        <v>0</v>
      </c>
      <c r="E90" s="33">
        <f>IF(AND(T89="",A90&lt;=S89),IF(A90&lt;入力!$B$11,入力!$B$10,入力!$B$12),0)</f>
        <v>2.5000000000000001E-2</v>
      </c>
      <c r="F90" s="32">
        <f t="shared" si="23"/>
        <v>60800</v>
      </c>
      <c r="G90" s="32">
        <f>ROUND(IF(NOT(AND(T89="",A90&lt;=S89)),0,IF(A90=入力!$B$15+1,IF(E90=0,ROUND(C90/入力!$B$19,0),ROUND(-PMT(E90/12,入力!$B$19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),0)</f>
        <v>117478</v>
      </c>
      <c r="H90" s="32">
        <f t="shared" si="24"/>
        <v>117478</v>
      </c>
      <c r="I90" s="32">
        <f t="shared" si="25"/>
        <v>60800</v>
      </c>
      <c r="J90" s="32">
        <f t="shared" si="26"/>
        <v>0</v>
      </c>
      <c r="K90" s="32">
        <f t="shared" si="27"/>
        <v>0</v>
      </c>
      <c r="L90" s="32">
        <f t="shared" si="28"/>
        <v>56678</v>
      </c>
      <c r="M90" s="32">
        <f>IF(AND(AND(T89="",A90&lt;=S89),A90=入力!$B$15),ROUND(MIN(入力!$B$16,MAX(0,C90-L90)),0),0)</f>
        <v>0</v>
      </c>
      <c r="N90" s="32">
        <f t="shared" si="29"/>
        <v>29127091</v>
      </c>
      <c r="O90" s="32">
        <f t="shared" si="30"/>
        <v>2702961</v>
      </c>
      <c r="P90" s="34" t="str">
        <f>IF(NOT(AND(T89="",A90&lt;=S89)),"",IF(A90=入力!$B$15+1,"繰上返済後再計算","")&amp;IF(AND(入力!$B$13="有効",A90&gt;1,MOD(A90-1,60)=0),IF(A90=入力!$B$15+1,"・","")&amp;"5年見直し","")&amp;IF(AND(A90=入力!$B$11,A90&gt;1),IF(OR(A90=入力!$B$15+1,AND(入力!$B$13="有効",A90&gt;1,MOD(A90-1,60)=0)),"・","")&amp;"金利変更","")&amp;IF(AND(OR(AND(入力!$B$13="有効",A90&gt;1,MOD(A90-1,60)=0),AND(A90=入力!$B$11,A90&gt;1)),入力!$B$14="有効",IF(E90=0,ROUND(C90/MAX(1,S89-A90+1),0),ROUND(-PMT(E90/12,MAX(1,S89-A90+1),C90),0))&gt;ROUND(G89*1.25,0),NOT(A90=入力!$B$15+1)),"・上限適用",""))</f>
        <v/>
      </c>
      <c r="Q90" s="35" t="str">
        <f>IF(AND(T89="",A90&lt;=S89),入力!$B$13,"")</f>
        <v>有効</v>
      </c>
      <c r="R90" s="32" t="str">
        <f>IF(AND(AND(T89="",A90&lt;=S89),OR(AND(入力!$B$13="有効",A90&gt;1,MOD(A90-1,60)=0),AND(A90=入力!$B$11,A90&gt;1)),入力!$B$14="有効"),ROUND(G89*1.25,0),"")</f>
        <v/>
      </c>
      <c r="S90" s="36">
        <f>IF(A90=入力!$B$15,A90+入力!$B$19,S89)</f>
        <v>420</v>
      </c>
      <c r="T90" s="35" t="str">
        <f t="shared" si="31"/>
        <v/>
      </c>
      <c r="U90" s="3">
        <f t="shared" si="16"/>
        <v>0</v>
      </c>
      <c r="V90" s="3">
        <f t="shared" si="17"/>
        <v>0</v>
      </c>
      <c r="W90" s="3">
        <f t="shared" si="18"/>
        <v>0</v>
      </c>
      <c r="X90" s="3">
        <f t="shared" si="19"/>
        <v>0</v>
      </c>
      <c r="Y90" s="3">
        <f>IF(A90&lt;入力!$B$15,ABS(G90-何もしない_月次!G90),0)</f>
        <v>0</v>
      </c>
      <c r="Z90" s="3">
        <f t="shared" si="20"/>
        <v>0</v>
      </c>
      <c r="AA90">
        <f>ROUND(IF(A90=入力!$B$15+1,IF(E90=0,ROUND(C90/入力!$B$19,0),ROUND(-PMT(E90/12,入力!$B$19,C90),0)),IF(OR(AND(入力!$B$13="有効",A90&gt;1,MOD(A90-1,60)=0),AND(A90=入力!$B$11,A90&gt;1)),IF(入力!$B$14="有効",MIN(IF(E90=0,ROUND(C90/MAX(1,S89-A90+1),0),ROUND(-PMT(E90/12,MAX(1,S89-A90+1),C90),0)),ROUND(G89*1.25,0)),IF(E90=0,ROUND(C90/MAX(1,S89-A90+1),0),ROUND(-PMT(E90/12,MAX(1,S89-A90+1),C90),0))),G89)),0)</f>
        <v>117478</v>
      </c>
    </row>
    <row r="91" spans="1:27">
      <c r="A91" s="30">
        <f>86</f>
        <v>86</v>
      </c>
      <c r="B91" s="31">
        <f>EDATE(入力!$B$6,A91-1)</f>
        <v>48823</v>
      </c>
      <c r="C91" s="32">
        <f t="shared" si="21"/>
        <v>29127091</v>
      </c>
      <c r="D91" s="32">
        <f t="shared" si="22"/>
        <v>0</v>
      </c>
      <c r="E91" s="33">
        <f>IF(AND(T90="",A91&lt;=S90),IF(A91&lt;入力!$B$11,入力!$B$10,入力!$B$12),0)</f>
        <v>2.5000000000000001E-2</v>
      </c>
      <c r="F91" s="32">
        <f t="shared" si="23"/>
        <v>60681</v>
      </c>
      <c r="G91" s="32">
        <f>ROUND(IF(NOT(AND(T90="",A91&lt;=S90)),0,IF(A91=入力!$B$15+1,IF(E91=0,ROUND(C91/入力!$B$19,0),ROUND(-PMT(E91/12,入力!$B$19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),0)</f>
        <v>117478</v>
      </c>
      <c r="H91" s="32">
        <f t="shared" si="24"/>
        <v>117478</v>
      </c>
      <c r="I91" s="32">
        <f t="shared" si="25"/>
        <v>60681</v>
      </c>
      <c r="J91" s="32">
        <f t="shared" si="26"/>
        <v>0</v>
      </c>
      <c r="K91" s="32">
        <f t="shared" si="27"/>
        <v>0</v>
      </c>
      <c r="L91" s="32">
        <f t="shared" si="28"/>
        <v>56797</v>
      </c>
      <c r="M91" s="32">
        <f>IF(AND(AND(T90="",A91&lt;=S90),A91=入力!$B$15),ROUND(MIN(入力!$B$16,MAX(0,C91-L91)),0),0)</f>
        <v>0</v>
      </c>
      <c r="N91" s="32">
        <f t="shared" si="29"/>
        <v>29070294</v>
      </c>
      <c r="O91" s="32">
        <f t="shared" si="30"/>
        <v>2763642</v>
      </c>
      <c r="P91" s="34" t="str">
        <f>IF(NOT(AND(T90="",A91&lt;=S90)),"",IF(A91=入力!$B$15+1,"繰上返済後再計算","")&amp;IF(AND(入力!$B$13="有効",A91&gt;1,MOD(A91-1,60)=0),IF(A91=入力!$B$15+1,"・","")&amp;"5年見直し","")&amp;IF(AND(A91=入力!$B$11,A91&gt;1),IF(OR(A91=入力!$B$15+1,AND(入力!$B$13="有効",A91&gt;1,MOD(A91-1,60)=0)),"・","")&amp;"金利変更","")&amp;IF(AND(OR(AND(入力!$B$13="有効",A91&gt;1,MOD(A91-1,60)=0),AND(A91=入力!$B$11,A91&gt;1)),入力!$B$14="有効",IF(E91=0,ROUND(C91/MAX(1,S90-A91+1),0),ROUND(-PMT(E91/12,MAX(1,S90-A91+1),C91),0))&gt;ROUND(G90*1.25,0),NOT(A91=入力!$B$15+1)),"・上限適用",""))</f>
        <v/>
      </c>
      <c r="Q91" s="35" t="str">
        <f>IF(AND(T90="",A91&lt;=S90),入力!$B$13,"")</f>
        <v>有効</v>
      </c>
      <c r="R91" s="32" t="str">
        <f>IF(AND(AND(T90="",A91&lt;=S90),OR(AND(入力!$B$13="有効",A91&gt;1,MOD(A91-1,60)=0),AND(A91=入力!$B$11,A91&gt;1)),入力!$B$14="有効"),ROUND(G90*1.25,0),"")</f>
        <v/>
      </c>
      <c r="S91" s="36">
        <f>IF(A91=入力!$B$15,A91+入力!$B$19,S90)</f>
        <v>420</v>
      </c>
      <c r="T91" s="35" t="str">
        <f t="shared" si="31"/>
        <v/>
      </c>
      <c r="U91" s="3">
        <f t="shared" si="16"/>
        <v>0</v>
      </c>
      <c r="V91" s="3">
        <f t="shared" si="17"/>
        <v>0</v>
      </c>
      <c r="W91" s="3">
        <f t="shared" si="18"/>
        <v>0</v>
      </c>
      <c r="X91" s="3">
        <f t="shared" si="19"/>
        <v>0</v>
      </c>
      <c r="Y91" s="3">
        <f>IF(A91&lt;入力!$B$15,ABS(G91-何もしない_月次!G91),0)</f>
        <v>0</v>
      </c>
      <c r="Z91" s="3">
        <f t="shared" si="20"/>
        <v>0</v>
      </c>
      <c r="AA91">
        <f>ROUND(IF(A91=入力!$B$15+1,IF(E91=0,ROUND(C91/入力!$B$19,0),ROUND(-PMT(E91/12,入力!$B$19,C91),0)),IF(OR(AND(入力!$B$13="有効",A91&gt;1,MOD(A91-1,60)=0),AND(A91=入力!$B$11,A91&gt;1)),IF(入力!$B$14="有効",MIN(IF(E91=0,ROUND(C91/MAX(1,S90-A91+1),0),ROUND(-PMT(E91/12,MAX(1,S90-A91+1),C91),0)),ROUND(G90*1.25,0)),IF(E91=0,ROUND(C91/MAX(1,S90-A91+1),0),ROUND(-PMT(E91/12,MAX(1,S90-A91+1),C91),0))),G90)),0)</f>
        <v>117478</v>
      </c>
    </row>
    <row r="92" spans="1:27">
      <c r="A92" s="30">
        <f>87</f>
        <v>87</v>
      </c>
      <c r="B92" s="31">
        <f>EDATE(入力!$B$6,A92-1)</f>
        <v>48853</v>
      </c>
      <c r="C92" s="32">
        <f t="shared" si="21"/>
        <v>29070294</v>
      </c>
      <c r="D92" s="32">
        <f t="shared" si="22"/>
        <v>0</v>
      </c>
      <c r="E92" s="33">
        <f>IF(AND(T91="",A92&lt;=S91),IF(A92&lt;入力!$B$11,入力!$B$10,入力!$B$12),0)</f>
        <v>2.5000000000000001E-2</v>
      </c>
      <c r="F92" s="32">
        <f t="shared" si="23"/>
        <v>60563</v>
      </c>
      <c r="G92" s="32">
        <f>ROUND(IF(NOT(AND(T91="",A92&lt;=S91)),0,IF(A92=入力!$B$15+1,IF(E92=0,ROUND(C92/入力!$B$19,0),ROUND(-PMT(E92/12,入力!$B$19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),0)</f>
        <v>117478</v>
      </c>
      <c r="H92" s="32">
        <f t="shared" si="24"/>
        <v>117478</v>
      </c>
      <c r="I92" s="32">
        <f t="shared" si="25"/>
        <v>60563</v>
      </c>
      <c r="J92" s="32">
        <f t="shared" si="26"/>
        <v>0</v>
      </c>
      <c r="K92" s="32">
        <f t="shared" si="27"/>
        <v>0</v>
      </c>
      <c r="L92" s="32">
        <f t="shared" si="28"/>
        <v>56915</v>
      </c>
      <c r="M92" s="32">
        <f>IF(AND(AND(T91="",A92&lt;=S91),A92=入力!$B$15),ROUND(MIN(入力!$B$16,MAX(0,C92-L92)),0),0)</f>
        <v>0</v>
      </c>
      <c r="N92" s="32">
        <f t="shared" si="29"/>
        <v>29013379</v>
      </c>
      <c r="O92" s="32">
        <f t="shared" si="30"/>
        <v>2824205</v>
      </c>
      <c r="P92" s="34" t="str">
        <f>IF(NOT(AND(T91="",A92&lt;=S91)),"",IF(A92=入力!$B$15+1,"繰上返済後再計算","")&amp;IF(AND(入力!$B$13="有効",A92&gt;1,MOD(A92-1,60)=0),IF(A92=入力!$B$15+1,"・","")&amp;"5年見直し","")&amp;IF(AND(A92=入力!$B$11,A92&gt;1),IF(OR(A92=入力!$B$15+1,AND(入力!$B$13="有効",A92&gt;1,MOD(A92-1,60)=0)),"・","")&amp;"金利変更","")&amp;IF(AND(OR(AND(入力!$B$13="有効",A92&gt;1,MOD(A92-1,60)=0),AND(A92=入力!$B$11,A92&gt;1)),入力!$B$14="有効",IF(E92=0,ROUND(C92/MAX(1,S91-A92+1),0),ROUND(-PMT(E92/12,MAX(1,S91-A92+1),C92),0))&gt;ROUND(G91*1.25,0),NOT(A92=入力!$B$15+1)),"・上限適用",""))</f>
        <v/>
      </c>
      <c r="Q92" s="35" t="str">
        <f>IF(AND(T91="",A92&lt;=S91),入力!$B$13,"")</f>
        <v>有効</v>
      </c>
      <c r="R92" s="32" t="str">
        <f>IF(AND(AND(T91="",A92&lt;=S91),OR(AND(入力!$B$13="有効",A92&gt;1,MOD(A92-1,60)=0),AND(A92=入力!$B$11,A92&gt;1)),入力!$B$14="有効"),ROUND(G91*1.25,0),"")</f>
        <v/>
      </c>
      <c r="S92" s="36">
        <f>IF(A92=入力!$B$15,A92+入力!$B$19,S91)</f>
        <v>420</v>
      </c>
      <c r="T92" s="35" t="str">
        <f t="shared" si="31"/>
        <v/>
      </c>
      <c r="U92" s="3">
        <f t="shared" si="16"/>
        <v>0</v>
      </c>
      <c r="V92" s="3">
        <f t="shared" si="17"/>
        <v>0</v>
      </c>
      <c r="W92" s="3">
        <f t="shared" si="18"/>
        <v>0</v>
      </c>
      <c r="X92" s="3">
        <f t="shared" si="19"/>
        <v>0</v>
      </c>
      <c r="Y92" s="3">
        <f>IF(A92&lt;入力!$B$15,ABS(G92-何もしない_月次!G92),0)</f>
        <v>0</v>
      </c>
      <c r="Z92" s="3">
        <f t="shared" si="20"/>
        <v>0</v>
      </c>
      <c r="AA92">
        <f>ROUND(IF(A92=入力!$B$15+1,IF(E92=0,ROUND(C92/入力!$B$19,0),ROUND(-PMT(E92/12,入力!$B$19,C92),0)),IF(OR(AND(入力!$B$13="有効",A92&gt;1,MOD(A92-1,60)=0),AND(A92=入力!$B$11,A92&gt;1)),IF(入力!$B$14="有効",MIN(IF(E92=0,ROUND(C92/MAX(1,S91-A92+1),0),ROUND(-PMT(E92/12,MAX(1,S91-A92+1),C92),0)),ROUND(G91*1.25,0)),IF(E92=0,ROUND(C92/MAX(1,S91-A92+1),0),ROUND(-PMT(E92/12,MAX(1,S91-A92+1),C92),0))),G91)),0)</f>
        <v>117478</v>
      </c>
    </row>
    <row r="93" spans="1:27">
      <c r="A93" s="30">
        <f>88</f>
        <v>88</v>
      </c>
      <c r="B93" s="31">
        <f>EDATE(入力!$B$6,A93-1)</f>
        <v>48884</v>
      </c>
      <c r="C93" s="32">
        <f t="shared" si="21"/>
        <v>29013379</v>
      </c>
      <c r="D93" s="32">
        <f t="shared" si="22"/>
        <v>0</v>
      </c>
      <c r="E93" s="33">
        <f>IF(AND(T92="",A93&lt;=S92),IF(A93&lt;入力!$B$11,入力!$B$10,入力!$B$12),0)</f>
        <v>2.5000000000000001E-2</v>
      </c>
      <c r="F93" s="32">
        <f t="shared" si="23"/>
        <v>60445</v>
      </c>
      <c r="G93" s="32">
        <f>ROUND(IF(NOT(AND(T92="",A93&lt;=S92)),0,IF(A93=入力!$B$15+1,IF(E93=0,ROUND(C93/入力!$B$19,0),ROUND(-PMT(E93/12,入力!$B$19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),0)</f>
        <v>117478</v>
      </c>
      <c r="H93" s="32">
        <f t="shared" si="24"/>
        <v>117478</v>
      </c>
      <c r="I93" s="32">
        <f t="shared" si="25"/>
        <v>60445</v>
      </c>
      <c r="J93" s="32">
        <f t="shared" si="26"/>
        <v>0</v>
      </c>
      <c r="K93" s="32">
        <f t="shared" si="27"/>
        <v>0</v>
      </c>
      <c r="L93" s="32">
        <f t="shared" si="28"/>
        <v>57033</v>
      </c>
      <c r="M93" s="32">
        <f>IF(AND(AND(T92="",A93&lt;=S92),A93=入力!$B$15),ROUND(MIN(入力!$B$16,MAX(0,C93-L93)),0),0)</f>
        <v>0</v>
      </c>
      <c r="N93" s="32">
        <f t="shared" si="29"/>
        <v>28956346</v>
      </c>
      <c r="O93" s="32">
        <f t="shared" si="30"/>
        <v>2884650</v>
      </c>
      <c r="P93" s="34" t="str">
        <f>IF(NOT(AND(T92="",A93&lt;=S92)),"",IF(A93=入力!$B$15+1,"繰上返済後再計算","")&amp;IF(AND(入力!$B$13="有効",A93&gt;1,MOD(A93-1,60)=0),IF(A93=入力!$B$15+1,"・","")&amp;"5年見直し","")&amp;IF(AND(A93=入力!$B$11,A93&gt;1),IF(OR(A93=入力!$B$15+1,AND(入力!$B$13="有効",A93&gt;1,MOD(A93-1,60)=0)),"・","")&amp;"金利変更","")&amp;IF(AND(OR(AND(入力!$B$13="有効",A93&gt;1,MOD(A93-1,60)=0),AND(A93=入力!$B$11,A93&gt;1)),入力!$B$14="有効",IF(E93=0,ROUND(C93/MAX(1,S92-A93+1),0),ROUND(-PMT(E93/12,MAX(1,S92-A93+1),C93),0))&gt;ROUND(G92*1.25,0),NOT(A93=入力!$B$15+1)),"・上限適用",""))</f>
        <v/>
      </c>
      <c r="Q93" s="35" t="str">
        <f>IF(AND(T92="",A93&lt;=S92),入力!$B$13,"")</f>
        <v>有効</v>
      </c>
      <c r="R93" s="32" t="str">
        <f>IF(AND(AND(T92="",A93&lt;=S92),OR(AND(入力!$B$13="有効",A93&gt;1,MOD(A93-1,60)=0),AND(A93=入力!$B$11,A93&gt;1)),入力!$B$14="有効"),ROUND(G92*1.25,0),"")</f>
        <v/>
      </c>
      <c r="S93" s="36">
        <f>IF(A93=入力!$B$15,A93+入力!$B$19,S92)</f>
        <v>420</v>
      </c>
      <c r="T93" s="35" t="str">
        <f t="shared" si="31"/>
        <v/>
      </c>
      <c r="U93" s="3">
        <f t="shared" si="16"/>
        <v>0</v>
      </c>
      <c r="V93" s="3">
        <f t="shared" si="17"/>
        <v>0</v>
      </c>
      <c r="W93" s="3">
        <f t="shared" si="18"/>
        <v>0</v>
      </c>
      <c r="X93" s="3">
        <f t="shared" si="19"/>
        <v>0</v>
      </c>
      <c r="Y93" s="3">
        <f>IF(A93&lt;入力!$B$15,ABS(G93-何もしない_月次!G93),0)</f>
        <v>0</v>
      </c>
      <c r="Z93" s="3">
        <f t="shared" si="20"/>
        <v>0</v>
      </c>
      <c r="AA93">
        <f>ROUND(IF(A93=入力!$B$15+1,IF(E93=0,ROUND(C93/入力!$B$19,0),ROUND(-PMT(E93/12,入力!$B$19,C93),0)),IF(OR(AND(入力!$B$13="有効",A93&gt;1,MOD(A93-1,60)=0),AND(A93=入力!$B$11,A93&gt;1)),IF(入力!$B$14="有効",MIN(IF(E93=0,ROUND(C93/MAX(1,S92-A93+1),0),ROUND(-PMT(E93/12,MAX(1,S92-A93+1),C93),0)),ROUND(G92*1.25,0)),IF(E93=0,ROUND(C93/MAX(1,S92-A93+1),0),ROUND(-PMT(E93/12,MAX(1,S92-A93+1),C93),0))),G92)),0)</f>
        <v>117478</v>
      </c>
    </row>
    <row r="94" spans="1:27">
      <c r="A94" s="30">
        <f>89</f>
        <v>89</v>
      </c>
      <c r="B94" s="31">
        <f>EDATE(入力!$B$6,A94-1)</f>
        <v>48914</v>
      </c>
      <c r="C94" s="32">
        <f t="shared" si="21"/>
        <v>28956346</v>
      </c>
      <c r="D94" s="32">
        <f t="shared" si="22"/>
        <v>0</v>
      </c>
      <c r="E94" s="33">
        <f>IF(AND(T93="",A94&lt;=S93),IF(A94&lt;入力!$B$11,入力!$B$10,入力!$B$12),0)</f>
        <v>2.5000000000000001E-2</v>
      </c>
      <c r="F94" s="32">
        <f t="shared" si="23"/>
        <v>60326</v>
      </c>
      <c r="G94" s="32">
        <f>ROUND(IF(NOT(AND(T93="",A94&lt;=S93)),0,IF(A94=入力!$B$15+1,IF(E94=0,ROUND(C94/入力!$B$19,0),ROUND(-PMT(E94/12,入力!$B$19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),0)</f>
        <v>117478</v>
      </c>
      <c r="H94" s="32">
        <f t="shared" si="24"/>
        <v>117478</v>
      </c>
      <c r="I94" s="32">
        <f t="shared" si="25"/>
        <v>60326</v>
      </c>
      <c r="J94" s="32">
        <f t="shared" si="26"/>
        <v>0</v>
      </c>
      <c r="K94" s="32">
        <f t="shared" si="27"/>
        <v>0</v>
      </c>
      <c r="L94" s="32">
        <f t="shared" si="28"/>
        <v>57152</v>
      </c>
      <c r="M94" s="32">
        <f>IF(AND(AND(T93="",A94&lt;=S93),A94=入力!$B$15),ROUND(MIN(入力!$B$16,MAX(0,C94-L94)),0),0)</f>
        <v>0</v>
      </c>
      <c r="N94" s="32">
        <f t="shared" si="29"/>
        <v>28899194</v>
      </c>
      <c r="O94" s="32">
        <f t="shared" si="30"/>
        <v>2944976</v>
      </c>
      <c r="P94" s="34" t="str">
        <f>IF(NOT(AND(T93="",A94&lt;=S93)),"",IF(A94=入力!$B$15+1,"繰上返済後再計算","")&amp;IF(AND(入力!$B$13="有効",A94&gt;1,MOD(A94-1,60)=0),IF(A94=入力!$B$15+1,"・","")&amp;"5年見直し","")&amp;IF(AND(A94=入力!$B$11,A94&gt;1),IF(OR(A94=入力!$B$15+1,AND(入力!$B$13="有効",A94&gt;1,MOD(A94-1,60)=0)),"・","")&amp;"金利変更","")&amp;IF(AND(OR(AND(入力!$B$13="有効",A94&gt;1,MOD(A94-1,60)=0),AND(A94=入力!$B$11,A94&gt;1)),入力!$B$14="有効",IF(E94=0,ROUND(C94/MAX(1,S93-A94+1),0),ROUND(-PMT(E94/12,MAX(1,S93-A94+1),C94),0))&gt;ROUND(G93*1.25,0),NOT(A94=入力!$B$15+1)),"・上限適用",""))</f>
        <v/>
      </c>
      <c r="Q94" s="35" t="str">
        <f>IF(AND(T93="",A94&lt;=S93),入力!$B$13,"")</f>
        <v>有効</v>
      </c>
      <c r="R94" s="32" t="str">
        <f>IF(AND(AND(T93="",A94&lt;=S93),OR(AND(入力!$B$13="有効",A94&gt;1,MOD(A94-1,60)=0),AND(A94=入力!$B$11,A94&gt;1)),入力!$B$14="有効"),ROUND(G93*1.25,0),"")</f>
        <v/>
      </c>
      <c r="S94" s="36">
        <f>IF(A94=入力!$B$15,A94+入力!$B$19,S93)</f>
        <v>420</v>
      </c>
      <c r="T94" s="35" t="str">
        <f t="shared" si="31"/>
        <v/>
      </c>
      <c r="U94" s="3">
        <f t="shared" si="16"/>
        <v>0</v>
      </c>
      <c r="V94" s="3">
        <f t="shared" si="17"/>
        <v>0</v>
      </c>
      <c r="W94" s="3">
        <f t="shared" si="18"/>
        <v>0</v>
      </c>
      <c r="X94" s="3">
        <f t="shared" si="19"/>
        <v>0</v>
      </c>
      <c r="Y94" s="3">
        <f>IF(A94&lt;入力!$B$15,ABS(G94-何もしない_月次!G94),0)</f>
        <v>0</v>
      </c>
      <c r="Z94" s="3">
        <f t="shared" si="20"/>
        <v>0</v>
      </c>
      <c r="AA94">
        <f>ROUND(IF(A94=入力!$B$15+1,IF(E94=0,ROUND(C94/入力!$B$19,0),ROUND(-PMT(E94/12,入力!$B$19,C94),0)),IF(OR(AND(入力!$B$13="有効",A94&gt;1,MOD(A94-1,60)=0),AND(A94=入力!$B$11,A94&gt;1)),IF(入力!$B$14="有効",MIN(IF(E94=0,ROUND(C94/MAX(1,S93-A94+1),0),ROUND(-PMT(E94/12,MAX(1,S93-A94+1),C94),0)),ROUND(G93*1.25,0)),IF(E94=0,ROUND(C94/MAX(1,S93-A94+1),0),ROUND(-PMT(E94/12,MAX(1,S93-A94+1),C94),0))),G93)),0)</f>
        <v>117478</v>
      </c>
    </row>
    <row r="95" spans="1:27">
      <c r="A95" s="30">
        <f>90</f>
        <v>90</v>
      </c>
      <c r="B95" s="31">
        <f>EDATE(入力!$B$6,A95-1)</f>
        <v>48945</v>
      </c>
      <c r="C95" s="32">
        <f t="shared" si="21"/>
        <v>28899194</v>
      </c>
      <c r="D95" s="32">
        <f t="shared" si="22"/>
        <v>0</v>
      </c>
      <c r="E95" s="33">
        <f>IF(AND(T94="",A95&lt;=S94),IF(A95&lt;入力!$B$11,入力!$B$10,入力!$B$12),0)</f>
        <v>2.5000000000000001E-2</v>
      </c>
      <c r="F95" s="32">
        <f t="shared" si="23"/>
        <v>60207</v>
      </c>
      <c r="G95" s="32">
        <f>ROUND(IF(NOT(AND(T94="",A95&lt;=S94)),0,IF(A95=入力!$B$15+1,IF(E95=0,ROUND(C95/入力!$B$19,0),ROUND(-PMT(E95/12,入力!$B$19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),0)</f>
        <v>117478</v>
      </c>
      <c r="H95" s="32">
        <f t="shared" si="24"/>
        <v>117478</v>
      </c>
      <c r="I95" s="32">
        <f t="shared" si="25"/>
        <v>60207</v>
      </c>
      <c r="J95" s="32">
        <f t="shared" si="26"/>
        <v>0</v>
      </c>
      <c r="K95" s="32">
        <f t="shared" si="27"/>
        <v>0</v>
      </c>
      <c r="L95" s="32">
        <f t="shared" si="28"/>
        <v>57271</v>
      </c>
      <c r="M95" s="32">
        <f>IF(AND(AND(T94="",A95&lt;=S94),A95=入力!$B$15),ROUND(MIN(入力!$B$16,MAX(0,C95-L95)),0),0)</f>
        <v>0</v>
      </c>
      <c r="N95" s="32">
        <f t="shared" si="29"/>
        <v>28841923</v>
      </c>
      <c r="O95" s="32">
        <f t="shared" si="30"/>
        <v>3005183</v>
      </c>
      <c r="P95" s="34" t="str">
        <f>IF(NOT(AND(T94="",A95&lt;=S94)),"",IF(A95=入力!$B$15+1,"繰上返済後再計算","")&amp;IF(AND(入力!$B$13="有効",A95&gt;1,MOD(A95-1,60)=0),IF(A95=入力!$B$15+1,"・","")&amp;"5年見直し","")&amp;IF(AND(A95=入力!$B$11,A95&gt;1),IF(OR(A95=入力!$B$15+1,AND(入力!$B$13="有効",A95&gt;1,MOD(A95-1,60)=0)),"・","")&amp;"金利変更","")&amp;IF(AND(OR(AND(入力!$B$13="有効",A95&gt;1,MOD(A95-1,60)=0),AND(A95=入力!$B$11,A95&gt;1)),入力!$B$14="有効",IF(E95=0,ROUND(C95/MAX(1,S94-A95+1),0),ROUND(-PMT(E95/12,MAX(1,S94-A95+1),C95),0))&gt;ROUND(G94*1.25,0),NOT(A95=入力!$B$15+1)),"・上限適用",""))</f>
        <v/>
      </c>
      <c r="Q95" s="35" t="str">
        <f>IF(AND(T94="",A95&lt;=S94),入力!$B$13,"")</f>
        <v>有効</v>
      </c>
      <c r="R95" s="32" t="str">
        <f>IF(AND(AND(T94="",A95&lt;=S94),OR(AND(入力!$B$13="有効",A95&gt;1,MOD(A95-1,60)=0),AND(A95=入力!$B$11,A95&gt;1)),入力!$B$14="有効"),ROUND(G94*1.25,0),"")</f>
        <v/>
      </c>
      <c r="S95" s="36">
        <f>IF(A95=入力!$B$15,A95+入力!$B$19,S94)</f>
        <v>420</v>
      </c>
      <c r="T95" s="35" t="str">
        <f t="shared" si="31"/>
        <v/>
      </c>
      <c r="U95" s="3">
        <f t="shared" si="16"/>
        <v>0</v>
      </c>
      <c r="V95" s="3">
        <f t="shared" si="17"/>
        <v>0</v>
      </c>
      <c r="W95" s="3">
        <f t="shared" si="18"/>
        <v>0</v>
      </c>
      <c r="X95" s="3">
        <f t="shared" si="19"/>
        <v>0</v>
      </c>
      <c r="Y95" s="3">
        <f>IF(A95&lt;入力!$B$15,ABS(G95-何もしない_月次!G95),0)</f>
        <v>0</v>
      </c>
      <c r="Z95" s="3">
        <f t="shared" si="20"/>
        <v>0</v>
      </c>
      <c r="AA95">
        <f>ROUND(IF(A95=入力!$B$15+1,IF(E95=0,ROUND(C95/入力!$B$19,0),ROUND(-PMT(E95/12,入力!$B$19,C95),0)),IF(OR(AND(入力!$B$13="有効",A95&gt;1,MOD(A95-1,60)=0),AND(A95=入力!$B$11,A95&gt;1)),IF(入力!$B$14="有効",MIN(IF(E95=0,ROUND(C95/MAX(1,S94-A95+1),0),ROUND(-PMT(E95/12,MAX(1,S94-A95+1),C95),0)),ROUND(G94*1.25,0)),IF(E95=0,ROUND(C95/MAX(1,S94-A95+1),0),ROUND(-PMT(E95/12,MAX(1,S94-A95+1),C95),0))),G94)),0)</f>
        <v>117478</v>
      </c>
    </row>
    <row r="96" spans="1:27">
      <c r="A96" s="30">
        <f>91</f>
        <v>91</v>
      </c>
      <c r="B96" s="31">
        <f>EDATE(入力!$B$6,A96-1)</f>
        <v>48976</v>
      </c>
      <c r="C96" s="32">
        <f t="shared" si="21"/>
        <v>28841923</v>
      </c>
      <c r="D96" s="32">
        <f t="shared" si="22"/>
        <v>0</v>
      </c>
      <c r="E96" s="33">
        <f>IF(AND(T95="",A96&lt;=S95),IF(A96&lt;入力!$B$11,入力!$B$10,入力!$B$12),0)</f>
        <v>2.5000000000000001E-2</v>
      </c>
      <c r="F96" s="32">
        <f t="shared" si="23"/>
        <v>60087</v>
      </c>
      <c r="G96" s="32">
        <f>ROUND(IF(NOT(AND(T95="",A96&lt;=S95)),0,IF(A96=入力!$B$15+1,IF(E96=0,ROUND(C96/入力!$B$19,0),ROUND(-PMT(E96/12,入力!$B$19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),0)</f>
        <v>117478</v>
      </c>
      <c r="H96" s="32">
        <f t="shared" si="24"/>
        <v>117478</v>
      </c>
      <c r="I96" s="32">
        <f t="shared" si="25"/>
        <v>60087</v>
      </c>
      <c r="J96" s="32">
        <f t="shared" si="26"/>
        <v>0</v>
      </c>
      <c r="K96" s="32">
        <f t="shared" si="27"/>
        <v>0</v>
      </c>
      <c r="L96" s="32">
        <f t="shared" si="28"/>
        <v>57391</v>
      </c>
      <c r="M96" s="32">
        <f>IF(AND(AND(T95="",A96&lt;=S95),A96=入力!$B$15),ROUND(MIN(入力!$B$16,MAX(0,C96-L96)),0),0)</f>
        <v>0</v>
      </c>
      <c r="N96" s="32">
        <f t="shared" si="29"/>
        <v>28784532</v>
      </c>
      <c r="O96" s="32">
        <f t="shared" si="30"/>
        <v>3065270</v>
      </c>
      <c r="P96" s="34" t="str">
        <f>IF(NOT(AND(T95="",A96&lt;=S95)),"",IF(A96=入力!$B$15+1,"繰上返済後再計算","")&amp;IF(AND(入力!$B$13="有効",A96&gt;1,MOD(A96-1,60)=0),IF(A96=入力!$B$15+1,"・","")&amp;"5年見直し","")&amp;IF(AND(A96=入力!$B$11,A96&gt;1),IF(OR(A96=入力!$B$15+1,AND(入力!$B$13="有効",A96&gt;1,MOD(A96-1,60)=0)),"・","")&amp;"金利変更","")&amp;IF(AND(OR(AND(入力!$B$13="有効",A96&gt;1,MOD(A96-1,60)=0),AND(A96=入力!$B$11,A96&gt;1)),入力!$B$14="有効",IF(E96=0,ROUND(C96/MAX(1,S95-A96+1),0),ROUND(-PMT(E96/12,MAX(1,S95-A96+1),C96),0))&gt;ROUND(G95*1.25,0),NOT(A96=入力!$B$15+1)),"・上限適用",""))</f>
        <v/>
      </c>
      <c r="Q96" s="35" t="str">
        <f>IF(AND(T95="",A96&lt;=S95),入力!$B$13,"")</f>
        <v>有効</v>
      </c>
      <c r="R96" s="32" t="str">
        <f>IF(AND(AND(T95="",A96&lt;=S95),OR(AND(入力!$B$13="有効",A96&gt;1,MOD(A96-1,60)=0),AND(A96=入力!$B$11,A96&gt;1)),入力!$B$14="有効"),ROUND(G95*1.25,0),"")</f>
        <v/>
      </c>
      <c r="S96" s="36">
        <f>IF(A96=入力!$B$15,A96+入力!$B$19,S95)</f>
        <v>420</v>
      </c>
      <c r="T96" s="35" t="str">
        <f t="shared" si="31"/>
        <v/>
      </c>
      <c r="U96" s="3">
        <f t="shared" si="16"/>
        <v>0</v>
      </c>
      <c r="V96" s="3">
        <f t="shared" si="17"/>
        <v>0</v>
      </c>
      <c r="W96" s="3">
        <f t="shared" si="18"/>
        <v>0</v>
      </c>
      <c r="X96" s="3">
        <f t="shared" si="19"/>
        <v>0</v>
      </c>
      <c r="Y96" s="3">
        <f>IF(A96&lt;入力!$B$15,ABS(G96-何もしない_月次!G96),0)</f>
        <v>0</v>
      </c>
      <c r="Z96" s="3">
        <f t="shared" si="20"/>
        <v>0</v>
      </c>
      <c r="AA96">
        <f>ROUND(IF(A96=入力!$B$15+1,IF(E96=0,ROUND(C96/入力!$B$19,0),ROUND(-PMT(E96/12,入力!$B$19,C96),0)),IF(OR(AND(入力!$B$13="有効",A96&gt;1,MOD(A96-1,60)=0),AND(A96=入力!$B$11,A96&gt;1)),IF(入力!$B$14="有効",MIN(IF(E96=0,ROUND(C96/MAX(1,S95-A96+1),0),ROUND(-PMT(E96/12,MAX(1,S95-A96+1),C96),0)),ROUND(G95*1.25,0)),IF(E96=0,ROUND(C96/MAX(1,S95-A96+1),0),ROUND(-PMT(E96/12,MAX(1,S95-A96+1),C96),0))),G95)),0)</f>
        <v>117478</v>
      </c>
    </row>
    <row r="97" spans="1:27">
      <c r="A97" s="30">
        <f>92</f>
        <v>92</v>
      </c>
      <c r="B97" s="31">
        <f>EDATE(入力!$B$6,A97-1)</f>
        <v>49004</v>
      </c>
      <c r="C97" s="32">
        <f t="shared" si="21"/>
        <v>28784532</v>
      </c>
      <c r="D97" s="32">
        <f t="shared" si="22"/>
        <v>0</v>
      </c>
      <c r="E97" s="33">
        <f>IF(AND(T96="",A97&lt;=S96),IF(A97&lt;入力!$B$11,入力!$B$10,入力!$B$12),0)</f>
        <v>2.5000000000000001E-2</v>
      </c>
      <c r="F97" s="32">
        <f t="shared" si="23"/>
        <v>59968</v>
      </c>
      <c r="G97" s="32">
        <f>ROUND(IF(NOT(AND(T96="",A97&lt;=S96)),0,IF(A97=入力!$B$15+1,IF(E97=0,ROUND(C97/入力!$B$19,0),ROUND(-PMT(E97/12,入力!$B$19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),0)</f>
        <v>117478</v>
      </c>
      <c r="H97" s="32">
        <f t="shared" si="24"/>
        <v>117478</v>
      </c>
      <c r="I97" s="32">
        <f t="shared" si="25"/>
        <v>59968</v>
      </c>
      <c r="J97" s="32">
        <f t="shared" si="26"/>
        <v>0</v>
      </c>
      <c r="K97" s="32">
        <f t="shared" si="27"/>
        <v>0</v>
      </c>
      <c r="L97" s="32">
        <f t="shared" si="28"/>
        <v>57510</v>
      </c>
      <c r="M97" s="32">
        <f>IF(AND(AND(T96="",A97&lt;=S96),A97=入力!$B$15),ROUND(MIN(入力!$B$16,MAX(0,C97-L97)),0),0)</f>
        <v>0</v>
      </c>
      <c r="N97" s="32">
        <f t="shared" si="29"/>
        <v>28727022</v>
      </c>
      <c r="O97" s="32">
        <f t="shared" si="30"/>
        <v>3125238</v>
      </c>
      <c r="P97" s="34" t="str">
        <f>IF(NOT(AND(T96="",A97&lt;=S96)),"",IF(A97=入力!$B$15+1,"繰上返済後再計算","")&amp;IF(AND(入力!$B$13="有効",A97&gt;1,MOD(A97-1,60)=0),IF(A97=入力!$B$15+1,"・","")&amp;"5年見直し","")&amp;IF(AND(A97=入力!$B$11,A97&gt;1),IF(OR(A97=入力!$B$15+1,AND(入力!$B$13="有効",A97&gt;1,MOD(A97-1,60)=0)),"・","")&amp;"金利変更","")&amp;IF(AND(OR(AND(入力!$B$13="有効",A97&gt;1,MOD(A97-1,60)=0),AND(A97=入力!$B$11,A97&gt;1)),入力!$B$14="有効",IF(E97=0,ROUND(C97/MAX(1,S96-A97+1),0),ROUND(-PMT(E97/12,MAX(1,S96-A97+1),C97),0))&gt;ROUND(G96*1.25,0),NOT(A97=入力!$B$15+1)),"・上限適用",""))</f>
        <v/>
      </c>
      <c r="Q97" s="35" t="str">
        <f>IF(AND(T96="",A97&lt;=S96),入力!$B$13,"")</f>
        <v>有効</v>
      </c>
      <c r="R97" s="32" t="str">
        <f>IF(AND(AND(T96="",A97&lt;=S96),OR(AND(入力!$B$13="有効",A97&gt;1,MOD(A97-1,60)=0),AND(A97=入力!$B$11,A97&gt;1)),入力!$B$14="有効"),ROUND(G96*1.25,0),"")</f>
        <v/>
      </c>
      <c r="S97" s="36">
        <f>IF(A97=入力!$B$15,A97+入力!$B$19,S96)</f>
        <v>420</v>
      </c>
      <c r="T97" s="35" t="str">
        <f t="shared" si="31"/>
        <v/>
      </c>
      <c r="U97" s="3">
        <f t="shared" si="16"/>
        <v>0</v>
      </c>
      <c r="V97" s="3">
        <f t="shared" si="17"/>
        <v>0</v>
      </c>
      <c r="W97" s="3">
        <f t="shared" si="18"/>
        <v>0</v>
      </c>
      <c r="X97" s="3">
        <f t="shared" si="19"/>
        <v>0</v>
      </c>
      <c r="Y97" s="3">
        <f>IF(A97&lt;入力!$B$15,ABS(G97-何もしない_月次!G97),0)</f>
        <v>0</v>
      </c>
      <c r="Z97" s="3">
        <f t="shared" si="20"/>
        <v>0</v>
      </c>
      <c r="AA97">
        <f>ROUND(IF(A97=入力!$B$15+1,IF(E97=0,ROUND(C97/入力!$B$19,0),ROUND(-PMT(E97/12,入力!$B$19,C97),0)),IF(OR(AND(入力!$B$13="有効",A97&gt;1,MOD(A97-1,60)=0),AND(A97=入力!$B$11,A97&gt;1)),IF(入力!$B$14="有効",MIN(IF(E97=0,ROUND(C97/MAX(1,S96-A97+1),0),ROUND(-PMT(E97/12,MAX(1,S96-A97+1),C97),0)),ROUND(G96*1.25,0)),IF(E97=0,ROUND(C97/MAX(1,S96-A97+1),0),ROUND(-PMT(E97/12,MAX(1,S96-A97+1),C97),0))),G96)),0)</f>
        <v>117478</v>
      </c>
    </row>
    <row r="98" spans="1:27">
      <c r="A98" s="30">
        <f>93</f>
        <v>93</v>
      </c>
      <c r="B98" s="31">
        <f>EDATE(入力!$B$6,A98-1)</f>
        <v>49035</v>
      </c>
      <c r="C98" s="32">
        <f t="shared" si="21"/>
        <v>28727022</v>
      </c>
      <c r="D98" s="32">
        <f t="shared" si="22"/>
        <v>0</v>
      </c>
      <c r="E98" s="33">
        <f>IF(AND(T97="",A98&lt;=S97),IF(A98&lt;入力!$B$11,入力!$B$10,入力!$B$12),0)</f>
        <v>2.5000000000000001E-2</v>
      </c>
      <c r="F98" s="32">
        <f t="shared" si="23"/>
        <v>59848</v>
      </c>
      <c r="G98" s="32">
        <f>ROUND(IF(NOT(AND(T97="",A98&lt;=S97)),0,IF(A98=入力!$B$15+1,IF(E98=0,ROUND(C98/入力!$B$19,0),ROUND(-PMT(E98/12,入力!$B$19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),0)</f>
        <v>117478</v>
      </c>
      <c r="H98" s="32">
        <f t="shared" si="24"/>
        <v>117478</v>
      </c>
      <c r="I98" s="32">
        <f t="shared" si="25"/>
        <v>59848</v>
      </c>
      <c r="J98" s="32">
        <f t="shared" si="26"/>
        <v>0</v>
      </c>
      <c r="K98" s="32">
        <f t="shared" si="27"/>
        <v>0</v>
      </c>
      <c r="L98" s="32">
        <f t="shared" si="28"/>
        <v>57630</v>
      </c>
      <c r="M98" s="32">
        <f>IF(AND(AND(T97="",A98&lt;=S97),A98=入力!$B$15),ROUND(MIN(入力!$B$16,MAX(0,C98-L98)),0),0)</f>
        <v>0</v>
      </c>
      <c r="N98" s="32">
        <f t="shared" si="29"/>
        <v>28669392</v>
      </c>
      <c r="O98" s="32">
        <f t="shared" si="30"/>
        <v>3185086</v>
      </c>
      <c r="P98" s="34" t="str">
        <f>IF(NOT(AND(T97="",A98&lt;=S97)),"",IF(A98=入力!$B$15+1,"繰上返済後再計算","")&amp;IF(AND(入力!$B$13="有効",A98&gt;1,MOD(A98-1,60)=0),IF(A98=入力!$B$15+1,"・","")&amp;"5年見直し","")&amp;IF(AND(A98=入力!$B$11,A98&gt;1),IF(OR(A98=入力!$B$15+1,AND(入力!$B$13="有効",A98&gt;1,MOD(A98-1,60)=0)),"・","")&amp;"金利変更","")&amp;IF(AND(OR(AND(入力!$B$13="有効",A98&gt;1,MOD(A98-1,60)=0),AND(A98=入力!$B$11,A98&gt;1)),入力!$B$14="有効",IF(E98=0,ROUND(C98/MAX(1,S97-A98+1),0),ROUND(-PMT(E98/12,MAX(1,S97-A98+1),C98),0))&gt;ROUND(G97*1.25,0),NOT(A98=入力!$B$15+1)),"・上限適用",""))</f>
        <v/>
      </c>
      <c r="Q98" s="35" t="str">
        <f>IF(AND(T97="",A98&lt;=S97),入力!$B$13,"")</f>
        <v>有効</v>
      </c>
      <c r="R98" s="32" t="str">
        <f>IF(AND(AND(T97="",A98&lt;=S97),OR(AND(入力!$B$13="有効",A98&gt;1,MOD(A98-1,60)=0),AND(A98=入力!$B$11,A98&gt;1)),入力!$B$14="有効"),ROUND(G97*1.25,0),"")</f>
        <v/>
      </c>
      <c r="S98" s="36">
        <f>IF(A98=入力!$B$15,A98+入力!$B$19,S97)</f>
        <v>420</v>
      </c>
      <c r="T98" s="35" t="str">
        <f t="shared" si="31"/>
        <v/>
      </c>
      <c r="U98" s="3">
        <f t="shared" si="16"/>
        <v>0</v>
      </c>
      <c r="V98" s="3">
        <f t="shared" si="17"/>
        <v>0</v>
      </c>
      <c r="W98" s="3">
        <f t="shared" si="18"/>
        <v>0</v>
      </c>
      <c r="X98" s="3">
        <f t="shared" si="19"/>
        <v>0</v>
      </c>
      <c r="Y98" s="3">
        <f>IF(A98&lt;入力!$B$15,ABS(G98-何もしない_月次!G98),0)</f>
        <v>0</v>
      </c>
      <c r="Z98" s="3">
        <f t="shared" si="20"/>
        <v>0</v>
      </c>
      <c r="AA98">
        <f>ROUND(IF(A98=入力!$B$15+1,IF(E98=0,ROUND(C98/入力!$B$19,0),ROUND(-PMT(E98/12,入力!$B$19,C98),0)),IF(OR(AND(入力!$B$13="有効",A98&gt;1,MOD(A98-1,60)=0),AND(A98=入力!$B$11,A98&gt;1)),IF(入力!$B$14="有効",MIN(IF(E98=0,ROUND(C98/MAX(1,S97-A98+1),0),ROUND(-PMT(E98/12,MAX(1,S97-A98+1),C98),0)),ROUND(G97*1.25,0)),IF(E98=0,ROUND(C98/MAX(1,S97-A98+1),0),ROUND(-PMT(E98/12,MAX(1,S97-A98+1),C98),0))),G97)),0)</f>
        <v>117478</v>
      </c>
    </row>
    <row r="99" spans="1:27">
      <c r="A99" s="30">
        <f>94</f>
        <v>94</v>
      </c>
      <c r="B99" s="31">
        <f>EDATE(入力!$B$6,A99-1)</f>
        <v>49065</v>
      </c>
      <c r="C99" s="32">
        <f t="shared" si="21"/>
        <v>28669392</v>
      </c>
      <c r="D99" s="32">
        <f t="shared" si="22"/>
        <v>0</v>
      </c>
      <c r="E99" s="33">
        <f>IF(AND(T98="",A99&lt;=S98),IF(A99&lt;入力!$B$11,入力!$B$10,入力!$B$12),0)</f>
        <v>2.5000000000000001E-2</v>
      </c>
      <c r="F99" s="32">
        <f t="shared" si="23"/>
        <v>59728</v>
      </c>
      <c r="G99" s="32">
        <f>ROUND(IF(NOT(AND(T98="",A99&lt;=S98)),0,IF(A99=入力!$B$15+1,IF(E99=0,ROUND(C99/入力!$B$19,0),ROUND(-PMT(E99/12,入力!$B$19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),0)</f>
        <v>117478</v>
      </c>
      <c r="H99" s="32">
        <f t="shared" si="24"/>
        <v>117478</v>
      </c>
      <c r="I99" s="32">
        <f t="shared" si="25"/>
        <v>59728</v>
      </c>
      <c r="J99" s="32">
        <f t="shared" si="26"/>
        <v>0</v>
      </c>
      <c r="K99" s="32">
        <f t="shared" si="27"/>
        <v>0</v>
      </c>
      <c r="L99" s="32">
        <f t="shared" si="28"/>
        <v>57750</v>
      </c>
      <c r="M99" s="32">
        <f>IF(AND(AND(T98="",A99&lt;=S98),A99=入力!$B$15),ROUND(MIN(入力!$B$16,MAX(0,C99-L99)),0),0)</f>
        <v>0</v>
      </c>
      <c r="N99" s="32">
        <f t="shared" si="29"/>
        <v>28611642</v>
      </c>
      <c r="O99" s="32">
        <f t="shared" si="30"/>
        <v>3244814</v>
      </c>
      <c r="P99" s="34" t="str">
        <f>IF(NOT(AND(T98="",A99&lt;=S98)),"",IF(A99=入力!$B$15+1,"繰上返済後再計算","")&amp;IF(AND(入力!$B$13="有効",A99&gt;1,MOD(A99-1,60)=0),IF(A99=入力!$B$15+1,"・","")&amp;"5年見直し","")&amp;IF(AND(A99=入力!$B$11,A99&gt;1),IF(OR(A99=入力!$B$15+1,AND(入力!$B$13="有効",A99&gt;1,MOD(A99-1,60)=0)),"・","")&amp;"金利変更","")&amp;IF(AND(OR(AND(入力!$B$13="有効",A99&gt;1,MOD(A99-1,60)=0),AND(A99=入力!$B$11,A99&gt;1)),入力!$B$14="有効",IF(E99=0,ROUND(C99/MAX(1,S98-A99+1),0),ROUND(-PMT(E99/12,MAX(1,S98-A99+1),C99),0))&gt;ROUND(G98*1.25,0),NOT(A99=入力!$B$15+1)),"・上限適用",""))</f>
        <v/>
      </c>
      <c r="Q99" s="35" t="str">
        <f>IF(AND(T98="",A99&lt;=S98),入力!$B$13,"")</f>
        <v>有効</v>
      </c>
      <c r="R99" s="32" t="str">
        <f>IF(AND(AND(T98="",A99&lt;=S98),OR(AND(入力!$B$13="有効",A99&gt;1,MOD(A99-1,60)=0),AND(A99=入力!$B$11,A99&gt;1)),入力!$B$14="有効"),ROUND(G98*1.25,0),"")</f>
        <v/>
      </c>
      <c r="S99" s="36">
        <f>IF(A99=入力!$B$15,A99+入力!$B$19,S98)</f>
        <v>420</v>
      </c>
      <c r="T99" s="35" t="str">
        <f t="shared" si="31"/>
        <v/>
      </c>
      <c r="U99" s="3">
        <f t="shared" si="16"/>
        <v>0</v>
      </c>
      <c r="V99" s="3">
        <f t="shared" si="17"/>
        <v>0</v>
      </c>
      <c r="W99" s="3">
        <f t="shared" si="18"/>
        <v>0</v>
      </c>
      <c r="X99" s="3">
        <f t="shared" si="19"/>
        <v>0</v>
      </c>
      <c r="Y99" s="3">
        <f>IF(A99&lt;入力!$B$15,ABS(G99-何もしない_月次!G99),0)</f>
        <v>0</v>
      </c>
      <c r="Z99" s="3">
        <f t="shared" si="20"/>
        <v>0</v>
      </c>
      <c r="AA99">
        <f>ROUND(IF(A99=入力!$B$15+1,IF(E99=0,ROUND(C99/入力!$B$19,0),ROUND(-PMT(E99/12,入力!$B$19,C99),0)),IF(OR(AND(入力!$B$13="有効",A99&gt;1,MOD(A99-1,60)=0),AND(A99=入力!$B$11,A99&gt;1)),IF(入力!$B$14="有効",MIN(IF(E99=0,ROUND(C99/MAX(1,S98-A99+1),0),ROUND(-PMT(E99/12,MAX(1,S98-A99+1),C99),0)),ROUND(G98*1.25,0)),IF(E99=0,ROUND(C99/MAX(1,S98-A99+1),0),ROUND(-PMT(E99/12,MAX(1,S98-A99+1),C99),0))),G98)),0)</f>
        <v>117478</v>
      </c>
    </row>
    <row r="100" spans="1:27">
      <c r="A100" s="30">
        <f>95</f>
        <v>95</v>
      </c>
      <c r="B100" s="31">
        <f>EDATE(入力!$B$6,A100-1)</f>
        <v>49096</v>
      </c>
      <c r="C100" s="32">
        <f t="shared" si="21"/>
        <v>28611642</v>
      </c>
      <c r="D100" s="32">
        <f t="shared" si="22"/>
        <v>0</v>
      </c>
      <c r="E100" s="33">
        <f>IF(AND(T99="",A100&lt;=S99),IF(A100&lt;入力!$B$11,入力!$B$10,入力!$B$12),0)</f>
        <v>2.5000000000000001E-2</v>
      </c>
      <c r="F100" s="32">
        <f t="shared" si="23"/>
        <v>59608</v>
      </c>
      <c r="G100" s="32">
        <f>ROUND(IF(NOT(AND(T99="",A100&lt;=S99)),0,IF(A100=入力!$B$15+1,IF(E100=0,ROUND(C100/入力!$B$19,0),ROUND(-PMT(E100/12,入力!$B$19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),0)</f>
        <v>117478</v>
      </c>
      <c r="H100" s="32">
        <f t="shared" si="24"/>
        <v>117478</v>
      </c>
      <c r="I100" s="32">
        <f t="shared" si="25"/>
        <v>59608</v>
      </c>
      <c r="J100" s="32">
        <f t="shared" si="26"/>
        <v>0</v>
      </c>
      <c r="K100" s="32">
        <f t="shared" si="27"/>
        <v>0</v>
      </c>
      <c r="L100" s="32">
        <f t="shared" si="28"/>
        <v>57870</v>
      </c>
      <c r="M100" s="32">
        <f>IF(AND(AND(T99="",A100&lt;=S99),A100=入力!$B$15),ROUND(MIN(入力!$B$16,MAX(0,C100-L100)),0),0)</f>
        <v>0</v>
      </c>
      <c r="N100" s="32">
        <f t="shared" si="29"/>
        <v>28553772</v>
      </c>
      <c r="O100" s="32">
        <f t="shared" si="30"/>
        <v>3304422</v>
      </c>
      <c r="P100" s="34" t="str">
        <f>IF(NOT(AND(T99="",A100&lt;=S99)),"",IF(A100=入力!$B$15+1,"繰上返済後再計算","")&amp;IF(AND(入力!$B$13="有効",A100&gt;1,MOD(A100-1,60)=0),IF(A100=入力!$B$15+1,"・","")&amp;"5年見直し","")&amp;IF(AND(A100=入力!$B$11,A100&gt;1),IF(OR(A100=入力!$B$15+1,AND(入力!$B$13="有効",A100&gt;1,MOD(A100-1,60)=0)),"・","")&amp;"金利変更","")&amp;IF(AND(OR(AND(入力!$B$13="有効",A100&gt;1,MOD(A100-1,60)=0),AND(A100=入力!$B$11,A100&gt;1)),入力!$B$14="有効",IF(E100=0,ROUND(C100/MAX(1,S99-A100+1),0),ROUND(-PMT(E100/12,MAX(1,S99-A100+1),C100),0))&gt;ROUND(G99*1.25,0),NOT(A100=入力!$B$15+1)),"・上限適用",""))</f>
        <v/>
      </c>
      <c r="Q100" s="35" t="str">
        <f>IF(AND(T99="",A100&lt;=S99),入力!$B$13,"")</f>
        <v>有効</v>
      </c>
      <c r="R100" s="32" t="str">
        <f>IF(AND(AND(T99="",A100&lt;=S99),OR(AND(入力!$B$13="有効",A100&gt;1,MOD(A100-1,60)=0),AND(A100=入力!$B$11,A100&gt;1)),入力!$B$14="有効"),ROUND(G99*1.25,0),"")</f>
        <v/>
      </c>
      <c r="S100" s="36">
        <f>IF(A100=入力!$B$15,A100+入力!$B$19,S99)</f>
        <v>420</v>
      </c>
      <c r="T100" s="35" t="str">
        <f t="shared" si="31"/>
        <v/>
      </c>
      <c r="U100" s="3">
        <f t="shared" si="16"/>
        <v>0</v>
      </c>
      <c r="V100" s="3">
        <f t="shared" si="17"/>
        <v>0</v>
      </c>
      <c r="W100" s="3">
        <f t="shared" si="18"/>
        <v>0</v>
      </c>
      <c r="X100" s="3">
        <f t="shared" si="19"/>
        <v>0</v>
      </c>
      <c r="Y100" s="3">
        <f>IF(A100&lt;入力!$B$15,ABS(G100-何もしない_月次!G100),0)</f>
        <v>0</v>
      </c>
      <c r="Z100" s="3">
        <f t="shared" si="20"/>
        <v>0</v>
      </c>
      <c r="AA100">
        <f>ROUND(IF(A100=入力!$B$15+1,IF(E100=0,ROUND(C100/入力!$B$19,0),ROUND(-PMT(E100/12,入力!$B$19,C100),0)),IF(OR(AND(入力!$B$13="有効",A100&gt;1,MOD(A100-1,60)=0),AND(A100=入力!$B$11,A100&gt;1)),IF(入力!$B$14="有効",MIN(IF(E100=0,ROUND(C100/MAX(1,S99-A100+1),0),ROUND(-PMT(E100/12,MAX(1,S99-A100+1),C100),0)),ROUND(G99*1.25,0)),IF(E100=0,ROUND(C100/MAX(1,S99-A100+1),0),ROUND(-PMT(E100/12,MAX(1,S99-A100+1),C100),0))),G99)),0)</f>
        <v>117478</v>
      </c>
    </row>
    <row r="101" spans="1:27">
      <c r="A101" s="30">
        <f>96</f>
        <v>96</v>
      </c>
      <c r="B101" s="31">
        <f>EDATE(入力!$B$6,A101-1)</f>
        <v>49126</v>
      </c>
      <c r="C101" s="32">
        <f t="shared" si="21"/>
        <v>28553772</v>
      </c>
      <c r="D101" s="32">
        <f t="shared" si="22"/>
        <v>0</v>
      </c>
      <c r="E101" s="33">
        <f>IF(AND(T100="",A101&lt;=S100),IF(A101&lt;入力!$B$11,入力!$B$10,入力!$B$12),0)</f>
        <v>2.5000000000000001E-2</v>
      </c>
      <c r="F101" s="32">
        <f t="shared" si="23"/>
        <v>59487</v>
      </c>
      <c r="G101" s="32">
        <f>ROUND(IF(NOT(AND(T100="",A101&lt;=S100)),0,IF(A101=入力!$B$15+1,IF(E101=0,ROUND(C101/入力!$B$19,0),ROUND(-PMT(E101/12,入力!$B$19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),0)</f>
        <v>117478</v>
      </c>
      <c r="H101" s="32">
        <f t="shared" si="24"/>
        <v>117478</v>
      </c>
      <c r="I101" s="32">
        <f t="shared" si="25"/>
        <v>59487</v>
      </c>
      <c r="J101" s="32">
        <f t="shared" si="26"/>
        <v>0</v>
      </c>
      <c r="K101" s="32">
        <f t="shared" si="27"/>
        <v>0</v>
      </c>
      <c r="L101" s="32">
        <f t="shared" si="28"/>
        <v>57991</v>
      </c>
      <c r="M101" s="32">
        <f>IF(AND(AND(T100="",A101&lt;=S100),A101=入力!$B$15),ROUND(MIN(入力!$B$16,MAX(0,C101-L101)),0),0)</f>
        <v>0</v>
      </c>
      <c r="N101" s="32">
        <f t="shared" si="29"/>
        <v>28495781</v>
      </c>
      <c r="O101" s="32">
        <f t="shared" si="30"/>
        <v>3363909</v>
      </c>
      <c r="P101" s="34" t="str">
        <f>IF(NOT(AND(T100="",A101&lt;=S100)),"",IF(A101=入力!$B$15+1,"繰上返済後再計算","")&amp;IF(AND(入力!$B$13="有効",A101&gt;1,MOD(A101-1,60)=0),IF(A101=入力!$B$15+1,"・","")&amp;"5年見直し","")&amp;IF(AND(A101=入力!$B$11,A101&gt;1),IF(OR(A101=入力!$B$15+1,AND(入力!$B$13="有効",A101&gt;1,MOD(A101-1,60)=0)),"・","")&amp;"金利変更","")&amp;IF(AND(OR(AND(入力!$B$13="有効",A101&gt;1,MOD(A101-1,60)=0),AND(A101=入力!$B$11,A101&gt;1)),入力!$B$14="有効",IF(E101=0,ROUND(C101/MAX(1,S100-A101+1),0),ROUND(-PMT(E101/12,MAX(1,S100-A101+1),C101),0))&gt;ROUND(G100*1.25,0),NOT(A101=入力!$B$15+1)),"・上限適用",""))</f>
        <v/>
      </c>
      <c r="Q101" s="35" t="str">
        <f>IF(AND(T100="",A101&lt;=S100),入力!$B$13,"")</f>
        <v>有効</v>
      </c>
      <c r="R101" s="32" t="str">
        <f>IF(AND(AND(T100="",A101&lt;=S100),OR(AND(入力!$B$13="有効",A101&gt;1,MOD(A101-1,60)=0),AND(A101=入力!$B$11,A101&gt;1)),入力!$B$14="有効"),ROUND(G100*1.25,0),"")</f>
        <v/>
      </c>
      <c r="S101" s="36">
        <f>IF(A101=入力!$B$15,A101+入力!$B$19,S100)</f>
        <v>420</v>
      </c>
      <c r="T101" s="35" t="str">
        <f t="shared" si="31"/>
        <v/>
      </c>
      <c r="U101" s="3">
        <f t="shared" si="16"/>
        <v>0</v>
      </c>
      <c r="V101" s="3">
        <f t="shared" si="17"/>
        <v>0</v>
      </c>
      <c r="W101" s="3">
        <f t="shared" si="18"/>
        <v>0</v>
      </c>
      <c r="X101" s="3">
        <f t="shared" si="19"/>
        <v>0</v>
      </c>
      <c r="Y101" s="3">
        <f>IF(A101&lt;入力!$B$15,ABS(G101-何もしない_月次!G101),0)</f>
        <v>0</v>
      </c>
      <c r="Z101" s="3">
        <f t="shared" si="20"/>
        <v>0</v>
      </c>
      <c r="AA101">
        <f>ROUND(IF(A101=入力!$B$15+1,IF(E101=0,ROUND(C101/入力!$B$19,0),ROUND(-PMT(E101/12,入力!$B$19,C101),0)),IF(OR(AND(入力!$B$13="有効",A101&gt;1,MOD(A101-1,60)=0),AND(A101=入力!$B$11,A101&gt;1)),IF(入力!$B$14="有効",MIN(IF(E101=0,ROUND(C101/MAX(1,S100-A101+1),0),ROUND(-PMT(E101/12,MAX(1,S100-A101+1),C101),0)),ROUND(G100*1.25,0)),IF(E101=0,ROUND(C101/MAX(1,S100-A101+1),0),ROUND(-PMT(E101/12,MAX(1,S100-A101+1),C101),0))),G100)),0)</f>
        <v>117478</v>
      </c>
    </row>
    <row r="102" spans="1:27">
      <c r="A102" s="30">
        <f>97</f>
        <v>97</v>
      </c>
      <c r="B102" s="31">
        <f>EDATE(入力!$B$6,A102-1)</f>
        <v>49157</v>
      </c>
      <c r="C102" s="32">
        <f t="shared" si="21"/>
        <v>28495781</v>
      </c>
      <c r="D102" s="32">
        <f t="shared" si="22"/>
        <v>0</v>
      </c>
      <c r="E102" s="33">
        <f>IF(AND(T101="",A102&lt;=S101),IF(A102&lt;入力!$B$11,入力!$B$10,入力!$B$12),0)</f>
        <v>2.5000000000000001E-2</v>
      </c>
      <c r="F102" s="32">
        <f t="shared" si="23"/>
        <v>59366</v>
      </c>
      <c r="G102" s="32">
        <f>ROUND(IF(NOT(AND(T101="",A102&lt;=S101)),0,IF(A102=入力!$B$15+1,IF(E102=0,ROUND(C102/入力!$B$19,0),ROUND(-PMT(E102/12,入力!$B$19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),0)</f>
        <v>117478</v>
      </c>
      <c r="H102" s="32">
        <f t="shared" si="24"/>
        <v>117478</v>
      </c>
      <c r="I102" s="32">
        <f t="shared" si="25"/>
        <v>59366</v>
      </c>
      <c r="J102" s="32">
        <f t="shared" si="26"/>
        <v>0</v>
      </c>
      <c r="K102" s="32">
        <f t="shared" si="27"/>
        <v>0</v>
      </c>
      <c r="L102" s="32">
        <f t="shared" si="28"/>
        <v>58112</v>
      </c>
      <c r="M102" s="32">
        <f>IF(AND(AND(T101="",A102&lt;=S101),A102=入力!$B$15),ROUND(MIN(入力!$B$16,MAX(0,C102-L102)),0),0)</f>
        <v>0</v>
      </c>
      <c r="N102" s="32">
        <f t="shared" si="29"/>
        <v>28437669</v>
      </c>
      <c r="O102" s="32">
        <f t="shared" si="30"/>
        <v>3423275</v>
      </c>
      <c r="P102" s="34" t="str">
        <f>IF(NOT(AND(T101="",A102&lt;=S101)),"",IF(A102=入力!$B$15+1,"繰上返済後再計算","")&amp;IF(AND(入力!$B$13="有効",A102&gt;1,MOD(A102-1,60)=0),IF(A102=入力!$B$15+1,"・","")&amp;"5年見直し","")&amp;IF(AND(A102=入力!$B$11,A102&gt;1),IF(OR(A102=入力!$B$15+1,AND(入力!$B$13="有効",A102&gt;1,MOD(A102-1,60)=0)),"・","")&amp;"金利変更","")&amp;IF(AND(OR(AND(入力!$B$13="有効",A102&gt;1,MOD(A102-1,60)=0),AND(A102=入力!$B$11,A102&gt;1)),入力!$B$14="有効",IF(E102=0,ROUND(C102/MAX(1,S101-A102+1),0),ROUND(-PMT(E102/12,MAX(1,S101-A102+1),C102),0))&gt;ROUND(G101*1.25,0),NOT(A102=入力!$B$15+1)),"・上限適用",""))</f>
        <v/>
      </c>
      <c r="Q102" s="35" t="str">
        <f>IF(AND(T101="",A102&lt;=S101),入力!$B$13,"")</f>
        <v>有効</v>
      </c>
      <c r="R102" s="32" t="str">
        <f>IF(AND(AND(T101="",A102&lt;=S101),OR(AND(入力!$B$13="有効",A102&gt;1,MOD(A102-1,60)=0),AND(A102=入力!$B$11,A102&gt;1)),入力!$B$14="有効"),ROUND(G101*1.25,0),"")</f>
        <v/>
      </c>
      <c r="S102" s="36">
        <f>IF(A102=入力!$B$15,A102+入力!$B$19,S101)</f>
        <v>420</v>
      </c>
      <c r="T102" s="35" t="str">
        <f t="shared" si="31"/>
        <v/>
      </c>
      <c r="U102" s="3">
        <f t="shared" si="16"/>
        <v>0</v>
      </c>
      <c r="V102" s="3">
        <f t="shared" si="17"/>
        <v>0</v>
      </c>
      <c r="W102" s="3">
        <f t="shared" si="18"/>
        <v>0</v>
      </c>
      <c r="X102" s="3">
        <f t="shared" si="19"/>
        <v>0</v>
      </c>
      <c r="Y102" s="3">
        <f>IF(A102&lt;入力!$B$15,ABS(G102-何もしない_月次!G102),0)</f>
        <v>0</v>
      </c>
      <c r="Z102" s="3">
        <f t="shared" si="20"/>
        <v>0</v>
      </c>
      <c r="AA102">
        <f>ROUND(IF(A102=入力!$B$15+1,IF(E102=0,ROUND(C102/入力!$B$19,0),ROUND(-PMT(E102/12,入力!$B$19,C102),0)),IF(OR(AND(入力!$B$13="有効",A102&gt;1,MOD(A102-1,60)=0),AND(A102=入力!$B$11,A102&gt;1)),IF(入力!$B$14="有効",MIN(IF(E102=0,ROUND(C102/MAX(1,S101-A102+1),0),ROUND(-PMT(E102/12,MAX(1,S101-A102+1),C102),0)),ROUND(G101*1.25,0)),IF(E102=0,ROUND(C102/MAX(1,S101-A102+1),0),ROUND(-PMT(E102/12,MAX(1,S101-A102+1),C102),0))),G101)),0)</f>
        <v>117478</v>
      </c>
    </row>
    <row r="103" spans="1:27">
      <c r="A103" s="30">
        <f>98</f>
        <v>98</v>
      </c>
      <c r="B103" s="31">
        <f>EDATE(入力!$B$6,A103-1)</f>
        <v>49188</v>
      </c>
      <c r="C103" s="32">
        <f t="shared" si="21"/>
        <v>28437669</v>
      </c>
      <c r="D103" s="32">
        <f t="shared" si="22"/>
        <v>0</v>
      </c>
      <c r="E103" s="33">
        <f>IF(AND(T102="",A103&lt;=S102),IF(A103&lt;入力!$B$11,入力!$B$10,入力!$B$12),0)</f>
        <v>2.5000000000000001E-2</v>
      </c>
      <c r="F103" s="32">
        <f t="shared" si="23"/>
        <v>59245</v>
      </c>
      <c r="G103" s="32">
        <f>ROUND(IF(NOT(AND(T102="",A103&lt;=S102)),0,IF(A103=入力!$B$15+1,IF(E103=0,ROUND(C103/入力!$B$19,0),ROUND(-PMT(E103/12,入力!$B$19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),0)</f>
        <v>117478</v>
      </c>
      <c r="H103" s="32">
        <f t="shared" si="24"/>
        <v>117478</v>
      </c>
      <c r="I103" s="32">
        <f t="shared" si="25"/>
        <v>59245</v>
      </c>
      <c r="J103" s="32">
        <f t="shared" si="26"/>
        <v>0</v>
      </c>
      <c r="K103" s="32">
        <f t="shared" si="27"/>
        <v>0</v>
      </c>
      <c r="L103" s="32">
        <f t="shared" si="28"/>
        <v>58233</v>
      </c>
      <c r="M103" s="32">
        <f>IF(AND(AND(T102="",A103&lt;=S102),A103=入力!$B$15),ROUND(MIN(入力!$B$16,MAX(0,C103-L103)),0),0)</f>
        <v>0</v>
      </c>
      <c r="N103" s="32">
        <f t="shared" si="29"/>
        <v>28379436</v>
      </c>
      <c r="O103" s="32">
        <f t="shared" si="30"/>
        <v>3482520</v>
      </c>
      <c r="P103" s="34" t="str">
        <f>IF(NOT(AND(T102="",A103&lt;=S102)),"",IF(A103=入力!$B$15+1,"繰上返済後再計算","")&amp;IF(AND(入力!$B$13="有効",A103&gt;1,MOD(A103-1,60)=0),IF(A103=入力!$B$15+1,"・","")&amp;"5年見直し","")&amp;IF(AND(A103=入力!$B$11,A103&gt;1),IF(OR(A103=入力!$B$15+1,AND(入力!$B$13="有効",A103&gt;1,MOD(A103-1,60)=0)),"・","")&amp;"金利変更","")&amp;IF(AND(OR(AND(入力!$B$13="有効",A103&gt;1,MOD(A103-1,60)=0),AND(A103=入力!$B$11,A103&gt;1)),入力!$B$14="有効",IF(E103=0,ROUND(C103/MAX(1,S102-A103+1),0),ROUND(-PMT(E103/12,MAX(1,S102-A103+1),C103),0))&gt;ROUND(G102*1.25,0),NOT(A103=入力!$B$15+1)),"・上限適用",""))</f>
        <v/>
      </c>
      <c r="Q103" s="35" t="str">
        <f>IF(AND(T102="",A103&lt;=S102),入力!$B$13,"")</f>
        <v>有効</v>
      </c>
      <c r="R103" s="32" t="str">
        <f>IF(AND(AND(T102="",A103&lt;=S102),OR(AND(入力!$B$13="有効",A103&gt;1,MOD(A103-1,60)=0),AND(A103=入力!$B$11,A103&gt;1)),入力!$B$14="有効"),ROUND(G102*1.25,0),"")</f>
        <v/>
      </c>
      <c r="S103" s="36">
        <f>IF(A103=入力!$B$15,A103+入力!$B$19,S102)</f>
        <v>420</v>
      </c>
      <c r="T103" s="35" t="str">
        <f t="shared" si="31"/>
        <v/>
      </c>
      <c r="U103" s="3">
        <f t="shared" si="16"/>
        <v>0</v>
      </c>
      <c r="V103" s="3">
        <f t="shared" si="17"/>
        <v>0</v>
      </c>
      <c r="W103" s="3">
        <f t="shared" si="18"/>
        <v>0</v>
      </c>
      <c r="X103" s="3">
        <f t="shared" si="19"/>
        <v>0</v>
      </c>
      <c r="Y103" s="3">
        <f>IF(A103&lt;入力!$B$15,ABS(G103-何もしない_月次!G103),0)</f>
        <v>0</v>
      </c>
      <c r="Z103" s="3">
        <f t="shared" si="20"/>
        <v>0</v>
      </c>
      <c r="AA103">
        <f>ROUND(IF(A103=入力!$B$15+1,IF(E103=0,ROUND(C103/入力!$B$19,0),ROUND(-PMT(E103/12,入力!$B$19,C103),0)),IF(OR(AND(入力!$B$13="有効",A103&gt;1,MOD(A103-1,60)=0),AND(A103=入力!$B$11,A103&gt;1)),IF(入力!$B$14="有効",MIN(IF(E103=0,ROUND(C103/MAX(1,S102-A103+1),0),ROUND(-PMT(E103/12,MAX(1,S102-A103+1),C103),0)),ROUND(G102*1.25,0)),IF(E103=0,ROUND(C103/MAX(1,S102-A103+1),0),ROUND(-PMT(E103/12,MAX(1,S102-A103+1),C103),0))),G102)),0)</f>
        <v>117478</v>
      </c>
    </row>
    <row r="104" spans="1:27">
      <c r="A104" s="30">
        <f>99</f>
        <v>99</v>
      </c>
      <c r="B104" s="31">
        <f>EDATE(入力!$B$6,A104-1)</f>
        <v>49218</v>
      </c>
      <c r="C104" s="32">
        <f t="shared" si="21"/>
        <v>28379436</v>
      </c>
      <c r="D104" s="32">
        <f t="shared" si="22"/>
        <v>0</v>
      </c>
      <c r="E104" s="33">
        <f>IF(AND(T103="",A104&lt;=S103),IF(A104&lt;入力!$B$11,入力!$B$10,入力!$B$12),0)</f>
        <v>2.5000000000000001E-2</v>
      </c>
      <c r="F104" s="32">
        <f t="shared" si="23"/>
        <v>59124</v>
      </c>
      <c r="G104" s="32">
        <f>ROUND(IF(NOT(AND(T103="",A104&lt;=S103)),0,IF(A104=入力!$B$15+1,IF(E104=0,ROUND(C104/入力!$B$19,0),ROUND(-PMT(E104/12,入力!$B$19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),0)</f>
        <v>117478</v>
      </c>
      <c r="H104" s="32">
        <f t="shared" si="24"/>
        <v>117478</v>
      </c>
      <c r="I104" s="32">
        <f t="shared" si="25"/>
        <v>59124</v>
      </c>
      <c r="J104" s="32">
        <f t="shared" si="26"/>
        <v>0</v>
      </c>
      <c r="K104" s="32">
        <f t="shared" si="27"/>
        <v>0</v>
      </c>
      <c r="L104" s="32">
        <f t="shared" si="28"/>
        <v>58354</v>
      </c>
      <c r="M104" s="32">
        <f>IF(AND(AND(T103="",A104&lt;=S103),A104=入力!$B$15),ROUND(MIN(入力!$B$16,MAX(0,C104-L104)),0),0)</f>
        <v>0</v>
      </c>
      <c r="N104" s="32">
        <f t="shared" si="29"/>
        <v>28321082</v>
      </c>
      <c r="O104" s="32">
        <f t="shared" si="30"/>
        <v>3541644</v>
      </c>
      <c r="P104" s="34" t="str">
        <f>IF(NOT(AND(T103="",A104&lt;=S103)),"",IF(A104=入力!$B$15+1,"繰上返済後再計算","")&amp;IF(AND(入力!$B$13="有効",A104&gt;1,MOD(A104-1,60)=0),IF(A104=入力!$B$15+1,"・","")&amp;"5年見直し","")&amp;IF(AND(A104=入力!$B$11,A104&gt;1),IF(OR(A104=入力!$B$15+1,AND(入力!$B$13="有効",A104&gt;1,MOD(A104-1,60)=0)),"・","")&amp;"金利変更","")&amp;IF(AND(OR(AND(入力!$B$13="有効",A104&gt;1,MOD(A104-1,60)=0),AND(A104=入力!$B$11,A104&gt;1)),入力!$B$14="有効",IF(E104=0,ROUND(C104/MAX(1,S103-A104+1),0),ROUND(-PMT(E104/12,MAX(1,S103-A104+1),C104),0))&gt;ROUND(G103*1.25,0),NOT(A104=入力!$B$15+1)),"・上限適用",""))</f>
        <v/>
      </c>
      <c r="Q104" s="35" t="str">
        <f>IF(AND(T103="",A104&lt;=S103),入力!$B$13,"")</f>
        <v>有効</v>
      </c>
      <c r="R104" s="32" t="str">
        <f>IF(AND(AND(T103="",A104&lt;=S103),OR(AND(入力!$B$13="有効",A104&gt;1,MOD(A104-1,60)=0),AND(A104=入力!$B$11,A104&gt;1)),入力!$B$14="有効"),ROUND(G103*1.25,0),"")</f>
        <v/>
      </c>
      <c r="S104" s="36">
        <f>IF(A104=入力!$B$15,A104+入力!$B$19,S103)</f>
        <v>420</v>
      </c>
      <c r="T104" s="35" t="str">
        <f t="shared" si="31"/>
        <v/>
      </c>
      <c r="U104" s="3">
        <f t="shared" si="16"/>
        <v>0</v>
      </c>
      <c r="V104" s="3">
        <f t="shared" si="17"/>
        <v>0</v>
      </c>
      <c r="W104" s="3">
        <f t="shared" si="18"/>
        <v>0</v>
      </c>
      <c r="X104" s="3">
        <f t="shared" si="19"/>
        <v>0</v>
      </c>
      <c r="Y104" s="3">
        <f>IF(A104&lt;入力!$B$15,ABS(G104-何もしない_月次!G104),0)</f>
        <v>0</v>
      </c>
      <c r="Z104" s="3">
        <f t="shared" si="20"/>
        <v>0</v>
      </c>
      <c r="AA104">
        <f>ROUND(IF(A104=入力!$B$15+1,IF(E104=0,ROUND(C104/入力!$B$19,0),ROUND(-PMT(E104/12,入力!$B$19,C104),0)),IF(OR(AND(入力!$B$13="有効",A104&gt;1,MOD(A104-1,60)=0),AND(A104=入力!$B$11,A104&gt;1)),IF(入力!$B$14="有効",MIN(IF(E104=0,ROUND(C104/MAX(1,S103-A104+1),0),ROUND(-PMT(E104/12,MAX(1,S103-A104+1),C104),0)),ROUND(G103*1.25,0)),IF(E104=0,ROUND(C104/MAX(1,S103-A104+1),0),ROUND(-PMT(E104/12,MAX(1,S103-A104+1),C104),0))),G103)),0)</f>
        <v>117478</v>
      </c>
    </row>
    <row r="105" spans="1:27">
      <c r="A105" s="30">
        <f>100</f>
        <v>100</v>
      </c>
      <c r="B105" s="31">
        <f>EDATE(入力!$B$6,A105-1)</f>
        <v>49249</v>
      </c>
      <c r="C105" s="32">
        <f t="shared" si="21"/>
        <v>28321082</v>
      </c>
      <c r="D105" s="32">
        <f t="shared" si="22"/>
        <v>0</v>
      </c>
      <c r="E105" s="33">
        <f>IF(AND(T104="",A105&lt;=S104),IF(A105&lt;入力!$B$11,入力!$B$10,入力!$B$12),0)</f>
        <v>2.5000000000000001E-2</v>
      </c>
      <c r="F105" s="32">
        <f t="shared" si="23"/>
        <v>59002</v>
      </c>
      <c r="G105" s="32">
        <f>ROUND(IF(NOT(AND(T104="",A105&lt;=S104)),0,IF(A105=入力!$B$15+1,IF(E105=0,ROUND(C105/入力!$B$19,0),ROUND(-PMT(E105/12,入力!$B$19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),0)</f>
        <v>117478</v>
      </c>
      <c r="H105" s="32">
        <f t="shared" si="24"/>
        <v>117478</v>
      </c>
      <c r="I105" s="32">
        <f t="shared" si="25"/>
        <v>59002</v>
      </c>
      <c r="J105" s="32">
        <f t="shared" si="26"/>
        <v>0</v>
      </c>
      <c r="K105" s="32">
        <f t="shared" si="27"/>
        <v>0</v>
      </c>
      <c r="L105" s="32">
        <f t="shared" si="28"/>
        <v>58476</v>
      </c>
      <c r="M105" s="32">
        <f>IF(AND(AND(T104="",A105&lt;=S104),A105=入力!$B$15),ROUND(MIN(入力!$B$16,MAX(0,C105-L105)),0),0)</f>
        <v>0</v>
      </c>
      <c r="N105" s="32">
        <f t="shared" si="29"/>
        <v>28262606</v>
      </c>
      <c r="O105" s="32">
        <f t="shared" si="30"/>
        <v>3600646</v>
      </c>
      <c r="P105" s="34" t="str">
        <f>IF(NOT(AND(T104="",A105&lt;=S104)),"",IF(A105=入力!$B$15+1,"繰上返済後再計算","")&amp;IF(AND(入力!$B$13="有効",A105&gt;1,MOD(A105-1,60)=0),IF(A105=入力!$B$15+1,"・","")&amp;"5年見直し","")&amp;IF(AND(A105=入力!$B$11,A105&gt;1),IF(OR(A105=入力!$B$15+1,AND(入力!$B$13="有効",A105&gt;1,MOD(A105-1,60)=0)),"・","")&amp;"金利変更","")&amp;IF(AND(OR(AND(入力!$B$13="有効",A105&gt;1,MOD(A105-1,60)=0),AND(A105=入力!$B$11,A105&gt;1)),入力!$B$14="有効",IF(E105=0,ROUND(C105/MAX(1,S104-A105+1),0),ROUND(-PMT(E105/12,MAX(1,S104-A105+1),C105),0))&gt;ROUND(G104*1.25,0),NOT(A105=入力!$B$15+1)),"・上限適用",""))</f>
        <v/>
      </c>
      <c r="Q105" s="35" t="str">
        <f>IF(AND(T104="",A105&lt;=S104),入力!$B$13,"")</f>
        <v>有効</v>
      </c>
      <c r="R105" s="32" t="str">
        <f>IF(AND(AND(T104="",A105&lt;=S104),OR(AND(入力!$B$13="有効",A105&gt;1,MOD(A105-1,60)=0),AND(A105=入力!$B$11,A105&gt;1)),入力!$B$14="有効"),ROUND(G104*1.25,0),"")</f>
        <v/>
      </c>
      <c r="S105" s="36">
        <f>IF(A105=入力!$B$15,A105+入力!$B$19,S104)</f>
        <v>420</v>
      </c>
      <c r="T105" s="35" t="str">
        <f t="shared" si="31"/>
        <v/>
      </c>
      <c r="U105" s="3">
        <f t="shared" si="16"/>
        <v>0</v>
      </c>
      <c r="V105" s="3">
        <f t="shared" si="17"/>
        <v>0</v>
      </c>
      <c r="W105" s="3">
        <f t="shared" si="18"/>
        <v>0</v>
      </c>
      <c r="X105" s="3">
        <f t="shared" si="19"/>
        <v>0</v>
      </c>
      <c r="Y105" s="3">
        <f>IF(A105&lt;入力!$B$15,ABS(G105-何もしない_月次!G105),0)</f>
        <v>0</v>
      </c>
      <c r="Z105" s="3">
        <f t="shared" si="20"/>
        <v>0</v>
      </c>
      <c r="AA105">
        <f>ROUND(IF(A105=入力!$B$15+1,IF(E105=0,ROUND(C105/入力!$B$19,0),ROUND(-PMT(E105/12,入力!$B$19,C105),0)),IF(OR(AND(入力!$B$13="有効",A105&gt;1,MOD(A105-1,60)=0),AND(A105=入力!$B$11,A105&gt;1)),IF(入力!$B$14="有効",MIN(IF(E105=0,ROUND(C105/MAX(1,S104-A105+1),0),ROUND(-PMT(E105/12,MAX(1,S104-A105+1),C105),0)),ROUND(G104*1.25,0)),IF(E105=0,ROUND(C105/MAX(1,S104-A105+1),0),ROUND(-PMT(E105/12,MAX(1,S104-A105+1),C105),0))),G104)),0)</f>
        <v>117478</v>
      </c>
    </row>
    <row r="106" spans="1:27">
      <c r="A106" s="30">
        <f>101</f>
        <v>101</v>
      </c>
      <c r="B106" s="31">
        <f>EDATE(入力!$B$6,A106-1)</f>
        <v>49279</v>
      </c>
      <c r="C106" s="32">
        <f t="shared" si="21"/>
        <v>28262606</v>
      </c>
      <c r="D106" s="32">
        <f t="shared" si="22"/>
        <v>0</v>
      </c>
      <c r="E106" s="33">
        <f>IF(AND(T105="",A106&lt;=S105),IF(A106&lt;入力!$B$11,入力!$B$10,入力!$B$12),0)</f>
        <v>2.5000000000000001E-2</v>
      </c>
      <c r="F106" s="32">
        <f t="shared" si="23"/>
        <v>58880</v>
      </c>
      <c r="G106" s="32">
        <f>ROUND(IF(NOT(AND(T105="",A106&lt;=S105)),0,IF(A106=入力!$B$15+1,IF(E106=0,ROUND(C106/入力!$B$19,0),ROUND(-PMT(E106/12,入力!$B$19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),0)</f>
        <v>117478</v>
      </c>
      <c r="H106" s="32">
        <f t="shared" si="24"/>
        <v>117478</v>
      </c>
      <c r="I106" s="32">
        <f t="shared" si="25"/>
        <v>58880</v>
      </c>
      <c r="J106" s="32">
        <f t="shared" si="26"/>
        <v>0</v>
      </c>
      <c r="K106" s="32">
        <f t="shared" si="27"/>
        <v>0</v>
      </c>
      <c r="L106" s="32">
        <f t="shared" si="28"/>
        <v>58598</v>
      </c>
      <c r="M106" s="32">
        <f>IF(AND(AND(T105="",A106&lt;=S105),A106=入力!$B$15),ROUND(MIN(入力!$B$16,MAX(0,C106-L106)),0),0)</f>
        <v>0</v>
      </c>
      <c r="N106" s="32">
        <f t="shared" si="29"/>
        <v>28204008</v>
      </c>
      <c r="O106" s="32">
        <f t="shared" si="30"/>
        <v>3659526</v>
      </c>
      <c r="P106" s="34" t="str">
        <f>IF(NOT(AND(T105="",A106&lt;=S105)),"",IF(A106=入力!$B$15+1,"繰上返済後再計算","")&amp;IF(AND(入力!$B$13="有効",A106&gt;1,MOD(A106-1,60)=0),IF(A106=入力!$B$15+1,"・","")&amp;"5年見直し","")&amp;IF(AND(A106=入力!$B$11,A106&gt;1),IF(OR(A106=入力!$B$15+1,AND(入力!$B$13="有効",A106&gt;1,MOD(A106-1,60)=0)),"・","")&amp;"金利変更","")&amp;IF(AND(OR(AND(入力!$B$13="有効",A106&gt;1,MOD(A106-1,60)=0),AND(A106=入力!$B$11,A106&gt;1)),入力!$B$14="有効",IF(E106=0,ROUND(C106/MAX(1,S105-A106+1),0),ROUND(-PMT(E106/12,MAX(1,S105-A106+1),C106),0))&gt;ROUND(G105*1.25,0),NOT(A106=入力!$B$15+1)),"・上限適用",""))</f>
        <v/>
      </c>
      <c r="Q106" s="35" t="str">
        <f>IF(AND(T105="",A106&lt;=S105),入力!$B$13,"")</f>
        <v>有効</v>
      </c>
      <c r="R106" s="32" t="str">
        <f>IF(AND(AND(T105="",A106&lt;=S105),OR(AND(入力!$B$13="有効",A106&gt;1,MOD(A106-1,60)=0),AND(A106=入力!$B$11,A106&gt;1)),入力!$B$14="有効"),ROUND(G105*1.25,0),"")</f>
        <v/>
      </c>
      <c r="S106" s="36">
        <f>IF(A106=入力!$B$15,A106+入力!$B$19,S105)</f>
        <v>420</v>
      </c>
      <c r="T106" s="35" t="str">
        <f t="shared" si="31"/>
        <v/>
      </c>
      <c r="U106" s="3">
        <f t="shared" si="16"/>
        <v>0</v>
      </c>
      <c r="V106" s="3">
        <f t="shared" si="17"/>
        <v>0</v>
      </c>
      <c r="W106" s="3">
        <f t="shared" si="18"/>
        <v>0</v>
      </c>
      <c r="X106" s="3">
        <f t="shared" si="19"/>
        <v>0</v>
      </c>
      <c r="Y106" s="3">
        <f>IF(A106&lt;入力!$B$15,ABS(G106-何もしない_月次!G106),0)</f>
        <v>0</v>
      </c>
      <c r="Z106" s="3">
        <f t="shared" si="20"/>
        <v>0</v>
      </c>
      <c r="AA106">
        <f>ROUND(IF(A106=入力!$B$15+1,IF(E106=0,ROUND(C106/入力!$B$19,0),ROUND(-PMT(E106/12,入力!$B$19,C106),0)),IF(OR(AND(入力!$B$13="有効",A106&gt;1,MOD(A106-1,60)=0),AND(A106=入力!$B$11,A106&gt;1)),IF(入力!$B$14="有効",MIN(IF(E106=0,ROUND(C106/MAX(1,S105-A106+1),0),ROUND(-PMT(E106/12,MAX(1,S105-A106+1),C106),0)),ROUND(G105*1.25,0)),IF(E106=0,ROUND(C106/MAX(1,S105-A106+1),0),ROUND(-PMT(E106/12,MAX(1,S105-A106+1),C106),0))),G105)),0)</f>
        <v>117478</v>
      </c>
    </row>
    <row r="107" spans="1:27">
      <c r="A107" s="30">
        <f>102</f>
        <v>102</v>
      </c>
      <c r="B107" s="31">
        <f>EDATE(入力!$B$6,A107-1)</f>
        <v>49310</v>
      </c>
      <c r="C107" s="32">
        <f t="shared" si="21"/>
        <v>28204008</v>
      </c>
      <c r="D107" s="32">
        <f t="shared" si="22"/>
        <v>0</v>
      </c>
      <c r="E107" s="33">
        <f>IF(AND(T106="",A107&lt;=S106),IF(A107&lt;入力!$B$11,入力!$B$10,入力!$B$12),0)</f>
        <v>2.5000000000000001E-2</v>
      </c>
      <c r="F107" s="32">
        <f t="shared" si="23"/>
        <v>58758</v>
      </c>
      <c r="G107" s="32">
        <f>ROUND(IF(NOT(AND(T106="",A107&lt;=S106)),0,IF(A107=入力!$B$15+1,IF(E107=0,ROUND(C107/入力!$B$19,0),ROUND(-PMT(E107/12,入力!$B$19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),0)</f>
        <v>117478</v>
      </c>
      <c r="H107" s="32">
        <f t="shared" si="24"/>
        <v>117478</v>
      </c>
      <c r="I107" s="32">
        <f t="shared" si="25"/>
        <v>58758</v>
      </c>
      <c r="J107" s="32">
        <f t="shared" si="26"/>
        <v>0</v>
      </c>
      <c r="K107" s="32">
        <f t="shared" si="27"/>
        <v>0</v>
      </c>
      <c r="L107" s="32">
        <f t="shared" si="28"/>
        <v>58720</v>
      </c>
      <c r="M107" s="32">
        <f>IF(AND(AND(T106="",A107&lt;=S106),A107=入力!$B$15),ROUND(MIN(入力!$B$16,MAX(0,C107-L107)),0),0)</f>
        <v>0</v>
      </c>
      <c r="N107" s="32">
        <f t="shared" si="29"/>
        <v>28145288</v>
      </c>
      <c r="O107" s="32">
        <f t="shared" si="30"/>
        <v>3718284</v>
      </c>
      <c r="P107" s="34" t="str">
        <f>IF(NOT(AND(T106="",A107&lt;=S106)),"",IF(A107=入力!$B$15+1,"繰上返済後再計算","")&amp;IF(AND(入力!$B$13="有効",A107&gt;1,MOD(A107-1,60)=0),IF(A107=入力!$B$15+1,"・","")&amp;"5年見直し","")&amp;IF(AND(A107=入力!$B$11,A107&gt;1),IF(OR(A107=入力!$B$15+1,AND(入力!$B$13="有効",A107&gt;1,MOD(A107-1,60)=0)),"・","")&amp;"金利変更","")&amp;IF(AND(OR(AND(入力!$B$13="有効",A107&gt;1,MOD(A107-1,60)=0),AND(A107=入力!$B$11,A107&gt;1)),入力!$B$14="有効",IF(E107=0,ROUND(C107/MAX(1,S106-A107+1),0),ROUND(-PMT(E107/12,MAX(1,S106-A107+1),C107),0))&gt;ROUND(G106*1.25,0),NOT(A107=入力!$B$15+1)),"・上限適用",""))</f>
        <v/>
      </c>
      <c r="Q107" s="35" t="str">
        <f>IF(AND(T106="",A107&lt;=S106),入力!$B$13,"")</f>
        <v>有効</v>
      </c>
      <c r="R107" s="32" t="str">
        <f>IF(AND(AND(T106="",A107&lt;=S106),OR(AND(入力!$B$13="有効",A107&gt;1,MOD(A107-1,60)=0),AND(A107=入力!$B$11,A107&gt;1)),入力!$B$14="有効"),ROUND(G106*1.25,0),"")</f>
        <v/>
      </c>
      <c r="S107" s="36">
        <f>IF(A107=入力!$B$15,A107+入力!$B$19,S106)</f>
        <v>420</v>
      </c>
      <c r="T107" s="35" t="str">
        <f t="shared" si="31"/>
        <v/>
      </c>
      <c r="U107" s="3">
        <f t="shared" si="16"/>
        <v>0</v>
      </c>
      <c r="V107" s="3">
        <f t="shared" si="17"/>
        <v>0</v>
      </c>
      <c r="W107" s="3">
        <f t="shared" si="18"/>
        <v>0</v>
      </c>
      <c r="X107" s="3">
        <f t="shared" si="19"/>
        <v>0</v>
      </c>
      <c r="Y107" s="3">
        <f>IF(A107&lt;入力!$B$15,ABS(G107-何もしない_月次!G107),0)</f>
        <v>0</v>
      </c>
      <c r="Z107" s="3">
        <f t="shared" si="20"/>
        <v>0</v>
      </c>
      <c r="AA107">
        <f>ROUND(IF(A107=入力!$B$15+1,IF(E107=0,ROUND(C107/入力!$B$19,0),ROUND(-PMT(E107/12,入力!$B$19,C107),0)),IF(OR(AND(入力!$B$13="有効",A107&gt;1,MOD(A107-1,60)=0),AND(A107=入力!$B$11,A107&gt;1)),IF(入力!$B$14="有効",MIN(IF(E107=0,ROUND(C107/MAX(1,S106-A107+1),0),ROUND(-PMT(E107/12,MAX(1,S106-A107+1),C107),0)),ROUND(G106*1.25,0)),IF(E107=0,ROUND(C107/MAX(1,S106-A107+1),0),ROUND(-PMT(E107/12,MAX(1,S106-A107+1),C107),0))),G106)),0)</f>
        <v>117478</v>
      </c>
    </row>
    <row r="108" spans="1:27">
      <c r="A108" s="30">
        <f>103</f>
        <v>103</v>
      </c>
      <c r="B108" s="31">
        <f>EDATE(入力!$B$6,A108-1)</f>
        <v>49341</v>
      </c>
      <c r="C108" s="32">
        <f t="shared" si="21"/>
        <v>28145288</v>
      </c>
      <c r="D108" s="32">
        <f t="shared" si="22"/>
        <v>0</v>
      </c>
      <c r="E108" s="33">
        <f>IF(AND(T107="",A108&lt;=S107),IF(A108&lt;入力!$B$11,入力!$B$10,入力!$B$12),0)</f>
        <v>2.5000000000000001E-2</v>
      </c>
      <c r="F108" s="32">
        <f t="shared" si="23"/>
        <v>58636</v>
      </c>
      <c r="G108" s="32">
        <f>ROUND(IF(NOT(AND(T107="",A108&lt;=S107)),0,IF(A108=入力!$B$15+1,IF(E108=0,ROUND(C108/入力!$B$19,0),ROUND(-PMT(E108/12,入力!$B$19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),0)</f>
        <v>117478</v>
      </c>
      <c r="H108" s="32">
        <f t="shared" si="24"/>
        <v>117478</v>
      </c>
      <c r="I108" s="32">
        <f t="shared" si="25"/>
        <v>58636</v>
      </c>
      <c r="J108" s="32">
        <f t="shared" si="26"/>
        <v>0</v>
      </c>
      <c r="K108" s="32">
        <f t="shared" si="27"/>
        <v>0</v>
      </c>
      <c r="L108" s="32">
        <f t="shared" si="28"/>
        <v>58842</v>
      </c>
      <c r="M108" s="32">
        <f>IF(AND(AND(T107="",A108&lt;=S107),A108=入力!$B$15),ROUND(MIN(入力!$B$16,MAX(0,C108-L108)),0),0)</f>
        <v>0</v>
      </c>
      <c r="N108" s="32">
        <f t="shared" si="29"/>
        <v>28086446</v>
      </c>
      <c r="O108" s="32">
        <f t="shared" si="30"/>
        <v>3776920</v>
      </c>
      <c r="P108" s="34" t="str">
        <f>IF(NOT(AND(T107="",A108&lt;=S107)),"",IF(A108=入力!$B$15+1,"繰上返済後再計算","")&amp;IF(AND(入力!$B$13="有効",A108&gt;1,MOD(A108-1,60)=0),IF(A108=入力!$B$15+1,"・","")&amp;"5年見直し","")&amp;IF(AND(A108=入力!$B$11,A108&gt;1),IF(OR(A108=入力!$B$15+1,AND(入力!$B$13="有効",A108&gt;1,MOD(A108-1,60)=0)),"・","")&amp;"金利変更","")&amp;IF(AND(OR(AND(入力!$B$13="有効",A108&gt;1,MOD(A108-1,60)=0),AND(A108=入力!$B$11,A108&gt;1)),入力!$B$14="有効",IF(E108=0,ROUND(C108/MAX(1,S107-A108+1),0),ROUND(-PMT(E108/12,MAX(1,S107-A108+1),C108),0))&gt;ROUND(G107*1.25,0),NOT(A108=入力!$B$15+1)),"・上限適用",""))</f>
        <v/>
      </c>
      <c r="Q108" s="35" t="str">
        <f>IF(AND(T107="",A108&lt;=S107),入力!$B$13,"")</f>
        <v>有効</v>
      </c>
      <c r="R108" s="32" t="str">
        <f>IF(AND(AND(T107="",A108&lt;=S107),OR(AND(入力!$B$13="有効",A108&gt;1,MOD(A108-1,60)=0),AND(A108=入力!$B$11,A108&gt;1)),入力!$B$14="有効"),ROUND(G107*1.25,0),"")</f>
        <v/>
      </c>
      <c r="S108" s="36">
        <f>IF(A108=入力!$B$15,A108+入力!$B$19,S107)</f>
        <v>420</v>
      </c>
      <c r="T108" s="35" t="str">
        <f t="shared" si="31"/>
        <v/>
      </c>
      <c r="U108" s="3">
        <f t="shared" si="16"/>
        <v>0</v>
      </c>
      <c r="V108" s="3">
        <f t="shared" si="17"/>
        <v>0</v>
      </c>
      <c r="W108" s="3">
        <f t="shared" si="18"/>
        <v>0</v>
      </c>
      <c r="X108" s="3">
        <f t="shared" si="19"/>
        <v>0</v>
      </c>
      <c r="Y108" s="3">
        <f>IF(A108&lt;入力!$B$15,ABS(G108-何もしない_月次!G108),0)</f>
        <v>0</v>
      </c>
      <c r="Z108" s="3">
        <f t="shared" si="20"/>
        <v>0</v>
      </c>
      <c r="AA108">
        <f>ROUND(IF(A108=入力!$B$15+1,IF(E108=0,ROUND(C108/入力!$B$19,0),ROUND(-PMT(E108/12,入力!$B$19,C108),0)),IF(OR(AND(入力!$B$13="有効",A108&gt;1,MOD(A108-1,60)=0),AND(A108=入力!$B$11,A108&gt;1)),IF(入力!$B$14="有効",MIN(IF(E108=0,ROUND(C108/MAX(1,S107-A108+1),0),ROUND(-PMT(E108/12,MAX(1,S107-A108+1),C108),0)),ROUND(G107*1.25,0)),IF(E108=0,ROUND(C108/MAX(1,S107-A108+1),0),ROUND(-PMT(E108/12,MAX(1,S107-A108+1),C108),0))),G107)),0)</f>
        <v>117478</v>
      </c>
    </row>
    <row r="109" spans="1:27">
      <c r="A109" s="30">
        <f>104</f>
        <v>104</v>
      </c>
      <c r="B109" s="31">
        <f>EDATE(入力!$B$6,A109-1)</f>
        <v>49369</v>
      </c>
      <c r="C109" s="32">
        <f t="shared" si="21"/>
        <v>28086446</v>
      </c>
      <c r="D109" s="32">
        <f t="shared" si="22"/>
        <v>0</v>
      </c>
      <c r="E109" s="33">
        <f>IF(AND(T108="",A109&lt;=S108),IF(A109&lt;入力!$B$11,入力!$B$10,入力!$B$12),0)</f>
        <v>2.5000000000000001E-2</v>
      </c>
      <c r="F109" s="32">
        <f t="shared" si="23"/>
        <v>58513</v>
      </c>
      <c r="G109" s="32">
        <f>ROUND(IF(NOT(AND(T108="",A109&lt;=S108)),0,IF(A109=入力!$B$15+1,IF(E109=0,ROUND(C109/入力!$B$19,0),ROUND(-PMT(E109/12,入力!$B$19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),0)</f>
        <v>117478</v>
      </c>
      <c r="H109" s="32">
        <f t="shared" si="24"/>
        <v>117478</v>
      </c>
      <c r="I109" s="32">
        <f t="shared" si="25"/>
        <v>58513</v>
      </c>
      <c r="J109" s="32">
        <f t="shared" si="26"/>
        <v>0</v>
      </c>
      <c r="K109" s="32">
        <f t="shared" si="27"/>
        <v>0</v>
      </c>
      <c r="L109" s="32">
        <f t="shared" si="28"/>
        <v>58965</v>
      </c>
      <c r="M109" s="32">
        <f>IF(AND(AND(T108="",A109&lt;=S108),A109=入力!$B$15),ROUND(MIN(入力!$B$16,MAX(0,C109-L109)),0),0)</f>
        <v>0</v>
      </c>
      <c r="N109" s="32">
        <f t="shared" si="29"/>
        <v>28027481</v>
      </c>
      <c r="O109" s="32">
        <f t="shared" si="30"/>
        <v>3835433</v>
      </c>
      <c r="P109" s="34" t="str">
        <f>IF(NOT(AND(T108="",A109&lt;=S108)),"",IF(A109=入力!$B$15+1,"繰上返済後再計算","")&amp;IF(AND(入力!$B$13="有効",A109&gt;1,MOD(A109-1,60)=0),IF(A109=入力!$B$15+1,"・","")&amp;"5年見直し","")&amp;IF(AND(A109=入力!$B$11,A109&gt;1),IF(OR(A109=入力!$B$15+1,AND(入力!$B$13="有効",A109&gt;1,MOD(A109-1,60)=0)),"・","")&amp;"金利変更","")&amp;IF(AND(OR(AND(入力!$B$13="有効",A109&gt;1,MOD(A109-1,60)=0),AND(A109=入力!$B$11,A109&gt;1)),入力!$B$14="有効",IF(E109=0,ROUND(C109/MAX(1,S108-A109+1),0),ROUND(-PMT(E109/12,MAX(1,S108-A109+1),C109),0))&gt;ROUND(G108*1.25,0),NOT(A109=入力!$B$15+1)),"・上限適用",""))</f>
        <v/>
      </c>
      <c r="Q109" s="35" t="str">
        <f>IF(AND(T108="",A109&lt;=S108),入力!$B$13,"")</f>
        <v>有効</v>
      </c>
      <c r="R109" s="32" t="str">
        <f>IF(AND(AND(T108="",A109&lt;=S108),OR(AND(入力!$B$13="有効",A109&gt;1,MOD(A109-1,60)=0),AND(A109=入力!$B$11,A109&gt;1)),入力!$B$14="有効"),ROUND(G108*1.25,0),"")</f>
        <v/>
      </c>
      <c r="S109" s="36">
        <f>IF(A109=入力!$B$15,A109+入力!$B$19,S108)</f>
        <v>420</v>
      </c>
      <c r="T109" s="35" t="str">
        <f t="shared" si="31"/>
        <v/>
      </c>
      <c r="U109" s="3">
        <f t="shared" si="16"/>
        <v>0</v>
      </c>
      <c r="V109" s="3">
        <f t="shared" si="17"/>
        <v>0</v>
      </c>
      <c r="W109" s="3">
        <f t="shared" si="18"/>
        <v>0</v>
      </c>
      <c r="X109" s="3">
        <f t="shared" si="19"/>
        <v>0</v>
      </c>
      <c r="Y109" s="3">
        <f>IF(A109&lt;入力!$B$15,ABS(G109-何もしない_月次!G109),0)</f>
        <v>0</v>
      </c>
      <c r="Z109" s="3">
        <f t="shared" si="20"/>
        <v>0</v>
      </c>
      <c r="AA109">
        <f>ROUND(IF(A109=入力!$B$15+1,IF(E109=0,ROUND(C109/入力!$B$19,0),ROUND(-PMT(E109/12,入力!$B$19,C109),0)),IF(OR(AND(入力!$B$13="有効",A109&gt;1,MOD(A109-1,60)=0),AND(A109=入力!$B$11,A109&gt;1)),IF(入力!$B$14="有効",MIN(IF(E109=0,ROUND(C109/MAX(1,S108-A109+1),0),ROUND(-PMT(E109/12,MAX(1,S108-A109+1),C109),0)),ROUND(G108*1.25,0)),IF(E109=0,ROUND(C109/MAX(1,S108-A109+1),0),ROUND(-PMT(E109/12,MAX(1,S108-A109+1),C109),0))),G108)),0)</f>
        <v>117478</v>
      </c>
    </row>
    <row r="110" spans="1:27">
      <c r="A110" s="30">
        <f>105</f>
        <v>105</v>
      </c>
      <c r="B110" s="31">
        <f>EDATE(入力!$B$6,A110-1)</f>
        <v>49400</v>
      </c>
      <c r="C110" s="32">
        <f t="shared" si="21"/>
        <v>28027481</v>
      </c>
      <c r="D110" s="32">
        <f t="shared" si="22"/>
        <v>0</v>
      </c>
      <c r="E110" s="33">
        <f>IF(AND(T109="",A110&lt;=S109),IF(A110&lt;入力!$B$11,入力!$B$10,入力!$B$12),0)</f>
        <v>2.5000000000000001E-2</v>
      </c>
      <c r="F110" s="32">
        <f t="shared" si="23"/>
        <v>58391</v>
      </c>
      <c r="G110" s="32">
        <f>ROUND(IF(NOT(AND(T109="",A110&lt;=S109)),0,IF(A110=入力!$B$15+1,IF(E110=0,ROUND(C110/入力!$B$19,0),ROUND(-PMT(E110/12,入力!$B$19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),0)</f>
        <v>117478</v>
      </c>
      <c r="H110" s="32">
        <f t="shared" si="24"/>
        <v>117478</v>
      </c>
      <c r="I110" s="32">
        <f t="shared" si="25"/>
        <v>58391</v>
      </c>
      <c r="J110" s="32">
        <f t="shared" si="26"/>
        <v>0</v>
      </c>
      <c r="K110" s="32">
        <f t="shared" si="27"/>
        <v>0</v>
      </c>
      <c r="L110" s="32">
        <f t="shared" si="28"/>
        <v>59087</v>
      </c>
      <c r="M110" s="32">
        <f>IF(AND(AND(T109="",A110&lt;=S109),A110=入力!$B$15),ROUND(MIN(入力!$B$16,MAX(0,C110-L110)),0),0)</f>
        <v>0</v>
      </c>
      <c r="N110" s="32">
        <f t="shared" si="29"/>
        <v>27968394</v>
      </c>
      <c r="O110" s="32">
        <f t="shared" si="30"/>
        <v>3893824</v>
      </c>
      <c r="P110" s="34" t="str">
        <f>IF(NOT(AND(T109="",A110&lt;=S109)),"",IF(A110=入力!$B$15+1,"繰上返済後再計算","")&amp;IF(AND(入力!$B$13="有効",A110&gt;1,MOD(A110-1,60)=0),IF(A110=入力!$B$15+1,"・","")&amp;"5年見直し","")&amp;IF(AND(A110=入力!$B$11,A110&gt;1),IF(OR(A110=入力!$B$15+1,AND(入力!$B$13="有効",A110&gt;1,MOD(A110-1,60)=0)),"・","")&amp;"金利変更","")&amp;IF(AND(OR(AND(入力!$B$13="有効",A110&gt;1,MOD(A110-1,60)=0),AND(A110=入力!$B$11,A110&gt;1)),入力!$B$14="有効",IF(E110=0,ROUND(C110/MAX(1,S109-A110+1),0),ROUND(-PMT(E110/12,MAX(1,S109-A110+1),C110),0))&gt;ROUND(G109*1.25,0),NOT(A110=入力!$B$15+1)),"・上限適用",""))</f>
        <v/>
      </c>
      <c r="Q110" s="35" t="str">
        <f>IF(AND(T109="",A110&lt;=S109),入力!$B$13,"")</f>
        <v>有効</v>
      </c>
      <c r="R110" s="32" t="str">
        <f>IF(AND(AND(T109="",A110&lt;=S109),OR(AND(入力!$B$13="有効",A110&gt;1,MOD(A110-1,60)=0),AND(A110=入力!$B$11,A110&gt;1)),入力!$B$14="有効"),ROUND(G109*1.25,0),"")</f>
        <v/>
      </c>
      <c r="S110" s="36">
        <f>IF(A110=入力!$B$15,A110+入力!$B$19,S109)</f>
        <v>420</v>
      </c>
      <c r="T110" s="35" t="str">
        <f t="shared" si="31"/>
        <v/>
      </c>
      <c r="U110" s="3">
        <f t="shared" si="16"/>
        <v>0</v>
      </c>
      <c r="V110" s="3">
        <f t="shared" si="17"/>
        <v>0</v>
      </c>
      <c r="W110" s="3">
        <f t="shared" si="18"/>
        <v>0</v>
      </c>
      <c r="X110" s="3">
        <f t="shared" si="19"/>
        <v>0</v>
      </c>
      <c r="Y110" s="3">
        <f>IF(A110&lt;入力!$B$15,ABS(G110-何もしない_月次!G110),0)</f>
        <v>0</v>
      </c>
      <c r="Z110" s="3">
        <f t="shared" si="20"/>
        <v>0</v>
      </c>
      <c r="AA110">
        <f>ROUND(IF(A110=入力!$B$15+1,IF(E110=0,ROUND(C110/入力!$B$19,0),ROUND(-PMT(E110/12,入力!$B$19,C110),0)),IF(OR(AND(入力!$B$13="有効",A110&gt;1,MOD(A110-1,60)=0),AND(A110=入力!$B$11,A110&gt;1)),IF(入力!$B$14="有効",MIN(IF(E110=0,ROUND(C110/MAX(1,S109-A110+1),0),ROUND(-PMT(E110/12,MAX(1,S109-A110+1),C110),0)),ROUND(G109*1.25,0)),IF(E110=0,ROUND(C110/MAX(1,S109-A110+1),0),ROUND(-PMT(E110/12,MAX(1,S109-A110+1),C110),0))),G109)),0)</f>
        <v>117478</v>
      </c>
    </row>
    <row r="111" spans="1:27">
      <c r="A111" s="30">
        <f>106</f>
        <v>106</v>
      </c>
      <c r="B111" s="31">
        <f>EDATE(入力!$B$6,A111-1)</f>
        <v>49430</v>
      </c>
      <c r="C111" s="32">
        <f t="shared" si="21"/>
        <v>27968394</v>
      </c>
      <c r="D111" s="32">
        <f t="shared" si="22"/>
        <v>0</v>
      </c>
      <c r="E111" s="33">
        <f>IF(AND(T110="",A111&lt;=S110),IF(A111&lt;入力!$B$11,入力!$B$10,入力!$B$12),0)</f>
        <v>2.5000000000000001E-2</v>
      </c>
      <c r="F111" s="32">
        <f t="shared" si="23"/>
        <v>58267</v>
      </c>
      <c r="G111" s="32">
        <f>ROUND(IF(NOT(AND(T110="",A111&lt;=S110)),0,IF(A111=入力!$B$15+1,IF(E111=0,ROUND(C111/入力!$B$19,0),ROUND(-PMT(E111/12,入力!$B$19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),0)</f>
        <v>117478</v>
      </c>
      <c r="H111" s="32">
        <f t="shared" si="24"/>
        <v>117478</v>
      </c>
      <c r="I111" s="32">
        <f t="shared" si="25"/>
        <v>58267</v>
      </c>
      <c r="J111" s="32">
        <f t="shared" si="26"/>
        <v>0</v>
      </c>
      <c r="K111" s="32">
        <f t="shared" si="27"/>
        <v>0</v>
      </c>
      <c r="L111" s="32">
        <f t="shared" si="28"/>
        <v>59211</v>
      </c>
      <c r="M111" s="32">
        <f>IF(AND(AND(T110="",A111&lt;=S110),A111=入力!$B$15),ROUND(MIN(入力!$B$16,MAX(0,C111-L111)),0),0)</f>
        <v>0</v>
      </c>
      <c r="N111" s="32">
        <f t="shared" si="29"/>
        <v>27909183</v>
      </c>
      <c r="O111" s="32">
        <f t="shared" si="30"/>
        <v>3952091</v>
      </c>
      <c r="P111" s="34" t="str">
        <f>IF(NOT(AND(T110="",A111&lt;=S110)),"",IF(A111=入力!$B$15+1,"繰上返済後再計算","")&amp;IF(AND(入力!$B$13="有効",A111&gt;1,MOD(A111-1,60)=0),IF(A111=入力!$B$15+1,"・","")&amp;"5年見直し","")&amp;IF(AND(A111=入力!$B$11,A111&gt;1),IF(OR(A111=入力!$B$15+1,AND(入力!$B$13="有効",A111&gt;1,MOD(A111-1,60)=0)),"・","")&amp;"金利変更","")&amp;IF(AND(OR(AND(入力!$B$13="有効",A111&gt;1,MOD(A111-1,60)=0),AND(A111=入力!$B$11,A111&gt;1)),入力!$B$14="有効",IF(E111=0,ROUND(C111/MAX(1,S110-A111+1),0),ROUND(-PMT(E111/12,MAX(1,S110-A111+1),C111),0))&gt;ROUND(G110*1.25,0),NOT(A111=入力!$B$15+1)),"・上限適用",""))</f>
        <v/>
      </c>
      <c r="Q111" s="35" t="str">
        <f>IF(AND(T110="",A111&lt;=S110),入力!$B$13,"")</f>
        <v>有効</v>
      </c>
      <c r="R111" s="32" t="str">
        <f>IF(AND(AND(T110="",A111&lt;=S110),OR(AND(入力!$B$13="有効",A111&gt;1,MOD(A111-1,60)=0),AND(A111=入力!$B$11,A111&gt;1)),入力!$B$14="有効"),ROUND(G110*1.25,0),"")</f>
        <v/>
      </c>
      <c r="S111" s="36">
        <f>IF(A111=入力!$B$15,A111+入力!$B$19,S110)</f>
        <v>420</v>
      </c>
      <c r="T111" s="35" t="str">
        <f t="shared" si="31"/>
        <v/>
      </c>
      <c r="U111" s="3">
        <f t="shared" si="16"/>
        <v>0</v>
      </c>
      <c r="V111" s="3">
        <f t="shared" si="17"/>
        <v>0</v>
      </c>
      <c r="W111" s="3">
        <f t="shared" si="18"/>
        <v>0</v>
      </c>
      <c r="X111" s="3">
        <f t="shared" si="19"/>
        <v>0</v>
      </c>
      <c r="Y111" s="3">
        <f>IF(A111&lt;入力!$B$15,ABS(G111-何もしない_月次!G111),0)</f>
        <v>0</v>
      </c>
      <c r="Z111" s="3">
        <f t="shared" si="20"/>
        <v>0</v>
      </c>
      <c r="AA111">
        <f>ROUND(IF(A111=入力!$B$15+1,IF(E111=0,ROUND(C111/入力!$B$19,0),ROUND(-PMT(E111/12,入力!$B$19,C111),0)),IF(OR(AND(入力!$B$13="有効",A111&gt;1,MOD(A111-1,60)=0),AND(A111=入力!$B$11,A111&gt;1)),IF(入力!$B$14="有効",MIN(IF(E111=0,ROUND(C111/MAX(1,S110-A111+1),0),ROUND(-PMT(E111/12,MAX(1,S110-A111+1),C111),0)),ROUND(G110*1.25,0)),IF(E111=0,ROUND(C111/MAX(1,S110-A111+1),0),ROUND(-PMT(E111/12,MAX(1,S110-A111+1),C111),0))),G110)),0)</f>
        <v>117478</v>
      </c>
    </row>
    <row r="112" spans="1:27">
      <c r="A112" s="30">
        <f>107</f>
        <v>107</v>
      </c>
      <c r="B112" s="31">
        <f>EDATE(入力!$B$6,A112-1)</f>
        <v>49461</v>
      </c>
      <c r="C112" s="32">
        <f t="shared" si="21"/>
        <v>27909183</v>
      </c>
      <c r="D112" s="32">
        <f t="shared" si="22"/>
        <v>0</v>
      </c>
      <c r="E112" s="33">
        <f>IF(AND(T111="",A112&lt;=S111),IF(A112&lt;入力!$B$11,入力!$B$10,入力!$B$12),0)</f>
        <v>2.5000000000000001E-2</v>
      </c>
      <c r="F112" s="32">
        <f t="shared" si="23"/>
        <v>58144</v>
      </c>
      <c r="G112" s="32">
        <f>ROUND(IF(NOT(AND(T111="",A112&lt;=S111)),0,IF(A112=入力!$B$15+1,IF(E112=0,ROUND(C112/入力!$B$19,0),ROUND(-PMT(E112/12,入力!$B$19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),0)</f>
        <v>117478</v>
      </c>
      <c r="H112" s="32">
        <f t="shared" si="24"/>
        <v>117478</v>
      </c>
      <c r="I112" s="32">
        <f t="shared" si="25"/>
        <v>58144</v>
      </c>
      <c r="J112" s="32">
        <f t="shared" si="26"/>
        <v>0</v>
      </c>
      <c r="K112" s="32">
        <f t="shared" si="27"/>
        <v>0</v>
      </c>
      <c r="L112" s="32">
        <f t="shared" si="28"/>
        <v>59334</v>
      </c>
      <c r="M112" s="32">
        <f>IF(AND(AND(T111="",A112&lt;=S111),A112=入力!$B$15),ROUND(MIN(入力!$B$16,MAX(0,C112-L112)),0),0)</f>
        <v>0</v>
      </c>
      <c r="N112" s="32">
        <f t="shared" si="29"/>
        <v>27849849</v>
      </c>
      <c r="O112" s="32">
        <f t="shared" si="30"/>
        <v>4010235</v>
      </c>
      <c r="P112" s="34" t="str">
        <f>IF(NOT(AND(T111="",A112&lt;=S111)),"",IF(A112=入力!$B$15+1,"繰上返済後再計算","")&amp;IF(AND(入力!$B$13="有効",A112&gt;1,MOD(A112-1,60)=0),IF(A112=入力!$B$15+1,"・","")&amp;"5年見直し","")&amp;IF(AND(A112=入力!$B$11,A112&gt;1),IF(OR(A112=入力!$B$15+1,AND(入力!$B$13="有効",A112&gt;1,MOD(A112-1,60)=0)),"・","")&amp;"金利変更","")&amp;IF(AND(OR(AND(入力!$B$13="有効",A112&gt;1,MOD(A112-1,60)=0),AND(A112=入力!$B$11,A112&gt;1)),入力!$B$14="有効",IF(E112=0,ROUND(C112/MAX(1,S111-A112+1),0),ROUND(-PMT(E112/12,MAX(1,S111-A112+1),C112),0))&gt;ROUND(G111*1.25,0),NOT(A112=入力!$B$15+1)),"・上限適用",""))</f>
        <v/>
      </c>
      <c r="Q112" s="35" t="str">
        <f>IF(AND(T111="",A112&lt;=S111),入力!$B$13,"")</f>
        <v>有効</v>
      </c>
      <c r="R112" s="32" t="str">
        <f>IF(AND(AND(T111="",A112&lt;=S111),OR(AND(入力!$B$13="有効",A112&gt;1,MOD(A112-1,60)=0),AND(A112=入力!$B$11,A112&gt;1)),入力!$B$14="有効"),ROUND(G111*1.25,0),"")</f>
        <v/>
      </c>
      <c r="S112" s="36">
        <f>IF(A112=入力!$B$15,A112+入力!$B$19,S111)</f>
        <v>420</v>
      </c>
      <c r="T112" s="35" t="str">
        <f t="shared" si="31"/>
        <v/>
      </c>
      <c r="U112" s="3">
        <f t="shared" si="16"/>
        <v>0</v>
      </c>
      <c r="V112" s="3">
        <f t="shared" si="17"/>
        <v>0</v>
      </c>
      <c r="W112" s="3">
        <f t="shared" si="18"/>
        <v>0</v>
      </c>
      <c r="X112" s="3">
        <f t="shared" si="19"/>
        <v>0</v>
      </c>
      <c r="Y112" s="3">
        <f>IF(A112&lt;入力!$B$15,ABS(G112-何もしない_月次!G112),0)</f>
        <v>0</v>
      </c>
      <c r="Z112" s="3">
        <f t="shared" si="20"/>
        <v>0</v>
      </c>
      <c r="AA112">
        <f>ROUND(IF(A112=入力!$B$15+1,IF(E112=0,ROUND(C112/入力!$B$19,0),ROUND(-PMT(E112/12,入力!$B$19,C112),0)),IF(OR(AND(入力!$B$13="有効",A112&gt;1,MOD(A112-1,60)=0),AND(A112=入力!$B$11,A112&gt;1)),IF(入力!$B$14="有効",MIN(IF(E112=0,ROUND(C112/MAX(1,S111-A112+1),0),ROUND(-PMT(E112/12,MAX(1,S111-A112+1),C112),0)),ROUND(G111*1.25,0)),IF(E112=0,ROUND(C112/MAX(1,S111-A112+1),0),ROUND(-PMT(E112/12,MAX(1,S111-A112+1),C112),0))),G111)),0)</f>
        <v>117478</v>
      </c>
    </row>
    <row r="113" spans="1:27">
      <c r="A113" s="30">
        <f>108</f>
        <v>108</v>
      </c>
      <c r="B113" s="31">
        <f>EDATE(入力!$B$6,A113-1)</f>
        <v>49491</v>
      </c>
      <c r="C113" s="32">
        <f t="shared" si="21"/>
        <v>27849849</v>
      </c>
      <c r="D113" s="32">
        <f t="shared" si="22"/>
        <v>0</v>
      </c>
      <c r="E113" s="33">
        <f>IF(AND(T112="",A113&lt;=S112),IF(A113&lt;入力!$B$11,入力!$B$10,入力!$B$12),0)</f>
        <v>2.5000000000000001E-2</v>
      </c>
      <c r="F113" s="32">
        <f t="shared" si="23"/>
        <v>58021</v>
      </c>
      <c r="G113" s="32">
        <f>ROUND(IF(NOT(AND(T112="",A113&lt;=S112)),0,IF(A113=入力!$B$15+1,IF(E113=0,ROUND(C113/入力!$B$19,0),ROUND(-PMT(E113/12,入力!$B$19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),0)</f>
        <v>117478</v>
      </c>
      <c r="H113" s="32">
        <f t="shared" si="24"/>
        <v>117478</v>
      </c>
      <c r="I113" s="32">
        <f t="shared" si="25"/>
        <v>58021</v>
      </c>
      <c r="J113" s="32">
        <f t="shared" si="26"/>
        <v>0</v>
      </c>
      <c r="K113" s="32">
        <f t="shared" si="27"/>
        <v>0</v>
      </c>
      <c r="L113" s="32">
        <f t="shared" si="28"/>
        <v>59457</v>
      </c>
      <c r="M113" s="32">
        <f>IF(AND(AND(T112="",A113&lt;=S112),A113=入力!$B$15),ROUND(MIN(入力!$B$16,MAX(0,C113-L113)),0),0)</f>
        <v>0</v>
      </c>
      <c r="N113" s="32">
        <f t="shared" si="29"/>
        <v>27790392</v>
      </c>
      <c r="O113" s="32">
        <f t="shared" si="30"/>
        <v>4068256</v>
      </c>
      <c r="P113" s="34" t="str">
        <f>IF(NOT(AND(T112="",A113&lt;=S112)),"",IF(A113=入力!$B$15+1,"繰上返済後再計算","")&amp;IF(AND(入力!$B$13="有効",A113&gt;1,MOD(A113-1,60)=0),IF(A113=入力!$B$15+1,"・","")&amp;"5年見直し","")&amp;IF(AND(A113=入力!$B$11,A113&gt;1),IF(OR(A113=入力!$B$15+1,AND(入力!$B$13="有効",A113&gt;1,MOD(A113-1,60)=0)),"・","")&amp;"金利変更","")&amp;IF(AND(OR(AND(入力!$B$13="有効",A113&gt;1,MOD(A113-1,60)=0),AND(A113=入力!$B$11,A113&gt;1)),入力!$B$14="有効",IF(E113=0,ROUND(C113/MAX(1,S112-A113+1),0),ROUND(-PMT(E113/12,MAX(1,S112-A113+1),C113),0))&gt;ROUND(G112*1.25,0),NOT(A113=入力!$B$15+1)),"・上限適用",""))</f>
        <v/>
      </c>
      <c r="Q113" s="35" t="str">
        <f>IF(AND(T112="",A113&lt;=S112),入力!$B$13,"")</f>
        <v>有効</v>
      </c>
      <c r="R113" s="32" t="str">
        <f>IF(AND(AND(T112="",A113&lt;=S112),OR(AND(入力!$B$13="有効",A113&gt;1,MOD(A113-1,60)=0),AND(A113=入力!$B$11,A113&gt;1)),入力!$B$14="有効"),ROUND(G112*1.25,0),"")</f>
        <v/>
      </c>
      <c r="S113" s="36">
        <f>IF(A113=入力!$B$15,A113+入力!$B$19,S112)</f>
        <v>420</v>
      </c>
      <c r="T113" s="35" t="str">
        <f t="shared" si="31"/>
        <v/>
      </c>
      <c r="U113" s="3">
        <f t="shared" si="16"/>
        <v>0</v>
      </c>
      <c r="V113" s="3">
        <f t="shared" si="17"/>
        <v>0</v>
      </c>
      <c r="W113" s="3">
        <f t="shared" si="18"/>
        <v>0</v>
      </c>
      <c r="X113" s="3">
        <f t="shared" si="19"/>
        <v>0</v>
      </c>
      <c r="Y113" s="3">
        <f>IF(A113&lt;入力!$B$15,ABS(G113-何もしない_月次!G113),0)</f>
        <v>0</v>
      </c>
      <c r="Z113" s="3">
        <f t="shared" si="20"/>
        <v>0</v>
      </c>
      <c r="AA113">
        <f>ROUND(IF(A113=入力!$B$15+1,IF(E113=0,ROUND(C113/入力!$B$19,0),ROUND(-PMT(E113/12,入力!$B$19,C113),0)),IF(OR(AND(入力!$B$13="有効",A113&gt;1,MOD(A113-1,60)=0),AND(A113=入力!$B$11,A113&gt;1)),IF(入力!$B$14="有効",MIN(IF(E113=0,ROUND(C113/MAX(1,S112-A113+1),0),ROUND(-PMT(E113/12,MAX(1,S112-A113+1),C113),0)),ROUND(G112*1.25,0)),IF(E113=0,ROUND(C113/MAX(1,S112-A113+1),0),ROUND(-PMT(E113/12,MAX(1,S112-A113+1),C113),0))),G112)),0)</f>
        <v>117478</v>
      </c>
    </row>
    <row r="114" spans="1:27">
      <c r="A114" s="30">
        <f>109</f>
        <v>109</v>
      </c>
      <c r="B114" s="31">
        <f>EDATE(入力!$B$6,A114-1)</f>
        <v>49522</v>
      </c>
      <c r="C114" s="32">
        <f t="shared" si="21"/>
        <v>27790392</v>
      </c>
      <c r="D114" s="32">
        <f t="shared" si="22"/>
        <v>0</v>
      </c>
      <c r="E114" s="33">
        <f>IF(AND(T113="",A114&lt;=S113),IF(A114&lt;入力!$B$11,入力!$B$10,入力!$B$12),0)</f>
        <v>2.5000000000000001E-2</v>
      </c>
      <c r="F114" s="32">
        <f t="shared" si="23"/>
        <v>57897</v>
      </c>
      <c r="G114" s="32">
        <f>ROUND(IF(NOT(AND(T113="",A114&lt;=S113)),0,IF(A114=入力!$B$15+1,IF(E114=0,ROUND(C114/入力!$B$19,0),ROUND(-PMT(E114/12,入力!$B$19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),0)</f>
        <v>117478</v>
      </c>
      <c r="H114" s="32">
        <f t="shared" si="24"/>
        <v>117478</v>
      </c>
      <c r="I114" s="32">
        <f t="shared" si="25"/>
        <v>57897</v>
      </c>
      <c r="J114" s="32">
        <f t="shared" si="26"/>
        <v>0</v>
      </c>
      <c r="K114" s="32">
        <f t="shared" si="27"/>
        <v>0</v>
      </c>
      <c r="L114" s="32">
        <f t="shared" si="28"/>
        <v>59581</v>
      </c>
      <c r="M114" s="32">
        <f>IF(AND(AND(T113="",A114&lt;=S113),A114=入力!$B$15),ROUND(MIN(入力!$B$16,MAX(0,C114-L114)),0),0)</f>
        <v>0</v>
      </c>
      <c r="N114" s="32">
        <f t="shared" si="29"/>
        <v>27730811</v>
      </c>
      <c r="O114" s="32">
        <f t="shared" si="30"/>
        <v>4126153</v>
      </c>
      <c r="P114" s="34" t="str">
        <f>IF(NOT(AND(T113="",A114&lt;=S113)),"",IF(A114=入力!$B$15+1,"繰上返済後再計算","")&amp;IF(AND(入力!$B$13="有効",A114&gt;1,MOD(A114-1,60)=0),IF(A114=入力!$B$15+1,"・","")&amp;"5年見直し","")&amp;IF(AND(A114=入力!$B$11,A114&gt;1),IF(OR(A114=入力!$B$15+1,AND(入力!$B$13="有効",A114&gt;1,MOD(A114-1,60)=0)),"・","")&amp;"金利変更","")&amp;IF(AND(OR(AND(入力!$B$13="有効",A114&gt;1,MOD(A114-1,60)=0),AND(A114=入力!$B$11,A114&gt;1)),入力!$B$14="有効",IF(E114=0,ROUND(C114/MAX(1,S113-A114+1),0),ROUND(-PMT(E114/12,MAX(1,S113-A114+1),C114),0))&gt;ROUND(G113*1.25,0),NOT(A114=入力!$B$15+1)),"・上限適用",""))</f>
        <v/>
      </c>
      <c r="Q114" s="35" t="str">
        <f>IF(AND(T113="",A114&lt;=S113),入力!$B$13,"")</f>
        <v>有効</v>
      </c>
      <c r="R114" s="32" t="str">
        <f>IF(AND(AND(T113="",A114&lt;=S113),OR(AND(入力!$B$13="有効",A114&gt;1,MOD(A114-1,60)=0),AND(A114=入力!$B$11,A114&gt;1)),入力!$B$14="有効"),ROUND(G113*1.25,0),"")</f>
        <v/>
      </c>
      <c r="S114" s="36">
        <f>IF(A114=入力!$B$15,A114+入力!$B$19,S113)</f>
        <v>420</v>
      </c>
      <c r="T114" s="35" t="str">
        <f t="shared" si="31"/>
        <v/>
      </c>
      <c r="U114" s="3">
        <f t="shared" si="16"/>
        <v>0</v>
      </c>
      <c r="V114" s="3">
        <f t="shared" si="17"/>
        <v>0</v>
      </c>
      <c r="W114" s="3">
        <f t="shared" si="18"/>
        <v>0</v>
      </c>
      <c r="X114" s="3">
        <f t="shared" si="19"/>
        <v>0</v>
      </c>
      <c r="Y114" s="3">
        <f>IF(A114&lt;入力!$B$15,ABS(G114-何もしない_月次!G114),0)</f>
        <v>0</v>
      </c>
      <c r="Z114" s="3">
        <f t="shared" si="20"/>
        <v>0</v>
      </c>
      <c r="AA114">
        <f>ROUND(IF(A114=入力!$B$15+1,IF(E114=0,ROUND(C114/入力!$B$19,0),ROUND(-PMT(E114/12,入力!$B$19,C114),0)),IF(OR(AND(入力!$B$13="有効",A114&gt;1,MOD(A114-1,60)=0),AND(A114=入力!$B$11,A114&gt;1)),IF(入力!$B$14="有効",MIN(IF(E114=0,ROUND(C114/MAX(1,S113-A114+1),0),ROUND(-PMT(E114/12,MAX(1,S113-A114+1),C114),0)),ROUND(G113*1.25,0)),IF(E114=0,ROUND(C114/MAX(1,S113-A114+1),0),ROUND(-PMT(E114/12,MAX(1,S113-A114+1),C114),0))),G113)),0)</f>
        <v>117478</v>
      </c>
    </row>
    <row r="115" spans="1:27">
      <c r="A115" s="30">
        <f>110</f>
        <v>110</v>
      </c>
      <c r="B115" s="31">
        <f>EDATE(入力!$B$6,A115-1)</f>
        <v>49553</v>
      </c>
      <c r="C115" s="32">
        <f t="shared" si="21"/>
        <v>27730811</v>
      </c>
      <c r="D115" s="32">
        <f t="shared" si="22"/>
        <v>0</v>
      </c>
      <c r="E115" s="33">
        <f>IF(AND(T114="",A115&lt;=S114),IF(A115&lt;入力!$B$11,入力!$B$10,入力!$B$12),0)</f>
        <v>2.5000000000000001E-2</v>
      </c>
      <c r="F115" s="32">
        <f t="shared" si="23"/>
        <v>57773</v>
      </c>
      <c r="G115" s="32">
        <f>ROUND(IF(NOT(AND(T114="",A115&lt;=S114)),0,IF(A115=入力!$B$15+1,IF(E115=0,ROUND(C115/入力!$B$19,0),ROUND(-PMT(E115/12,入力!$B$19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),0)</f>
        <v>117478</v>
      </c>
      <c r="H115" s="32">
        <f t="shared" si="24"/>
        <v>117478</v>
      </c>
      <c r="I115" s="32">
        <f t="shared" si="25"/>
        <v>57773</v>
      </c>
      <c r="J115" s="32">
        <f t="shared" si="26"/>
        <v>0</v>
      </c>
      <c r="K115" s="32">
        <f t="shared" si="27"/>
        <v>0</v>
      </c>
      <c r="L115" s="32">
        <f t="shared" si="28"/>
        <v>59705</v>
      </c>
      <c r="M115" s="32">
        <f>IF(AND(AND(T114="",A115&lt;=S114),A115=入力!$B$15),ROUND(MIN(入力!$B$16,MAX(0,C115-L115)),0),0)</f>
        <v>0</v>
      </c>
      <c r="N115" s="32">
        <f t="shared" si="29"/>
        <v>27671106</v>
      </c>
      <c r="O115" s="32">
        <f t="shared" si="30"/>
        <v>4183926</v>
      </c>
      <c r="P115" s="34" t="str">
        <f>IF(NOT(AND(T114="",A115&lt;=S114)),"",IF(A115=入力!$B$15+1,"繰上返済後再計算","")&amp;IF(AND(入力!$B$13="有効",A115&gt;1,MOD(A115-1,60)=0),IF(A115=入力!$B$15+1,"・","")&amp;"5年見直し","")&amp;IF(AND(A115=入力!$B$11,A115&gt;1),IF(OR(A115=入力!$B$15+1,AND(入力!$B$13="有効",A115&gt;1,MOD(A115-1,60)=0)),"・","")&amp;"金利変更","")&amp;IF(AND(OR(AND(入力!$B$13="有効",A115&gt;1,MOD(A115-1,60)=0),AND(A115=入力!$B$11,A115&gt;1)),入力!$B$14="有効",IF(E115=0,ROUND(C115/MAX(1,S114-A115+1),0),ROUND(-PMT(E115/12,MAX(1,S114-A115+1),C115),0))&gt;ROUND(G114*1.25,0),NOT(A115=入力!$B$15+1)),"・上限適用",""))</f>
        <v/>
      </c>
      <c r="Q115" s="35" t="str">
        <f>IF(AND(T114="",A115&lt;=S114),入力!$B$13,"")</f>
        <v>有効</v>
      </c>
      <c r="R115" s="32" t="str">
        <f>IF(AND(AND(T114="",A115&lt;=S114),OR(AND(入力!$B$13="有効",A115&gt;1,MOD(A115-1,60)=0),AND(A115=入力!$B$11,A115&gt;1)),入力!$B$14="有効"),ROUND(G114*1.25,0),"")</f>
        <v/>
      </c>
      <c r="S115" s="36">
        <f>IF(A115=入力!$B$15,A115+入力!$B$19,S114)</f>
        <v>420</v>
      </c>
      <c r="T115" s="35" t="str">
        <f t="shared" si="31"/>
        <v/>
      </c>
      <c r="U115" s="3">
        <f t="shared" si="16"/>
        <v>0</v>
      </c>
      <c r="V115" s="3">
        <f t="shared" si="17"/>
        <v>0</v>
      </c>
      <c r="W115" s="3">
        <f t="shared" si="18"/>
        <v>0</v>
      </c>
      <c r="X115" s="3">
        <f t="shared" si="19"/>
        <v>0</v>
      </c>
      <c r="Y115" s="3">
        <f>IF(A115&lt;入力!$B$15,ABS(G115-何もしない_月次!G115),0)</f>
        <v>0</v>
      </c>
      <c r="Z115" s="3">
        <f t="shared" si="20"/>
        <v>0</v>
      </c>
      <c r="AA115">
        <f>ROUND(IF(A115=入力!$B$15+1,IF(E115=0,ROUND(C115/入力!$B$19,0),ROUND(-PMT(E115/12,入力!$B$19,C115),0)),IF(OR(AND(入力!$B$13="有効",A115&gt;1,MOD(A115-1,60)=0),AND(A115=入力!$B$11,A115&gt;1)),IF(入力!$B$14="有効",MIN(IF(E115=0,ROUND(C115/MAX(1,S114-A115+1),0),ROUND(-PMT(E115/12,MAX(1,S114-A115+1),C115),0)),ROUND(G114*1.25,0)),IF(E115=0,ROUND(C115/MAX(1,S114-A115+1),0),ROUND(-PMT(E115/12,MAX(1,S114-A115+1),C115),0))),G114)),0)</f>
        <v>117478</v>
      </c>
    </row>
    <row r="116" spans="1:27">
      <c r="A116" s="30">
        <f>111</f>
        <v>111</v>
      </c>
      <c r="B116" s="31">
        <f>EDATE(入力!$B$6,A116-1)</f>
        <v>49583</v>
      </c>
      <c r="C116" s="32">
        <f t="shared" si="21"/>
        <v>27671106</v>
      </c>
      <c r="D116" s="32">
        <f t="shared" si="22"/>
        <v>0</v>
      </c>
      <c r="E116" s="33">
        <f>IF(AND(T115="",A116&lt;=S115),IF(A116&lt;入力!$B$11,入力!$B$10,入力!$B$12),0)</f>
        <v>2.5000000000000001E-2</v>
      </c>
      <c r="F116" s="32">
        <f t="shared" si="23"/>
        <v>57648</v>
      </c>
      <c r="G116" s="32">
        <f>ROUND(IF(NOT(AND(T115="",A116&lt;=S115)),0,IF(A116=入力!$B$15+1,IF(E116=0,ROUND(C116/入力!$B$19,0),ROUND(-PMT(E116/12,入力!$B$19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),0)</f>
        <v>117478</v>
      </c>
      <c r="H116" s="32">
        <f t="shared" si="24"/>
        <v>117478</v>
      </c>
      <c r="I116" s="32">
        <f t="shared" si="25"/>
        <v>57648</v>
      </c>
      <c r="J116" s="32">
        <f t="shared" si="26"/>
        <v>0</v>
      </c>
      <c r="K116" s="32">
        <f t="shared" si="27"/>
        <v>0</v>
      </c>
      <c r="L116" s="32">
        <f t="shared" si="28"/>
        <v>59830</v>
      </c>
      <c r="M116" s="32">
        <f>IF(AND(AND(T115="",A116&lt;=S115),A116=入力!$B$15),ROUND(MIN(入力!$B$16,MAX(0,C116-L116)),0),0)</f>
        <v>0</v>
      </c>
      <c r="N116" s="32">
        <f t="shared" si="29"/>
        <v>27611276</v>
      </c>
      <c r="O116" s="32">
        <f t="shared" si="30"/>
        <v>4241574</v>
      </c>
      <c r="P116" s="34" t="str">
        <f>IF(NOT(AND(T115="",A116&lt;=S115)),"",IF(A116=入力!$B$15+1,"繰上返済後再計算","")&amp;IF(AND(入力!$B$13="有効",A116&gt;1,MOD(A116-1,60)=0),IF(A116=入力!$B$15+1,"・","")&amp;"5年見直し","")&amp;IF(AND(A116=入力!$B$11,A116&gt;1),IF(OR(A116=入力!$B$15+1,AND(入力!$B$13="有効",A116&gt;1,MOD(A116-1,60)=0)),"・","")&amp;"金利変更","")&amp;IF(AND(OR(AND(入力!$B$13="有効",A116&gt;1,MOD(A116-1,60)=0),AND(A116=入力!$B$11,A116&gt;1)),入力!$B$14="有効",IF(E116=0,ROUND(C116/MAX(1,S115-A116+1),0),ROUND(-PMT(E116/12,MAX(1,S115-A116+1),C116),0))&gt;ROUND(G115*1.25,0),NOT(A116=入力!$B$15+1)),"・上限適用",""))</f>
        <v/>
      </c>
      <c r="Q116" s="35" t="str">
        <f>IF(AND(T115="",A116&lt;=S115),入力!$B$13,"")</f>
        <v>有効</v>
      </c>
      <c r="R116" s="32" t="str">
        <f>IF(AND(AND(T115="",A116&lt;=S115),OR(AND(入力!$B$13="有効",A116&gt;1,MOD(A116-1,60)=0),AND(A116=入力!$B$11,A116&gt;1)),入力!$B$14="有効"),ROUND(G115*1.25,0),"")</f>
        <v/>
      </c>
      <c r="S116" s="36">
        <f>IF(A116=入力!$B$15,A116+入力!$B$19,S115)</f>
        <v>420</v>
      </c>
      <c r="T116" s="35" t="str">
        <f t="shared" si="31"/>
        <v/>
      </c>
      <c r="U116" s="3">
        <f t="shared" si="16"/>
        <v>0</v>
      </c>
      <c r="V116" s="3">
        <f t="shared" si="17"/>
        <v>0</v>
      </c>
      <c r="W116" s="3">
        <f t="shared" si="18"/>
        <v>0</v>
      </c>
      <c r="X116" s="3">
        <f t="shared" si="19"/>
        <v>0</v>
      </c>
      <c r="Y116" s="3">
        <f>IF(A116&lt;入力!$B$15,ABS(G116-何もしない_月次!G116),0)</f>
        <v>0</v>
      </c>
      <c r="Z116" s="3">
        <f t="shared" si="20"/>
        <v>0</v>
      </c>
      <c r="AA116">
        <f>ROUND(IF(A116=入力!$B$15+1,IF(E116=0,ROUND(C116/入力!$B$19,0),ROUND(-PMT(E116/12,入力!$B$19,C116),0)),IF(OR(AND(入力!$B$13="有効",A116&gt;1,MOD(A116-1,60)=0),AND(A116=入力!$B$11,A116&gt;1)),IF(入力!$B$14="有効",MIN(IF(E116=0,ROUND(C116/MAX(1,S115-A116+1),0),ROUND(-PMT(E116/12,MAX(1,S115-A116+1),C116),0)),ROUND(G115*1.25,0)),IF(E116=0,ROUND(C116/MAX(1,S115-A116+1),0),ROUND(-PMT(E116/12,MAX(1,S115-A116+1),C116),0))),G115)),0)</f>
        <v>117478</v>
      </c>
    </row>
    <row r="117" spans="1:27">
      <c r="A117" s="30">
        <f>112</f>
        <v>112</v>
      </c>
      <c r="B117" s="31">
        <f>EDATE(入力!$B$6,A117-1)</f>
        <v>49614</v>
      </c>
      <c r="C117" s="32">
        <f t="shared" si="21"/>
        <v>27611276</v>
      </c>
      <c r="D117" s="32">
        <f t="shared" si="22"/>
        <v>0</v>
      </c>
      <c r="E117" s="33">
        <f>IF(AND(T116="",A117&lt;=S116),IF(A117&lt;入力!$B$11,入力!$B$10,入力!$B$12),0)</f>
        <v>2.5000000000000001E-2</v>
      </c>
      <c r="F117" s="32">
        <f t="shared" si="23"/>
        <v>57523</v>
      </c>
      <c r="G117" s="32">
        <f>ROUND(IF(NOT(AND(T116="",A117&lt;=S116)),0,IF(A117=入力!$B$15+1,IF(E117=0,ROUND(C117/入力!$B$19,0),ROUND(-PMT(E117/12,入力!$B$19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),0)</f>
        <v>117478</v>
      </c>
      <c r="H117" s="32">
        <f t="shared" si="24"/>
        <v>117478</v>
      </c>
      <c r="I117" s="32">
        <f t="shared" si="25"/>
        <v>57523</v>
      </c>
      <c r="J117" s="32">
        <f t="shared" si="26"/>
        <v>0</v>
      </c>
      <c r="K117" s="32">
        <f t="shared" si="27"/>
        <v>0</v>
      </c>
      <c r="L117" s="32">
        <f t="shared" si="28"/>
        <v>59955</v>
      </c>
      <c r="M117" s="32">
        <f>IF(AND(AND(T116="",A117&lt;=S116),A117=入力!$B$15),ROUND(MIN(入力!$B$16,MAX(0,C117-L117)),0),0)</f>
        <v>0</v>
      </c>
      <c r="N117" s="32">
        <f t="shared" si="29"/>
        <v>27551321</v>
      </c>
      <c r="O117" s="32">
        <f t="shared" si="30"/>
        <v>4299097</v>
      </c>
      <c r="P117" s="34" t="str">
        <f>IF(NOT(AND(T116="",A117&lt;=S116)),"",IF(A117=入力!$B$15+1,"繰上返済後再計算","")&amp;IF(AND(入力!$B$13="有効",A117&gt;1,MOD(A117-1,60)=0),IF(A117=入力!$B$15+1,"・","")&amp;"5年見直し","")&amp;IF(AND(A117=入力!$B$11,A117&gt;1),IF(OR(A117=入力!$B$15+1,AND(入力!$B$13="有効",A117&gt;1,MOD(A117-1,60)=0)),"・","")&amp;"金利変更","")&amp;IF(AND(OR(AND(入力!$B$13="有効",A117&gt;1,MOD(A117-1,60)=0),AND(A117=入力!$B$11,A117&gt;1)),入力!$B$14="有効",IF(E117=0,ROUND(C117/MAX(1,S116-A117+1),0),ROUND(-PMT(E117/12,MAX(1,S116-A117+1),C117),0))&gt;ROUND(G116*1.25,0),NOT(A117=入力!$B$15+1)),"・上限適用",""))</f>
        <v/>
      </c>
      <c r="Q117" s="35" t="str">
        <f>IF(AND(T116="",A117&lt;=S116),入力!$B$13,"")</f>
        <v>有効</v>
      </c>
      <c r="R117" s="32" t="str">
        <f>IF(AND(AND(T116="",A117&lt;=S116),OR(AND(入力!$B$13="有効",A117&gt;1,MOD(A117-1,60)=0),AND(A117=入力!$B$11,A117&gt;1)),入力!$B$14="有効"),ROUND(G116*1.25,0),"")</f>
        <v/>
      </c>
      <c r="S117" s="36">
        <f>IF(A117=入力!$B$15,A117+入力!$B$19,S116)</f>
        <v>420</v>
      </c>
      <c r="T117" s="35" t="str">
        <f t="shared" si="31"/>
        <v/>
      </c>
      <c r="U117" s="3">
        <f t="shared" si="16"/>
        <v>0</v>
      </c>
      <c r="V117" s="3">
        <f t="shared" si="17"/>
        <v>0</v>
      </c>
      <c r="W117" s="3">
        <f t="shared" si="18"/>
        <v>0</v>
      </c>
      <c r="X117" s="3">
        <f t="shared" si="19"/>
        <v>0</v>
      </c>
      <c r="Y117" s="3">
        <f>IF(A117&lt;入力!$B$15,ABS(G117-何もしない_月次!G117),0)</f>
        <v>0</v>
      </c>
      <c r="Z117" s="3">
        <f t="shared" si="20"/>
        <v>0</v>
      </c>
      <c r="AA117">
        <f>ROUND(IF(A117=入力!$B$15+1,IF(E117=0,ROUND(C117/入力!$B$19,0),ROUND(-PMT(E117/12,入力!$B$19,C117),0)),IF(OR(AND(入力!$B$13="有効",A117&gt;1,MOD(A117-1,60)=0),AND(A117=入力!$B$11,A117&gt;1)),IF(入力!$B$14="有効",MIN(IF(E117=0,ROUND(C117/MAX(1,S116-A117+1),0),ROUND(-PMT(E117/12,MAX(1,S116-A117+1),C117),0)),ROUND(G116*1.25,0)),IF(E117=0,ROUND(C117/MAX(1,S116-A117+1),0),ROUND(-PMT(E117/12,MAX(1,S116-A117+1),C117),0))),G116)),0)</f>
        <v>117478</v>
      </c>
    </row>
    <row r="118" spans="1:27">
      <c r="A118" s="30">
        <f>113</f>
        <v>113</v>
      </c>
      <c r="B118" s="31">
        <f>EDATE(入力!$B$6,A118-1)</f>
        <v>49644</v>
      </c>
      <c r="C118" s="32">
        <f t="shared" si="21"/>
        <v>27551321</v>
      </c>
      <c r="D118" s="32">
        <f t="shared" si="22"/>
        <v>0</v>
      </c>
      <c r="E118" s="33">
        <f>IF(AND(T117="",A118&lt;=S117),IF(A118&lt;入力!$B$11,入力!$B$10,入力!$B$12),0)</f>
        <v>2.5000000000000001E-2</v>
      </c>
      <c r="F118" s="32">
        <f t="shared" si="23"/>
        <v>57399</v>
      </c>
      <c r="G118" s="32">
        <f>ROUND(IF(NOT(AND(T117="",A118&lt;=S117)),0,IF(A118=入力!$B$15+1,IF(E118=0,ROUND(C118/入力!$B$19,0),ROUND(-PMT(E118/12,入力!$B$19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),0)</f>
        <v>117478</v>
      </c>
      <c r="H118" s="32">
        <f t="shared" si="24"/>
        <v>117478</v>
      </c>
      <c r="I118" s="32">
        <f t="shared" si="25"/>
        <v>57399</v>
      </c>
      <c r="J118" s="32">
        <f t="shared" si="26"/>
        <v>0</v>
      </c>
      <c r="K118" s="32">
        <f t="shared" si="27"/>
        <v>0</v>
      </c>
      <c r="L118" s="32">
        <f t="shared" si="28"/>
        <v>60079</v>
      </c>
      <c r="M118" s="32">
        <f>IF(AND(AND(T117="",A118&lt;=S117),A118=入力!$B$15),ROUND(MIN(入力!$B$16,MAX(0,C118-L118)),0),0)</f>
        <v>0</v>
      </c>
      <c r="N118" s="32">
        <f t="shared" si="29"/>
        <v>27491242</v>
      </c>
      <c r="O118" s="32">
        <f t="shared" si="30"/>
        <v>4356496</v>
      </c>
      <c r="P118" s="34" t="str">
        <f>IF(NOT(AND(T117="",A118&lt;=S117)),"",IF(A118=入力!$B$15+1,"繰上返済後再計算","")&amp;IF(AND(入力!$B$13="有効",A118&gt;1,MOD(A118-1,60)=0),IF(A118=入力!$B$15+1,"・","")&amp;"5年見直し","")&amp;IF(AND(A118=入力!$B$11,A118&gt;1),IF(OR(A118=入力!$B$15+1,AND(入力!$B$13="有効",A118&gt;1,MOD(A118-1,60)=0)),"・","")&amp;"金利変更","")&amp;IF(AND(OR(AND(入力!$B$13="有効",A118&gt;1,MOD(A118-1,60)=0),AND(A118=入力!$B$11,A118&gt;1)),入力!$B$14="有効",IF(E118=0,ROUND(C118/MAX(1,S117-A118+1),0),ROUND(-PMT(E118/12,MAX(1,S117-A118+1),C118),0))&gt;ROUND(G117*1.25,0),NOT(A118=入力!$B$15+1)),"・上限適用",""))</f>
        <v/>
      </c>
      <c r="Q118" s="35" t="str">
        <f>IF(AND(T117="",A118&lt;=S117),入力!$B$13,"")</f>
        <v>有効</v>
      </c>
      <c r="R118" s="32" t="str">
        <f>IF(AND(AND(T117="",A118&lt;=S117),OR(AND(入力!$B$13="有効",A118&gt;1,MOD(A118-1,60)=0),AND(A118=入力!$B$11,A118&gt;1)),入力!$B$14="有効"),ROUND(G117*1.25,0),"")</f>
        <v/>
      </c>
      <c r="S118" s="36">
        <f>IF(A118=入力!$B$15,A118+入力!$B$19,S117)</f>
        <v>420</v>
      </c>
      <c r="T118" s="35" t="str">
        <f t="shared" si="31"/>
        <v/>
      </c>
      <c r="U118" s="3">
        <f t="shared" si="16"/>
        <v>0</v>
      </c>
      <c r="V118" s="3">
        <f t="shared" si="17"/>
        <v>0</v>
      </c>
      <c r="W118" s="3">
        <f t="shared" si="18"/>
        <v>0</v>
      </c>
      <c r="X118" s="3">
        <f t="shared" si="19"/>
        <v>0</v>
      </c>
      <c r="Y118" s="3">
        <f>IF(A118&lt;入力!$B$15,ABS(G118-何もしない_月次!G118),0)</f>
        <v>0</v>
      </c>
      <c r="Z118" s="3">
        <f t="shared" si="20"/>
        <v>0</v>
      </c>
      <c r="AA118">
        <f>ROUND(IF(A118=入力!$B$15+1,IF(E118=0,ROUND(C118/入力!$B$19,0),ROUND(-PMT(E118/12,入力!$B$19,C118),0)),IF(OR(AND(入力!$B$13="有効",A118&gt;1,MOD(A118-1,60)=0),AND(A118=入力!$B$11,A118&gt;1)),IF(入力!$B$14="有効",MIN(IF(E118=0,ROUND(C118/MAX(1,S117-A118+1),0),ROUND(-PMT(E118/12,MAX(1,S117-A118+1),C118),0)),ROUND(G117*1.25,0)),IF(E118=0,ROUND(C118/MAX(1,S117-A118+1),0),ROUND(-PMT(E118/12,MAX(1,S117-A118+1),C118),0))),G117)),0)</f>
        <v>117478</v>
      </c>
    </row>
    <row r="119" spans="1:27">
      <c r="A119" s="30">
        <f>114</f>
        <v>114</v>
      </c>
      <c r="B119" s="31">
        <f>EDATE(入力!$B$6,A119-1)</f>
        <v>49675</v>
      </c>
      <c r="C119" s="32">
        <f t="shared" si="21"/>
        <v>27491242</v>
      </c>
      <c r="D119" s="32">
        <f t="shared" si="22"/>
        <v>0</v>
      </c>
      <c r="E119" s="33">
        <f>IF(AND(T118="",A119&lt;=S118),IF(A119&lt;入力!$B$11,入力!$B$10,入力!$B$12),0)</f>
        <v>2.5000000000000001E-2</v>
      </c>
      <c r="F119" s="32">
        <f t="shared" si="23"/>
        <v>57273</v>
      </c>
      <c r="G119" s="32">
        <f>ROUND(IF(NOT(AND(T118="",A119&lt;=S118)),0,IF(A119=入力!$B$15+1,IF(E119=0,ROUND(C119/入力!$B$19,0),ROUND(-PMT(E119/12,入力!$B$19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),0)</f>
        <v>117478</v>
      </c>
      <c r="H119" s="32">
        <f t="shared" si="24"/>
        <v>117478</v>
      </c>
      <c r="I119" s="32">
        <f t="shared" si="25"/>
        <v>57273</v>
      </c>
      <c r="J119" s="32">
        <f t="shared" si="26"/>
        <v>0</v>
      </c>
      <c r="K119" s="32">
        <f t="shared" si="27"/>
        <v>0</v>
      </c>
      <c r="L119" s="32">
        <f t="shared" si="28"/>
        <v>60205</v>
      </c>
      <c r="M119" s="32">
        <f>IF(AND(AND(T118="",A119&lt;=S118),A119=入力!$B$15),ROUND(MIN(入力!$B$16,MAX(0,C119-L119)),0),0)</f>
        <v>0</v>
      </c>
      <c r="N119" s="32">
        <f t="shared" si="29"/>
        <v>27431037</v>
      </c>
      <c r="O119" s="32">
        <f t="shared" si="30"/>
        <v>4413769</v>
      </c>
      <c r="P119" s="34" t="str">
        <f>IF(NOT(AND(T118="",A119&lt;=S118)),"",IF(A119=入力!$B$15+1,"繰上返済後再計算","")&amp;IF(AND(入力!$B$13="有効",A119&gt;1,MOD(A119-1,60)=0),IF(A119=入力!$B$15+1,"・","")&amp;"5年見直し","")&amp;IF(AND(A119=入力!$B$11,A119&gt;1),IF(OR(A119=入力!$B$15+1,AND(入力!$B$13="有効",A119&gt;1,MOD(A119-1,60)=0)),"・","")&amp;"金利変更","")&amp;IF(AND(OR(AND(入力!$B$13="有効",A119&gt;1,MOD(A119-1,60)=0),AND(A119=入力!$B$11,A119&gt;1)),入力!$B$14="有効",IF(E119=0,ROUND(C119/MAX(1,S118-A119+1),0),ROUND(-PMT(E119/12,MAX(1,S118-A119+1),C119),0))&gt;ROUND(G118*1.25,0),NOT(A119=入力!$B$15+1)),"・上限適用",""))</f>
        <v/>
      </c>
      <c r="Q119" s="35" t="str">
        <f>IF(AND(T118="",A119&lt;=S118),入力!$B$13,"")</f>
        <v>有効</v>
      </c>
      <c r="R119" s="32" t="str">
        <f>IF(AND(AND(T118="",A119&lt;=S118),OR(AND(入力!$B$13="有効",A119&gt;1,MOD(A119-1,60)=0),AND(A119=入力!$B$11,A119&gt;1)),入力!$B$14="有効"),ROUND(G118*1.25,0),"")</f>
        <v/>
      </c>
      <c r="S119" s="36">
        <f>IF(A119=入力!$B$15,A119+入力!$B$19,S118)</f>
        <v>420</v>
      </c>
      <c r="T119" s="35" t="str">
        <f t="shared" si="31"/>
        <v/>
      </c>
      <c r="U119" s="3">
        <f t="shared" si="16"/>
        <v>0</v>
      </c>
      <c r="V119" s="3">
        <f t="shared" si="17"/>
        <v>0</v>
      </c>
      <c r="W119" s="3">
        <f t="shared" si="18"/>
        <v>0</v>
      </c>
      <c r="X119" s="3">
        <f t="shared" si="19"/>
        <v>0</v>
      </c>
      <c r="Y119" s="3">
        <f>IF(A119&lt;入力!$B$15,ABS(G119-何もしない_月次!G119),0)</f>
        <v>0</v>
      </c>
      <c r="Z119" s="3">
        <f t="shared" si="20"/>
        <v>0</v>
      </c>
      <c r="AA119">
        <f>ROUND(IF(A119=入力!$B$15+1,IF(E119=0,ROUND(C119/入力!$B$19,0),ROUND(-PMT(E119/12,入力!$B$19,C119),0)),IF(OR(AND(入力!$B$13="有効",A119&gt;1,MOD(A119-1,60)=0),AND(A119=入力!$B$11,A119&gt;1)),IF(入力!$B$14="有効",MIN(IF(E119=0,ROUND(C119/MAX(1,S118-A119+1),0),ROUND(-PMT(E119/12,MAX(1,S118-A119+1),C119),0)),ROUND(G118*1.25,0)),IF(E119=0,ROUND(C119/MAX(1,S118-A119+1),0),ROUND(-PMT(E119/12,MAX(1,S118-A119+1),C119),0))),G118)),0)</f>
        <v>117478</v>
      </c>
    </row>
    <row r="120" spans="1:27">
      <c r="A120" s="30">
        <f>115</f>
        <v>115</v>
      </c>
      <c r="B120" s="31">
        <f>EDATE(入力!$B$6,A120-1)</f>
        <v>49706</v>
      </c>
      <c r="C120" s="32">
        <f t="shared" si="21"/>
        <v>27431037</v>
      </c>
      <c r="D120" s="32">
        <f t="shared" si="22"/>
        <v>0</v>
      </c>
      <c r="E120" s="33">
        <f>IF(AND(T119="",A120&lt;=S119),IF(A120&lt;入力!$B$11,入力!$B$10,入力!$B$12),0)</f>
        <v>2.5000000000000001E-2</v>
      </c>
      <c r="F120" s="32">
        <f t="shared" si="23"/>
        <v>57148</v>
      </c>
      <c r="G120" s="32">
        <f>ROUND(IF(NOT(AND(T119="",A120&lt;=S119)),0,IF(A120=入力!$B$15+1,IF(E120=0,ROUND(C120/入力!$B$19,0),ROUND(-PMT(E120/12,入力!$B$19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),0)</f>
        <v>117478</v>
      </c>
      <c r="H120" s="32">
        <f t="shared" si="24"/>
        <v>117478</v>
      </c>
      <c r="I120" s="32">
        <f t="shared" si="25"/>
        <v>57148</v>
      </c>
      <c r="J120" s="32">
        <f t="shared" si="26"/>
        <v>0</v>
      </c>
      <c r="K120" s="32">
        <f t="shared" si="27"/>
        <v>0</v>
      </c>
      <c r="L120" s="32">
        <f t="shared" si="28"/>
        <v>60330</v>
      </c>
      <c r="M120" s="32">
        <f>IF(AND(AND(T119="",A120&lt;=S119),A120=入力!$B$15),ROUND(MIN(入力!$B$16,MAX(0,C120-L120)),0),0)</f>
        <v>0</v>
      </c>
      <c r="N120" s="32">
        <f t="shared" si="29"/>
        <v>27370707</v>
      </c>
      <c r="O120" s="32">
        <f t="shared" si="30"/>
        <v>4470917</v>
      </c>
      <c r="P120" s="34" t="str">
        <f>IF(NOT(AND(T119="",A120&lt;=S119)),"",IF(A120=入力!$B$15+1,"繰上返済後再計算","")&amp;IF(AND(入力!$B$13="有効",A120&gt;1,MOD(A120-1,60)=0),IF(A120=入力!$B$15+1,"・","")&amp;"5年見直し","")&amp;IF(AND(A120=入力!$B$11,A120&gt;1),IF(OR(A120=入力!$B$15+1,AND(入力!$B$13="有効",A120&gt;1,MOD(A120-1,60)=0)),"・","")&amp;"金利変更","")&amp;IF(AND(OR(AND(入力!$B$13="有効",A120&gt;1,MOD(A120-1,60)=0),AND(A120=入力!$B$11,A120&gt;1)),入力!$B$14="有効",IF(E120=0,ROUND(C120/MAX(1,S119-A120+1),0),ROUND(-PMT(E120/12,MAX(1,S119-A120+1),C120),0))&gt;ROUND(G119*1.25,0),NOT(A120=入力!$B$15+1)),"・上限適用",""))</f>
        <v/>
      </c>
      <c r="Q120" s="35" t="str">
        <f>IF(AND(T119="",A120&lt;=S119),入力!$B$13,"")</f>
        <v>有効</v>
      </c>
      <c r="R120" s="32" t="str">
        <f>IF(AND(AND(T119="",A120&lt;=S119),OR(AND(入力!$B$13="有効",A120&gt;1,MOD(A120-1,60)=0),AND(A120=入力!$B$11,A120&gt;1)),入力!$B$14="有効"),ROUND(G119*1.25,0),"")</f>
        <v/>
      </c>
      <c r="S120" s="36">
        <f>IF(A120=入力!$B$15,A120+入力!$B$19,S119)</f>
        <v>420</v>
      </c>
      <c r="T120" s="35" t="str">
        <f t="shared" si="31"/>
        <v/>
      </c>
      <c r="U120" s="3">
        <f t="shared" si="16"/>
        <v>0</v>
      </c>
      <c r="V120" s="3">
        <f t="shared" si="17"/>
        <v>0</v>
      </c>
      <c r="W120" s="3">
        <f t="shared" si="18"/>
        <v>0</v>
      </c>
      <c r="X120" s="3">
        <f t="shared" si="19"/>
        <v>0</v>
      </c>
      <c r="Y120" s="3">
        <f>IF(A120&lt;入力!$B$15,ABS(G120-何もしない_月次!G120),0)</f>
        <v>0</v>
      </c>
      <c r="Z120" s="3">
        <f t="shared" si="20"/>
        <v>0</v>
      </c>
      <c r="AA120">
        <f>ROUND(IF(A120=入力!$B$15+1,IF(E120=0,ROUND(C120/入力!$B$19,0),ROUND(-PMT(E120/12,入力!$B$19,C120),0)),IF(OR(AND(入力!$B$13="有効",A120&gt;1,MOD(A120-1,60)=0),AND(A120=入力!$B$11,A120&gt;1)),IF(入力!$B$14="有効",MIN(IF(E120=0,ROUND(C120/MAX(1,S119-A120+1),0),ROUND(-PMT(E120/12,MAX(1,S119-A120+1),C120),0)),ROUND(G119*1.25,0)),IF(E120=0,ROUND(C120/MAX(1,S119-A120+1),0),ROUND(-PMT(E120/12,MAX(1,S119-A120+1),C120),0))),G119)),0)</f>
        <v>117478</v>
      </c>
    </row>
    <row r="121" spans="1:27">
      <c r="A121" s="30">
        <f>116</f>
        <v>116</v>
      </c>
      <c r="B121" s="31">
        <f>EDATE(入力!$B$6,A121-1)</f>
        <v>49735</v>
      </c>
      <c r="C121" s="32">
        <f t="shared" si="21"/>
        <v>27370707</v>
      </c>
      <c r="D121" s="32">
        <f t="shared" si="22"/>
        <v>0</v>
      </c>
      <c r="E121" s="33">
        <f>IF(AND(T120="",A121&lt;=S120),IF(A121&lt;入力!$B$11,入力!$B$10,入力!$B$12),0)</f>
        <v>2.5000000000000001E-2</v>
      </c>
      <c r="F121" s="32">
        <f t="shared" si="23"/>
        <v>57022</v>
      </c>
      <c r="G121" s="32">
        <f>ROUND(IF(NOT(AND(T120="",A121&lt;=S120)),0,IF(A121=入力!$B$15+1,IF(E121=0,ROUND(C121/入力!$B$19,0),ROUND(-PMT(E121/12,入力!$B$19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),0)</f>
        <v>117478</v>
      </c>
      <c r="H121" s="32">
        <f t="shared" si="24"/>
        <v>117478</v>
      </c>
      <c r="I121" s="32">
        <f t="shared" si="25"/>
        <v>57022</v>
      </c>
      <c r="J121" s="32">
        <f t="shared" si="26"/>
        <v>0</v>
      </c>
      <c r="K121" s="32">
        <f t="shared" si="27"/>
        <v>0</v>
      </c>
      <c r="L121" s="32">
        <f t="shared" si="28"/>
        <v>60456</v>
      </c>
      <c r="M121" s="32">
        <f>IF(AND(AND(T120="",A121&lt;=S120),A121=入力!$B$15),ROUND(MIN(入力!$B$16,MAX(0,C121-L121)),0),0)</f>
        <v>0</v>
      </c>
      <c r="N121" s="32">
        <f t="shared" si="29"/>
        <v>27310251</v>
      </c>
      <c r="O121" s="32">
        <f t="shared" si="30"/>
        <v>4527939</v>
      </c>
      <c r="P121" s="34" t="str">
        <f>IF(NOT(AND(T120="",A121&lt;=S120)),"",IF(A121=入力!$B$15+1,"繰上返済後再計算","")&amp;IF(AND(入力!$B$13="有効",A121&gt;1,MOD(A121-1,60)=0),IF(A121=入力!$B$15+1,"・","")&amp;"5年見直し","")&amp;IF(AND(A121=入力!$B$11,A121&gt;1),IF(OR(A121=入力!$B$15+1,AND(入力!$B$13="有効",A121&gt;1,MOD(A121-1,60)=0)),"・","")&amp;"金利変更","")&amp;IF(AND(OR(AND(入力!$B$13="有効",A121&gt;1,MOD(A121-1,60)=0),AND(A121=入力!$B$11,A121&gt;1)),入力!$B$14="有効",IF(E121=0,ROUND(C121/MAX(1,S120-A121+1),0),ROUND(-PMT(E121/12,MAX(1,S120-A121+1),C121),0))&gt;ROUND(G120*1.25,0),NOT(A121=入力!$B$15+1)),"・上限適用",""))</f>
        <v/>
      </c>
      <c r="Q121" s="35" t="str">
        <f>IF(AND(T120="",A121&lt;=S120),入力!$B$13,"")</f>
        <v>有効</v>
      </c>
      <c r="R121" s="32" t="str">
        <f>IF(AND(AND(T120="",A121&lt;=S120),OR(AND(入力!$B$13="有効",A121&gt;1,MOD(A121-1,60)=0),AND(A121=入力!$B$11,A121&gt;1)),入力!$B$14="有効"),ROUND(G120*1.25,0),"")</f>
        <v/>
      </c>
      <c r="S121" s="36">
        <f>IF(A121=入力!$B$15,A121+入力!$B$19,S120)</f>
        <v>420</v>
      </c>
      <c r="T121" s="35" t="str">
        <f t="shared" si="31"/>
        <v/>
      </c>
      <c r="U121" s="3">
        <f t="shared" si="16"/>
        <v>0</v>
      </c>
      <c r="V121" s="3">
        <f t="shared" si="17"/>
        <v>0</v>
      </c>
      <c r="W121" s="3">
        <f t="shared" si="18"/>
        <v>0</v>
      </c>
      <c r="X121" s="3">
        <f t="shared" si="19"/>
        <v>0</v>
      </c>
      <c r="Y121" s="3">
        <f>IF(A121&lt;入力!$B$15,ABS(G121-何もしない_月次!G121),0)</f>
        <v>0</v>
      </c>
      <c r="Z121" s="3">
        <f t="shared" si="20"/>
        <v>0</v>
      </c>
      <c r="AA121">
        <f>ROUND(IF(A121=入力!$B$15+1,IF(E121=0,ROUND(C121/入力!$B$19,0),ROUND(-PMT(E121/12,入力!$B$19,C121),0)),IF(OR(AND(入力!$B$13="有効",A121&gt;1,MOD(A121-1,60)=0),AND(A121=入力!$B$11,A121&gt;1)),IF(入力!$B$14="有効",MIN(IF(E121=0,ROUND(C121/MAX(1,S120-A121+1),0),ROUND(-PMT(E121/12,MAX(1,S120-A121+1),C121),0)),ROUND(G120*1.25,0)),IF(E121=0,ROUND(C121/MAX(1,S120-A121+1),0),ROUND(-PMT(E121/12,MAX(1,S120-A121+1),C121),0))),G120)),0)</f>
        <v>117478</v>
      </c>
    </row>
    <row r="122" spans="1:27">
      <c r="A122" s="30">
        <f>117</f>
        <v>117</v>
      </c>
      <c r="B122" s="31">
        <f>EDATE(入力!$B$6,A122-1)</f>
        <v>49766</v>
      </c>
      <c r="C122" s="32">
        <f t="shared" si="21"/>
        <v>27310251</v>
      </c>
      <c r="D122" s="32">
        <f t="shared" si="22"/>
        <v>0</v>
      </c>
      <c r="E122" s="33">
        <f>IF(AND(T121="",A122&lt;=S121),IF(A122&lt;入力!$B$11,入力!$B$10,入力!$B$12),0)</f>
        <v>2.5000000000000001E-2</v>
      </c>
      <c r="F122" s="32">
        <f t="shared" si="23"/>
        <v>56896</v>
      </c>
      <c r="G122" s="32">
        <f>ROUND(IF(NOT(AND(T121="",A122&lt;=S121)),0,IF(A122=入力!$B$15+1,IF(E122=0,ROUND(C122/入力!$B$19,0),ROUND(-PMT(E122/12,入力!$B$19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),0)</f>
        <v>117478</v>
      </c>
      <c r="H122" s="32">
        <f t="shared" si="24"/>
        <v>117478</v>
      </c>
      <c r="I122" s="32">
        <f t="shared" si="25"/>
        <v>56896</v>
      </c>
      <c r="J122" s="32">
        <f t="shared" si="26"/>
        <v>0</v>
      </c>
      <c r="K122" s="32">
        <f t="shared" si="27"/>
        <v>0</v>
      </c>
      <c r="L122" s="32">
        <f t="shared" si="28"/>
        <v>60582</v>
      </c>
      <c r="M122" s="32">
        <f>IF(AND(AND(T121="",A122&lt;=S121),A122=入力!$B$15),ROUND(MIN(入力!$B$16,MAX(0,C122-L122)),0),0)</f>
        <v>0</v>
      </c>
      <c r="N122" s="32">
        <f t="shared" si="29"/>
        <v>27249669</v>
      </c>
      <c r="O122" s="32">
        <f t="shared" si="30"/>
        <v>4584835</v>
      </c>
      <c r="P122" s="34" t="str">
        <f>IF(NOT(AND(T121="",A122&lt;=S121)),"",IF(A122=入力!$B$15+1,"繰上返済後再計算","")&amp;IF(AND(入力!$B$13="有効",A122&gt;1,MOD(A122-1,60)=0),IF(A122=入力!$B$15+1,"・","")&amp;"5年見直し","")&amp;IF(AND(A122=入力!$B$11,A122&gt;1),IF(OR(A122=入力!$B$15+1,AND(入力!$B$13="有効",A122&gt;1,MOD(A122-1,60)=0)),"・","")&amp;"金利変更","")&amp;IF(AND(OR(AND(入力!$B$13="有効",A122&gt;1,MOD(A122-1,60)=0),AND(A122=入力!$B$11,A122&gt;1)),入力!$B$14="有効",IF(E122=0,ROUND(C122/MAX(1,S121-A122+1),0),ROUND(-PMT(E122/12,MAX(1,S121-A122+1),C122),0))&gt;ROUND(G121*1.25,0),NOT(A122=入力!$B$15+1)),"・上限適用",""))</f>
        <v/>
      </c>
      <c r="Q122" s="35" t="str">
        <f>IF(AND(T121="",A122&lt;=S121),入力!$B$13,"")</f>
        <v>有効</v>
      </c>
      <c r="R122" s="32" t="str">
        <f>IF(AND(AND(T121="",A122&lt;=S121),OR(AND(入力!$B$13="有効",A122&gt;1,MOD(A122-1,60)=0),AND(A122=入力!$B$11,A122&gt;1)),入力!$B$14="有効"),ROUND(G121*1.25,0),"")</f>
        <v/>
      </c>
      <c r="S122" s="36">
        <f>IF(A122=入力!$B$15,A122+入力!$B$19,S121)</f>
        <v>420</v>
      </c>
      <c r="T122" s="35" t="str">
        <f t="shared" si="31"/>
        <v/>
      </c>
      <c r="U122" s="3">
        <f t="shared" si="16"/>
        <v>0</v>
      </c>
      <c r="V122" s="3">
        <f t="shared" si="17"/>
        <v>0</v>
      </c>
      <c r="W122" s="3">
        <f t="shared" si="18"/>
        <v>0</v>
      </c>
      <c r="X122" s="3">
        <f t="shared" si="19"/>
        <v>0</v>
      </c>
      <c r="Y122" s="3">
        <f>IF(A122&lt;入力!$B$15,ABS(G122-何もしない_月次!G122),0)</f>
        <v>0</v>
      </c>
      <c r="Z122" s="3">
        <f t="shared" si="20"/>
        <v>0</v>
      </c>
      <c r="AA122">
        <f>ROUND(IF(A122=入力!$B$15+1,IF(E122=0,ROUND(C122/入力!$B$19,0),ROUND(-PMT(E122/12,入力!$B$19,C122),0)),IF(OR(AND(入力!$B$13="有効",A122&gt;1,MOD(A122-1,60)=0),AND(A122=入力!$B$11,A122&gt;1)),IF(入力!$B$14="有効",MIN(IF(E122=0,ROUND(C122/MAX(1,S121-A122+1),0),ROUND(-PMT(E122/12,MAX(1,S121-A122+1),C122),0)),ROUND(G121*1.25,0)),IF(E122=0,ROUND(C122/MAX(1,S121-A122+1),0),ROUND(-PMT(E122/12,MAX(1,S121-A122+1),C122),0))),G121)),0)</f>
        <v>117478</v>
      </c>
    </row>
    <row r="123" spans="1:27">
      <c r="A123" s="30">
        <f>118</f>
        <v>118</v>
      </c>
      <c r="B123" s="31">
        <f>EDATE(入力!$B$6,A123-1)</f>
        <v>49796</v>
      </c>
      <c r="C123" s="32">
        <f t="shared" si="21"/>
        <v>27249669</v>
      </c>
      <c r="D123" s="32">
        <f t="shared" si="22"/>
        <v>0</v>
      </c>
      <c r="E123" s="33">
        <f>IF(AND(T122="",A123&lt;=S122),IF(A123&lt;入力!$B$11,入力!$B$10,入力!$B$12),0)</f>
        <v>2.5000000000000001E-2</v>
      </c>
      <c r="F123" s="32">
        <f t="shared" si="23"/>
        <v>56770</v>
      </c>
      <c r="G123" s="32">
        <f>ROUND(IF(NOT(AND(T122="",A123&lt;=S122)),0,IF(A123=入力!$B$15+1,IF(E123=0,ROUND(C123/入力!$B$19,0),ROUND(-PMT(E123/12,入力!$B$19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),0)</f>
        <v>117478</v>
      </c>
      <c r="H123" s="32">
        <f t="shared" si="24"/>
        <v>117478</v>
      </c>
      <c r="I123" s="32">
        <f t="shared" si="25"/>
        <v>56770</v>
      </c>
      <c r="J123" s="32">
        <f t="shared" si="26"/>
        <v>0</v>
      </c>
      <c r="K123" s="32">
        <f t="shared" si="27"/>
        <v>0</v>
      </c>
      <c r="L123" s="32">
        <f t="shared" si="28"/>
        <v>60708</v>
      </c>
      <c r="M123" s="32">
        <f>IF(AND(AND(T122="",A123&lt;=S122),A123=入力!$B$15),ROUND(MIN(入力!$B$16,MAX(0,C123-L123)),0),0)</f>
        <v>0</v>
      </c>
      <c r="N123" s="32">
        <f t="shared" si="29"/>
        <v>27188961</v>
      </c>
      <c r="O123" s="32">
        <f t="shared" si="30"/>
        <v>4641605</v>
      </c>
      <c r="P123" s="34" t="str">
        <f>IF(NOT(AND(T122="",A123&lt;=S122)),"",IF(A123=入力!$B$15+1,"繰上返済後再計算","")&amp;IF(AND(入力!$B$13="有効",A123&gt;1,MOD(A123-1,60)=0),IF(A123=入力!$B$15+1,"・","")&amp;"5年見直し","")&amp;IF(AND(A123=入力!$B$11,A123&gt;1),IF(OR(A123=入力!$B$15+1,AND(入力!$B$13="有効",A123&gt;1,MOD(A123-1,60)=0)),"・","")&amp;"金利変更","")&amp;IF(AND(OR(AND(入力!$B$13="有効",A123&gt;1,MOD(A123-1,60)=0),AND(A123=入力!$B$11,A123&gt;1)),入力!$B$14="有効",IF(E123=0,ROUND(C123/MAX(1,S122-A123+1),0),ROUND(-PMT(E123/12,MAX(1,S122-A123+1),C123),0))&gt;ROUND(G122*1.25,0),NOT(A123=入力!$B$15+1)),"・上限適用",""))</f>
        <v/>
      </c>
      <c r="Q123" s="35" t="str">
        <f>IF(AND(T122="",A123&lt;=S122),入力!$B$13,"")</f>
        <v>有効</v>
      </c>
      <c r="R123" s="32" t="str">
        <f>IF(AND(AND(T122="",A123&lt;=S122),OR(AND(入力!$B$13="有効",A123&gt;1,MOD(A123-1,60)=0),AND(A123=入力!$B$11,A123&gt;1)),入力!$B$14="有効"),ROUND(G122*1.25,0),"")</f>
        <v/>
      </c>
      <c r="S123" s="36">
        <f>IF(A123=入力!$B$15,A123+入力!$B$19,S122)</f>
        <v>420</v>
      </c>
      <c r="T123" s="35" t="str">
        <f t="shared" si="31"/>
        <v/>
      </c>
      <c r="U123" s="3">
        <f t="shared" si="16"/>
        <v>0</v>
      </c>
      <c r="V123" s="3">
        <f t="shared" si="17"/>
        <v>0</v>
      </c>
      <c r="W123" s="3">
        <f t="shared" si="18"/>
        <v>0</v>
      </c>
      <c r="X123" s="3">
        <f t="shared" si="19"/>
        <v>0</v>
      </c>
      <c r="Y123" s="3">
        <f>IF(A123&lt;入力!$B$15,ABS(G123-何もしない_月次!G123),0)</f>
        <v>0</v>
      </c>
      <c r="Z123" s="3">
        <f t="shared" si="20"/>
        <v>0</v>
      </c>
      <c r="AA123">
        <f>ROUND(IF(A123=入力!$B$15+1,IF(E123=0,ROUND(C123/入力!$B$19,0),ROUND(-PMT(E123/12,入力!$B$19,C123),0)),IF(OR(AND(入力!$B$13="有効",A123&gt;1,MOD(A123-1,60)=0),AND(A123=入力!$B$11,A123&gt;1)),IF(入力!$B$14="有効",MIN(IF(E123=0,ROUND(C123/MAX(1,S122-A123+1),0),ROUND(-PMT(E123/12,MAX(1,S122-A123+1),C123),0)),ROUND(G122*1.25,0)),IF(E123=0,ROUND(C123/MAX(1,S122-A123+1),0),ROUND(-PMT(E123/12,MAX(1,S122-A123+1),C123),0))),G122)),0)</f>
        <v>117478</v>
      </c>
    </row>
    <row r="124" spans="1:27">
      <c r="A124" s="30">
        <f>119</f>
        <v>119</v>
      </c>
      <c r="B124" s="31">
        <f>EDATE(入力!$B$6,A124-1)</f>
        <v>49827</v>
      </c>
      <c r="C124" s="32">
        <f t="shared" si="21"/>
        <v>27188961</v>
      </c>
      <c r="D124" s="32">
        <f t="shared" si="22"/>
        <v>0</v>
      </c>
      <c r="E124" s="33">
        <f>IF(AND(T123="",A124&lt;=S123),IF(A124&lt;入力!$B$11,入力!$B$10,入力!$B$12),0)</f>
        <v>2.5000000000000001E-2</v>
      </c>
      <c r="F124" s="32">
        <f t="shared" si="23"/>
        <v>56644</v>
      </c>
      <c r="G124" s="32">
        <f>ROUND(IF(NOT(AND(T123="",A124&lt;=S123)),0,IF(A124=入力!$B$15+1,IF(E124=0,ROUND(C124/入力!$B$19,0),ROUND(-PMT(E124/12,入力!$B$19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),0)</f>
        <v>117478</v>
      </c>
      <c r="H124" s="32">
        <f t="shared" si="24"/>
        <v>117478</v>
      </c>
      <c r="I124" s="32">
        <f t="shared" si="25"/>
        <v>56644</v>
      </c>
      <c r="J124" s="32">
        <f t="shared" si="26"/>
        <v>0</v>
      </c>
      <c r="K124" s="32">
        <f t="shared" si="27"/>
        <v>0</v>
      </c>
      <c r="L124" s="32">
        <f t="shared" si="28"/>
        <v>60834</v>
      </c>
      <c r="M124" s="32">
        <f>IF(AND(AND(T123="",A124&lt;=S123),A124=入力!$B$15),ROUND(MIN(入力!$B$16,MAX(0,C124-L124)),0),0)</f>
        <v>0</v>
      </c>
      <c r="N124" s="32">
        <f t="shared" si="29"/>
        <v>27128127</v>
      </c>
      <c r="O124" s="32">
        <f t="shared" si="30"/>
        <v>4698249</v>
      </c>
      <c r="P124" s="34" t="str">
        <f>IF(NOT(AND(T123="",A124&lt;=S123)),"",IF(A124=入力!$B$15+1,"繰上返済後再計算","")&amp;IF(AND(入力!$B$13="有効",A124&gt;1,MOD(A124-1,60)=0),IF(A124=入力!$B$15+1,"・","")&amp;"5年見直し","")&amp;IF(AND(A124=入力!$B$11,A124&gt;1),IF(OR(A124=入力!$B$15+1,AND(入力!$B$13="有効",A124&gt;1,MOD(A124-1,60)=0)),"・","")&amp;"金利変更","")&amp;IF(AND(OR(AND(入力!$B$13="有効",A124&gt;1,MOD(A124-1,60)=0),AND(A124=入力!$B$11,A124&gt;1)),入力!$B$14="有効",IF(E124=0,ROUND(C124/MAX(1,S123-A124+1),0),ROUND(-PMT(E124/12,MAX(1,S123-A124+1),C124),0))&gt;ROUND(G123*1.25,0),NOT(A124=入力!$B$15+1)),"・上限適用",""))</f>
        <v/>
      </c>
      <c r="Q124" s="35" t="str">
        <f>IF(AND(T123="",A124&lt;=S123),入力!$B$13,"")</f>
        <v>有効</v>
      </c>
      <c r="R124" s="32" t="str">
        <f>IF(AND(AND(T123="",A124&lt;=S123),OR(AND(入力!$B$13="有効",A124&gt;1,MOD(A124-1,60)=0),AND(A124=入力!$B$11,A124&gt;1)),入力!$B$14="有効"),ROUND(G123*1.25,0),"")</f>
        <v/>
      </c>
      <c r="S124" s="36">
        <f>IF(A124=入力!$B$15,A124+入力!$B$19,S123)</f>
        <v>420</v>
      </c>
      <c r="T124" s="35" t="str">
        <f t="shared" si="31"/>
        <v/>
      </c>
      <c r="U124" s="3">
        <f t="shared" si="16"/>
        <v>0</v>
      </c>
      <c r="V124" s="3">
        <f t="shared" si="17"/>
        <v>0</v>
      </c>
      <c r="W124" s="3">
        <f t="shared" si="18"/>
        <v>0</v>
      </c>
      <c r="X124" s="3">
        <f t="shared" si="19"/>
        <v>0</v>
      </c>
      <c r="Y124" s="3">
        <f>IF(A124&lt;入力!$B$15,ABS(G124-何もしない_月次!G124),0)</f>
        <v>0</v>
      </c>
      <c r="Z124" s="3">
        <f t="shared" si="20"/>
        <v>0</v>
      </c>
      <c r="AA124">
        <f>ROUND(IF(A124=入力!$B$15+1,IF(E124=0,ROUND(C124/入力!$B$19,0),ROUND(-PMT(E124/12,入力!$B$19,C124),0)),IF(OR(AND(入力!$B$13="有効",A124&gt;1,MOD(A124-1,60)=0),AND(A124=入力!$B$11,A124&gt;1)),IF(入力!$B$14="有効",MIN(IF(E124=0,ROUND(C124/MAX(1,S123-A124+1),0),ROUND(-PMT(E124/12,MAX(1,S123-A124+1),C124),0)),ROUND(G123*1.25,0)),IF(E124=0,ROUND(C124/MAX(1,S123-A124+1),0),ROUND(-PMT(E124/12,MAX(1,S123-A124+1),C124),0))),G123)),0)</f>
        <v>117478</v>
      </c>
    </row>
    <row r="125" spans="1:27">
      <c r="A125" s="30">
        <f>120</f>
        <v>120</v>
      </c>
      <c r="B125" s="31">
        <f>EDATE(入力!$B$6,A125-1)</f>
        <v>49857</v>
      </c>
      <c r="C125" s="32">
        <f t="shared" si="21"/>
        <v>27128127</v>
      </c>
      <c r="D125" s="32">
        <f t="shared" si="22"/>
        <v>0</v>
      </c>
      <c r="E125" s="33">
        <f>IF(AND(T124="",A125&lt;=S124),IF(A125&lt;入力!$B$11,入力!$B$10,入力!$B$12),0)</f>
        <v>2.5000000000000001E-2</v>
      </c>
      <c r="F125" s="32">
        <f t="shared" si="23"/>
        <v>56517</v>
      </c>
      <c r="G125" s="32">
        <f>ROUND(IF(NOT(AND(T124="",A125&lt;=S124)),0,IF(A125=入力!$B$15+1,IF(E125=0,ROUND(C125/入力!$B$19,0),ROUND(-PMT(E125/12,入力!$B$19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),0)</f>
        <v>117478</v>
      </c>
      <c r="H125" s="32">
        <f t="shared" si="24"/>
        <v>117478</v>
      </c>
      <c r="I125" s="32">
        <f t="shared" si="25"/>
        <v>56517</v>
      </c>
      <c r="J125" s="32">
        <f t="shared" si="26"/>
        <v>0</v>
      </c>
      <c r="K125" s="32">
        <f t="shared" si="27"/>
        <v>0</v>
      </c>
      <c r="L125" s="32">
        <f t="shared" si="28"/>
        <v>60961</v>
      </c>
      <c r="M125" s="32">
        <f>IF(AND(AND(T124="",A125&lt;=S124),A125=入力!$B$15),ROUND(MIN(入力!$B$16,MAX(0,C125-L125)),0),0)</f>
        <v>5000000</v>
      </c>
      <c r="N125" s="32">
        <f t="shared" si="29"/>
        <v>22067166</v>
      </c>
      <c r="O125" s="32">
        <f t="shared" si="30"/>
        <v>4754766</v>
      </c>
      <c r="P125" s="34" t="str">
        <f>IF(NOT(AND(T124="",A125&lt;=S124)),"",IF(A125=入力!$B$15+1,"繰上返済後再計算","")&amp;IF(AND(入力!$B$13="有効",A125&gt;1,MOD(A125-1,60)=0),IF(A125=入力!$B$15+1,"・","")&amp;"5年見直し","")&amp;IF(AND(A125=入力!$B$11,A125&gt;1),IF(OR(A125=入力!$B$15+1,AND(入力!$B$13="有効",A125&gt;1,MOD(A125-1,60)=0)),"・","")&amp;"金利変更","")&amp;IF(AND(OR(AND(入力!$B$13="有効",A125&gt;1,MOD(A125-1,60)=0),AND(A125=入力!$B$11,A125&gt;1)),入力!$B$14="有効",IF(E125=0,ROUND(C125/MAX(1,S124-A125+1),0),ROUND(-PMT(E125/12,MAX(1,S124-A125+1),C125),0))&gt;ROUND(G124*1.25,0),NOT(A125=入力!$B$15+1)),"・上限適用",""))</f>
        <v/>
      </c>
      <c r="Q125" s="35" t="str">
        <f>IF(AND(T124="",A125&lt;=S124),入力!$B$13,"")</f>
        <v>有効</v>
      </c>
      <c r="R125" s="32" t="str">
        <f>IF(AND(AND(T124="",A125&lt;=S124),OR(AND(入力!$B$13="有効",A125&gt;1,MOD(A125-1,60)=0),AND(A125=入力!$B$11,A125&gt;1)),入力!$B$14="有効"),ROUND(G124*1.25,0),"")</f>
        <v/>
      </c>
      <c r="S125" s="36">
        <f>IF(A125=入力!$B$15,A125+入力!$B$19,S124)</f>
        <v>360</v>
      </c>
      <c r="T125" s="35" t="str">
        <f t="shared" si="31"/>
        <v/>
      </c>
      <c r="U125" s="3">
        <f t="shared" si="16"/>
        <v>0</v>
      </c>
      <c r="V125" s="3">
        <f t="shared" si="17"/>
        <v>0</v>
      </c>
      <c r="W125" s="3">
        <f t="shared" si="18"/>
        <v>0</v>
      </c>
      <c r="X125" s="3">
        <f t="shared" si="19"/>
        <v>0</v>
      </c>
      <c r="Y125" s="3">
        <f>IF(A125&lt;入力!$B$15,ABS(G125-何もしない_月次!G125),0)</f>
        <v>0</v>
      </c>
      <c r="Z125" s="3">
        <f t="shared" si="20"/>
        <v>0</v>
      </c>
      <c r="AA125">
        <f>ROUND(IF(A125=入力!$B$15+1,IF(E125=0,ROUND(C125/入力!$B$19,0),ROUND(-PMT(E125/12,入力!$B$19,C125),0)),IF(OR(AND(入力!$B$13="有効",A125&gt;1,MOD(A125-1,60)=0),AND(A125=入力!$B$11,A125&gt;1)),IF(入力!$B$14="有効",MIN(IF(E125=0,ROUND(C125/MAX(1,S124-A125+1),0),ROUND(-PMT(E125/12,MAX(1,S124-A125+1),C125),0)),ROUND(G124*1.25,0)),IF(E125=0,ROUND(C125/MAX(1,S124-A125+1),0),ROUND(-PMT(E125/12,MAX(1,S124-A125+1),C125),0))),G124)),0)</f>
        <v>117478</v>
      </c>
    </row>
    <row r="126" spans="1:27">
      <c r="A126" s="30">
        <f>121</f>
        <v>121</v>
      </c>
      <c r="B126" s="31">
        <f>EDATE(入力!$B$6,A126-1)</f>
        <v>49888</v>
      </c>
      <c r="C126" s="32">
        <f t="shared" si="21"/>
        <v>22067166</v>
      </c>
      <c r="D126" s="32">
        <f t="shared" si="22"/>
        <v>0</v>
      </c>
      <c r="E126" s="33">
        <f>IF(AND(T125="",A126&lt;=S125),IF(A126&lt;入力!$B$11,入力!$B$10,入力!$B$12),0)</f>
        <v>2.5000000000000001E-2</v>
      </c>
      <c r="F126" s="32">
        <f t="shared" si="23"/>
        <v>45973</v>
      </c>
      <c r="G126" s="32">
        <f>ROUND(IF(NOT(AND(T125="",A126&lt;=S125)),0,IF(A126=入力!$B$15+1,IF(E126=0,ROUND(C126/入力!$B$19,0),ROUND(-PMT(E126/12,入力!$B$19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),0)</f>
        <v>116935</v>
      </c>
      <c r="H126" s="32">
        <f t="shared" si="24"/>
        <v>116935</v>
      </c>
      <c r="I126" s="32">
        <f t="shared" si="25"/>
        <v>45973</v>
      </c>
      <c r="J126" s="32">
        <f t="shared" si="26"/>
        <v>0</v>
      </c>
      <c r="K126" s="32">
        <f t="shared" si="27"/>
        <v>0</v>
      </c>
      <c r="L126" s="32">
        <f t="shared" si="28"/>
        <v>70962</v>
      </c>
      <c r="M126" s="32">
        <f>IF(AND(AND(T125="",A126&lt;=S125),A126=入力!$B$15),ROUND(MIN(入力!$B$16,MAX(0,C126-L126)),0),0)</f>
        <v>0</v>
      </c>
      <c r="N126" s="32">
        <f t="shared" si="29"/>
        <v>21996204</v>
      </c>
      <c r="O126" s="32">
        <f t="shared" si="30"/>
        <v>4800739</v>
      </c>
      <c r="P126" s="34" t="str">
        <f>IF(NOT(AND(T125="",A126&lt;=S125)),"",IF(A126=入力!$B$15+1,"繰上返済後再計算","")&amp;IF(AND(入力!$B$13="有効",A126&gt;1,MOD(A126-1,60)=0),IF(A126=入力!$B$15+1,"・","")&amp;"5年見直し","")&amp;IF(AND(A126=入力!$B$11,A126&gt;1),IF(OR(A126=入力!$B$15+1,AND(入力!$B$13="有効",A126&gt;1,MOD(A126-1,60)=0)),"・","")&amp;"金利変更","")&amp;IF(AND(OR(AND(入力!$B$13="有効",A126&gt;1,MOD(A126-1,60)=0),AND(A126=入力!$B$11,A126&gt;1)),入力!$B$14="有効",IF(E126=0,ROUND(C126/MAX(1,S125-A126+1),0),ROUND(-PMT(E126/12,MAX(1,S125-A126+1),C126),0))&gt;ROUND(G125*1.25,0),NOT(A126=入力!$B$15+1)),"・上限適用",""))</f>
        <v>繰上返済後再計算・5年見直し</v>
      </c>
      <c r="Q126" s="35" t="str">
        <f>IF(AND(T125="",A126&lt;=S125),入力!$B$13,"")</f>
        <v>有効</v>
      </c>
      <c r="R126" s="32">
        <f>IF(AND(AND(T125="",A126&lt;=S125),OR(AND(入力!$B$13="有効",A126&gt;1,MOD(A126-1,60)=0),AND(A126=入力!$B$11,A126&gt;1)),入力!$B$14="有効"),ROUND(G125*1.25,0),"")</f>
        <v>146848</v>
      </c>
      <c r="S126" s="36">
        <f>IF(A126=入力!$B$15,A126+入力!$B$19,S125)</f>
        <v>360</v>
      </c>
      <c r="T126" s="35" t="str">
        <f t="shared" si="31"/>
        <v/>
      </c>
      <c r="U126" s="3">
        <f t="shared" si="16"/>
        <v>0</v>
      </c>
      <c r="V126" s="3">
        <f t="shared" si="17"/>
        <v>0</v>
      </c>
      <c r="W126" s="3">
        <f t="shared" si="18"/>
        <v>0</v>
      </c>
      <c r="X126" s="3">
        <f t="shared" si="19"/>
        <v>0</v>
      </c>
      <c r="Y126" s="3">
        <f>IF(A126&lt;入力!$B$15,ABS(G126-何もしない_月次!G126),0)</f>
        <v>0</v>
      </c>
      <c r="Z126" s="3">
        <f t="shared" si="20"/>
        <v>0</v>
      </c>
      <c r="AA126">
        <f>ROUND(IF(A126=入力!$B$15+1,IF(E126=0,ROUND(C126/入力!$B$19,0),ROUND(-PMT(E126/12,入力!$B$19,C126),0)),IF(OR(AND(入力!$B$13="有効",A126&gt;1,MOD(A126-1,60)=0),AND(A126=入力!$B$11,A126&gt;1)),IF(入力!$B$14="有効",MIN(IF(E126=0,ROUND(C126/MAX(1,S125-A126+1),0),ROUND(-PMT(E126/12,MAX(1,S125-A126+1),C126),0)),ROUND(G125*1.25,0)),IF(E126=0,ROUND(C126/MAX(1,S125-A126+1),0),ROUND(-PMT(E126/12,MAX(1,S125-A126+1),C126),0))),G125)),0)</f>
        <v>116935</v>
      </c>
    </row>
    <row r="127" spans="1:27">
      <c r="A127" s="30">
        <f>122</f>
        <v>122</v>
      </c>
      <c r="B127" s="31">
        <f>EDATE(入力!$B$6,A127-1)</f>
        <v>49919</v>
      </c>
      <c r="C127" s="32">
        <f t="shared" si="21"/>
        <v>21996204</v>
      </c>
      <c r="D127" s="32">
        <f t="shared" si="22"/>
        <v>0</v>
      </c>
      <c r="E127" s="33">
        <f>IF(AND(T126="",A127&lt;=S126),IF(A127&lt;入力!$B$11,入力!$B$10,入力!$B$12),0)</f>
        <v>2.5000000000000001E-2</v>
      </c>
      <c r="F127" s="32">
        <f t="shared" si="23"/>
        <v>45825</v>
      </c>
      <c r="G127" s="32">
        <f>ROUND(IF(NOT(AND(T126="",A127&lt;=S126)),0,IF(A127=入力!$B$15+1,IF(E127=0,ROUND(C127/入力!$B$19,0),ROUND(-PMT(E127/12,入力!$B$19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),0)</f>
        <v>116935</v>
      </c>
      <c r="H127" s="32">
        <f t="shared" si="24"/>
        <v>116935</v>
      </c>
      <c r="I127" s="32">
        <f t="shared" si="25"/>
        <v>45825</v>
      </c>
      <c r="J127" s="32">
        <f t="shared" si="26"/>
        <v>0</v>
      </c>
      <c r="K127" s="32">
        <f t="shared" si="27"/>
        <v>0</v>
      </c>
      <c r="L127" s="32">
        <f t="shared" si="28"/>
        <v>71110</v>
      </c>
      <c r="M127" s="32">
        <f>IF(AND(AND(T126="",A127&lt;=S126),A127=入力!$B$15),ROUND(MIN(入力!$B$16,MAX(0,C127-L127)),0),0)</f>
        <v>0</v>
      </c>
      <c r="N127" s="32">
        <f t="shared" si="29"/>
        <v>21925094</v>
      </c>
      <c r="O127" s="32">
        <f t="shared" si="30"/>
        <v>4846564</v>
      </c>
      <c r="P127" s="34" t="str">
        <f>IF(NOT(AND(T126="",A127&lt;=S126)),"",IF(A127=入力!$B$15+1,"繰上返済後再計算","")&amp;IF(AND(入力!$B$13="有効",A127&gt;1,MOD(A127-1,60)=0),IF(A127=入力!$B$15+1,"・","")&amp;"5年見直し","")&amp;IF(AND(A127=入力!$B$11,A127&gt;1),IF(OR(A127=入力!$B$15+1,AND(入力!$B$13="有効",A127&gt;1,MOD(A127-1,60)=0)),"・","")&amp;"金利変更","")&amp;IF(AND(OR(AND(入力!$B$13="有効",A127&gt;1,MOD(A127-1,60)=0),AND(A127=入力!$B$11,A127&gt;1)),入力!$B$14="有効",IF(E127=0,ROUND(C127/MAX(1,S126-A127+1),0),ROUND(-PMT(E127/12,MAX(1,S126-A127+1),C127),0))&gt;ROUND(G126*1.25,0),NOT(A127=入力!$B$15+1)),"・上限適用",""))</f>
        <v/>
      </c>
      <c r="Q127" s="35" t="str">
        <f>IF(AND(T126="",A127&lt;=S126),入力!$B$13,"")</f>
        <v>有効</v>
      </c>
      <c r="R127" s="32" t="str">
        <f>IF(AND(AND(T126="",A127&lt;=S126),OR(AND(入力!$B$13="有効",A127&gt;1,MOD(A127-1,60)=0),AND(A127=入力!$B$11,A127&gt;1)),入力!$B$14="有効"),ROUND(G126*1.25,0),"")</f>
        <v/>
      </c>
      <c r="S127" s="36">
        <f>IF(A127=入力!$B$15,A127+入力!$B$19,S126)</f>
        <v>360</v>
      </c>
      <c r="T127" s="35" t="str">
        <f t="shared" si="31"/>
        <v/>
      </c>
      <c r="U127" s="3">
        <f t="shared" si="16"/>
        <v>0</v>
      </c>
      <c r="V127" s="3">
        <f t="shared" si="17"/>
        <v>0</v>
      </c>
      <c r="W127" s="3">
        <f t="shared" si="18"/>
        <v>0</v>
      </c>
      <c r="X127" s="3">
        <f t="shared" si="19"/>
        <v>0</v>
      </c>
      <c r="Y127" s="3">
        <f>IF(A127&lt;入力!$B$15,ABS(G127-何もしない_月次!G127),0)</f>
        <v>0</v>
      </c>
      <c r="Z127" s="3">
        <f t="shared" si="20"/>
        <v>0</v>
      </c>
      <c r="AA127">
        <f>ROUND(IF(A127=入力!$B$15+1,IF(E127=0,ROUND(C127/入力!$B$19,0),ROUND(-PMT(E127/12,入力!$B$19,C127),0)),IF(OR(AND(入力!$B$13="有効",A127&gt;1,MOD(A127-1,60)=0),AND(A127=入力!$B$11,A127&gt;1)),IF(入力!$B$14="有効",MIN(IF(E127=0,ROUND(C127/MAX(1,S126-A127+1),0),ROUND(-PMT(E127/12,MAX(1,S126-A127+1),C127),0)),ROUND(G126*1.25,0)),IF(E127=0,ROUND(C127/MAX(1,S126-A127+1),0),ROUND(-PMT(E127/12,MAX(1,S126-A127+1),C127),0))),G126)),0)</f>
        <v>116935</v>
      </c>
    </row>
    <row r="128" spans="1:27">
      <c r="A128" s="30">
        <f>123</f>
        <v>123</v>
      </c>
      <c r="B128" s="31">
        <f>EDATE(入力!$B$6,A128-1)</f>
        <v>49949</v>
      </c>
      <c r="C128" s="32">
        <f t="shared" si="21"/>
        <v>21925094</v>
      </c>
      <c r="D128" s="32">
        <f t="shared" si="22"/>
        <v>0</v>
      </c>
      <c r="E128" s="33">
        <f>IF(AND(T127="",A128&lt;=S127),IF(A128&lt;入力!$B$11,入力!$B$10,入力!$B$12),0)</f>
        <v>2.5000000000000001E-2</v>
      </c>
      <c r="F128" s="32">
        <f t="shared" si="23"/>
        <v>45677</v>
      </c>
      <c r="G128" s="32">
        <f>ROUND(IF(NOT(AND(T127="",A128&lt;=S127)),0,IF(A128=入力!$B$15+1,IF(E128=0,ROUND(C128/入力!$B$19,0),ROUND(-PMT(E128/12,入力!$B$19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),0)</f>
        <v>116935</v>
      </c>
      <c r="H128" s="32">
        <f t="shared" si="24"/>
        <v>116935</v>
      </c>
      <c r="I128" s="32">
        <f t="shared" si="25"/>
        <v>45677</v>
      </c>
      <c r="J128" s="32">
        <f t="shared" si="26"/>
        <v>0</v>
      </c>
      <c r="K128" s="32">
        <f t="shared" si="27"/>
        <v>0</v>
      </c>
      <c r="L128" s="32">
        <f t="shared" si="28"/>
        <v>71258</v>
      </c>
      <c r="M128" s="32">
        <f>IF(AND(AND(T127="",A128&lt;=S127),A128=入力!$B$15),ROUND(MIN(入力!$B$16,MAX(0,C128-L128)),0),0)</f>
        <v>0</v>
      </c>
      <c r="N128" s="32">
        <f t="shared" si="29"/>
        <v>21853836</v>
      </c>
      <c r="O128" s="32">
        <f t="shared" si="30"/>
        <v>4892241</v>
      </c>
      <c r="P128" s="34" t="str">
        <f>IF(NOT(AND(T127="",A128&lt;=S127)),"",IF(A128=入力!$B$15+1,"繰上返済後再計算","")&amp;IF(AND(入力!$B$13="有効",A128&gt;1,MOD(A128-1,60)=0),IF(A128=入力!$B$15+1,"・","")&amp;"5年見直し","")&amp;IF(AND(A128=入力!$B$11,A128&gt;1),IF(OR(A128=入力!$B$15+1,AND(入力!$B$13="有効",A128&gt;1,MOD(A128-1,60)=0)),"・","")&amp;"金利変更","")&amp;IF(AND(OR(AND(入力!$B$13="有効",A128&gt;1,MOD(A128-1,60)=0),AND(A128=入力!$B$11,A128&gt;1)),入力!$B$14="有効",IF(E128=0,ROUND(C128/MAX(1,S127-A128+1),0),ROUND(-PMT(E128/12,MAX(1,S127-A128+1),C128),0))&gt;ROUND(G127*1.25,0),NOT(A128=入力!$B$15+1)),"・上限適用",""))</f>
        <v/>
      </c>
      <c r="Q128" s="35" t="str">
        <f>IF(AND(T127="",A128&lt;=S127),入力!$B$13,"")</f>
        <v>有効</v>
      </c>
      <c r="R128" s="32" t="str">
        <f>IF(AND(AND(T127="",A128&lt;=S127),OR(AND(入力!$B$13="有効",A128&gt;1,MOD(A128-1,60)=0),AND(A128=入力!$B$11,A128&gt;1)),入力!$B$14="有効"),ROUND(G127*1.25,0),"")</f>
        <v/>
      </c>
      <c r="S128" s="36">
        <f>IF(A128=入力!$B$15,A128+入力!$B$19,S127)</f>
        <v>360</v>
      </c>
      <c r="T128" s="35" t="str">
        <f t="shared" si="31"/>
        <v/>
      </c>
      <c r="U128" s="3">
        <f t="shared" si="16"/>
        <v>0</v>
      </c>
      <c r="V128" s="3">
        <f t="shared" si="17"/>
        <v>0</v>
      </c>
      <c r="W128" s="3">
        <f t="shared" si="18"/>
        <v>0</v>
      </c>
      <c r="X128" s="3">
        <f t="shared" si="19"/>
        <v>0</v>
      </c>
      <c r="Y128" s="3">
        <f>IF(A128&lt;入力!$B$15,ABS(G128-何もしない_月次!G128),0)</f>
        <v>0</v>
      </c>
      <c r="Z128" s="3">
        <f t="shared" si="20"/>
        <v>0</v>
      </c>
      <c r="AA128">
        <f>ROUND(IF(A128=入力!$B$15+1,IF(E128=0,ROUND(C128/入力!$B$19,0),ROUND(-PMT(E128/12,入力!$B$19,C128),0)),IF(OR(AND(入力!$B$13="有効",A128&gt;1,MOD(A128-1,60)=0),AND(A128=入力!$B$11,A128&gt;1)),IF(入力!$B$14="有効",MIN(IF(E128=0,ROUND(C128/MAX(1,S127-A128+1),0),ROUND(-PMT(E128/12,MAX(1,S127-A128+1),C128),0)),ROUND(G127*1.25,0)),IF(E128=0,ROUND(C128/MAX(1,S127-A128+1),0),ROUND(-PMT(E128/12,MAX(1,S127-A128+1),C128),0))),G127)),0)</f>
        <v>116935</v>
      </c>
    </row>
    <row r="129" spans="1:27">
      <c r="A129" s="30">
        <f>124</f>
        <v>124</v>
      </c>
      <c r="B129" s="31">
        <f>EDATE(入力!$B$6,A129-1)</f>
        <v>49980</v>
      </c>
      <c r="C129" s="32">
        <f t="shared" si="21"/>
        <v>21853836</v>
      </c>
      <c r="D129" s="32">
        <f t="shared" si="22"/>
        <v>0</v>
      </c>
      <c r="E129" s="33">
        <f>IF(AND(T128="",A129&lt;=S128),IF(A129&lt;入力!$B$11,入力!$B$10,入力!$B$12),0)</f>
        <v>2.5000000000000001E-2</v>
      </c>
      <c r="F129" s="32">
        <f t="shared" si="23"/>
        <v>45529</v>
      </c>
      <c r="G129" s="32">
        <f>ROUND(IF(NOT(AND(T128="",A129&lt;=S128)),0,IF(A129=入力!$B$15+1,IF(E129=0,ROUND(C129/入力!$B$19,0),ROUND(-PMT(E129/12,入力!$B$19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),0)</f>
        <v>116935</v>
      </c>
      <c r="H129" s="32">
        <f t="shared" si="24"/>
        <v>116935</v>
      </c>
      <c r="I129" s="32">
        <f t="shared" si="25"/>
        <v>45529</v>
      </c>
      <c r="J129" s="32">
        <f t="shared" si="26"/>
        <v>0</v>
      </c>
      <c r="K129" s="32">
        <f t="shared" si="27"/>
        <v>0</v>
      </c>
      <c r="L129" s="32">
        <f t="shared" si="28"/>
        <v>71406</v>
      </c>
      <c r="M129" s="32">
        <f>IF(AND(AND(T128="",A129&lt;=S128),A129=入力!$B$15),ROUND(MIN(入力!$B$16,MAX(0,C129-L129)),0),0)</f>
        <v>0</v>
      </c>
      <c r="N129" s="32">
        <f t="shared" si="29"/>
        <v>21782430</v>
      </c>
      <c r="O129" s="32">
        <f t="shared" si="30"/>
        <v>4937770</v>
      </c>
      <c r="P129" s="34" t="str">
        <f>IF(NOT(AND(T128="",A129&lt;=S128)),"",IF(A129=入力!$B$15+1,"繰上返済後再計算","")&amp;IF(AND(入力!$B$13="有効",A129&gt;1,MOD(A129-1,60)=0),IF(A129=入力!$B$15+1,"・","")&amp;"5年見直し","")&amp;IF(AND(A129=入力!$B$11,A129&gt;1),IF(OR(A129=入力!$B$15+1,AND(入力!$B$13="有効",A129&gt;1,MOD(A129-1,60)=0)),"・","")&amp;"金利変更","")&amp;IF(AND(OR(AND(入力!$B$13="有効",A129&gt;1,MOD(A129-1,60)=0),AND(A129=入力!$B$11,A129&gt;1)),入力!$B$14="有効",IF(E129=0,ROUND(C129/MAX(1,S128-A129+1),0),ROUND(-PMT(E129/12,MAX(1,S128-A129+1),C129),0))&gt;ROUND(G128*1.25,0),NOT(A129=入力!$B$15+1)),"・上限適用",""))</f>
        <v/>
      </c>
      <c r="Q129" s="35" t="str">
        <f>IF(AND(T128="",A129&lt;=S128),入力!$B$13,"")</f>
        <v>有効</v>
      </c>
      <c r="R129" s="32" t="str">
        <f>IF(AND(AND(T128="",A129&lt;=S128),OR(AND(入力!$B$13="有効",A129&gt;1,MOD(A129-1,60)=0),AND(A129=入力!$B$11,A129&gt;1)),入力!$B$14="有効"),ROUND(G128*1.25,0),"")</f>
        <v/>
      </c>
      <c r="S129" s="36">
        <f>IF(A129=入力!$B$15,A129+入力!$B$19,S128)</f>
        <v>360</v>
      </c>
      <c r="T129" s="35" t="str">
        <f t="shared" si="31"/>
        <v/>
      </c>
      <c r="U129" s="3">
        <f t="shared" si="16"/>
        <v>0</v>
      </c>
      <c r="V129" s="3">
        <f t="shared" si="17"/>
        <v>0</v>
      </c>
      <c r="W129" s="3">
        <f t="shared" si="18"/>
        <v>0</v>
      </c>
      <c r="X129" s="3">
        <f t="shared" si="19"/>
        <v>0</v>
      </c>
      <c r="Y129" s="3">
        <f>IF(A129&lt;入力!$B$15,ABS(G129-何もしない_月次!G129),0)</f>
        <v>0</v>
      </c>
      <c r="Z129" s="3">
        <f t="shared" si="20"/>
        <v>0</v>
      </c>
      <c r="AA129">
        <f>ROUND(IF(A129=入力!$B$15+1,IF(E129=0,ROUND(C129/入力!$B$19,0),ROUND(-PMT(E129/12,入力!$B$19,C129),0)),IF(OR(AND(入力!$B$13="有効",A129&gt;1,MOD(A129-1,60)=0),AND(A129=入力!$B$11,A129&gt;1)),IF(入力!$B$14="有効",MIN(IF(E129=0,ROUND(C129/MAX(1,S128-A129+1),0),ROUND(-PMT(E129/12,MAX(1,S128-A129+1),C129),0)),ROUND(G128*1.25,0)),IF(E129=0,ROUND(C129/MAX(1,S128-A129+1),0),ROUND(-PMT(E129/12,MAX(1,S128-A129+1),C129),0))),G128)),0)</f>
        <v>116935</v>
      </c>
    </row>
    <row r="130" spans="1:27">
      <c r="A130" s="30">
        <f>125</f>
        <v>125</v>
      </c>
      <c r="B130" s="31">
        <f>EDATE(入力!$B$6,A130-1)</f>
        <v>50010</v>
      </c>
      <c r="C130" s="32">
        <f t="shared" si="21"/>
        <v>21782430</v>
      </c>
      <c r="D130" s="32">
        <f t="shared" si="22"/>
        <v>0</v>
      </c>
      <c r="E130" s="33">
        <f>IF(AND(T129="",A130&lt;=S129),IF(A130&lt;入力!$B$11,入力!$B$10,入力!$B$12),0)</f>
        <v>2.5000000000000001E-2</v>
      </c>
      <c r="F130" s="32">
        <f t="shared" si="23"/>
        <v>45380</v>
      </c>
      <c r="G130" s="32">
        <f>ROUND(IF(NOT(AND(T129="",A130&lt;=S129)),0,IF(A130=入力!$B$15+1,IF(E130=0,ROUND(C130/入力!$B$19,0),ROUND(-PMT(E130/12,入力!$B$19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),0)</f>
        <v>116935</v>
      </c>
      <c r="H130" s="32">
        <f t="shared" si="24"/>
        <v>116935</v>
      </c>
      <c r="I130" s="32">
        <f t="shared" si="25"/>
        <v>45380</v>
      </c>
      <c r="J130" s="32">
        <f t="shared" si="26"/>
        <v>0</v>
      </c>
      <c r="K130" s="32">
        <f t="shared" si="27"/>
        <v>0</v>
      </c>
      <c r="L130" s="32">
        <f t="shared" si="28"/>
        <v>71555</v>
      </c>
      <c r="M130" s="32">
        <f>IF(AND(AND(T129="",A130&lt;=S129),A130=入力!$B$15),ROUND(MIN(入力!$B$16,MAX(0,C130-L130)),0),0)</f>
        <v>0</v>
      </c>
      <c r="N130" s="32">
        <f t="shared" si="29"/>
        <v>21710875</v>
      </c>
      <c r="O130" s="32">
        <f t="shared" si="30"/>
        <v>4983150</v>
      </c>
      <c r="P130" s="34" t="str">
        <f>IF(NOT(AND(T129="",A130&lt;=S129)),"",IF(A130=入力!$B$15+1,"繰上返済後再計算","")&amp;IF(AND(入力!$B$13="有効",A130&gt;1,MOD(A130-1,60)=0),IF(A130=入力!$B$15+1,"・","")&amp;"5年見直し","")&amp;IF(AND(A130=入力!$B$11,A130&gt;1),IF(OR(A130=入力!$B$15+1,AND(入力!$B$13="有効",A130&gt;1,MOD(A130-1,60)=0)),"・","")&amp;"金利変更","")&amp;IF(AND(OR(AND(入力!$B$13="有効",A130&gt;1,MOD(A130-1,60)=0),AND(A130=入力!$B$11,A130&gt;1)),入力!$B$14="有効",IF(E130=0,ROUND(C130/MAX(1,S129-A130+1),0),ROUND(-PMT(E130/12,MAX(1,S129-A130+1),C130),0))&gt;ROUND(G129*1.25,0),NOT(A130=入力!$B$15+1)),"・上限適用",""))</f>
        <v/>
      </c>
      <c r="Q130" s="35" t="str">
        <f>IF(AND(T129="",A130&lt;=S129),入力!$B$13,"")</f>
        <v>有効</v>
      </c>
      <c r="R130" s="32" t="str">
        <f>IF(AND(AND(T129="",A130&lt;=S129),OR(AND(入力!$B$13="有効",A130&gt;1,MOD(A130-1,60)=0),AND(A130=入力!$B$11,A130&gt;1)),入力!$B$14="有効"),ROUND(G129*1.25,0),"")</f>
        <v/>
      </c>
      <c r="S130" s="36">
        <f>IF(A130=入力!$B$15,A130+入力!$B$19,S129)</f>
        <v>360</v>
      </c>
      <c r="T130" s="35" t="str">
        <f t="shared" si="31"/>
        <v/>
      </c>
      <c r="U130" s="3">
        <f t="shared" si="16"/>
        <v>0</v>
      </c>
      <c r="V130" s="3">
        <f t="shared" si="17"/>
        <v>0</v>
      </c>
      <c r="W130" s="3">
        <f t="shared" si="18"/>
        <v>0</v>
      </c>
      <c r="X130" s="3">
        <f t="shared" si="19"/>
        <v>0</v>
      </c>
      <c r="Y130" s="3">
        <f>IF(A130&lt;入力!$B$15,ABS(G130-何もしない_月次!G130),0)</f>
        <v>0</v>
      </c>
      <c r="Z130" s="3">
        <f t="shared" si="20"/>
        <v>0</v>
      </c>
      <c r="AA130">
        <f>ROUND(IF(A130=入力!$B$15+1,IF(E130=0,ROUND(C130/入力!$B$19,0),ROUND(-PMT(E130/12,入力!$B$19,C130),0)),IF(OR(AND(入力!$B$13="有効",A130&gt;1,MOD(A130-1,60)=0),AND(A130=入力!$B$11,A130&gt;1)),IF(入力!$B$14="有効",MIN(IF(E130=0,ROUND(C130/MAX(1,S129-A130+1),0),ROUND(-PMT(E130/12,MAX(1,S129-A130+1),C130),0)),ROUND(G129*1.25,0)),IF(E130=0,ROUND(C130/MAX(1,S129-A130+1),0),ROUND(-PMT(E130/12,MAX(1,S129-A130+1),C130),0))),G129)),0)</f>
        <v>116935</v>
      </c>
    </row>
    <row r="131" spans="1:27">
      <c r="A131" s="30">
        <f>126</f>
        <v>126</v>
      </c>
      <c r="B131" s="31">
        <f>EDATE(入力!$B$6,A131-1)</f>
        <v>50041</v>
      </c>
      <c r="C131" s="32">
        <f t="shared" si="21"/>
        <v>21710875</v>
      </c>
      <c r="D131" s="32">
        <f t="shared" si="22"/>
        <v>0</v>
      </c>
      <c r="E131" s="33">
        <f>IF(AND(T130="",A131&lt;=S130),IF(A131&lt;入力!$B$11,入力!$B$10,入力!$B$12),0)</f>
        <v>2.5000000000000001E-2</v>
      </c>
      <c r="F131" s="32">
        <f t="shared" si="23"/>
        <v>45231</v>
      </c>
      <c r="G131" s="32">
        <f>ROUND(IF(NOT(AND(T130="",A131&lt;=S130)),0,IF(A131=入力!$B$15+1,IF(E131=0,ROUND(C131/入力!$B$19,0),ROUND(-PMT(E131/12,入力!$B$19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),0)</f>
        <v>116935</v>
      </c>
      <c r="H131" s="32">
        <f t="shared" si="24"/>
        <v>116935</v>
      </c>
      <c r="I131" s="32">
        <f t="shared" si="25"/>
        <v>45231</v>
      </c>
      <c r="J131" s="32">
        <f t="shared" si="26"/>
        <v>0</v>
      </c>
      <c r="K131" s="32">
        <f t="shared" si="27"/>
        <v>0</v>
      </c>
      <c r="L131" s="32">
        <f t="shared" si="28"/>
        <v>71704</v>
      </c>
      <c r="M131" s="32">
        <f>IF(AND(AND(T130="",A131&lt;=S130),A131=入力!$B$15),ROUND(MIN(入力!$B$16,MAX(0,C131-L131)),0),0)</f>
        <v>0</v>
      </c>
      <c r="N131" s="32">
        <f t="shared" si="29"/>
        <v>21639171</v>
      </c>
      <c r="O131" s="32">
        <f t="shared" si="30"/>
        <v>5028381</v>
      </c>
      <c r="P131" s="34" t="str">
        <f>IF(NOT(AND(T130="",A131&lt;=S130)),"",IF(A131=入力!$B$15+1,"繰上返済後再計算","")&amp;IF(AND(入力!$B$13="有効",A131&gt;1,MOD(A131-1,60)=0),IF(A131=入力!$B$15+1,"・","")&amp;"5年見直し","")&amp;IF(AND(A131=入力!$B$11,A131&gt;1),IF(OR(A131=入力!$B$15+1,AND(入力!$B$13="有効",A131&gt;1,MOD(A131-1,60)=0)),"・","")&amp;"金利変更","")&amp;IF(AND(OR(AND(入力!$B$13="有効",A131&gt;1,MOD(A131-1,60)=0),AND(A131=入力!$B$11,A131&gt;1)),入力!$B$14="有効",IF(E131=0,ROUND(C131/MAX(1,S130-A131+1),0),ROUND(-PMT(E131/12,MAX(1,S130-A131+1),C131),0))&gt;ROUND(G130*1.25,0),NOT(A131=入力!$B$15+1)),"・上限適用",""))</f>
        <v/>
      </c>
      <c r="Q131" s="35" t="str">
        <f>IF(AND(T130="",A131&lt;=S130),入力!$B$13,"")</f>
        <v>有効</v>
      </c>
      <c r="R131" s="32" t="str">
        <f>IF(AND(AND(T130="",A131&lt;=S130),OR(AND(入力!$B$13="有効",A131&gt;1,MOD(A131-1,60)=0),AND(A131=入力!$B$11,A131&gt;1)),入力!$B$14="有効"),ROUND(G130*1.25,0),"")</f>
        <v/>
      </c>
      <c r="S131" s="36">
        <f>IF(A131=入力!$B$15,A131+入力!$B$19,S130)</f>
        <v>360</v>
      </c>
      <c r="T131" s="35" t="str">
        <f t="shared" si="31"/>
        <v/>
      </c>
      <c r="U131" s="3">
        <f t="shared" si="16"/>
        <v>0</v>
      </c>
      <c r="V131" s="3">
        <f t="shared" si="17"/>
        <v>0</v>
      </c>
      <c r="W131" s="3">
        <f t="shared" si="18"/>
        <v>0</v>
      </c>
      <c r="X131" s="3">
        <f t="shared" si="19"/>
        <v>0</v>
      </c>
      <c r="Y131" s="3">
        <f>IF(A131&lt;入力!$B$15,ABS(G131-何もしない_月次!G131),0)</f>
        <v>0</v>
      </c>
      <c r="Z131" s="3">
        <f t="shared" si="20"/>
        <v>0</v>
      </c>
      <c r="AA131">
        <f>ROUND(IF(A131=入力!$B$15+1,IF(E131=0,ROUND(C131/入力!$B$19,0),ROUND(-PMT(E131/12,入力!$B$19,C131),0)),IF(OR(AND(入力!$B$13="有効",A131&gt;1,MOD(A131-1,60)=0),AND(A131=入力!$B$11,A131&gt;1)),IF(入力!$B$14="有効",MIN(IF(E131=0,ROUND(C131/MAX(1,S130-A131+1),0),ROUND(-PMT(E131/12,MAX(1,S130-A131+1),C131),0)),ROUND(G130*1.25,0)),IF(E131=0,ROUND(C131/MAX(1,S130-A131+1),0),ROUND(-PMT(E131/12,MAX(1,S130-A131+1),C131),0))),G130)),0)</f>
        <v>116935</v>
      </c>
    </row>
    <row r="132" spans="1:27">
      <c r="A132" s="30">
        <f>127</f>
        <v>127</v>
      </c>
      <c r="B132" s="31">
        <f>EDATE(入力!$B$6,A132-1)</f>
        <v>50072</v>
      </c>
      <c r="C132" s="32">
        <f t="shared" si="21"/>
        <v>21639171</v>
      </c>
      <c r="D132" s="32">
        <f t="shared" si="22"/>
        <v>0</v>
      </c>
      <c r="E132" s="33">
        <f>IF(AND(T131="",A132&lt;=S131),IF(A132&lt;入力!$B$11,入力!$B$10,入力!$B$12),0)</f>
        <v>2.5000000000000001E-2</v>
      </c>
      <c r="F132" s="32">
        <f t="shared" si="23"/>
        <v>45082</v>
      </c>
      <c r="G132" s="32">
        <f>ROUND(IF(NOT(AND(T131="",A132&lt;=S131)),0,IF(A132=入力!$B$15+1,IF(E132=0,ROUND(C132/入力!$B$19,0),ROUND(-PMT(E132/12,入力!$B$19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),0)</f>
        <v>116935</v>
      </c>
      <c r="H132" s="32">
        <f t="shared" si="24"/>
        <v>116935</v>
      </c>
      <c r="I132" s="32">
        <f t="shared" si="25"/>
        <v>45082</v>
      </c>
      <c r="J132" s="32">
        <f t="shared" si="26"/>
        <v>0</v>
      </c>
      <c r="K132" s="32">
        <f t="shared" si="27"/>
        <v>0</v>
      </c>
      <c r="L132" s="32">
        <f t="shared" si="28"/>
        <v>71853</v>
      </c>
      <c r="M132" s="32">
        <f>IF(AND(AND(T131="",A132&lt;=S131),A132=入力!$B$15),ROUND(MIN(入力!$B$16,MAX(0,C132-L132)),0),0)</f>
        <v>0</v>
      </c>
      <c r="N132" s="32">
        <f t="shared" si="29"/>
        <v>21567318</v>
      </c>
      <c r="O132" s="32">
        <f t="shared" si="30"/>
        <v>5073463</v>
      </c>
      <c r="P132" s="34" t="str">
        <f>IF(NOT(AND(T131="",A132&lt;=S131)),"",IF(A132=入力!$B$15+1,"繰上返済後再計算","")&amp;IF(AND(入力!$B$13="有効",A132&gt;1,MOD(A132-1,60)=0),IF(A132=入力!$B$15+1,"・","")&amp;"5年見直し","")&amp;IF(AND(A132=入力!$B$11,A132&gt;1),IF(OR(A132=入力!$B$15+1,AND(入力!$B$13="有効",A132&gt;1,MOD(A132-1,60)=0)),"・","")&amp;"金利変更","")&amp;IF(AND(OR(AND(入力!$B$13="有効",A132&gt;1,MOD(A132-1,60)=0),AND(A132=入力!$B$11,A132&gt;1)),入力!$B$14="有効",IF(E132=0,ROUND(C132/MAX(1,S131-A132+1),0),ROUND(-PMT(E132/12,MAX(1,S131-A132+1),C132),0))&gt;ROUND(G131*1.25,0),NOT(A132=入力!$B$15+1)),"・上限適用",""))</f>
        <v/>
      </c>
      <c r="Q132" s="35" t="str">
        <f>IF(AND(T131="",A132&lt;=S131),入力!$B$13,"")</f>
        <v>有効</v>
      </c>
      <c r="R132" s="32" t="str">
        <f>IF(AND(AND(T131="",A132&lt;=S131),OR(AND(入力!$B$13="有効",A132&gt;1,MOD(A132-1,60)=0),AND(A132=入力!$B$11,A132&gt;1)),入力!$B$14="有効"),ROUND(G131*1.25,0),"")</f>
        <v/>
      </c>
      <c r="S132" s="36">
        <f>IF(A132=入力!$B$15,A132+入力!$B$19,S131)</f>
        <v>360</v>
      </c>
      <c r="T132" s="35" t="str">
        <f t="shared" si="31"/>
        <v/>
      </c>
      <c r="U132" s="3">
        <f t="shared" si="16"/>
        <v>0</v>
      </c>
      <c r="V132" s="3">
        <f t="shared" si="17"/>
        <v>0</v>
      </c>
      <c r="W132" s="3">
        <f t="shared" si="18"/>
        <v>0</v>
      </c>
      <c r="X132" s="3">
        <f t="shared" si="19"/>
        <v>0</v>
      </c>
      <c r="Y132" s="3">
        <f>IF(A132&lt;入力!$B$15,ABS(G132-何もしない_月次!G132),0)</f>
        <v>0</v>
      </c>
      <c r="Z132" s="3">
        <f t="shared" si="20"/>
        <v>0</v>
      </c>
      <c r="AA132">
        <f>ROUND(IF(A132=入力!$B$15+1,IF(E132=0,ROUND(C132/入力!$B$19,0),ROUND(-PMT(E132/12,入力!$B$19,C132),0)),IF(OR(AND(入力!$B$13="有効",A132&gt;1,MOD(A132-1,60)=0),AND(A132=入力!$B$11,A132&gt;1)),IF(入力!$B$14="有効",MIN(IF(E132=0,ROUND(C132/MAX(1,S131-A132+1),0),ROUND(-PMT(E132/12,MAX(1,S131-A132+1),C132),0)),ROUND(G131*1.25,0)),IF(E132=0,ROUND(C132/MAX(1,S131-A132+1),0),ROUND(-PMT(E132/12,MAX(1,S131-A132+1),C132),0))),G131)),0)</f>
        <v>116935</v>
      </c>
    </row>
    <row r="133" spans="1:27">
      <c r="A133" s="30">
        <f>128</f>
        <v>128</v>
      </c>
      <c r="B133" s="31">
        <f>EDATE(入力!$B$6,A133-1)</f>
        <v>50100</v>
      </c>
      <c r="C133" s="32">
        <f t="shared" si="21"/>
        <v>21567318</v>
      </c>
      <c r="D133" s="32">
        <f t="shared" si="22"/>
        <v>0</v>
      </c>
      <c r="E133" s="33">
        <f>IF(AND(T132="",A133&lt;=S132),IF(A133&lt;入力!$B$11,入力!$B$10,入力!$B$12),0)</f>
        <v>2.5000000000000001E-2</v>
      </c>
      <c r="F133" s="32">
        <f t="shared" si="23"/>
        <v>44932</v>
      </c>
      <c r="G133" s="32">
        <f>ROUND(IF(NOT(AND(T132="",A133&lt;=S132)),0,IF(A133=入力!$B$15+1,IF(E133=0,ROUND(C133/入力!$B$19,0),ROUND(-PMT(E133/12,入力!$B$19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),0)</f>
        <v>116935</v>
      </c>
      <c r="H133" s="32">
        <f t="shared" si="24"/>
        <v>116935</v>
      </c>
      <c r="I133" s="32">
        <f t="shared" si="25"/>
        <v>44932</v>
      </c>
      <c r="J133" s="32">
        <f t="shared" si="26"/>
        <v>0</v>
      </c>
      <c r="K133" s="32">
        <f t="shared" si="27"/>
        <v>0</v>
      </c>
      <c r="L133" s="32">
        <f t="shared" si="28"/>
        <v>72003</v>
      </c>
      <c r="M133" s="32">
        <f>IF(AND(AND(T132="",A133&lt;=S132),A133=入力!$B$15),ROUND(MIN(入力!$B$16,MAX(0,C133-L133)),0),0)</f>
        <v>0</v>
      </c>
      <c r="N133" s="32">
        <f t="shared" si="29"/>
        <v>21495315</v>
      </c>
      <c r="O133" s="32">
        <f t="shared" si="30"/>
        <v>5118395</v>
      </c>
      <c r="P133" s="34" t="str">
        <f>IF(NOT(AND(T132="",A133&lt;=S132)),"",IF(A133=入力!$B$15+1,"繰上返済後再計算","")&amp;IF(AND(入力!$B$13="有効",A133&gt;1,MOD(A133-1,60)=0),IF(A133=入力!$B$15+1,"・","")&amp;"5年見直し","")&amp;IF(AND(A133=入力!$B$11,A133&gt;1),IF(OR(A133=入力!$B$15+1,AND(入力!$B$13="有効",A133&gt;1,MOD(A133-1,60)=0)),"・","")&amp;"金利変更","")&amp;IF(AND(OR(AND(入力!$B$13="有効",A133&gt;1,MOD(A133-1,60)=0),AND(A133=入力!$B$11,A133&gt;1)),入力!$B$14="有効",IF(E133=0,ROUND(C133/MAX(1,S132-A133+1),0),ROUND(-PMT(E133/12,MAX(1,S132-A133+1),C133),0))&gt;ROUND(G132*1.25,0),NOT(A133=入力!$B$15+1)),"・上限適用",""))</f>
        <v/>
      </c>
      <c r="Q133" s="35" t="str">
        <f>IF(AND(T132="",A133&lt;=S132),入力!$B$13,"")</f>
        <v>有効</v>
      </c>
      <c r="R133" s="32" t="str">
        <f>IF(AND(AND(T132="",A133&lt;=S132),OR(AND(入力!$B$13="有効",A133&gt;1,MOD(A133-1,60)=0),AND(A133=入力!$B$11,A133&gt;1)),入力!$B$14="有効"),ROUND(G132*1.25,0),"")</f>
        <v/>
      </c>
      <c r="S133" s="36">
        <f>IF(A133=入力!$B$15,A133+入力!$B$19,S132)</f>
        <v>360</v>
      </c>
      <c r="T133" s="35" t="str">
        <f t="shared" si="31"/>
        <v/>
      </c>
      <c r="U133" s="3">
        <f t="shared" si="16"/>
        <v>0</v>
      </c>
      <c r="V133" s="3">
        <f t="shared" si="17"/>
        <v>0</v>
      </c>
      <c r="W133" s="3">
        <f t="shared" si="18"/>
        <v>0</v>
      </c>
      <c r="X133" s="3">
        <f t="shared" si="19"/>
        <v>0</v>
      </c>
      <c r="Y133" s="3">
        <f>IF(A133&lt;入力!$B$15,ABS(G133-何もしない_月次!G133),0)</f>
        <v>0</v>
      </c>
      <c r="Z133" s="3">
        <f t="shared" si="20"/>
        <v>0</v>
      </c>
      <c r="AA133">
        <f>ROUND(IF(A133=入力!$B$15+1,IF(E133=0,ROUND(C133/入力!$B$19,0),ROUND(-PMT(E133/12,入力!$B$19,C133),0)),IF(OR(AND(入力!$B$13="有効",A133&gt;1,MOD(A133-1,60)=0),AND(A133=入力!$B$11,A133&gt;1)),IF(入力!$B$14="有効",MIN(IF(E133=0,ROUND(C133/MAX(1,S132-A133+1),0),ROUND(-PMT(E133/12,MAX(1,S132-A133+1),C133),0)),ROUND(G132*1.25,0)),IF(E133=0,ROUND(C133/MAX(1,S132-A133+1),0),ROUND(-PMT(E133/12,MAX(1,S132-A133+1),C133),0))),G132)),0)</f>
        <v>116935</v>
      </c>
    </row>
    <row r="134" spans="1:27">
      <c r="A134" s="30">
        <f>129</f>
        <v>129</v>
      </c>
      <c r="B134" s="31">
        <f>EDATE(入力!$B$6,A134-1)</f>
        <v>50131</v>
      </c>
      <c r="C134" s="32">
        <f t="shared" si="21"/>
        <v>21495315</v>
      </c>
      <c r="D134" s="32">
        <f t="shared" si="22"/>
        <v>0</v>
      </c>
      <c r="E134" s="33">
        <f>IF(AND(T133="",A134&lt;=S133),IF(A134&lt;入力!$B$11,入力!$B$10,入力!$B$12),0)</f>
        <v>2.5000000000000001E-2</v>
      </c>
      <c r="F134" s="32">
        <f t="shared" si="23"/>
        <v>44782</v>
      </c>
      <c r="G134" s="32">
        <f>ROUND(IF(NOT(AND(T133="",A134&lt;=S133)),0,IF(A134=入力!$B$15+1,IF(E134=0,ROUND(C134/入力!$B$19,0),ROUND(-PMT(E134/12,入力!$B$19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),0)</f>
        <v>116935</v>
      </c>
      <c r="H134" s="32">
        <f t="shared" si="24"/>
        <v>116935</v>
      </c>
      <c r="I134" s="32">
        <f t="shared" si="25"/>
        <v>44782</v>
      </c>
      <c r="J134" s="32">
        <f t="shared" si="26"/>
        <v>0</v>
      </c>
      <c r="K134" s="32">
        <f t="shared" si="27"/>
        <v>0</v>
      </c>
      <c r="L134" s="32">
        <f t="shared" si="28"/>
        <v>72153</v>
      </c>
      <c r="M134" s="32">
        <f>IF(AND(AND(T133="",A134&lt;=S133),A134=入力!$B$15),ROUND(MIN(入力!$B$16,MAX(0,C134-L134)),0),0)</f>
        <v>0</v>
      </c>
      <c r="N134" s="32">
        <f t="shared" si="29"/>
        <v>21423162</v>
      </c>
      <c r="O134" s="32">
        <f t="shared" si="30"/>
        <v>5163177</v>
      </c>
      <c r="P134" s="34" t="str">
        <f>IF(NOT(AND(T133="",A134&lt;=S133)),"",IF(A134=入力!$B$15+1,"繰上返済後再計算","")&amp;IF(AND(入力!$B$13="有効",A134&gt;1,MOD(A134-1,60)=0),IF(A134=入力!$B$15+1,"・","")&amp;"5年見直し","")&amp;IF(AND(A134=入力!$B$11,A134&gt;1),IF(OR(A134=入力!$B$15+1,AND(入力!$B$13="有効",A134&gt;1,MOD(A134-1,60)=0)),"・","")&amp;"金利変更","")&amp;IF(AND(OR(AND(入力!$B$13="有効",A134&gt;1,MOD(A134-1,60)=0),AND(A134=入力!$B$11,A134&gt;1)),入力!$B$14="有効",IF(E134=0,ROUND(C134/MAX(1,S133-A134+1),0),ROUND(-PMT(E134/12,MAX(1,S133-A134+1),C134),0))&gt;ROUND(G133*1.25,0),NOT(A134=入力!$B$15+1)),"・上限適用",""))</f>
        <v/>
      </c>
      <c r="Q134" s="35" t="str">
        <f>IF(AND(T133="",A134&lt;=S133),入力!$B$13,"")</f>
        <v>有効</v>
      </c>
      <c r="R134" s="32" t="str">
        <f>IF(AND(AND(T133="",A134&lt;=S133),OR(AND(入力!$B$13="有効",A134&gt;1,MOD(A134-1,60)=0),AND(A134=入力!$B$11,A134&gt;1)),入力!$B$14="有効"),ROUND(G133*1.25,0),"")</f>
        <v/>
      </c>
      <c r="S134" s="36">
        <f>IF(A134=入力!$B$15,A134+入力!$B$19,S133)</f>
        <v>360</v>
      </c>
      <c r="T134" s="35" t="str">
        <f t="shared" si="31"/>
        <v/>
      </c>
      <c r="U134" s="3">
        <f t="shared" ref="U134:U197" si="32">ABS(I134-MIN(H134,D134+F134))</f>
        <v>0</v>
      </c>
      <c r="V134" s="3">
        <f t="shared" ref="V134:V197" si="33">ABS(L134-(H134-I134))</f>
        <v>0</v>
      </c>
      <c r="W134" s="3">
        <f t="shared" ref="W134:W197" si="34">ABS(K134-(D134+J134))</f>
        <v>0</v>
      </c>
      <c r="X134" s="3">
        <f t="shared" ref="X134:X197" si="35">ABS(F134-ROUND(F134,0))+ABS(G134-ROUND(G134,0))+ABS(H134-ROUND(H134,0))+ABS(I134-ROUND(I134,0))+ABS(J134-ROUND(J134,0))+ABS(K134-ROUND(K134,0))+ABS(L134-ROUND(L134,0))+ABS(M134-ROUND(M134,0))+ABS(N134-ROUND(N134,0))+ABS(O134-ROUND(O134,0))</f>
        <v>0</v>
      </c>
      <c r="Y134" s="3">
        <f>IF(A134&lt;入力!$B$15,ABS(G134-何もしない_月次!G134),0)</f>
        <v>0</v>
      </c>
      <c r="Z134" s="3">
        <f t="shared" ref="Z134:Z197" si="36">SUM(--ISERROR(A134),--ISERROR(B134),--ISERROR(C134),--ISERROR(D134),--ISERROR(E134),--ISERROR(F134),--ISERROR(G134),--ISERROR(H134),--ISERROR(I134),--ISERROR(J134),--ISERROR(K134),--ISERROR(L134),--ISERROR(M134),--ISERROR(N134),--ISERROR(O134),--ISERROR(P134),--ISERROR(Q134),--ISERROR(R134),--ISERROR(S134),--ISERROR(T134))</f>
        <v>0</v>
      </c>
      <c r="AA134">
        <f>ROUND(IF(A134=入力!$B$15+1,IF(E134=0,ROUND(C134/入力!$B$19,0),ROUND(-PMT(E134/12,入力!$B$19,C134),0)),IF(OR(AND(入力!$B$13="有効",A134&gt;1,MOD(A134-1,60)=0),AND(A134=入力!$B$11,A134&gt;1)),IF(入力!$B$14="有効",MIN(IF(E134=0,ROUND(C134/MAX(1,S133-A134+1),0),ROUND(-PMT(E134/12,MAX(1,S133-A134+1),C134),0)),ROUND(G133*1.25,0)),IF(E134=0,ROUND(C134/MAX(1,S133-A134+1),0),ROUND(-PMT(E134/12,MAX(1,S133-A134+1),C134),0))),G133)),0)</f>
        <v>116935</v>
      </c>
    </row>
    <row r="135" spans="1:27">
      <c r="A135" s="30">
        <f>130</f>
        <v>130</v>
      </c>
      <c r="B135" s="31">
        <f>EDATE(入力!$B$6,A135-1)</f>
        <v>50161</v>
      </c>
      <c r="C135" s="32">
        <f t="shared" ref="C135:C198" si="37">IF(AND(T134="",A135&lt;=S134),N134,0)</f>
        <v>21423162</v>
      </c>
      <c r="D135" s="32">
        <f t="shared" ref="D135:D198" si="38">IF(AND(T134="",A135&lt;=S134),K134,0)</f>
        <v>0</v>
      </c>
      <c r="E135" s="33">
        <f>IF(AND(T134="",A135&lt;=S134),IF(A135&lt;入力!$B$11,入力!$B$10,入力!$B$12),0)</f>
        <v>2.5000000000000001E-2</v>
      </c>
      <c r="F135" s="32">
        <f t="shared" ref="F135:F198" si="39">IF(AND(T134="",A135&lt;=S134),ROUND(C135*E135/12,0),0)</f>
        <v>44632</v>
      </c>
      <c r="G135" s="32">
        <f>ROUND(IF(NOT(AND(T134="",A135&lt;=S134)),0,IF(A135=入力!$B$15+1,IF(E135=0,ROUND(C135/入力!$B$19,0),ROUND(-PMT(E135/12,入力!$B$19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),0)</f>
        <v>116935</v>
      </c>
      <c r="H135" s="32">
        <f t="shared" ref="H135:H198" si="40">IF(AND(T134="",A135&lt;=S134),ROUND(MIN(G135,C135+D135+F135),0),0)</f>
        <v>116935</v>
      </c>
      <c r="I135" s="32">
        <f t="shared" ref="I135:I198" si="41">IF(AND(T134="",A135&lt;=S134),ROUND(MIN(H135,D135+F135),0),0)</f>
        <v>44632</v>
      </c>
      <c r="J135" s="32">
        <f t="shared" ref="J135:J198" si="42">IF(AND(T134="",A135&lt;=S134),ROUND(F135-I135,0),0)</f>
        <v>0</v>
      </c>
      <c r="K135" s="32">
        <f t="shared" ref="K135:K198" si="43">IF(AND(T134="",A135&lt;=S134),ROUND(D135+J135,0),0)</f>
        <v>0</v>
      </c>
      <c r="L135" s="32">
        <f t="shared" ref="L135:L198" si="44">IF(AND(T134="",A135&lt;=S134),ROUND(H135-I135,0),0)</f>
        <v>72303</v>
      </c>
      <c r="M135" s="32">
        <f>IF(AND(AND(T134="",A135&lt;=S134),A135=入力!$B$15),ROUND(MIN(入力!$B$16,MAX(0,C135-L135)),0),0)</f>
        <v>0</v>
      </c>
      <c r="N135" s="32">
        <f t="shared" ref="N135:N198" si="45">IF(AND(T134="",A135&lt;=S134),ROUND(MAX(0,C135-L135-M135),0),0)</f>
        <v>21350859</v>
      </c>
      <c r="O135" s="32">
        <f t="shared" ref="O135:O198" si="46">IF(AND(T134="",A135&lt;=S134),ROUND(O134+F135,0),O134)</f>
        <v>5207809</v>
      </c>
      <c r="P135" s="34" t="str">
        <f>IF(NOT(AND(T134="",A135&lt;=S134)),"",IF(A135=入力!$B$15+1,"繰上返済後再計算","")&amp;IF(AND(入力!$B$13="有効",A135&gt;1,MOD(A135-1,60)=0),IF(A135=入力!$B$15+1,"・","")&amp;"5年見直し","")&amp;IF(AND(A135=入力!$B$11,A135&gt;1),IF(OR(A135=入力!$B$15+1,AND(入力!$B$13="有効",A135&gt;1,MOD(A135-1,60)=0)),"・","")&amp;"金利変更","")&amp;IF(AND(OR(AND(入力!$B$13="有効",A135&gt;1,MOD(A135-1,60)=0),AND(A135=入力!$B$11,A135&gt;1)),入力!$B$14="有効",IF(E135=0,ROUND(C135/MAX(1,S134-A135+1),0),ROUND(-PMT(E135/12,MAX(1,S134-A135+1),C135),0))&gt;ROUND(G134*1.25,0),NOT(A135=入力!$B$15+1)),"・上限適用",""))</f>
        <v/>
      </c>
      <c r="Q135" s="35" t="str">
        <f>IF(AND(T134="",A135&lt;=S134),入力!$B$13,"")</f>
        <v>有効</v>
      </c>
      <c r="R135" s="32" t="str">
        <f>IF(AND(AND(T134="",A135&lt;=S134),OR(AND(入力!$B$13="有効",A135&gt;1,MOD(A135-1,60)=0),AND(A135=入力!$B$11,A135&gt;1)),入力!$B$14="有効"),ROUND(G134*1.25,0),"")</f>
        <v/>
      </c>
      <c r="S135" s="36">
        <f>IF(A135=入力!$B$15,A135+入力!$B$19,S134)</f>
        <v>360</v>
      </c>
      <c r="T135" s="35" t="str">
        <f t="shared" ref="T135:T198" si="47">IF(NOT(AND(T134="",A135&lt;=S134)),"",IF(AND(N135=0,K135=0),"完済",IF(A135=S135,"最終回清算","")))</f>
        <v/>
      </c>
      <c r="U135" s="3">
        <f t="shared" si="32"/>
        <v>0</v>
      </c>
      <c r="V135" s="3">
        <f t="shared" si="33"/>
        <v>0</v>
      </c>
      <c r="W135" s="3">
        <f t="shared" si="34"/>
        <v>0</v>
      </c>
      <c r="X135" s="3">
        <f t="shared" si="35"/>
        <v>0</v>
      </c>
      <c r="Y135" s="3">
        <f>IF(A135&lt;入力!$B$15,ABS(G135-何もしない_月次!G135),0)</f>
        <v>0</v>
      </c>
      <c r="Z135" s="3">
        <f t="shared" si="36"/>
        <v>0</v>
      </c>
      <c r="AA135">
        <f>ROUND(IF(A135=入力!$B$15+1,IF(E135=0,ROUND(C135/入力!$B$19,0),ROUND(-PMT(E135/12,入力!$B$19,C135),0)),IF(OR(AND(入力!$B$13="有効",A135&gt;1,MOD(A135-1,60)=0),AND(A135=入力!$B$11,A135&gt;1)),IF(入力!$B$14="有効",MIN(IF(E135=0,ROUND(C135/MAX(1,S134-A135+1),0),ROUND(-PMT(E135/12,MAX(1,S134-A135+1),C135),0)),ROUND(G134*1.25,0)),IF(E135=0,ROUND(C135/MAX(1,S134-A135+1),0),ROUND(-PMT(E135/12,MAX(1,S134-A135+1),C135),0))),G134)),0)</f>
        <v>116935</v>
      </c>
    </row>
    <row r="136" spans="1:27">
      <c r="A136" s="30">
        <f>131</f>
        <v>131</v>
      </c>
      <c r="B136" s="31">
        <f>EDATE(入力!$B$6,A136-1)</f>
        <v>50192</v>
      </c>
      <c r="C136" s="32">
        <f t="shared" si="37"/>
        <v>21350859</v>
      </c>
      <c r="D136" s="32">
        <f t="shared" si="38"/>
        <v>0</v>
      </c>
      <c r="E136" s="33">
        <f>IF(AND(T135="",A136&lt;=S135),IF(A136&lt;入力!$B$11,入力!$B$10,入力!$B$12),0)</f>
        <v>2.5000000000000001E-2</v>
      </c>
      <c r="F136" s="32">
        <f t="shared" si="39"/>
        <v>44481</v>
      </c>
      <c r="G136" s="32">
        <f>ROUND(IF(NOT(AND(T135="",A136&lt;=S135)),0,IF(A136=入力!$B$15+1,IF(E136=0,ROUND(C136/入力!$B$19,0),ROUND(-PMT(E136/12,入力!$B$19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),0)</f>
        <v>116935</v>
      </c>
      <c r="H136" s="32">
        <f t="shared" si="40"/>
        <v>116935</v>
      </c>
      <c r="I136" s="32">
        <f t="shared" si="41"/>
        <v>44481</v>
      </c>
      <c r="J136" s="32">
        <f t="shared" si="42"/>
        <v>0</v>
      </c>
      <c r="K136" s="32">
        <f t="shared" si="43"/>
        <v>0</v>
      </c>
      <c r="L136" s="32">
        <f t="shared" si="44"/>
        <v>72454</v>
      </c>
      <c r="M136" s="32">
        <f>IF(AND(AND(T135="",A136&lt;=S135),A136=入力!$B$15),ROUND(MIN(入力!$B$16,MAX(0,C136-L136)),0),0)</f>
        <v>0</v>
      </c>
      <c r="N136" s="32">
        <f t="shared" si="45"/>
        <v>21278405</v>
      </c>
      <c r="O136" s="32">
        <f t="shared" si="46"/>
        <v>5252290</v>
      </c>
      <c r="P136" s="34" t="str">
        <f>IF(NOT(AND(T135="",A136&lt;=S135)),"",IF(A136=入力!$B$15+1,"繰上返済後再計算","")&amp;IF(AND(入力!$B$13="有効",A136&gt;1,MOD(A136-1,60)=0),IF(A136=入力!$B$15+1,"・","")&amp;"5年見直し","")&amp;IF(AND(A136=入力!$B$11,A136&gt;1),IF(OR(A136=入力!$B$15+1,AND(入力!$B$13="有効",A136&gt;1,MOD(A136-1,60)=0)),"・","")&amp;"金利変更","")&amp;IF(AND(OR(AND(入力!$B$13="有効",A136&gt;1,MOD(A136-1,60)=0),AND(A136=入力!$B$11,A136&gt;1)),入力!$B$14="有効",IF(E136=0,ROUND(C136/MAX(1,S135-A136+1),0),ROUND(-PMT(E136/12,MAX(1,S135-A136+1),C136),0))&gt;ROUND(G135*1.25,0),NOT(A136=入力!$B$15+1)),"・上限適用",""))</f>
        <v/>
      </c>
      <c r="Q136" s="35" t="str">
        <f>IF(AND(T135="",A136&lt;=S135),入力!$B$13,"")</f>
        <v>有効</v>
      </c>
      <c r="R136" s="32" t="str">
        <f>IF(AND(AND(T135="",A136&lt;=S135),OR(AND(入力!$B$13="有効",A136&gt;1,MOD(A136-1,60)=0),AND(A136=入力!$B$11,A136&gt;1)),入力!$B$14="有効"),ROUND(G135*1.25,0),"")</f>
        <v/>
      </c>
      <c r="S136" s="36">
        <f>IF(A136=入力!$B$15,A136+入力!$B$19,S135)</f>
        <v>360</v>
      </c>
      <c r="T136" s="35" t="str">
        <f t="shared" si="47"/>
        <v/>
      </c>
      <c r="U136" s="3">
        <f t="shared" si="32"/>
        <v>0</v>
      </c>
      <c r="V136" s="3">
        <f t="shared" si="33"/>
        <v>0</v>
      </c>
      <c r="W136" s="3">
        <f t="shared" si="34"/>
        <v>0</v>
      </c>
      <c r="X136" s="3">
        <f t="shared" si="35"/>
        <v>0</v>
      </c>
      <c r="Y136" s="3">
        <f>IF(A136&lt;入力!$B$15,ABS(G136-何もしない_月次!G136),0)</f>
        <v>0</v>
      </c>
      <c r="Z136" s="3">
        <f t="shared" si="36"/>
        <v>0</v>
      </c>
      <c r="AA136">
        <f>ROUND(IF(A136=入力!$B$15+1,IF(E136=0,ROUND(C136/入力!$B$19,0),ROUND(-PMT(E136/12,入力!$B$19,C136),0)),IF(OR(AND(入力!$B$13="有効",A136&gt;1,MOD(A136-1,60)=0),AND(A136=入力!$B$11,A136&gt;1)),IF(入力!$B$14="有効",MIN(IF(E136=0,ROUND(C136/MAX(1,S135-A136+1),0),ROUND(-PMT(E136/12,MAX(1,S135-A136+1),C136),0)),ROUND(G135*1.25,0)),IF(E136=0,ROUND(C136/MAX(1,S135-A136+1),0),ROUND(-PMT(E136/12,MAX(1,S135-A136+1),C136),0))),G135)),0)</f>
        <v>116935</v>
      </c>
    </row>
    <row r="137" spans="1:27">
      <c r="A137" s="30">
        <f>132</f>
        <v>132</v>
      </c>
      <c r="B137" s="31">
        <f>EDATE(入力!$B$6,A137-1)</f>
        <v>50222</v>
      </c>
      <c r="C137" s="32">
        <f t="shared" si="37"/>
        <v>21278405</v>
      </c>
      <c r="D137" s="32">
        <f t="shared" si="38"/>
        <v>0</v>
      </c>
      <c r="E137" s="33">
        <f>IF(AND(T136="",A137&lt;=S136),IF(A137&lt;入力!$B$11,入力!$B$10,入力!$B$12),0)</f>
        <v>2.5000000000000001E-2</v>
      </c>
      <c r="F137" s="32">
        <f t="shared" si="39"/>
        <v>44330</v>
      </c>
      <c r="G137" s="32">
        <f>ROUND(IF(NOT(AND(T136="",A137&lt;=S136)),0,IF(A137=入力!$B$15+1,IF(E137=0,ROUND(C137/入力!$B$19,0),ROUND(-PMT(E137/12,入力!$B$19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),0)</f>
        <v>116935</v>
      </c>
      <c r="H137" s="32">
        <f t="shared" si="40"/>
        <v>116935</v>
      </c>
      <c r="I137" s="32">
        <f t="shared" si="41"/>
        <v>44330</v>
      </c>
      <c r="J137" s="32">
        <f t="shared" si="42"/>
        <v>0</v>
      </c>
      <c r="K137" s="32">
        <f t="shared" si="43"/>
        <v>0</v>
      </c>
      <c r="L137" s="32">
        <f t="shared" si="44"/>
        <v>72605</v>
      </c>
      <c r="M137" s="32">
        <f>IF(AND(AND(T136="",A137&lt;=S136),A137=入力!$B$15),ROUND(MIN(入力!$B$16,MAX(0,C137-L137)),0),0)</f>
        <v>0</v>
      </c>
      <c r="N137" s="32">
        <f t="shared" si="45"/>
        <v>21205800</v>
      </c>
      <c r="O137" s="32">
        <f t="shared" si="46"/>
        <v>5296620</v>
      </c>
      <c r="P137" s="34" t="str">
        <f>IF(NOT(AND(T136="",A137&lt;=S136)),"",IF(A137=入力!$B$15+1,"繰上返済後再計算","")&amp;IF(AND(入力!$B$13="有効",A137&gt;1,MOD(A137-1,60)=0),IF(A137=入力!$B$15+1,"・","")&amp;"5年見直し","")&amp;IF(AND(A137=入力!$B$11,A137&gt;1),IF(OR(A137=入力!$B$15+1,AND(入力!$B$13="有効",A137&gt;1,MOD(A137-1,60)=0)),"・","")&amp;"金利変更","")&amp;IF(AND(OR(AND(入力!$B$13="有効",A137&gt;1,MOD(A137-1,60)=0),AND(A137=入力!$B$11,A137&gt;1)),入力!$B$14="有効",IF(E137=0,ROUND(C137/MAX(1,S136-A137+1),0),ROUND(-PMT(E137/12,MAX(1,S136-A137+1),C137),0))&gt;ROUND(G136*1.25,0),NOT(A137=入力!$B$15+1)),"・上限適用",""))</f>
        <v/>
      </c>
      <c r="Q137" s="35" t="str">
        <f>IF(AND(T136="",A137&lt;=S136),入力!$B$13,"")</f>
        <v>有効</v>
      </c>
      <c r="R137" s="32" t="str">
        <f>IF(AND(AND(T136="",A137&lt;=S136),OR(AND(入力!$B$13="有効",A137&gt;1,MOD(A137-1,60)=0),AND(A137=入力!$B$11,A137&gt;1)),入力!$B$14="有効"),ROUND(G136*1.25,0),"")</f>
        <v/>
      </c>
      <c r="S137" s="36">
        <f>IF(A137=入力!$B$15,A137+入力!$B$19,S136)</f>
        <v>360</v>
      </c>
      <c r="T137" s="35" t="str">
        <f t="shared" si="47"/>
        <v/>
      </c>
      <c r="U137" s="3">
        <f t="shared" si="32"/>
        <v>0</v>
      </c>
      <c r="V137" s="3">
        <f t="shared" si="33"/>
        <v>0</v>
      </c>
      <c r="W137" s="3">
        <f t="shared" si="34"/>
        <v>0</v>
      </c>
      <c r="X137" s="3">
        <f t="shared" si="35"/>
        <v>0</v>
      </c>
      <c r="Y137" s="3">
        <f>IF(A137&lt;入力!$B$15,ABS(G137-何もしない_月次!G137),0)</f>
        <v>0</v>
      </c>
      <c r="Z137" s="3">
        <f t="shared" si="36"/>
        <v>0</v>
      </c>
      <c r="AA137">
        <f>ROUND(IF(A137=入力!$B$15+1,IF(E137=0,ROUND(C137/入力!$B$19,0),ROUND(-PMT(E137/12,入力!$B$19,C137),0)),IF(OR(AND(入力!$B$13="有効",A137&gt;1,MOD(A137-1,60)=0),AND(A137=入力!$B$11,A137&gt;1)),IF(入力!$B$14="有効",MIN(IF(E137=0,ROUND(C137/MAX(1,S136-A137+1),0),ROUND(-PMT(E137/12,MAX(1,S136-A137+1),C137),0)),ROUND(G136*1.25,0)),IF(E137=0,ROUND(C137/MAX(1,S136-A137+1),0),ROUND(-PMT(E137/12,MAX(1,S136-A137+1),C137),0))),G136)),0)</f>
        <v>116935</v>
      </c>
    </row>
    <row r="138" spans="1:27">
      <c r="A138" s="30">
        <f>133</f>
        <v>133</v>
      </c>
      <c r="B138" s="31">
        <f>EDATE(入力!$B$6,A138-1)</f>
        <v>50253</v>
      </c>
      <c r="C138" s="32">
        <f t="shared" si="37"/>
        <v>21205800</v>
      </c>
      <c r="D138" s="32">
        <f t="shared" si="38"/>
        <v>0</v>
      </c>
      <c r="E138" s="33">
        <f>IF(AND(T137="",A138&lt;=S137),IF(A138&lt;入力!$B$11,入力!$B$10,入力!$B$12),0)</f>
        <v>2.5000000000000001E-2</v>
      </c>
      <c r="F138" s="32">
        <f t="shared" si="39"/>
        <v>44179</v>
      </c>
      <c r="G138" s="32">
        <f>ROUND(IF(NOT(AND(T137="",A138&lt;=S137)),0,IF(A138=入力!$B$15+1,IF(E138=0,ROUND(C138/入力!$B$19,0),ROUND(-PMT(E138/12,入力!$B$19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),0)</f>
        <v>116935</v>
      </c>
      <c r="H138" s="32">
        <f t="shared" si="40"/>
        <v>116935</v>
      </c>
      <c r="I138" s="32">
        <f t="shared" si="41"/>
        <v>44179</v>
      </c>
      <c r="J138" s="32">
        <f t="shared" si="42"/>
        <v>0</v>
      </c>
      <c r="K138" s="32">
        <f t="shared" si="43"/>
        <v>0</v>
      </c>
      <c r="L138" s="32">
        <f t="shared" si="44"/>
        <v>72756</v>
      </c>
      <c r="M138" s="32">
        <f>IF(AND(AND(T137="",A138&lt;=S137),A138=入力!$B$15),ROUND(MIN(入力!$B$16,MAX(0,C138-L138)),0),0)</f>
        <v>0</v>
      </c>
      <c r="N138" s="32">
        <f t="shared" si="45"/>
        <v>21133044</v>
      </c>
      <c r="O138" s="32">
        <f t="shared" si="46"/>
        <v>5340799</v>
      </c>
      <c r="P138" s="34" t="str">
        <f>IF(NOT(AND(T137="",A138&lt;=S137)),"",IF(A138=入力!$B$15+1,"繰上返済後再計算","")&amp;IF(AND(入力!$B$13="有効",A138&gt;1,MOD(A138-1,60)=0),IF(A138=入力!$B$15+1,"・","")&amp;"5年見直し","")&amp;IF(AND(A138=入力!$B$11,A138&gt;1),IF(OR(A138=入力!$B$15+1,AND(入力!$B$13="有効",A138&gt;1,MOD(A138-1,60)=0)),"・","")&amp;"金利変更","")&amp;IF(AND(OR(AND(入力!$B$13="有効",A138&gt;1,MOD(A138-1,60)=0),AND(A138=入力!$B$11,A138&gt;1)),入力!$B$14="有効",IF(E138=0,ROUND(C138/MAX(1,S137-A138+1),0),ROUND(-PMT(E138/12,MAX(1,S137-A138+1),C138),0))&gt;ROUND(G137*1.25,0),NOT(A138=入力!$B$15+1)),"・上限適用",""))</f>
        <v/>
      </c>
      <c r="Q138" s="35" t="str">
        <f>IF(AND(T137="",A138&lt;=S137),入力!$B$13,"")</f>
        <v>有効</v>
      </c>
      <c r="R138" s="32" t="str">
        <f>IF(AND(AND(T137="",A138&lt;=S137),OR(AND(入力!$B$13="有効",A138&gt;1,MOD(A138-1,60)=0),AND(A138=入力!$B$11,A138&gt;1)),入力!$B$14="有効"),ROUND(G137*1.25,0),"")</f>
        <v/>
      </c>
      <c r="S138" s="36">
        <f>IF(A138=入力!$B$15,A138+入力!$B$19,S137)</f>
        <v>360</v>
      </c>
      <c r="T138" s="35" t="str">
        <f t="shared" si="47"/>
        <v/>
      </c>
      <c r="U138" s="3">
        <f t="shared" si="32"/>
        <v>0</v>
      </c>
      <c r="V138" s="3">
        <f t="shared" si="33"/>
        <v>0</v>
      </c>
      <c r="W138" s="3">
        <f t="shared" si="34"/>
        <v>0</v>
      </c>
      <c r="X138" s="3">
        <f t="shared" si="35"/>
        <v>0</v>
      </c>
      <c r="Y138" s="3">
        <f>IF(A138&lt;入力!$B$15,ABS(G138-何もしない_月次!G138),0)</f>
        <v>0</v>
      </c>
      <c r="Z138" s="3">
        <f t="shared" si="36"/>
        <v>0</v>
      </c>
      <c r="AA138">
        <f>ROUND(IF(A138=入力!$B$15+1,IF(E138=0,ROUND(C138/入力!$B$19,0),ROUND(-PMT(E138/12,入力!$B$19,C138),0)),IF(OR(AND(入力!$B$13="有効",A138&gt;1,MOD(A138-1,60)=0),AND(A138=入力!$B$11,A138&gt;1)),IF(入力!$B$14="有効",MIN(IF(E138=0,ROUND(C138/MAX(1,S137-A138+1),0),ROUND(-PMT(E138/12,MAX(1,S137-A138+1),C138),0)),ROUND(G137*1.25,0)),IF(E138=0,ROUND(C138/MAX(1,S137-A138+1),0),ROUND(-PMT(E138/12,MAX(1,S137-A138+1),C138),0))),G137)),0)</f>
        <v>116935</v>
      </c>
    </row>
    <row r="139" spans="1:27">
      <c r="A139" s="30">
        <f>134</f>
        <v>134</v>
      </c>
      <c r="B139" s="31">
        <f>EDATE(入力!$B$6,A139-1)</f>
        <v>50284</v>
      </c>
      <c r="C139" s="32">
        <f t="shared" si="37"/>
        <v>21133044</v>
      </c>
      <c r="D139" s="32">
        <f t="shared" si="38"/>
        <v>0</v>
      </c>
      <c r="E139" s="33">
        <f>IF(AND(T138="",A139&lt;=S138),IF(A139&lt;入力!$B$11,入力!$B$10,入力!$B$12),0)</f>
        <v>2.5000000000000001E-2</v>
      </c>
      <c r="F139" s="32">
        <f t="shared" si="39"/>
        <v>44027</v>
      </c>
      <c r="G139" s="32">
        <f>ROUND(IF(NOT(AND(T138="",A139&lt;=S138)),0,IF(A139=入力!$B$15+1,IF(E139=0,ROUND(C139/入力!$B$19,0),ROUND(-PMT(E139/12,入力!$B$19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),0)</f>
        <v>116935</v>
      </c>
      <c r="H139" s="32">
        <f t="shared" si="40"/>
        <v>116935</v>
      </c>
      <c r="I139" s="32">
        <f t="shared" si="41"/>
        <v>44027</v>
      </c>
      <c r="J139" s="32">
        <f t="shared" si="42"/>
        <v>0</v>
      </c>
      <c r="K139" s="32">
        <f t="shared" si="43"/>
        <v>0</v>
      </c>
      <c r="L139" s="32">
        <f t="shared" si="44"/>
        <v>72908</v>
      </c>
      <c r="M139" s="32">
        <f>IF(AND(AND(T138="",A139&lt;=S138),A139=入力!$B$15),ROUND(MIN(入力!$B$16,MAX(0,C139-L139)),0),0)</f>
        <v>0</v>
      </c>
      <c r="N139" s="32">
        <f t="shared" si="45"/>
        <v>21060136</v>
      </c>
      <c r="O139" s="32">
        <f t="shared" si="46"/>
        <v>5384826</v>
      </c>
      <c r="P139" s="34" t="str">
        <f>IF(NOT(AND(T138="",A139&lt;=S138)),"",IF(A139=入力!$B$15+1,"繰上返済後再計算","")&amp;IF(AND(入力!$B$13="有効",A139&gt;1,MOD(A139-1,60)=0),IF(A139=入力!$B$15+1,"・","")&amp;"5年見直し","")&amp;IF(AND(A139=入力!$B$11,A139&gt;1),IF(OR(A139=入力!$B$15+1,AND(入力!$B$13="有効",A139&gt;1,MOD(A139-1,60)=0)),"・","")&amp;"金利変更","")&amp;IF(AND(OR(AND(入力!$B$13="有効",A139&gt;1,MOD(A139-1,60)=0),AND(A139=入力!$B$11,A139&gt;1)),入力!$B$14="有効",IF(E139=0,ROUND(C139/MAX(1,S138-A139+1),0),ROUND(-PMT(E139/12,MAX(1,S138-A139+1),C139),0))&gt;ROUND(G138*1.25,0),NOT(A139=入力!$B$15+1)),"・上限適用",""))</f>
        <v/>
      </c>
      <c r="Q139" s="35" t="str">
        <f>IF(AND(T138="",A139&lt;=S138),入力!$B$13,"")</f>
        <v>有効</v>
      </c>
      <c r="R139" s="32" t="str">
        <f>IF(AND(AND(T138="",A139&lt;=S138),OR(AND(入力!$B$13="有効",A139&gt;1,MOD(A139-1,60)=0),AND(A139=入力!$B$11,A139&gt;1)),入力!$B$14="有効"),ROUND(G138*1.25,0),"")</f>
        <v/>
      </c>
      <c r="S139" s="36">
        <f>IF(A139=入力!$B$15,A139+入力!$B$19,S138)</f>
        <v>360</v>
      </c>
      <c r="T139" s="35" t="str">
        <f t="shared" si="47"/>
        <v/>
      </c>
      <c r="U139" s="3">
        <f t="shared" si="32"/>
        <v>0</v>
      </c>
      <c r="V139" s="3">
        <f t="shared" si="33"/>
        <v>0</v>
      </c>
      <c r="W139" s="3">
        <f t="shared" si="34"/>
        <v>0</v>
      </c>
      <c r="X139" s="3">
        <f t="shared" si="35"/>
        <v>0</v>
      </c>
      <c r="Y139" s="3">
        <f>IF(A139&lt;入力!$B$15,ABS(G139-何もしない_月次!G139),0)</f>
        <v>0</v>
      </c>
      <c r="Z139" s="3">
        <f t="shared" si="36"/>
        <v>0</v>
      </c>
      <c r="AA139">
        <f>ROUND(IF(A139=入力!$B$15+1,IF(E139=0,ROUND(C139/入力!$B$19,0),ROUND(-PMT(E139/12,入力!$B$19,C139),0)),IF(OR(AND(入力!$B$13="有効",A139&gt;1,MOD(A139-1,60)=0),AND(A139=入力!$B$11,A139&gt;1)),IF(入力!$B$14="有効",MIN(IF(E139=0,ROUND(C139/MAX(1,S138-A139+1),0),ROUND(-PMT(E139/12,MAX(1,S138-A139+1),C139),0)),ROUND(G138*1.25,0)),IF(E139=0,ROUND(C139/MAX(1,S138-A139+1),0),ROUND(-PMT(E139/12,MAX(1,S138-A139+1),C139),0))),G138)),0)</f>
        <v>116935</v>
      </c>
    </row>
    <row r="140" spans="1:27">
      <c r="A140" s="30">
        <f>135</f>
        <v>135</v>
      </c>
      <c r="B140" s="31">
        <f>EDATE(入力!$B$6,A140-1)</f>
        <v>50314</v>
      </c>
      <c r="C140" s="32">
        <f t="shared" si="37"/>
        <v>21060136</v>
      </c>
      <c r="D140" s="32">
        <f t="shared" si="38"/>
        <v>0</v>
      </c>
      <c r="E140" s="33">
        <f>IF(AND(T139="",A140&lt;=S139),IF(A140&lt;入力!$B$11,入力!$B$10,入力!$B$12),0)</f>
        <v>2.5000000000000001E-2</v>
      </c>
      <c r="F140" s="32">
        <f t="shared" si="39"/>
        <v>43875</v>
      </c>
      <c r="G140" s="32">
        <f>ROUND(IF(NOT(AND(T139="",A140&lt;=S139)),0,IF(A140=入力!$B$15+1,IF(E140=0,ROUND(C140/入力!$B$19,0),ROUND(-PMT(E140/12,入力!$B$19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),0)</f>
        <v>116935</v>
      </c>
      <c r="H140" s="32">
        <f t="shared" si="40"/>
        <v>116935</v>
      </c>
      <c r="I140" s="32">
        <f t="shared" si="41"/>
        <v>43875</v>
      </c>
      <c r="J140" s="32">
        <f t="shared" si="42"/>
        <v>0</v>
      </c>
      <c r="K140" s="32">
        <f t="shared" si="43"/>
        <v>0</v>
      </c>
      <c r="L140" s="32">
        <f t="shared" si="44"/>
        <v>73060</v>
      </c>
      <c r="M140" s="32">
        <f>IF(AND(AND(T139="",A140&lt;=S139),A140=入力!$B$15),ROUND(MIN(入力!$B$16,MAX(0,C140-L140)),0),0)</f>
        <v>0</v>
      </c>
      <c r="N140" s="32">
        <f t="shared" si="45"/>
        <v>20987076</v>
      </c>
      <c r="O140" s="32">
        <f t="shared" si="46"/>
        <v>5428701</v>
      </c>
      <c r="P140" s="34" t="str">
        <f>IF(NOT(AND(T139="",A140&lt;=S139)),"",IF(A140=入力!$B$15+1,"繰上返済後再計算","")&amp;IF(AND(入力!$B$13="有効",A140&gt;1,MOD(A140-1,60)=0),IF(A140=入力!$B$15+1,"・","")&amp;"5年見直し","")&amp;IF(AND(A140=入力!$B$11,A140&gt;1),IF(OR(A140=入力!$B$15+1,AND(入力!$B$13="有効",A140&gt;1,MOD(A140-1,60)=0)),"・","")&amp;"金利変更","")&amp;IF(AND(OR(AND(入力!$B$13="有効",A140&gt;1,MOD(A140-1,60)=0),AND(A140=入力!$B$11,A140&gt;1)),入力!$B$14="有効",IF(E140=0,ROUND(C140/MAX(1,S139-A140+1),0),ROUND(-PMT(E140/12,MAX(1,S139-A140+1),C140),0))&gt;ROUND(G139*1.25,0),NOT(A140=入力!$B$15+1)),"・上限適用",""))</f>
        <v/>
      </c>
      <c r="Q140" s="35" t="str">
        <f>IF(AND(T139="",A140&lt;=S139),入力!$B$13,"")</f>
        <v>有効</v>
      </c>
      <c r="R140" s="32" t="str">
        <f>IF(AND(AND(T139="",A140&lt;=S139),OR(AND(入力!$B$13="有効",A140&gt;1,MOD(A140-1,60)=0),AND(A140=入力!$B$11,A140&gt;1)),入力!$B$14="有効"),ROUND(G139*1.25,0),"")</f>
        <v/>
      </c>
      <c r="S140" s="36">
        <f>IF(A140=入力!$B$15,A140+入力!$B$19,S139)</f>
        <v>360</v>
      </c>
      <c r="T140" s="35" t="str">
        <f t="shared" si="47"/>
        <v/>
      </c>
      <c r="U140" s="3">
        <f t="shared" si="32"/>
        <v>0</v>
      </c>
      <c r="V140" s="3">
        <f t="shared" si="33"/>
        <v>0</v>
      </c>
      <c r="W140" s="3">
        <f t="shared" si="34"/>
        <v>0</v>
      </c>
      <c r="X140" s="3">
        <f t="shared" si="35"/>
        <v>0</v>
      </c>
      <c r="Y140" s="3">
        <f>IF(A140&lt;入力!$B$15,ABS(G140-何もしない_月次!G140),0)</f>
        <v>0</v>
      </c>
      <c r="Z140" s="3">
        <f t="shared" si="36"/>
        <v>0</v>
      </c>
      <c r="AA140">
        <f>ROUND(IF(A140=入力!$B$15+1,IF(E140=0,ROUND(C140/入力!$B$19,0),ROUND(-PMT(E140/12,入力!$B$19,C140),0)),IF(OR(AND(入力!$B$13="有効",A140&gt;1,MOD(A140-1,60)=0),AND(A140=入力!$B$11,A140&gt;1)),IF(入力!$B$14="有効",MIN(IF(E140=0,ROUND(C140/MAX(1,S139-A140+1),0),ROUND(-PMT(E140/12,MAX(1,S139-A140+1),C140),0)),ROUND(G139*1.25,0)),IF(E140=0,ROUND(C140/MAX(1,S139-A140+1),0),ROUND(-PMT(E140/12,MAX(1,S139-A140+1),C140),0))),G139)),0)</f>
        <v>116935</v>
      </c>
    </row>
    <row r="141" spans="1:27">
      <c r="A141" s="30">
        <f>136</f>
        <v>136</v>
      </c>
      <c r="B141" s="31">
        <f>EDATE(入力!$B$6,A141-1)</f>
        <v>50345</v>
      </c>
      <c r="C141" s="32">
        <f t="shared" si="37"/>
        <v>20987076</v>
      </c>
      <c r="D141" s="32">
        <f t="shared" si="38"/>
        <v>0</v>
      </c>
      <c r="E141" s="33">
        <f>IF(AND(T140="",A141&lt;=S140),IF(A141&lt;入力!$B$11,入力!$B$10,入力!$B$12),0)</f>
        <v>2.5000000000000001E-2</v>
      </c>
      <c r="F141" s="32">
        <f t="shared" si="39"/>
        <v>43723</v>
      </c>
      <c r="G141" s="32">
        <f>ROUND(IF(NOT(AND(T140="",A141&lt;=S140)),0,IF(A141=入力!$B$15+1,IF(E141=0,ROUND(C141/入力!$B$19,0),ROUND(-PMT(E141/12,入力!$B$19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),0)</f>
        <v>116935</v>
      </c>
      <c r="H141" s="32">
        <f t="shared" si="40"/>
        <v>116935</v>
      </c>
      <c r="I141" s="32">
        <f t="shared" si="41"/>
        <v>43723</v>
      </c>
      <c r="J141" s="32">
        <f t="shared" si="42"/>
        <v>0</v>
      </c>
      <c r="K141" s="32">
        <f t="shared" si="43"/>
        <v>0</v>
      </c>
      <c r="L141" s="32">
        <f t="shared" si="44"/>
        <v>73212</v>
      </c>
      <c r="M141" s="32">
        <f>IF(AND(AND(T140="",A141&lt;=S140),A141=入力!$B$15),ROUND(MIN(入力!$B$16,MAX(0,C141-L141)),0),0)</f>
        <v>0</v>
      </c>
      <c r="N141" s="32">
        <f t="shared" si="45"/>
        <v>20913864</v>
      </c>
      <c r="O141" s="32">
        <f t="shared" si="46"/>
        <v>5472424</v>
      </c>
      <c r="P141" s="34" t="str">
        <f>IF(NOT(AND(T140="",A141&lt;=S140)),"",IF(A141=入力!$B$15+1,"繰上返済後再計算","")&amp;IF(AND(入力!$B$13="有効",A141&gt;1,MOD(A141-1,60)=0),IF(A141=入力!$B$15+1,"・","")&amp;"5年見直し","")&amp;IF(AND(A141=入力!$B$11,A141&gt;1),IF(OR(A141=入力!$B$15+1,AND(入力!$B$13="有効",A141&gt;1,MOD(A141-1,60)=0)),"・","")&amp;"金利変更","")&amp;IF(AND(OR(AND(入力!$B$13="有効",A141&gt;1,MOD(A141-1,60)=0),AND(A141=入力!$B$11,A141&gt;1)),入力!$B$14="有効",IF(E141=0,ROUND(C141/MAX(1,S140-A141+1),0),ROUND(-PMT(E141/12,MAX(1,S140-A141+1),C141),0))&gt;ROUND(G140*1.25,0),NOT(A141=入力!$B$15+1)),"・上限適用",""))</f>
        <v/>
      </c>
      <c r="Q141" s="35" t="str">
        <f>IF(AND(T140="",A141&lt;=S140),入力!$B$13,"")</f>
        <v>有効</v>
      </c>
      <c r="R141" s="32" t="str">
        <f>IF(AND(AND(T140="",A141&lt;=S140),OR(AND(入力!$B$13="有効",A141&gt;1,MOD(A141-1,60)=0),AND(A141=入力!$B$11,A141&gt;1)),入力!$B$14="有効"),ROUND(G140*1.25,0),"")</f>
        <v/>
      </c>
      <c r="S141" s="36">
        <f>IF(A141=入力!$B$15,A141+入力!$B$19,S140)</f>
        <v>360</v>
      </c>
      <c r="T141" s="35" t="str">
        <f t="shared" si="47"/>
        <v/>
      </c>
      <c r="U141" s="3">
        <f t="shared" si="32"/>
        <v>0</v>
      </c>
      <c r="V141" s="3">
        <f t="shared" si="33"/>
        <v>0</v>
      </c>
      <c r="W141" s="3">
        <f t="shared" si="34"/>
        <v>0</v>
      </c>
      <c r="X141" s="3">
        <f t="shared" si="35"/>
        <v>0</v>
      </c>
      <c r="Y141" s="3">
        <f>IF(A141&lt;入力!$B$15,ABS(G141-何もしない_月次!G141),0)</f>
        <v>0</v>
      </c>
      <c r="Z141" s="3">
        <f t="shared" si="36"/>
        <v>0</v>
      </c>
      <c r="AA141">
        <f>ROUND(IF(A141=入力!$B$15+1,IF(E141=0,ROUND(C141/入力!$B$19,0),ROUND(-PMT(E141/12,入力!$B$19,C141),0)),IF(OR(AND(入力!$B$13="有効",A141&gt;1,MOD(A141-1,60)=0),AND(A141=入力!$B$11,A141&gt;1)),IF(入力!$B$14="有効",MIN(IF(E141=0,ROUND(C141/MAX(1,S140-A141+1),0),ROUND(-PMT(E141/12,MAX(1,S140-A141+1),C141),0)),ROUND(G140*1.25,0)),IF(E141=0,ROUND(C141/MAX(1,S140-A141+1),0),ROUND(-PMT(E141/12,MAX(1,S140-A141+1),C141),0))),G140)),0)</f>
        <v>116935</v>
      </c>
    </row>
    <row r="142" spans="1:27">
      <c r="A142" s="30">
        <f>137</f>
        <v>137</v>
      </c>
      <c r="B142" s="31">
        <f>EDATE(入力!$B$6,A142-1)</f>
        <v>50375</v>
      </c>
      <c r="C142" s="32">
        <f t="shared" si="37"/>
        <v>20913864</v>
      </c>
      <c r="D142" s="32">
        <f t="shared" si="38"/>
        <v>0</v>
      </c>
      <c r="E142" s="33">
        <f>IF(AND(T141="",A142&lt;=S141),IF(A142&lt;入力!$B$11,入力!$B$10,入力!$B$12),0)</f>
        <v>2.5000000000000001E-2</v>
      </c>
      <c r="F142" s="32">
        <f t="shared" si="39"/>
        <v>43571</v>
      </c>
      <c r="G142" s="32">
        <f>ROUND(IF(NOT(AND(T141="",A142&lt;=S141)),0,IF(A142=入力!$B$15+1,IF(E142=0,ROUND(C142/入力!$B$19,0),ROUND(-PMT(E142/12,入力!$B$19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),0)</f>
        <v>116935</v>
      </c>
      <c r="H142" s="32">
        <f t="shared" si="40"/>
        <v>116935</v>
      </c>
      <c r="I142" s="32">
        <f t="shared" si="41"/>
        <v>43571</v>
      </c>
      <c r="J142" s="32">
        <f t="shared" si="42"/>
        <v>0</v>
      </c>
      <c r="K142" s="32">
        <f t="shared" si="43"/>
        <v>0</v>
      </c>
      <c r="L142" s="32">
        <f t="shared" si="44"/>
        <v>73364</v>
      </c>
      <c r="M142" s="32">
        <f>IF(AND(AND(T141="",A142&lt;=S141),A142=入力!$B$15),ROUND(MIN(入力!$B$16,MAX(0,C142-L142)),0),0)</f>
        <v>0</v>
      </c>
      <c r="N142" s="32">
        <f t="shared" si="45"/>
        <v>20840500</v>
      </c>
      <c r="O142" s="32">
        <f t="shared" si="46"/>
        <v>5515995</v>
      </c>
      <c r="P142" s="34" t="str">
        <f>IF(NOT(AND(T141="",A142&lt;=S141)),"",IF(A142=入力!$B$15+1,"繰上返済後再計算","")&amp;IF(AND(入力!$B$13="有効",A142&gt;1,MOD(A142-1,60)=0),IF(A142=入力!$B$15+1,"・","")&amp;"5年見直し","")&amp;IF(AND(A142=入力!$B$11,A142&gt;1),IF(OR(A142=入力!$B$15+1,AND(入力!$B$13="有効",A142&gt;1,MOD(A142-1,60)=0)),"・","")&amp;"金利変更","")&amp;IF(AND(OR(AND(入力!$B$13="有効",A142&gt;1,MOD(A142-1,60)=0),AND(A142=入力!$B$11,A142&gt;1)),入力!$B$14="有効",IF(E142=0,ROUND(C142/MAX(1,S141-A142+1),0),ROUND(-PMT(E142/12,MAX(1,S141-A142+1),C142),0))&gt;ROUND(G141*1.25,0),NOT(A142=入力!$B$15+1)),"・上限適用",""))</f>
        <v/>
      </c>
      <c r="Q142" s="35" t="str">
        <f>IF(AND(T141="",A142&lt;=S141),入力!$B$13,"")</f>
        <v>有効</v>
      </c>
      <c r="R142" s="32" t="str">
        <f>IF(AND(AND(T141="",A142&lt;=S141),OR(AND(入力!$B$13="有効",A142&gt;1,MOD(A142-1,60)=0),AND(A142=入力!$B$11,A142&gt;1)),入力!$B$14="有効"),ROUND(G141*1.25,0),"")</f>
        <v/>
      </c>
      <c r="S142" s="36">
        <f>IF(A142=入力!$B$15,A142+入力!$B$19,S141)</f>
        <v>360</v>
      </c>
      <c r="T142" s="35" t="str">
        <f t="shared" si="47"/>
        <v/>
      </c>
      <c r="U142" s="3">
        <f t="shared" si="32"/>
        <v>0</v>
      </c>
      <c r="V142" s="3">
        <f t="shared" si="33"/>
        <v>0</v>
      </c>
      <c r="W142" s="3">
        <f t="shared" si="34"/>
        <v>0</v>
      </c>
      <c r="X142" s="3">
        <f t="shared" si="35"/>
        <v>0</v>
      </c>
      <c r="Y142" s="3">
        <f>IF(A142&lt;入力!$B$15,ABS(G142-何もしない_月次!G142),0)</f>
        <v>0</v>
      </c>
      <c r="Z142" s="3">
        <f t="shared" si="36"/>
        <v>0</v>
      </c>
      <c r="AA142">
        <f>ROUND(IF(A142=入力!$B$15+1,IF(E142=0,ROUND(C142/入力!$B$19,0),ROUND(-PMT(E142/12,入力!$B$19,C142),0)),IF(OR(AND(入力!$B$13="有効",A142&gt;1,MOD(A142-1,60)=0),AND(A142=入力!$B$11,A142&gt;1)),IF(入力!$B$14="有効",MIN(IF(E142=0,ROUND(C142/MAX(1,S141-A142+1),0),ROUND(-PMT(E142/12,MAX(1,S141-A142+1),C142),0)),ROUND(G141*1.25,0)),IF(E142=0,ROUND(C142/MAX(1,S141-A142+1),0),ROUND(-PMT(E142/12,MAX(1,S141-A142+1),C142),0))),G141)),0)</f>
        <v>116935</v>
      </c>
    </row>
    <row r="143" spans="1:27">
      <c r="A143" s="30">
        <f>138</f>
        <v>138</v>
      </c>
      <c r="B143" s="31">
        <f>EDATE(入力!$B$6,A143-1)</f>
        <v>50406</v>
      </c>
      <c r="C143" s="32">
        <f t="shared" si="37"/>
        <v>20840500</v>
      </c>
      <c r="D143" s="32">
        <f t="shared" si="38"/>
        <v>0</v>
      </c>
      <c r="E143" s="33">
        <f>IF(AND(T142="",A143&lt;=S142),IF(A143&lt;入力!$B$11,入力!$B$10,入力!$B$12),0)</f>
        <v>2.5000000000000001E-2</v>
      </c>
      <c r="F143" s="32">
        <f t="shared" si="39"/>
        <v>43418</v>
      </c>
      <c r="G143" s="32">
        <f>ROUND(IF(NOT(AND(T142="",A143&lt;=S142)),0,IF(A143=入力!$B$15+1,IF(E143=0,ROUND(C143/入力!$B$19,0),ROUND(-PMT(E143/12,入力!$B$19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),0)</f>
        <v>116935</v>
      </c>
      <c r="H143" s="32">
        <f t="shared" si="40"/>
        <v>116935</v>
      </c>
      <c r="I143" s="32">
        <f t="shared" si="41"/>
        <v>43418</v>
      </c>
      <c r="J143" s="32">
        <f t="shared" si="42"/>
        <v>0</v>
      </c>
      <c r="K143" s="32">
        <f t="shared" si="43"/>
        <v>0</v>
      </c>
      <c r="L143" s="32">
        <f t="shared" si="44"/>
        <v>73517</v>
      </c>
      <c r="M143" s="32">
        <f>IF(AND(AND(T142="",A143&lt;=S142),A143=入力!$B$15),ROUND(MIN(入力!$B$16,MAX(0,C143-L143)),0),0)</f>
        <v>0</v>
      </c>
      <c r="N143" s="32">
        <f t="shared" si="45"/>
        <v>20766983</v>
      </c>
      <c r="O143" s="32">
        <f t="shared" si="46"/>
        <v>5559413</v>
      </c>
      <c r="P143" s="34" t="str">
        <f>IF(NOT(AND(T142="",A143&lt;=S142)),"",IF(A143=入力!$B$15+1,"繰上返済後再計算","")&amp;IF(AND(入力!$B$13="有効",A143&gt;1,MOD(A143-1,60)=0),IF(A143=入力!$B$15+1,"・","")&amp;"5年見直し","")&amp;IF(AND(A143=入力!$B$11,A143&gt;1),IF(OR(A143=入力!$B$15+1,AND(入力!$B$13="有効",A143&gt;1,MOD(A143-1,60)=0)),"・","")&amp;"金利変更","")&amp;IF(AND(OR(AND(入力!$B$13="有効",A143&gt;1,MOD(A143-1,60)=0),AND(A143=入力!$B$11,A143&gt;1)),入力!$B$14="有効",IF(E143=0,ROUND(C143/MAX(1,S142-A143+1),0),ROUND(-PMT(E143/12,MAX(1,S142-A143+1),C143),0))&gt;ROUND(G142*1.25,0),NOT(A143=入力!$B$15+1)),"・上限適用",""))</f>
        <v/>
      </c>
      <c r="Q143" s="35" t="str">
        <f>IF(AND(T142="",A143&lt;=S142),入力!$B$13,"")</f>
        <v>有効</v>
      </c>
      <c r="R143" s="32" t="str">
        <f>IF(AND(AND(T142="",A143&lt;=S142),OR(AND(入力!$B$13="有効",A143&gt;1,MOD(A143-1,60)=0),AND(A143=入力!$B$11,A143&gt;1)),入力!$B$14="有効"),ROUND(G142*1.25,0),"")</f>
        <v/>
      </c>
      <c r="S143" s="36">
        <f>IF(A143=入力!$B$15,A143+入力!$B$19,S142)</f>
        <v>360</v>
      </c>
      <c r="T143" s="35" t="str">
        <f t="shared" si="47"/>
        <v/>
      </c>
      <c r="U143" s="3">
        <f t="shared" si="32"/>
        <v>0</v>
      </c>
      <c r="V143" s="3">
        <f t="shared" si="33"/>
        <v>0</v>
      </c>
      <c r="W143" s="3">
        <f t="shared" si="34"/>
        <v>0</v>
      </c>
      <c r="X143" s="3">
        <f t="shared" si="35"/>
        <v>0</v>
      </c>
      <c r="Y143" s="3">
        <f>IF(A143&lt;入力!$B$15,ABS(G143-何もしない_月次!G143),0)</f>
        <v>0</v>
      </c>
      <c r="Z143" s="3">
        <f t="shared" si="36"/>
        <v>0</v>
      </c>
      <c r="AA143">
        <f>ROUND(IF(A143=入力!$B$15+1,IF(E143=0,ROUND(C143/入力!$B$19,0),ROUND(-PMT(E143/12,入力!$B$19,C143),0)),IF(OR(AND(入力!$B$13="有効",A143&gt;1,MOD(A143-1,60)=0),AND(A143=入力!$B$11,A143&gt;1)),IF(入力!$B$14="有効",MIN(IF(E143=0,ROUND(C143/MAX(1,S142-A143+1),0),ROUND(-PMT(E143/12,MAX(1,S142-A143+1),C143),0)),ROUND(G142*1.25,0)),IF(E143=0,ROUND(C143/MAX(1,S142-A143+1),0),ROUND(-PMT(E143/12,MAX(1,S142-A143+1),C143),0))),G142)),0)</f>
        <v>116935</v>
      </c>
    </row>
    <row r="144" spans="1:27">
      <c r="A144" s="30">
        <f>139</f>
        <v>139</v>
      </c>
      <c r="B144" s="31">
        <f>EDATE(入力!$B$6,A144-1)</f>
        <v>50437</v>
      </c>
      <c r="C144" s="32">
        <f t="shared" si="37"/>
        <v>20766983</v>
      </c>
      <c r="D144" s="32">
        <f t="shared" si="38"/>
        <v>0</v>
      </c>
      <c r="E144" s="33">
        <f>IF(AND(T143="",A144&lt;=S143),IF(A144&lt;入力!$B$11,入力!$B$10,入力!$B$12),0)</f>
        <v>2.5000000000000001E-2</v>
      </c>
      <c r="F144" s="32">
        <f t="shared" si="39"/>
        <v>43265</v>
      </c>
      <c r="G144" s="32">
        <f>ROUND(IF(NOT(AND(T143="",A144&lt;=S143)),0,IF(A144=入力!$B$15+1,IF(E144=0,ROUND(C144/入力!$B$19,0),ROUND(-PMT(E144/12,入力!$B$19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),0)</f>
        <v>116935</v>
      </c>
      <c r="H144" s="32">
        <f t="shared" si="40"/>
        <v>116935</v>
      </c>
      <c r="I144" s="32">
        <f t="shared" si="41"/>
        <v>43265</v>
      </c>
      <c r="J144" s="32">
        <f t="shared" si="42"/>
        <v>0</v>
      </c>
      <c r="K144" s="32">
        <f t="shared" si="43"/>
        <v>0</v>
      </c>
      <c r="L144" s="32">
        <f t="shared" si="44"/>
        <v>73670</v>
      </c>
      <c r="M144" s="32">
        <f>IF(AND(AND(T143="",A144&lt;=S143),A144=入力!$B$15),ROUND(MIN(入力!$B$16,MAX(0,C144-L144)),0),0)</f>
        <v>0</v>
      </c>
      <c r="N144" s="32">
        <f t="shared" si="45"/>
        <v>20693313</v>
      </c>
      <c r="O144" s="32">
        <f t="shared" si="46"/>
        <v>5602678</v>
      </c>
      <c r="P144" s="34" t="str">
        <f>IF(NOT(AND(T143="",A144&lt;=S143)),"",IF(A144=入力!$B$15+1,"繰上返済後再計算","")&amp;IF(AND(入力!$B$13="有効",A144&gt;1,MOD(A144-1,60)=0),IF(A144=入力!$B$15+1,"・","")&amp;"5年見直し","")&amp;IF(AND(A144=入力!$B$11,A144&gt;1),IF(OR(A144=入力!$B$15+1,AND(入力!$B$13="有効",A144&gt;1,MOD(A144-1,60)=0)),"・","")&amp;"金利変更","")&amp;IF(AND(OR(AND(入力!$B$13="有効",A144&gt;1,MOD(A144-1,60)=0),AND(A144=入力!$B$11,A144&gt;1)),入力!$B$14="有効",IF(E144=0,ROUND(C144/MAX(1,S143-A144+1),0),ROUND(-PMT(E144/12,MAX(1,S143-A144+1),C144),0))&gt;ROUND(G143*1.25,0),NOT(A144=入力!$B$15+1)),"・上限適用",""))</f>
        <v/>
      </c>
      <c r="Q144" s="35" t="str">
        <f>IF(AND(T143="",A144&lt;=S143),入力!$B$13,"")</f>
        <v>有効</v>
      </c>
      <c r="R144" s="32" t="str">
        <f>IF(AND(AND(T143="",A144&lt;=S143),OR(AND(入力!$B$13="有効",A144&gt;1,MOD(A144-1,60)=0),AND(A144=入力!$B$11,A144&gt;1)),入力!$B$14="有効"),ROUND(G143*1.25,0),"")</f>
        <v/>
      </c>
      <c r="S144" s="36">
        <f>IF(A144=入力!$B$15,A144+入力!$B$19,S143)</f>
        <v>360</v>
      </c>
      <c r="T144" s="35" t="str">
        <f t="shared" si="47"/>
        <v/>
      </c>
      <c r="U144" s="3">
        <f t="shared" si="32"/>
        <v>0</v>
      </c>
      <c r="V144" s="3">
        <f t="shared" si="33"/>
        <v>0</v>
      </c>
      <c r="W144" s="3">
        <f t="shared" si="34"/>
        <v>0</v>
      </c>
      <c r="X144" s="3">
        <f t="shared" si="35"/>
        <v>0</v>
      </c>
      <c r="Y144" s="3">
        <f>IF(A144&lt;入力!$B$15,ABS(G144-何もしない_月次!G144),0)</f>
        <v>0</v>
      </c>
      <c r="Z144" s="3">
        <f t="shared" si="36"/>
        <v>0</v>
      </c>
      <c r="AA144">
        <f>ROUND(IF(A144=入力!$B$15+1,IF(E144=0,ROUND(C144/入力!$B$19,0),ROUND(-PMT(E144/12,入力!$B$19,C144),0)),IF(OR(AND(入力!$B$13="有効",A144&gt;1,MOD(A144-1,60)=0),AND(A144=入力!$B$11,A144&gt;1)),IF(入力!$B$14="有効",MIN(IF(E144=0,ROUND(C144/MAX(1,S143-A144+1),0),ROUND(-PMT(E144/12,MAX(1,S143-A144+1),C144),0)),ROUND(G143*1.25,0)),IF(E144=0,ROUND(C144/MAX(1,S143-A144+1),0),ROUND(-PMT(E144/12,MAX(1,S143-A144+1),C144),0))),G143)),0)</f>
        <v>116935</v>
      </c>
    </row>
    <row r="145" spans="1:27">
      <c r="A145" s="30">
        <f>140</f>
        <v>140</v>
      </c>
      <c r="B145" s="31">
        <f>EDATE(入力!$B$6,A145-1)</f>
        <v>50465</v>
      </c>
      <c r="C145" s="32">
        <f t="shared" si="37"/>
        <v>20693313</v>
      </c>
      <c r="D145" s="32">
        <f t="shared" si="38"/>
        <v>0</v>
      </c>
      <c r="E145" s="33">
        <f>IF(AND(T144="",A145&lt;=S144),IF(A145&lt;入力!$B$11,入力!$B$10,入力!$B$12),0)</f>
        <v>2.5000000000000001E-2</v>
      </c>
      <c r="F145" s="32">
        <f t="shared" si="39"/>
        <v>43111</v>
      </c>
      <c r="G145" s="32">
        <f>ROUND(IF(NOT(AND(T144="",A145&lt;=S144)),0,IF(A145=入力!$B$15+1,IF(E145=0,ROUND(C145/入力!$B$19,0),ROUND(-PMT(E145/12,入力!$B$19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),0)</f>
        <v>116935</v>
      </c>
      <c r="H145" s="32">
        <f t="shared" si="40"/>
        <v>116935</v>
      </c>
      <c r="I145" s="32">
        <f t="shared" si="41"/>
        <v>43111</v>
      </c>
      <c r="J145" s="32">
        <f t="shared" si="42"/>
        <v>0</v>
      </c>
      <c r="K145" s="32">
        <f t="shared" si="43"/>
        <v>0</v>
      </c>
      <c r="L145" s="32">
        <f t="shared" si="44"/>
        <v>73824</v>
      </c>
      <c r="M145" s="32">
        <f>IF(AND(AND(T144="",A145&lt;=S144),A145=入力!$B$15),ROUND(MIN(入力!$B$16,MAX(0,C145-L145)),0),0)</f>
        <v>0</v>
      </c>
      <c r="N145" s="32">
        <f t="shared" si="45"/>
        <v>20619489</v>
      </c>
      <c r="O145" s="32">
        <f t="shared" si="46"/>
        <v>5645789</v>
      </c>
      <c r="P145" s="34" t="str">
        <f>IF(NOT(AND(T144="",A145&lt;=S144)),"",IF(A145=入力!$B$15+1,"繰上返済後再計算","")&amp;IF(AND(入力!$B$13="有効",A145&gt;1,MOD(A145-1,60)=0),IF(A145=入力!$B$15+1,"・","")&amp;"5年見直し","")&amp;IF(AND(A145=入力!$B$11,A145&gt;1),IF(OR(A145=入力!$B$15+1,AND(入力!$B$13="有効",A145&gt;1,MOD(A145-1,60)=0)),"・","")&amp;"金利変更","")&amp;IF(AND(OR(AND(入力!$B$13="有効",A145&gt;1,MOD(A145-1,60)=0),AND(A145=入力!$B$11,A145&gt;1)),入力!$B$14="有効",IF(E145=0,ROUND(C145/MAX(1,S144-A145+1),0),ROUND(-PMT(E145/12,MAX(1,S144-A145+1),C145),0))&gt;ROUND(G144*1.25,0),NOT(A145=入力!$B$15+1)),"・上限適用",""))</f>
        <v/>
      </c>
      <c r="Q145" s="35" t="str">
        <f>IF(AND(T144="",A145&lt;=S144),入力!$B$13,"")</f>
        <v>有効</v>
      </c>
      <c r="R145" s="32" t="str">
        <f>IF(AND(AND(T144="",A145&lt;=S144),OR(AND(入力!$B$13="有効",A145&gt;1,MOD(A145-1,60)=0),AND(A145=入力!$B$11,A145&gt;1)),入力!$B$14="有効"),ROUND(G144*1.25,0),"")</f>
        <v/>
      </c>
      <c r="S145" s="36">
        <f>IF(A145=入力!$B$15,A145+入力!$B$19,S144)</f>
        <v>360</v>
      </c>
      <c r="T145" s="35" t="str">
        <f t="shared" si="47"/>
        <v/>
      </c>
      <c r="U145" s="3">
        <f t="shared" si="32"/>
        <v>0</v>
      </c>
      <c r="V145" s="3">
        <f t="shared" si="33"/>
        <v>0</v>
      </c>
      <c r="W145" s="3">
        <f t="shared" si="34"/>
        <v>0</v>
      </c>
      <c r="X145" s="3">
        <f t="shared" si="35"/>
        <v>0</v>
      </c>
      <c r="Y145" s="3">
        <f>IF(A145&lt;入力!$B$15,ABS(G145-何もしない_月次!G145),0)</f>
        <v>0</v>
      </c>
      <c r="Z145" s="3">
        <f t="shared" si="36"/>
        <v>0</v>
      </c>
      <c r="AA145">
        <f>ROUND(IF(A145=入力!$B$15+1,IF(E145=0,ROUND(C145/入力!$B$19,0),ROUND(-PMT(E145/12,入力!$B$19,C145),0)),IF(OR(AND(入力!$B$13="有効",A145&gt;1,MOD(A145-1,60)=0),AND(A145=入力!$B$11,A145&gt;1)),IF(入力!$B$14="有効",MIN(IF(E145=0,ROUND(C145/MAX(1,S144-A145+1),0),ROUND(-PMT(E145/12,MAX(1,S144-A145+1),C145),0)),ROUND(G144*1.25,0)),IF(E145=0,ROUND(C145/MAX(1,S144-A145+1),0),ROUND(-PMT(E145/12,MAX(1,S144-A145+1),C145),0))),G144)),0)</f>
        <v>116935</v>
      </c>
    </row>
    <row r="146" spans="1:27">
      <c r="A146" s="30">
        <f>141</f>
        <v>141</v>
      </c>
      <c r="B146" s="31">
        <f>EDATE(入力!$B$6,A146-1)</f>
        <v>50496</v>
      </c>
      <c r="C146" s="32">
        <f t="shared" si="37"/>
        <v>20619489</v>
      </c>
      <c r="D146" s="32">
        <f t="shared" si="38"/>
        <v>0</v>
      </c>
      <c r="E146" s="33">
        <f>IF(AND(T145="",A146&lt;=S145),IF(A146&lt;入力!$B$11,入力!$B$10,入力!$B$12),0)</f>
        <v>2.5000000000000001E-2</v>
      </c>
      <c r="F146" s="32">
        <f t="shared" si="39"/>
        <v>42957</v>
      </c>
      <c r="G146" s="32">
        <f>ROUND(IF(NOT(AND(T145="",A146&lt;=S145)),0,IF(A146=入力!$B$15+1,IF(E146=0,ROUND(C146/入力!$B$19,0),ROUND(-PMT(E146/12,入力!$B$19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),0)</f>
        <v>116935</v>
      </c>
      <c r="H146" s="32">
        <f t="shared" si="40"/>
        <v>116935</v>
      </c>
      <c r="I146" s="32">
        <f t="shared" si="41"/>
        <v>42957</v>
      </c>
      <c r="J146" s="32">
        <f t="shared" si="42"/>
        <v>0</v>
      </c>
      <c r="K146" s="32">
        <f t="shared" si="43"/>
        <v>0</v>
      </c>
      <c r="L146" s="32">
        <f t="shared" si="44"/>
        <v>73978</v>
      </c>
      <c r="M146" s="32">
        <f>IF(AND(AND(T145="",A146&lt;=S145),A146=入力!$B$15),ROUND(MIN(入力!$B$16,MAX(0,C146-L146)),0),0)</f>
        <v>0</v>
      </c>
      <c r="N146" s="32">
        <f t="shared" si="45"/>
        <v>20545511</v>
      </c>
      <c r="O146" s="32">
        <f t="shared" si="46"/>
        <v>5688746</v>
      </c>
      <c r="P146" s="34" t="str">
        <f>IF(NOT(AND(T145="",A146&lt;=S145)),"",IF(A146=入力!$B$15+1,"繰上返済後再計算","")&amp;IF(AND(入力!$B$13="有効",A146&gt;1,MOD(A146-1,60)=0),IF(A146=入力!$B$15+1,"・","")&amp;"5年見直し","")&amp;IF(AND(A146=入力!$B$11,A146&gt;1),IF(OR(A146=入力!$B$15+1,AND(入力!$B$13="有効",A146&gt;1,MOD(A146-1,60)=0)),"・","")&amp;"金利変更","")&amp;IF(AND(OR(AND(入力!$B$13="有効",A146&gt;1,MOD(A146-1,60)=0),AND(A146=入力!$B$11,A146&gt;1)),入力!$B$14="有効",IF(E146=0,ROUND(C146/MAX(1,S145-A146+1),0),ROUND(-PMT(E146/12,MAX(1,S145-A146+1),C146),0))&gt;ROUND(G145*1.25,0),NOT(A146=入力!$B$15+1)),"・上限適用",""))</f>
        <v/>
      </c>
      <c r="Q146" s="35" t="str">
        <f>IF(AND(T145="",A146&lt;=S145),入力!$B$13,"")</f>
        <v>有効</v>
      </c>
      <c r="R146" s="32" t="str">
        <f>IF(AND(AND(T145="",A146&lt;=S145),OR(AND(入力!$B$13="有効",A146&gt;1,MOD(A146-1,60)=0),AND(A146=入力!$B$11,A146&gt;1)),入力!$B$14="有効"),ROUND(G145*1.25,0),"")</f>
        <v/>
      </c>
      <c r="S146" s="36">
        <f>IF(A146=入力!$B$15,A146+入力!$B$19,S145)</f>
        <v>360</v>
      </c>
      <c r="T146" s="35" t="str">
        <f t="shared" si="47"/>
        <v/>
      </c>
      <c r="U146" s="3">
        <f t="shared" si="32"/>
        <v>0</v>
      </c>
      <c r="V146" s="3">
        <f t="shared" si="33"/>
        <v>0</v>
      </c>
      <c r="W146" s="3">
        <f t="shared" si="34"/>
        <v>0</v>
      </c>
      <c r="X146" s="3">
        <f t="shared" si="35"/>
        <v>0</v>
      </c>
      <c r="Y146" s="3">
        <f>IF(A146&lt;入力!$B$15,ABS(G146-何もしない_月次!G146),0)</f>
        <v>0</v>
      </c>
      <c r="Z146" s="3">
        <f t="shared" si="36"/>
        <v>0</v>
      </c>
      <c r="AA146">
        <f>ROUND(IF(A146=入力!$B$15+1,IF(E146=0,ROUND(C146/入力!$B$19,0),ROUND(-PMT(E146/12,入力!$B$19,C146),0)),IF(OR(AND(入力!$B$13="有効",A146&gt;1,MOD(A146-1,60)=0),AND(A146=入力!$B$11,A146&gt;1)),IF(入力!$B$14="有効",MIN(IF(E146=0,ROUND(C146/MAX(1,S145-A146+1),0),ROUND(-PMT(E146/12,MAX(1,S145-A146+1),C146),0)),ROUND(G145*1.25,0)),IF(E146=0,ROUND(C146/MAX(1,S145-A146+1),0),ROUND(-PMT(E146/12,MAX(1,S145-A146+1),C146),0))),G145)),0)</f>
        <v>116935</v>
      </c>
    </row>
    <row r="147" spans="1:27">
      <c r="A147" s="30">
        <f>142</f>
        <v>142</v>
      </c>
      <c r="B147" s="31">
        <f>EDATE(入力!$B$6,A147-1)</f>
        <v>50526</v>
      </c>
      <c r="C147" s="32">
        <f t="shared" si="37"/>
        <v>20545511</v>
      </c>
      <c r="D147" s="32">
        <f t="shared" si="38"/>
        <v>0</v>
      </c>
      <c r="E147" s="33">
        <f>IF(AND(T146="",A147&lt;=S146),IF(A147&lt;入力!$B$11,入力!$B$10,入力!$B$12),0)</f>
        <v>2.5000000000000001E-2</v>
      </c>
      <c r="F147" s="32">
        <f t="shared" si="39"/>
        <v>42803</v>
      </c>
      <c r="G147" s="32">
        <f>ROUND(IF(NOT(AND(T146="",A147&lt;=S146)),0,IF(A147=入力!$B$15+1,IF(E147=0,ROUND(C147/入力!$B$19,0),ROUND(-PMT(E147/12,入力!$B$19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),0)</f>
        <v>116935</v>
      </c>
      <c r="H147" s="32">
        <f t="shared" si="40"/>
        <v>116935</v>
      </c>
      <c r="I147" s="32">
        <f t="shared" si="41"/>
        <v>42803</v>
      </c>
      <c r="J147" s="32">
        <f t="shared" si="42"/>
        <v>0</v>
      </c>
      <c r="K147" s="32">
        <f t="shared" si="43"/>
        <v>0</v>
      </c>
      <c r="L147" s="32">
        <f t="shared" si="44"/>
        <v>74132</v>
      </c>
      <c r="M147" s="32">
        <f>IF(AND(AND(T146="",A147&lt;=S146),A147=入力!$B$15),ROUND(MIN(入力!$B$16,MAX(0,C147-L147)),0),0)</f>
        <v>0</v>
      </c>
      <c r="N147" s="32">
        <f t="shared" si="45"/>
        <v>20471379</v>
      </c>
      <c r="O147" s="32">
        <f t="shared" si="46"/>
        <v>5731549</v>
      </c>
      <c r="P147" s="34" t="str">
        <f>IF(NOT(AND(T146="",A147&lt;=S146)),"",IF(A147=入力!$B$15+1,"繰上返済後再計算","")&amp;IF(AND(入力!$B$13="有効",A147&gt;1,MOD(A147-1,60)=0),IF(A147=入力!$B$15+1,"・","")&amp;"5年見直し","")&amp;IF(AND(A147=入力!$B$11,A147&gt;1),IF(OR(A147=入力!$B$15+1,AND(入力!$B$13="有効",A147&gt;1,MOD(A147-1,60)=0)),"・","")&amp;"金利変更","")&amp;IF(AND(OR(AND(入力!$B$13="有効",A147&gt;1,MOD(A147-1,60)=0),AND(A147=入力!$B$11,A147&gt;1)),入力!$B$14="有効",IF(E147=0,ROUND(C147/MAX(1,S146-A147+1),0),ROUND(-PMT(E147/12,MAX(1,S146-A147+1),C147),0))&gt;ROUND(G146*1.25,0),NOT(A147=入力!$B$15+1)),"・上限適用",""))</f>
        <v/>
      </c>
      <c r="Q147" s="35" t="str">
        <f>IF(AND(T146="",A147&lt;=S146),入力!$B$13,"")</f>
        <v>有効</v>
      </c>
      <c r="R147" s="32" t="str">
        <f>IF(AND(AND(T146="",A147&lt;=S146),OR(AND(入力!$B$13="有効",A147&gt;1,MOD(A147-1,60)=0),AND(A147=入力!$B$11,A147&gt;1)),入力!$B$14="有効"),ROUND(G146*1.25,0),"")</f>
        <v/>
      </c>
      <c r="S147" s="36">
        <f>IF(A147=入力!$B$15,A147+入力!$B$19,S146)</f>
        <v>360</v>
      </c>
      <c r="T147" s="35" t="str">
        <f t="shared" si="47"/>
        <v/>
      </c>
      <c r="U147" s="3">
        <f t="shared" si="32"/>
        <v>0</v>
      </c>
      <c r="V147" s="3">
        <f t="shared" si="33"/>
        <v>0</v>
      </c>
      <c r="W147" s="3">
        <f t="shared" si="34"/>
        <v>0</v>
      </c>
      <c r="X147" s="3">
        <f t="shared" si="35"/>
        <v>0</v>
      </c>
      <c r="Y147" s="3">
        <f>IF(A147&lt;入力!$B$15,ABS(G147-何もしない_月次!G147),0)</f>
        <v>0</v>
      </c>
      <c r="Z147" s="3">
        <f t="shared" si="36"/>
        <v>0</v>
      </c>
      <c r="AA147">
        <f>ROUND(IF(A147=入力!$B$15+1,IF(E147=0,ROUND(C147/入力!$B$19,0),ROUND(-PMT(E147/12,入力!$B$19,C147),0)),IF(OR(AND(入力!$B$13="有効",A147&gt;1,MOD(A147-1,60)=0),AND(A147=入力!$B$11,A147&gt;1)),IF(入力!$B$14="有効",MIN(IF(E147=0,ROUND(C147/MAX(1,S146-A147+1),0),ROUND(-PMT(E147/12,MAX(1,S146-A147+1),C147),0)),ROUND(G146*1.25,0)),IF(E147=0,ROUND(C147/MAX(1,S146-A147+1),0),ROUND(-PMT(E147/12,MAX(1,S146-A147+1),C147),0))),G146)),0)</f>
        <v>116935</v>
      </c>
    </row>
    <row r="148" spans="1:27">
      <c r="A148" s="30">
        <f>143</f>
        <v>143</v>
      </c>
      <c r="B148" s="31">
        <f>EDATE(入力!$B$6,A148-1)</f>
        <v>50557</v>
      </c>
      <c r="C148" s="32">
        <f t="shared" si="37"/>
        <v>20471379</v>
      </c>
      <c r="D148" s="32">
        <f t="shared" si="38"/>
        <v>0</v>
      </c>
      <c r="E148" s="33">
        <f>IF(AND(T147="",A148&lt;=S147),IF(A148&lt;入力!$B$11,入力!$B$10,入力!$B$12),0)</f>
        <v>2.5000000000000001E-2</v>
      </c>
      <c r="F148" s="32">
        <f t="shared" si="39"/>
        <v>42649</v>
      </c>
      <c r="G148" s="32">
        <f>ROUND(IF(NOT(AND(T147="",A148&lt;=S147)),0,IF(A148=入力!$B$15+1,IF(E148=0,ROUND(C148/入力!$B$19,0),ROUND(-PMT(E148/12,入力!$B$19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),0)</f>
        <v>116935</v>
      </c>
      <c r="H148" s="32">
        <f t="shared" si="40"/>
        <v>116935</v>
      </c>
      <c r="I148" s="32">
        <f t="shared" si="41"/>
        <v>42649</v>
      </c>
      <c r="J148" s="32">
        <f t="shared" si="42"/>
        <v>0</v>
      </c>
      <c r="K148" s="32">
        <f t="shared" si="43"/>
        <v>0</v>
      </c>
      <c r="L148" s="32">
        <f t="shared" si="44"/>
        <v>74286</v>
      </c>
      <c r="M148" s="32">
        <f>IF(AND(AND(T147="",A148&lt;=S147),A148=入力!$B$15),ROUND(MIN(入力!$B$16,MAX(0,C148-L148)),0),0)</f>
        <v>0</v>
      </c>
      <c r="N148" s="32">
        <f t="shared" si="45"/>
        <v>20397093</v>
      </c>
      <c r="O148" s="32">
        <f t="shared" si="46"/>
        <v>5774198</v>
      </c>
      <c r="P148" s="34" t="str">
        <f>IF(NOT(AND(T147="",A148&lt;=S147)),"",IF(A148=入力!$B$15+1,"繰上返済後再計算","")&amp;IF(AND(入力!$B$13="有効",A148&gt;1,MOD(A148-1,60)=0),IF(A148=入力!$B$15+1,"・","")&amp;"5年見直し","")&amp;IF(AND(A148=入力!$B$11,A148&gt;1),IF(OR(A148=入力!$B$15+1,AND(入力!$B$13="有効",A148&gt;1,MOD(A148-1,60)=0)),"・","")&amp;"金利変更","")&amp;IF(AND(OR(AND(入力!$B$13="有効",A148&gt;1,MOD(A148-1,60)=0),AND(A148=入力!$B$11,A148&gt;1)),入力!$B$14="有効",IF(E148=0,ROUND(C148/MAX(1,S147-A148+1),0),ROUND(-PMT(E148/12,MAX(1,S147-A148+1),C148),0))&gt;ROUND(G147*1.25,0),NOT(A148=入力!$B$15+1)),"・上限適用",""))</f>
        <v/>
      </c>
      <c r="Q148" s="35" t="str">
        <f>IF(AND(T147="",A148&lt;=S147),入力!$B$13,"")</f>
        <v>有効</v>
      </c>
      <c r="R148" s="32" t="str">
        <f>IF(AND(AND(T147="",A148&lt;=S147),OR(AND(入力!$B$13="有効",A148&gt;1,MOD(A148-1,60)=0),AND(A148=入力!$B$11,A148&gt;1)),入力!$B$14="有効"),ROUND(G147*1.25,0),"")</f>
        <v/>
      </c>
      <c r="S148" s="36">
        <f>IF(A148=入力!$B$15,A148+入力!$B$19,S147)</f>
        <v>360</v>
      </c>
      <c r="T148" s="35" t="str">
        <f t="shared" si="47"/>
        <v/>
      </c>
      <c r="U148" s="3">
        <f t="shared" si="32"/>
        <v>0</v>
      </c>
      <c r="V148" s="3">
        <f t="shared" si="33"/>
        <v>0</v>
      </c>
      <c r="W148" s="3">
        <f t="shared" si="34"/>
        <v>0</v>
      </c>
      <c r="X148" s="3">
        <f t="shared" si="35"/>
        <v>0</v>
      </c>
      <c r="Y148" s="3">
        <f>IF(A148&lt;入力!$B$15,ABS(G148-何もしない_月次!G148),0)</f>
        <v>0</v>
      </c>
      <c r="Z148" s="3">
        <f t="shared" si="36"/>
        <v>0</v>
      </c>
      <c r="AA148">
        <f>ROUND(IF(A148=入力!$B$15+1,IF(E148=0,ROUND(C148/入力!$B$19,0),ROUND(-PMT(E148/12,入力!$B$19,C148),0)),IF(OR(AND(入力!$B$13="有効",A148&gt;1,MOD(A148-1,60)=0),AND(A148=入力!$B$11,A148&gt;1)),IF(入力!$B$14="有効",MIN(IF(E148=0,ROUND(C148/MAX(1,S147-A148+1),0),ROUND(-PMT(E148/12,MAX(1,S147-A148+1),C148),0)),ROUND(G147*1.25,0)),IF(E148=0,ROUND(C148/MAX(1,S147-A148+1),0),ROUND(-PMT(E148/12,MAX(1,S147-A148+1),C148),0))),G147)),0)</f>
        <v>116935</v>
      </c>
    </row>
    <row r="149" spans="1:27">
      <c r="A149" s="30">
        <f>144</f>
        <v>144</v>
      </c>
      <c r="B149" s="31">
        <f>EDATE(入力!$B$6,A149-1)</f>
        <v>50587</v>
      </c>
      <c r="C149" s="32">
        <f t="shared" si="37"/>
        <v>20397093</v>
      </c>
      <c r="D149" s="32">
        <f t="shared" si="38"/>
        <v>0</v>
      </c>
      <c r="E149" s="33">
        <f>IF(AND(T148="",A149&lt;=S148),IF(A149&lt;入力!$B$11,入力!$B$10,入力!$B$12),0)</f>
        <v>2.5000000000000001E-2</v>
      </c>
      <c r="F149" s="32">
        <f t="shared" si="39"/>
        <v>42494</v>
      </c>
      <c r="G149" s="32">
        <f>ROUND(IF(NOT(AND(T148="",A149&lt;=S148)),0,IF(A149=入力!$B$15+1,IF(E149=0,ROUND(C149/入力!$B$19,0),ROUND(-PMT(E149/12,入力!$B$19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),0)</f>
        <v>116935</v>
      </c>
      <c r="H149" s="32">
        <f t="shared" si="40"/>
        <v>116935</v>
      </c>
      <c r="I149" s="32">
        <f t="shared" si="41"/>
        <v>42494</v>
      </c>
      <c r="J149" s="32">
        <f t="shared" si="42"/>
        <v>0</v>
      </c>
      <c r="K149" s="32">
        <f t="shared" si="43"/>
        <v>0</v>
      </c>
      <c r="L149" s="32">
        <f t="shared" si="44"/>
        <v>74441</v>
      </c>
      <c r="M149" s="32">
        <f>IF(AND(AND(T148="",A149&lt;=S148),A149=入力!$B$15),ROUND(MIN(入力!$B$16,MAX(0,C149-L149)),0),0)</f>
        <v>0</v>
      </c>
      <c r="N149" s="32">
        <f t="shared" si="45"/>
        <v>20322652</v>
      </c>
      <c r="O149" s="32">
        <f t="shared" si="46"/>
        <v>5816692</v>
      </c>
      <c r="P149" s="34" t="str">
        <f>IF(NOT(AND(T148="",A149&lt;=S148)),"",IF(A149=入力!$B$15+1,"繰上返済後再計算","")&amp;IF(AND(入力!$B$13="有効",A149&gt;1,MOD(A149-1,60)=0),IF(A149=入力!$B$15+1,"・","")&amp;"5年見直し","")&amp;IF(AND(A149=入力!$B$11,A149&gt;1),IF(OR(A149=入力!$B$15+1,AND(入力!$B$13="有効",A149&gt;1,MOD(A149-1,60)=0)),"・","")&amp;"金利変更","")&amp;IF(AND(OR(AND(入力!$B$13="有効",A149&gt;1,MOD(A149-1,60)=0),AND(A149=入力!$B$11,A149&gt;1)),入力!$B$14="有効",IF(E149=0,ROUND(C149/MAX(1,S148-A149+1),0),ROUND(-PMT(E149/12,MAX(1,S148-A149+1),C149),0))&gt;ROUND(G148*1.25,0),NOT(A149=入力!$B$15+1)),"・上限適用",""))</f>
        <v/>
      </c>
      <c r="Q149" s="35" t="str">
        <f>IF(AND(T148="",A149&lt;=S148),入力!$B$13,"")</f>
        <v>有効</v>
      </c>
      <c r="R149" s="32" t="str">
        <f>IF(AND(AND(T148="",A149&lt;=S148),OR(AND(入力!$B$13="有効",A149&gt;1,MOD(A149-1,60)=0),AND(A149=入力!$B$11,A149&gt;1)),入力!$B$14="有効"),ROUND(G148*1.25,0),"")</f>
        <v/>
      </c>
      <c r="S149" s="36">
        <f>IF(A149=入力!$B$15,A149+入力!$B$19,S148)</f>
        <v>360</v>
      </c>
      <c r="T149" s="35" t="str">
        <f t="shared" si="47"/>
        <v/>
      </c>
      <c r="U149" s="3">
        <f t="shared" si="32"/>
        <v>0</v>
      </c>
      <c r="V149" s="3">
        <f t="shared" si="33"/>
        <v>0</v>
      </c>
      <c r="W149" s="3">
        <f t="shared" si="34"/>
        <v>0</v>
      </c>
      <c r="X149" s="3">
        <f t="shared" si="35"/>
        <v>0</v>
      </c>
      <c r="Y149" s="3">
        <f>IF(A149&lt;入力!$B$15,ABS(G149-何もしない_月次!G149),0)</f>
        <v>0</v>
      </c>
      <c r="Z149" s="3">
        <f t="shared" si="36"/>
        <v>0</v>
      </c>
      <c r="AA149">
        <f>ROUND(IF(A149=入力!$B$15+1,IF(E149=0,ROUND(C149/入力!$B$19,0),ROUND(-PMT(E149/12,入力!$B$19,C149),0)),IF(OR(AND(入力!$B$13="有効",A149&gt;1,MOD(A149-1,60)=0),AND(A149=入力!$B$11,A149&gt;1)),IF(入力!$B$14="有効",MIN(IF(E149=0,ROUND(C149/MAX(1,S148-A149+1),0),ROUND(-PMT(E149/12,MAX(1,S148-A149+1),C149),0)),ROUND(G148*1.25,0)),IF(E149=0,ROUND(C149/MAX(1,S148-A149+1),0),ROUND(-PMT(E149/12,MAX(1,S148-A149+1),C149),0))),G148)),0)</f>
        <v>116935</v>
      </c>
    </row>
    <row r="150" spans="1:27">
      <c r="A150" s="30">
        <f>145</f>
        <v>145</v>
      </c>
      <c r="B150" s="31">
        <f>EDATE(入力!$B$6,A150-1)</f>
        <v>50618</v>
      </c>
      <c r="C150" s="32">
        <f t="shared" si="37"/>
        <v>20322652</v>
      </c>
      <c r="D150" s="32">
        <f t="shared" si="38"/>
        <v>0</v>
      </c>
      <c r="E150" s="33">
        <f>IF(AND(T149="",A150&lt;=S149),IF(A150&lt;入力!$B$11,入力!$B$10,入力!$B$12),0)</f>
        <v>2.5000000000000001E-2</v>
      </c>
      <c r="F150" s="32">
        <f t="shared" si="39"/>
        <v>42339</v>
      </c>
      <c r="G150" s="32">
        <f>ROUND(IF(NOT(AND(T149="",A150&lt;=S149)),0,IF(A150=入力!$B$15+1,IF(E150=0,ROUND(C150/入力!$B$19,0),ROUND(-PMT(E150/12,入力!$B$19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),0)</f>
        <v>116935</v>
      </c>
      <c r="H150" s="32">
        <f t="shared" si="40"/>
        <v>116935</v>
      </c>
      <c r="I150" s="32">
        <f t="shared" si="41"/>
        <v>42339</v>
      </c>
      <c r="J150" s="32">
        <f t="shared" si="42"/>
        <v>0</v>
      </c>
      <c r="K150" s="32">
        <f t="shared" si="43"/>
        <v>0</v>
      </c>
      <c r="L150" s="32">
        <f t="shared" si="44"/>
        <v>74596</v>
      </c>
      <c r="M150" s="32">
        <f>IF(AND(AND(T149="",A150&lt;=S149),A150=入力!$B$15),ROUND(MIN(入力!$B$16,MAX(0,C150-L150)),0),0)</f>
        <v>0</v>
      </c>
      <c r="N150" s="32">
        <f t="shared" si="45"/>
        <v>20248056</v>
      </c>
      <c r="O150" s="32">
        <f t="shared" si="46"/>
        <v>5859031</v>
      </c>
      <c r="P150" s="34" t="str">
        <f>IF(NOT(AND(T149="",A150&lt;=S149)),"",IF(A150=入力!$B$15+1,"繰上返済後再計算","")&amp;IF(AND(入力!$B$13="有効",A150&gt;1,MOD(A150-1,60)=0),IF(A150=入力!$B$15+1,"・","")&amp;"5年見直し","")&amp;IF(AND(A150=入力!$B$11,A150&gt;1),IF(OR(A150=入力!$B$15+1,AND(入力!$B$13="有効",A150&gt;1,MOD(A150-1,60)=0)),"・","")&amp;"金利変更","")&amp;IF(AND(OR(AND(入力!$B$13="有効",A150&gt;1,MOD(A150-1,60)=0),AND(A150=入力!$B$11,A150&gt;1)),入力!$B$14="有効",IF(E150=0,ROUND(C150/MAX(1,S149-A150+1),0),ROUND(-PMT(E150/12,MAX(1,S149-A150+1),C150),0))&gt;ROUND(G149*1.25,0),NOT(A150=入力!$B$15+1)),"・上限適用",""))</f>
        <v/>
      </c>
      <c r="Q150" s="35" t="str">
        <f>IF(AND(T149="",A150&lt;=S149),入力!$B$13,"")</f>
        <v>有効</v>
      </c>
      <c r="R150" s="32" t="str">
        <f>IF(AND(AND(T149="",A150&lt;=S149),OR(AND(入力!$B$13="有効",A150&gt;1,MOD(A150-1,60)=0),AND(A150=入力!$B$11,A150&gt;1)),入力!$B$14="有効"),ROUND(G149*1.25,0),"")</f>
        <v/>
      </c>
      <c r="S150" s="36">
        <f>IF(A150=入力!$B$15,A150+入力!$B$19,S149)</f>
        <v>360</v>
      </c>
      <c r="T150" s="35" t="str">
        <f t="shared" si="47"/>
        <v/>
      </c>
      <c r="U150" s="3">
        <f t="shared" si="32"/>
        <v>0</v>
      </c>
      <c r="V150" s="3">
        <f t="shared" si="33"/>
        <v>0</v>
      </c>
      <c r="W150" s="3">
        <f t="shared" si="34"/>
        <v>0</v>
      </c>
      <c r="X150" s="3">
        <f t="shared" si="35"/>
        <v>0</v>
      </c>
      <c r="Y150" s="3">
        <f>IF(A150&lt;入力!$B$15,ABS(G150-何もしない_月次!G150),0)</f>
        <v>0</v>
      </c>
      <c r="Z150" s="3">
        <f t="shared" si="36"/>
        <v>0</v>
      </c>
      <c r="AA150">
        <f>ROUND(IF(A150=入力!$B$15+1,IF(E150=0,ROUND(C150/入力!$B$19,0),ROUND(-PMT(E150/12,入力!$B$19,C150),0)),IF(OR(AND(入力!$B$13="有効",A150&gt;1,MOD(A150-1,60)=0),AND(A150=入力!$B$11,A150&gt;1)),IF(入力!$B$14="有効",MIN(IF(E150=0,ROUND(C150/MAX(1,S149-A150+1),0),ROUND(-PMT(E150/12,MAX(1,S149-A150+1),C150),0)),ROUND(G149*1.25,0)),IF(E150=0,ROUND(C150/MAX(1,S149-A150+1),0),ROUND(-PMT(E150/12,MAX(1,S149-A150+1),C150),0))),G149)),0)</f>
        <v>116935</v>
      </c>
    </row>
    <row r="151" spans="1:27">
      <c r="A151" s="30">
        <f>146</f>
        <v>146</v>
      </c>
      <c r="B151" s="31">
        <f>EDATE(入力!$B$6,A151-1)</f>
        <v>50649</v>
      </c>
      <c r="C151" s="32">
        <f t="shared" si="37"/>
        <v>20248056</v>
      </c>
      <c r="D151" s="32">
        <f t="shared" si="38"/>
        <v>0</v>
      </c>
      <c r="E151" s="33">
        <f>IF(AND(T150="",A151&lt;=S150),IF(A151&lt;入力!$B$11,入力!$B$10,入力!$B$12),0)</f>
        <v>2.5000000000000001E-2</v>
      </c>
      <c r="F151" s="32">
        <f t="shared" si="39"/>
        <v>42183</v>
      </c>
      <c r="G151" s="32">
        <f>ROUND(IF(NOT(AND(T150="",A151&lt;=S150)),0,IF(A151=入力!$B$15+1,IF(E151=0,ROUND(C151/入力!$B$19,0),ROUND(-PMT(E151/12,入力!$B$19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),0)</f>
        <v>116935</v>
      </c>
      <c r="H151" s="32">
        <f t="shared" si="40"/>
        <v>116935</v>
      </c>
      <c r="I151" s="32">
        <f t="shared" si="41"/>
        <v>42183</v>
      </c>
      <c r="J151" s="32">
        <f t="shared" si="42"/>
        <v>0</v>
      </c>
      <c r="K151" s="32">
        <f t="shared" si="43"/>
        <v>0</v>
      </c>
      <c r="L151" s="32">
        <f t="shared" si="44"/>
        <v>74752</v>
      </c>
      <c r="M151" s="32">
        <f>IF(AND(AND(T150="",A151&lt;=S150),A151=入力!$B$15),ROUND(MIN(入力!$B$16,MAX(0,C151-L151)),0),0)</f>
        <v>0</v>
      </c>
      <c r="N151" s="32">
        <f t="shared" si="45"/>
        <v>20173304</v>
      </c>
      <c r="O151" s="32">
        <f t="shared" si="46"/>
        <v>5901214</v>
      </c>
      <c r="P151" s="34" t="str">
        <f>IF(NOT(AND(T150="",A151&lt;=S150)),"",IF(A151=入力!$B$15+1,"繰上返済後再計算","")&amp;IF(AND(入力!$B$13="有効",A151&gt;1,MOD(A151-1,60)=0),IF(A151=入力!$B$15+1,"・","")&amp;"5年見直し","")&amp;IF(AND(A151=入力!$B$11,A151&gt;1),IF(OR(A151=入力!$B$15+1,AND(入力!$B$13="有効",A151&gt;1,MOD(A151-1,60)=0)),"・","")&amp;"金利変更","")&amp;IF(AND(OR(AND(入力!$B$13="有効",A151&gt;1,MOD(A151-1,60)=0),AND(A151=入力!$B$11,A151&gt;1)),入力!$B$14="有効",IF(E151=0,ROUND(C151/MAX(1,S150-A151+1),0),ROUND(-PMT(E151/12,MAX(1,S150-A151+1),C151),0))&gt;ROUND(G150*1.25,0),NOT(A151=入力!$B$15+1)),"・上限適用",""))</f>
        <v/>
      </c>
      <c r="Q151" s="35" t="str">
        <f>IF(AND(T150="",A151&lt;=S150),入力!$B$13,"")</f>
        <v>有効</v>
      </c>
      <c r="R151" s="32" t="str">
        <f>IF(AND(AND(T150="",A151&lt;=S150),OR(AND(入力!$B$13="有効",A151&gt;1,MOD(A151-1,60)=0),AND(A151=入力!$B$11,A151&gt;1)),入力!$B$14="有効"),ROUND(G150*1.25,0),"")</f>
        <v/>
      </c>
      <c r="S151" s="36">
        <f>IF(A151=入力!$B$15,A151+入力!$B$19,S150)</f>
        <v>360</v>
      </c>
      <c r="T151" s="35" t="str">
        <f t="shared" si="47"/>
        <v/>
      </c>
      <c r="U151" s="3">
        <f t="shared" si="32"/>
        <v>0</v>
      </c>
      <c r="V151" s="3">
        <f t="shared" si="33"/>
        <v>0</v>
      </c>
      <c r="W151" s="3">
        <f t="shared" si="34"/>
        <v>0</v>
      </c>
      <c r="X151" s="3">
        <f t="shared" si="35"/>
        <v>0</v>
      </c>
      <c r="Y151" s="3">
        <f>IF(A151&lt;入力!$B$15,ABS(G151-何もしない_月次!G151),0)</f>
        <v>0</v>
      </c>
      <c r="Z151" s="3">
        <f t="shared" si="36"/>
        <v>0</v>
      </c>
      <c r="AA151">
        <f>ROUND(IF(A151=入力!$B$15+1,IF(E151=0,ROUND(C151/入力!$B$19,0),ROUND(-PMT(E151/12,入力!$B$19,C151),0)),IF(OR(AND(入力!$B$13="有効",A151&gt;1,MOD(A151-1,60)=0),AND(A151=入力!$B$11,A151&gt;1)),IF(入力!$B$14="有効",MIN(IF(E151=0,ROUND(C151/MAX(1,S150-A151+1),0),ROUND(-PMT(E151/12,MAX(1,S150-A151+1),C151),0)),ROUND(G150*1.25,0)),IF(E151=0,ROUND(C151/MAX(1,S150-A151+1),0),ROUND(-PMT(E151/12,MAX(1,S150-A151+1),C151),0))),G150)),0)</f>
        <v>116935</v>
      </c>
    </row>
    <row r="152" spans="1:27">
      <c r="A152" s="30">
        <f>147</f>
        <v>147</v>
      </c>
      <c r="B152" s="31">
        <f>EDATE(入力!$B$6,A152-1)</f>
        <v>50679</v>
      </c>
      <c r="C152" s="32">
        <f t="shared" si="37"/>
        <v>20173304</v>
      </c>
      <c r="D152" s="32">
        <f t="shared" si="38"/>
        <v>0</v>
      </c>
      <c r="E152" s="33">
        <f>IF(AND(T151="",A152&lt;=S151),IF(A152&lt;入力!$B$11,入力!$B$10,入力!$B$12),0)</f>
        <v>2.5000000000000001E-2</v>
      </c>
      <c r="F152" s="32">
        <f t="shared" si="39"/>
        <v>42028</v>
      </c>
      <c r="G152" s="32">
        <f>ROUND(IF(NOT(AND(T151="",A152&lt;=S151)),0,IF(A152=入力!$B$15+1,IF(E152=0,ROUND(C152/入力!$B$19,0),ROUND(-PMT(E152/12,入力!$B$19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),0)</f>
        <v>116935</v>
      </c>
      <c r="H152" s="32">
        <f t="shared" si="40"/>
        <v>116935</v>
      </c>
      <c r="I152" s="32">
        <f t="shared" si="41"/>
        <v>42028</v>
      </c>
      <c r="J152" s="32">
        <f t="shared" si="42"/>
        <v>0</v>
      </c>
      <c r="K152" s="32">
        <f t="shared" si="43"/>
        <v>0</v>
      </c>
      <c r="L152" s="32">
        <f t="shared" si="44"/>
        <v>74907</v>
      </c>
      <c r="M152" s="32">
        <f>IF(AND(AND(T151="",A152&lt;=S151),A152=入力!$B$15),ROUND(MIN(入力!$B$16,MAX(0,C152-L152)),0),0)</f>
        <v>0</v>
      </c>
      <c r="N152" s="32">
        <f t="shared" si="45"/>
        <v>20098397</v>
      </c>
      <c r="O152" s="32">
        <f t="shared" si="46"/>
        <v>5943242</v>
      </c>
      <c r="P152" s="34" t="str">
        <f>IF(NOT(AND(T151="",A152&lt;=S151)),"",IF(A152=入力!$B$15+1,"繰上返済後再計算","")&amp;IF(AND(入力!$B$13="有効",A152&gt;1,MOD(A152-1,60)=0),IF(A152=入力!$B$15+1,"・","")&amp;"5年見直し","")&amp;IF(AND(A152=入力!$B$11,A152&gt;1),IF(OR(A152=入力!$B$15+1,AND(入力!$B$13="有効",A152&gt;1,MOD(A152-1,60)=0)),"・","")&amp;"金利変更","")&amp;IF(AND(OR(AND(入力!$B$13="有効",A152&gt;1,MOD(A152-1,60)=0),AND(A152=入力!$B$11,A152&gt;1)),入力!$B$14="有効",IF(E152=0,ROUND(C152/MAX(1,S151-A152+1),0),ROUND(-PMT(E152/12,MAX(1,S151-A152+1),C152),0))&gt;ROUND(G151*1.25,0),NOT(A152=入力!$B$15+1)),"・上限適用",""))</f>
        <v/>
      </c>
      <c r="Q152" s="35" t="str">
        <f>IF(AND(T151="",A152&lt;=S151),入力!$B$13,"")</f>
        <v>有効</v>
      </c>
      <c r="R152" s="32" t="str">
        <f>IF(AND(AND(T151="",A152&lt;=S151),OR(AND(入力!$B$13="有効",A152&gt;1,MOD(A152-1,60)=0),AND(A152=入力!$B$11,A152&gt;1)),入力!$B$14="有効"),ROUND(G151*1.25,0),"")</f>
        <v/>
      </c>
      <c r="S152" s="36">
        <f>IF(A152=入力!$B$15,A152+入力!$B$19,S151)</f>
        <v>360</v>
      </c>
      <c r="T152" s="35" t="str">
        <f t="shared" si="47"/>
        <v/>
      </c>
      <c r="U152" s="3">
        <f t="shared" si="32"/>
        <v>0</v>
      </c>
      <c r="V152" s="3">
        <f t="shared" si="33"/>
        <v>0</v>
      </c>
      <c r="W152" s="3">
        <f t="shared" si="34"/>
        <v>0</v>
      </c>
      <c r="X152" s="3">
        <f t="shared" si="35"/>
        <v>0</v>
      </c>
      <c r="Y152" s="3">
        <f>IF(A152&lt;入力!$B$15,ABS(G152-何もしない_月次!G152),0)</f>
        <v>0</v>
      </c>
      <c r="Z152" s="3">
        <f t="shared" si="36"/>
        <v>0</v>
      </c>
      <c r="AA152">
        <f>ROUND(IF(A152=入力!$B$15+1,IF(E152=0,ROUND(C152/入力!$B$19,0),ROUND(-PMT(E152/12,入力!$B$19,C152),0)),IF(OR(AND(入力!$B$13="有効",A152&gt;1,MOD(A152-1,60)=0),AND(A152=入力!$B$11,A152&gt;1)),IF(入力!$B$14="有効",MIN(IF(E152=0,ROUND(C152/MAX(1,S151-A152+1),0),ROUND(-PMT(E152/12,MAX(1,S151-A152+1),C152),0)),ROUND(G151*1.25,0)),IF(E152=0,ROUND(C152/MAX(1,S151-A152+1),0),ROUND(-PMT(E152/12,MAX(1,S151-A152+1),C152),0))),G151)),0)</f>
        <v>116935</v>
      </c>
    </row>
    <row r="153" spans="1:27">
      <c r="A153" s="30">
        <f>148</f>
        <v>148</v>
      </c>
      <c r="B153" s="31">
        <f>EDATE(入力!$B$6,A153-1)</f>
        <v>50710</v>
      </c>
      <c r="C153" s="32">
        <f t="shared" si="37"/>
        <v>20098397</v>
      </c>
      <c r="D153" s="32">
        <f t="shared" si="38"/>
        <v>0</v>
      </c>
      <c r="E153" s="33">
        <f>IF(AND(T152="",A153&lt;=S152),IF(A153&lt;入力!$B$11,入力!$B$10,入力!$B$12),0)</f>
        <v>2.5000000000000001E-2</v>
      </c>
      <c r="F153" s="32">
        <f t="shared" si="39"/>
        <v>41872</v>
      </c>
      <c r="G153" s="32">
        <f>ROUND(IF(NOT(AND(T152="",A153&lt;=S152)),0,IF(A153=入力!$B$15+1,IF(E153=0,ROUND(C153/入力!$B$19,0),ROUND(-PMT(E153/12,入力!$B$19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),0)</f>
        <v>116935</v>
      </c>
      <c r="H153" s="32">
        <f t="shared" si="40"/>
        <v>116935</v>
      </c>
      <c r="I153" s="32">
        <f t="shared" si="41"/>
        <v>41872</v>
      </c>
      <c r="J153" s="32">
        <f t="shared" si="42"/>
        <v>0</v>
      </c>
      <c r="K153" s="32">
        <f t="shared" si="43"/>
        <v>0</v>
      </c>
      <c r="L153" s="32">
        <f t="shared" si="44"/>
        <v>75063</v>
      </c>
      <c r="M153" s="32">
        <f>IF(AND(AND(T152="",A153&lt;=S152),A153=入力!$B$15),ROUND(MIN(入力!$B$16,MAX(0,C153-L153)),0),0)</f>
        <v>0</v>
      </c>
      <c r="N153" s="32">
        <f t="shared" si="45"/>
        <v>20023334</v>
      </c>
      <c r="O153" s="32">
        <f t="shared" si="46"/>
        <v>5985114</v>
      </c>
      <c r="P153" s="34" t="str">
        <f>IF(NOT(AND(T152="",A153&lt;=S152)),"",IF(A153=入力!$B$15+1,"繰上返済後再計算","")&amp;IF(AND(入力!$B$13="有効",A153&gt;1,MOD(A153-1,60)=0),IF(A153=入力!$B$15+1,"・","")&amp;"5年見直し","")&amp;IF(AND(A153=入力!$B$11,A153&gt;1),IF(OR(A153=入力!$B$15+1,AND(入力!$B$13="有効",A153&gt;1,MOD(A153-1,60)=0)),"・","")&amp;"金利変更","")&amp;IF(AND(OR(AND(入力!$B$13="有効",A153&gt;1,MOD(A153-1,60)=0),AND(A153=入力!$B$11,A153&gt;1)),入力!$B$14="有効",IF(E153=0,ROUND(C153/MAX(1,S152-A153+1),0),ROUND(-PMT(E153/12,MAX(1,S152-A153+1),C153),0))&gt;ROUND(G152*1.25,0),NOT(A153=入力!$B$15+1)),"・上限適用",""))</f>
        <v/>
      </c>
      <c r="Q153" s="35" t="str">
        <f>IF(AND(T152="",A153&lt;=S152),入力!$B$13,"")</f>
        <v>有効</v>
      </c>
      <c r="R153" s="32" t="str">
        <f>IF(AND(AND(T152="",A153&lt;=S152),OR(AND(入力!$B$13="有効",A153&gt;1,MOD(A153-1,60)=0),AND(A153=入力!$B$11,A153&gt;1)),入力!$B$14="有効"),ROUND(G152*1.25,0),"")</f>
        <v/>
      </c>
      <c r="S153" s="36">
        <f>IF(A153=入力!$B$15,A153+入力!$B$19,S152)</f>
        <v>360</v>
      </c>
      <c r="T153" s="35" t="str">
        <f t="shared" si="47"/>
        <v/>
      </c>
      <c r="U153" s="3">
        <f t="shared" si="32"/>
        <v>0</v>
      </c>
      <c r="V153" s="3">
        <f t="shared" si="33"/>
        <v>0</v>
      </c>
      <c r="W153" s="3">
        <f t="shared" si="34"/>
        <v>0</v>
      </c>
      <c r="X153" s="3">
        <f t="shared" si="35"/>
        <v>0</v>
      </c>
      <c r="Y153" s="3">
        <f>IF(A153&lt;入力!$B$15,ABS(G153-何もしない_月次!G153),0)</f>
        <v>0</v>
      </c>
      <c r="Z153" s="3">
        <f t="shared" si="36"/>
        <v>0</v>
      </c>
      <c r="AA153">
        <f>ROUND(IF(A153=入力!$B$15+1,IF(E153=0,ROUND(C153/入力!$B$19,0),ROUND(-PMT(E153/12,入力!$B$19,C153),0)),IF(OR(AND(入力!$B$13="有効",A153&gt;1,MOD(A153-1,60)=0),AND(A153=入力!$B$11,A153&gt;1)),IF(入力!$B$14="有効",MIN(IF(E153=0,ROUND(C153/MAX(1,S152-A153+1),0),ROUND(-PMT(E153/12,MAX(1,S152-A153+1),C153),0)),ROUND(G152*1.25,0)),IF(E153=0,ROUND(C153/MAX(1,S152-A153+1),0),ROUND(-PMT(E153/12,MAX(1,S152-A153+1),C153),0))),G152)),0)</f>
        <v>116935</v>
      </c>
    </row>
    <row r="154" spans="1:27">
      <c r="A154" s="30">
        <f>149</f>
        <v>149</v>
      </c>
      <c r="B154" s="31">
        <f>EDATE(入力!$B$6,A154-1)</f>
        <v>50740</v>
      </c>
      <c r="C154" s="32">
        <f t="shared" si="37"/>
        <v>20023334</v>
      </c>
      <c r="D154" s="32">
        <f t="shared" si="38"/>
        <v>0</v>
      </c>
      <c r="E154" s="33">
        <f>IF(AND(T153="",A154&lt;=S153),IF(A154&lt;入力!$B$11,入力!$B$10,入力!$B$12),0)</f>
        <v>2.5000000000000001E-2</v>
      </c>
      <c r="F154" s="32">
        <f t="shared" si="39"/>
        <v>41715</v>
      </c>
      <c r="G154" s="32">
        <f>ROUND(IF(NOT(AND(T153="",A154&lt;=S153)),0,IF(A154=入力!$B$15+1,IF(E154=0,ROUND(C154/入力!$B$19,0),ROUND(-PMT(E154/12,入力!$B$19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),0)</f>
        <v>116935</v>
      </c>
      <c r="H154" s="32">
        <f t="shared" si="40"/>
        <v>116935</v>
      </c>
      <c r="I154" s="32">
        <f t="shared" si="41"/>
        <v>41715</v>
      </c>
      <c r="J154" s="32">
        <f t="shared" si="42"/>
        <v>0</v>
      </c>
      <c r="K154" s="32">
        <f t="shared" si="43"/>
        <v>0</v>
      </c>
      <c r="L154" s="32">
        <f t="shared" si="44"/>
        <v>75220</v>
      </c>
      <c r="M154" s="32">
        <f>IF(AND(AND(T153="",A154&lt;=S153),A154=入力!$B$15),ROUND(MIN(入力!$B$16,MAX(0,C154-L154)),0),0)</f>
        <v>0</v>
      </c>
      <c r="N154" s="32">
        <f t="shared" si="45"/>
        <v>19948114</v>
      </c>
      <c r="O154" s="32">
        <f t="shared" si="46"/>
        <v>6026829</v>
      </c>
      <c r="P154" s="34" t="str">
        <f>IF(NOT(AND(T153="",A154&lt;=S153)),"",IF(A154=入力!$B$15+1,"繰上返済後再計算","")&amp;IF(AND(入力!$B$13="有効",A154&gt;1,MOD(A154-1,60)=0),IF(A154=入力!$B$15+1,"・","")&amp;"5年見直し","")&amp;IF(AND(A154=入力!$B$11,A154&gt;1),IF(OR(A154=入力!$B$15+1,AND(入力!$B$13="有効",A154&gt;1,MOD(A154-1,60)=0)),"・","")&amp;"金利変更","")&amp;IF(AND(OR(AND(入力!$B$13="有効",A154&gt;1,MOD(A154-1,60)=0),AND(A154=入力!$B$11,A154&gt;1)),入力!$B$14="有効",IF(E154=0,ROUND(C154/MAX(1,S153-A154+1),0),ROUND(-PMT(E154/12,MAX(1,S153-A154+1),C154),0))&gt;ROUND(G153*1.25,0),NOT(A154=入力!$B$15+1)),"・上限適用",""))</f>
        <v/>
      </c>
      <c r="Q154" s="35" t="str">
        <f>IF(AND(T153="",A154&lt;=S153),入力!$B$13,"")</f>
        <v>有効</v>
      </c>
      <c r="R154" s="32" t="str">
        <f>IF(AND(AND(T153="",A154&lt;=S153),OR(AND(入力!$B$13="有効",A154&gt;1,MOD(A154-1,60)=0),AND(A154=入力!$B$11,A154&gt;1)),入力!$B$14="有効"),ROUND(G153*1.25,0),"")</f>
        <v/>
      </c>
      <c r="S154" s="36">
        <f>IF(A154=入力!$B$15,A154+入力!$B$19,S153)</f>
        <v>360</v>
      </c>
      <c r="T154" s="35" t="str">
        <f t="shared" si="47"/>
        <v/>
      </c>
      <c r="U154" s="3">
        <f t="shared" si="32"/>
        <v>0</v>
      </c>
      <c r="V154" s="3">
        <f t="shared" si="33"/>
        <v>0</v>
      </c>
      <c r="W154" s="3">
        <f t="shared" si="34"/>
        <v>0</v>
      </c>
      <c r="X154" s="3">
        <f t="shared" si="35"/>
        <v>0</v>
      </c>
      <c r="Y154" s="3">
        <f>IF(A154&lt;入力!$B$15,ABS(G154-何もしない_月次!G154),0)</f>
        <v>0</v>
      </c>
      <c r="Z154" s="3">
        <f t="shared" si="36"/>
        <v>0</v>
      </c>
      <c r="AA154">
        <f>ROUND(IF(A154=入力!$B$15+1,IF(E154=0,ROUND(C154/入力!$B$19,0),ROUND(-PMT(E154/12,入力!$B$19,C154),0)),IF(OR(AND(入力!$B$13="有効",A154&gt;1,MOD(A154-1,60)=0),AND(A154=入力!$B$11,A154&gt;1)),IF(入力!$B$14="有効",MIN(IF(E154=0,ROUND(C154/MAX(1,S153-A154+1),0),ROUND(-PMT(E154/12,MAX(1,S153-A154+1),C154),0)),ROUND(G153*1.25,0)),IF(E154=0,ROUND(C154/MAX(1,S153-A154+1),0),ROUND(-PMT(E154/12,MAX(1,S153-A154+1),C154),0))),G153)),0)</f>
        <v>116935</v>
      </c>
    </row>
    <row r="155" spans="1:27">
      <c r="A155" s="30">
        <f>150</f>
        <v>150</v>
      </c>
      <c r="B155" s="31">
        <f>EDATE(入力!$B$6,A155-1)</f>
        <v>50771</v>
      </c>
      <c r="C155" s="32">
        <f t="shared" si="37"/>
        <v>19948114</v>
      </c>
      <c r="D155" s="32">
        <f t="shared" si="38"/>
        <v>0</v>
      </c>
      <c r="E155" s="33">
        <f>IF(AND(T154="",A155&lt;=S154),IF(A155&lt;入力!$B$11,入力!$B$10,入力!$B$12),0)</f>
        <v>2.5000000000000001E-2</v>
      </c>
      <c r="F155" s="32">
        <f t="shared" si="39"/>
        <v>41559</v>
      </c>
      <c r="G155" s="32">
        <f>ROUND(IF(NOT(AND(T154="",A155&lt;=S154)),0,IF(A155=入力!$B$15+1,IF(E155=0,ROUND(C155/入力!$B$19,0),ROUND(-PMT(E155/12,入力!$B$19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),0)</f>
        <v>116935</v>
      </c>
      <c r="H155" s="32">
        <f t="shared" si="40"/>
        <v>116935</v>
      </c>
      <c r="I155" s="32">
        <f t="shared" si="41"/>
        <v>41559</v>
      </c>
      <c r="J155" s="32">
        <f t="shared" si="42"/>
        <v>0</v>
      </c>
      <c r="K155" s="32">
        <f t="shared" si="43"/>
        <v>0</v>
      </c>
      <c r="L155" s="32">
        <f t="shared" si="44"/>
        <v>75376</v>
      </c>
      <c r="M155" s="32">
        <f>IF(AND(AND(T154="",A155&lt;=S154),A155=入力!$B$15),ROUND(MIN(入力!$B$16,MAX(0,C155-L155)),0),0)</f>
        <v>0</v>
      </c>
      <c r="N155" s="32">
        <f t="shared" si="45"/>
        <v>19872738</v>
      </c>
      <c r="O155" s="32">
        <f t="shared" si="46"/>
        <v>6068388</v>
      </c>
      <c r="P155" s="34" t="str">
        <f>IF(NOT(AND(T154="",A155&lt;=S154)),"",IF(A155=入力!$B$15+1,"繰上返済後再計算","")&amp;IF(AND(入力!$B$13="有効",A155&gt;1,MOD(A155-1,60)=0),IF(A155=入力!$B$15+1,"・","")&amp;"5年見直し","")&amp;IF(AND(A155=入力!$B$11,A155&gt;1),IF(OR(A155=入力!$B$15+1,AND(入力!$B$13="有効",A155&gt;1,MOD(A155-1,60)=0)),"・","")&amp;"金利変更","")&amp;IF(AND(OR(AND(入力!$B$13="有効",A155&gt;1,MOD(A155-1,60)=0),AND(A155=入力!$B$11,A155&gt;1)),入力!$B$14="有効",IF(E155=0,ROUND(C155/MAX(1,S154-A155+1),0),ROUND(-PMT(E155/12,MAX(1,S154-A155+1),C155),0))&gt;ROUND(G154*1.25,0),NOT(A155=入力!$B$15+1)),"・上限適用",""))</f>
        <v/>
      </c>
      <c r="Q155" s="35" t="str">
        <f>IF(AND(T154="",A155&lt;=S154),入力!$B$13,"")</f>
        <v>有効</v>
      </c>
      <c r="R155" s="32" t="str">
        <f>IF(AND(AND(T154="",A155&lt;=S154),OR(AND(入力!$B$13="有効",A155&gt;1,MOD(A155-1,60)=0),AND(A155=入力!$B$11,A155&gt;1)),入力!$B$14="有効"),ROUND(G154*1.25,0),"")</f>
        <v/>
      </c>
      <c r="S155" s="36">
        <f>IF(A155=入力!$B$15,A155+入力!$B$19,S154)</f>
        <v>360</v>
      </c>
      <c r="T155" s="35" t="str">
        <f t="shared" si="47"/>
        <v/>
      </c>
      <c r="U155" s="3">
        <f t="shared" si="32"/>
        <v>0</v>
      </c>
      <c r="V155" s="3">
        <f t="shared" si="33"/>
        <v>0</v>
      </c>
      <c r="W155" s="3">
        <f t="shared" si="34"/>
        <v>0</v>
      </c>
      <c r="X155" s="3">
        <f t="shared" si="35"/>
        <v>0</v>
      </c>
      <c r="Y155" s="3">
        <f>IF(A155&lt;入力!$B$15,ABS(G155-何もしない_月次!G155),0)</f>
        <v>0</v>
      </c>
      <c r="Z155" s="3">
        <f t="shared" si="36"/>
        <v>0</v>
      </c>
      <c r="AA155">
        <f>ROUND(IF(A155=入力!$B$15+1,IF(E155=0,ROUND(C155/入力!$B$19,0),ROUND(-PMT(E155/12,入力!$B$19,C155),0)),IF(OR(AND(入力!$B$13="有効",A155&gt;1,MOD(A155-1,60)=0),AND(A155=入力!$B$11,A155&gt;1)),IF(入力!$B$14="有効",MIN(IF(E155=0,ROUND(C155/MAX(1,S154-A155+1),0),ROUND(-PMT(E155/12,MAX(1,S154-A155+1),C155),0)),ROUND(G154*1.25,0)),IF(E155=0,ROUND(C155/MAX(1,S154-A155+1),0),ROUND(-PMT(E155/12,MAX(1,S154-A155+1),C155),0))),G154)),0)</f>
        <v>116935</v>
      </c>
    </row>
    <row r="156" spans="1:27">
      <c r="A156" s="30">
        <f>151</f>
        <v>151</v>
      </c>
      <c r="B156" s="31">
        <f>EDATE(入力!$B$6,A156-1)</f>
        <v>50802</v>
      </c>
      <c r="C156" s="32">
        <f t="shared" si="37"/>
        <v>19872738</v>
      </c>
      <c r="D156" s="32">
        <f t="shared" si="38"/>
        <v>0</v>
      </c>
      <c r="E156" s="33">
        <f>IF(AND(T155="",A156&lt;=S155),IF(A156&lt;入力!$B$11,入力!$B$10,入力!$B$12),0)</f>
        <v>2.5000000000000001E-2</v>
      </c>
      <c r="F156" s="32">
        <f t="shared" si="39"/>
        <v>41402</v>
      </c>
      <c r="G156" s="32">
        <f>ROUND(IF(NOT(AND(T155="",A156&lt;=S155)),0,IF(A156=入力!$B$15+1,IF(E156=0,ROUND(C156/入力!$B$19,0),ROUND(-PMT(E156/12,入力!$B$19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),0)</f>
        <v>116935</v>
      </c>
      <c r="H156" s="32">
        <f t="shared" si="40"/>
        <v>116935</v>
      </c>
      <c r="I156" s="32">
        <f t="shared" si="41"/>
        <v>41402</v>
      </c>
      <c r="J156" s="32">
        <f t="shared" si="42"/>
        <v>0</v>
      </c>
      <c r="K156" s="32">
        <f t="shared" si="43"/>
        <v>0</v>
      </c>
      <c r="L156" s="32">
        <f t="shared" si="44"/>
        <v>75533</v>
      </c>
      <c r="M156" s="32">
        <f>IF(AND(AND(T155="",A156&lt;=S155),A156=入力!$B$15),ROUND(MIN(入力!$B$16,MAX(0,C156-L156)),0),0)</f>
        <v>0</v>
      </c>
      <c r="N156" s="32">
        <f t="shared" si="45"/>
        <v>19797205</v>
      </c>
      <c r="O156" s="32">
        <f t="shared" si="46"/>
        <v>6109790</v>
      </c>
      <c r="P156" s="34" t="str">
        <f>IF(NOT(AND(T155="",A156&lt;=S155)),"",IF(A156=入力!$B$15+1,"繰上返済後再計算","")&amp;IF(AND(入力!$B$13="有効",A156&gt;1,MOD(A156-1,60)=0),IF(A156=入力!$B$15+1,"・","")&amp;"5年見直し","")&amp;IF(AND(A156=入力!$B$11,A156&gt;1),IF(OR(A156=入力!$B$15+1,AND(入力!$B$13="有効",A156&gt;1,MOD(A156-1,60)=0)),"・","")&amp;"金利変更","")&amp;IF(AND(OR(AND(入力!$B$13="有効",A156&gt;1,MOD(A156-1,60)=0),AND(A156=入力!$B$11,A156&gt;1)),入力!$B$14="有効",IF(E156=0,ROUND(C156/MAX(1,S155-A156+1),0),ROUND(-PMT(E156/12,MAX(1,S155-A156+1),C156),0))&gt;ROUND(G155*1.25,0),NOT(A156=入力!$B$15+1)),"・上限適用",""))</f>
        <v/>
      </c>
      <c r="Q156" s="35" t="str">
        <f>IF(AND(T155="",A156&lt;=S155),入力!$B$13,"")</f>
        <v>有効</v>
      </c>
      <c r="R156" s="32" t="str">
        <f>IF(AND(AND(T155="",A156&lt;=S155),OR(AND(入力!$B$13="有効",A156&gt;1,MOD(A156-1,60)=0),AND(A156=入力!$B$11,A156&gt;1)),入力!$B$14="有効"),ROUND(G155*1.25,0),"")</f>
        <v/>
      </c>
      <c r="S156" s="36">
        <f>IF(A156=入力!$B$15,A156+入力!$B$19,S155)</f>
        <v>360</v>
      </c>
      <c r="T156" s="35" t="str">
        <f t="shared" si="47"/>
        <v/>
      </c>
      <c r="U156" s="3">
        <f t="shared" si="32"/>
        <v>0</v>
      </c>
      <c r="V156" s="3">
        <f t="shared" si="33"/>
        <v>0</v>
      </c>
      <c r="W156" s="3">
        <f t="shared" si="34"/>
        <v>0</v>
      </c>
      <c r="X156" s="3">
        <f t="shared" si="35"/>
        <v>0</v>
      </c>
      <c r="Y156" s="3">
        <f>IF(A156&lt;入力!$B$15,ABS(G156-何もしない_月次!G156),0)</f>
        <v>0</v>
      </c>
      <c r="Z156" s="3">
        <f t="shared" si="36"/>
        <v>0</v>
      </c>
      <c r="AA156">
        <f>ROUND(IF(A156=入力!$B$15+1,IF(E156=0,ROUND(C156/入力!$B$19,0),ROUND(-PMT(E156/12,入力!$B$19,C156),0)),IF(OR(AND(入力!$B$13="有効",A156&gt;1,MOD(A156-1,60)=0),AND(A156=入力!$B$11,A156&gt;1)),IF(入力!$B$14="有効",MIN(IF(E156=0,ROUND(C156/MAX(1,S155-A156+1),0),ROUND(-PMT(E156/12,MAX(1,S155-A156+1),C156),0)),ROUND(G155*1.25,0)),IF(E156=0,ROUND(C156/MAX(1,S155-A156+1),0),ROUND(-PMT(E156/12,MAX(1,S155-A156+1),C156),0))),G155)),0)</f>
        <v>116935</v>
      </c>
    </row>
    <row r="157" spans="1:27">
      <c r="A157" s="30">
        <f>152</f>
        <v>152</v>
      </c>
      <c r="B157" s="31">
        <f>EDATE(入力!$B$6,A157-1)</f>
        <v>50830</v>
      </c>
      <c r="C157" s="32">
        <f t="shared" si="37"/>
        <v>19797205</v>
      </c>
      <c r="D157" s="32">
        <f t="shared" si="38"/>
        <v>0</v>
      </c>
      <c r="E157" s="33">
        <f>IF(AND(T156="",A157&lt;=S156),IF(A157&lt;入力!$B$11,入力!$B$10,入力!$B$12),0)</f>
        <v>2.5000000000000001E-2</v>
      </c>
      <c r="F157" s="32">
        <f t="shared" si="39"/>
        <v>41244</v>
      </c>
      <c r="G157" s="32">
        <f>ROUND(IF(NOT(AND(T156="",A157&lt;=S156)),0,IF(A157=入力!$B$15+1,IF(E157=0,ROUND(C157/入力!$B$19,0),ROUND(-PMT(E157/12,入力!$B$19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),0)</f>
        <v>116935</v>
      </c>
      <c r="H157" s="32">
        <f t="shared" si="40"/>
        <v>116935</v>
      </c>
      <c r="I157" s="32">
        <f t="shared" si="41"/>
        <v>41244</v>
      </c>
      <c r="J157" s="32">
        <f t="shared" si="42"/>
        <v>0</v>
      </c>
      <c r="K157" s="32">
        <f t="shared" si="43"/>
        <v>0</v>
      </c>
      <c r="L157" s="32">
        <f t="shared" si="44"/>
        <v>75691</v>
      </c>
      <c r="M157" s="32">
        <f>IF(AND(AND(T156="",A157&lt;=S156),A157=入力!$B$15),ROUND(MIN(入力!$B$16,MAX(0,C157-L157)),0),0)</f>
        <v>0</v>
      </c>
      <c r="N157" s="32">
        <f t="shared" si="45"/>
        <v>19721514</v>
      </c>
      <c r="O157" s="32">
        <f t="shared" si="46"/>
        <v>6151034</v>
      </c>
      <c r="P157" s="34" t="str">
        <f>IF(NOT(AND(T156="",A157&lt;=S156)),"",IF(A157=入力!$B$15+1,"繰上返済後再計算","")&amp;IF(AND(入力!$B$13="有効",A157&gt;1,MOD(A157-1,60)=0),IF(A157=入力!$B$15+1,"・","")&amp;"5年見直し","")&amp;IF(AND(A157=入力!$B$11,A157&gt;1),IF(OR(A157=入力!$B$15+1,AND(入力!$B$13="有効",A157&gt;1,MOD(A157-1,60)=0)),"・","")&amp;"金利変更","")&amp;IF(AND(OR(AND(入力!$B$13="有効",A157&gt;1,MOD(A157-1,60)=0),AND(A157=入力!$B$11,A157&gt;1)),入力!$B$14="有効",IF(E157=0,ROUND(C157/MAX(1,S156-A157+1),0),ROUND(-PMT(E157/12,MAX(1,S156-A157+1),C157),0))&gt;ROUND(G156*1.25,0),NOT(A157=入力!$B$15+1)),"・上限適用",""))</f>
        <v/>
      </c>
      <c r="Q157" s="35" t="str">
        <f>IF(AND(T156="",A157&lt;=S156),入力!$B$13,"")</f>
        <v>有効</v>
      </c>
      <c r="R157" s="32" t="str">
        <f>IF(AND(AND(T156="",A157&lt;=S156),OR(AND(入力!$B$13="有効",A157&gt;1,MOD(A157-1,60)=0),AND(A157=入力!$B$11,A157&gt;1)),入力!$B$14="有効"),ROUND(G156*1.25,0),"")</f>
        <v/>
      </c>
      <c r="S157" s="36">
        <f>IF(A157=入力!$B$15,A157+入力!$B$19,S156)</f>
        <v>360</v>
      </c>
      <c r="T157" s="35" t="str">
        <f t="shared" si="47"/>
        <v/>
      </c>
      <c r="U157" s="3">
        <f t="shared" si="32"/>
        <v>0</v>
      </c>
      <c r="V157" s="3">
        <f t="shared" si="33"/>
        <v>0</v>
      </c>
      <c r="W157" s="3">
        <f t="shared" si="34"/>
        <v>0</v>
      </c>
      <c r="X157" s="3">
        <f t="shared" si="35"/>
        <v>0</v>
      </c>
      <c r="Y157" s="3">
        <f>IF(A157&lt;入力!$B$15,ABS(G157-何もしない_月次!G157),0)</f>
        <v>0</v>
      </c>
      <c r="Z157" s="3">
        <f t="shared" si="36"/>
        <v>0</v>
      </c>
      <c r="AA157">
        <f>ROUND(IF(A157=入力!$B$15+1,IF(E157=0,ROUND(C157/入力!$B$19,0),ROUND(-PMT(E157/12,入力!$B$19,C157),0)),IF(OR(AND(入力!$B$13="有効",A157&gt;1,MOD(A157-1,60)=0),AND(A157=入力!$B$11,A157&gt;1)),IF(入力!$B$14="有効",MIN(IF(E157=0,ROUND(C157/MAX(1,S156-A157+1),0),ROUND(-PMT(E157/12,MAX(1,S156-A157+1),C157),0)),ROUND(G156*1.25,0)),IF(E157=0,ROUND(C157/MAX(1,S156-A157+1),0),ROUND(-PMT(E157/12,MAX(1,S156-A157+1),C157),0))),G156)),0)</f>
        <v>116935</v>
      </c>
    </row>
    <row r="158" spans="1:27">
      <c r="A158" s="30">
        <f>153</f>
        <v>153</v>
      </c>
      <c r="B158" s="31">
        <f>EDATE(入力!$B$6,A158-1)</f>
        <v>50861</v>
      </c>
      <c r="C158" s="32">
        <f t="shared" si="37"/>
        <v>19721514</v>
      </c>
      <c r="D158" s="32">
        <f t="shared" si="38"/>
        <v>0</v>
      </c>
      <c r="E158" s="33">
        <f>IF(AND(T157="",A158&lt;=S157),IF(A158&lt;入力!$B$11,入力!$B$10,入力!$B$12),0)</f>
        <v>2.5000000000000001E-2</v>
      </c>
      <c r="F158" s="32">
        <f t="shared" si="39"/>
        <v>41086</v>
      </c>
      <c r="G158" s="32">
        <f>ROUND(IF(NOT(AND(T157="",A158&lt;=S157)),0,IF(A158=入力!$B$15+1,IF(E158=0,ROUND(C158/入力!$B$19,0),ROUND(-PMT(E158/12,入力!$B$19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),0)</f>
        <v>116935</v>
      </c>
      <c r="H158" s="32">
        <f t="shared" si="40"/>
        <v>116935</v>
      </c>
      <c r="I158" s="32">
        <f t="shared" si="41"/>
        <v>41086</v>
      </c>
      <c r="J158" s="32">
        <f t="shared" si="42"/>
        <v>0</v>
      </c>
      <c r="K158" s="32">
        <f t="shared" si="43"/>
        <v>0</v>
      </c>
      <c r="L158" s="32">
        <f t="shared" si="44"/>
        <v>75849</v>
      </c>
      <c r="M158" s="32">
        <f>IF(AND(AND(T157="",A158&lt;=S157),A158=入力!$B$15),ROUND(MIN(入力!$B$16,MAX(0,C158-L158)),0),0)</f>
        <v>0</v>
      </c>
      <c r="N158" s="32">
        <f t="shared" si="45"/>
        <v>19645665</v>
      </c>
      <c r="O158" s="32">
        <f t="shared" si="46"/>
        <v>6192120</v>
      </c>
      <c r="P158" s="34" t="str">
        <f>IF(NOT(AND(T157="",A158&lt;=S157)),"",IF(A158=入力!$B$15+1,"繰上返済後再計算","")&amp;IF(AND(入力!$B$13="有効",A158&gt;1,MOD(A158-1,60)=0),IF(A158=入力!$B$15+1,"・","")&amp;"5年見直し","")&amp;IF(AND(A158=入力!$B$11,A158&gt;1),IF(OR(A158=入力!$B$15+1,AND(入力!$B$13="有効",A158&gt;1,MOD(A158-1,60)=0)),"・","")&amp;"金利変更","")&amp;IF(AND(OR(AND(入力!$B$13="有効",A158&gt;1,MOD(A158-1,60)=0),AND(A158=入力!$B$11,A158&gt;1)),入力!$B$14="有効",IF(E158=0,ROUND(C158/MAX(1,S157-A158+1),0),ROUND(-PMT(E158/12,MAX(1,S157-A158+1),C158),0))&gt;ROUND(G157*1.25,0),NOT(A158=入力!$B$15+1)),"・上限適用",""))</f>
        <v/>
      </c>
      <c r="Q158" s="35" t="str">
        <f>IF(AND(T157="",A158&lt;=S157),入力!$B$13,"")</f>
        <v>有効</v>
      </c>
      <c r="R158" s="32" t="str">
        <f>IF(AND(AND(T157="",A158&lt;=S157),OR(AND(入力!$B$13="有効",A158&gt;1,MOD(A158-1,60)=0),AND(A158=入力!$B$11,A158&gt;1)),入力!$B$14="有効"),ROUND(G157*1.25,0),"")</f>
        <v/>
      </c>
      <c r="S158" s="36">
        <f>IF(A158=入力!$B$15,A158+入力!$B$19,S157)</f>
        <v>360</v>
      </c>
      <c r="T158" s="35" t="str">
        <f t="shared" si="47"/>
        <v/>
      </c>
      <c r="U158" s="3">
        <f t="shared" si="32"/>
        <v>0</v>
      </c>
      <c r="V158" s="3">
        <f t="shared" si="33"/>
        <v>0</v>
      </c>
      <c r="W158" s="3">
        <f t="shared" si="34"/>
        <v>0</v>
      </c>
      <c r="X158" s="3">
        <f t="shared" si="35"/>
        <v>0</v>
      </c>
      <c r="Y158" s="3">
        <f>IF(A158&lt;入力!$B$15,ABS(G158-何もしない_月次!G158),0)</f>
        <v>0</v>
      </c>
      <c r="Z158" s="3">
        <f t="shared" si="36"/>
        <v>0</v>
      </c>
      <c r="AA158">
        <f>ROUND(IF(A158=入力!$B$15+1,IF(E158=0,ROUND(C158/入力!$B$19,0),ROUND(-PMT(E158/12,入力!$B$19,C158),0)),IF(OR(AND(入力!$B$13="有効",A158&gt;1,MOD(A158-1,60)=0),AND(A158=入力!$B$11,A158&gt;1)),IF(入力!$B$14="有効",MIN(IF(E158=0,ROUND(C158/MAX(1,S157-A158+1),0),ROUND(-PMT(E158/12,MAX(1,S157-A158+1),C158),0)),ROUND(G157*1.25,0)),IF(E158=0,ROUND(C158/MAX(1,S157-A158+1),0),ROUND(-PMT(E158/12,MAX(1,S157-A158+1),C158),0))),G157)),0)</f>
        <v>116935</v>
      </c>
    </row>
    <row r="159" spans="1:27">
      <c r="A159" s="30">
        <f>154</f>
        <v>154</v>
      </c>
      <c r="B159" s="31">
        <f>EDATE(入力!$B$6,A159-1)</f>
        <v>50891</v>
      </c>
      <c r="C159" s="32">
        <f t="shared" si="37"/>
        <v>19645665</v>
      </c>
      <c r="D159" s="32">
        <f t="shared" si="38"/>
        <v>0</v>
      </c>
      <c r="E159" s="33">
        <f>IF(AND(T158="",A159&lt;=S158),IF(A159&lt;入力!$B$11,入力!$B$10,入力!$B$12),0)</f>
        <v>2.5000000000000001E-2</v>
      </c>
      <c r="F159" s="32">
        <f t="shared" si="39"/>
        <v>40928</v>
      </c>
      <c r="G159" s="32">
        <f>ROUND(IF(NOT(AND(T158="",A159&lt;=S158)),0,IF(A159=入力!$B$15+1,IF(E159=0,ROUND(C159/入力!$B$19,0),ROUND(-PMT(E159/12,入力!$B$19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),0)</f>
        <v>116935</v>
      </c>
      <c r="H159" s="32">
        <f t="shared" si="40"/>
        <v>116935</v>
      </c>
      <c r="I159" s="32">
        <f t="shared" si="41"/>
        <v>40928</v>
      </c>
      <c r="J159" s="32">
        <f t="shared" si="42"/>
        <v>0</v>
      </c>
      <c r="K159" s="32">
        <f t="shared" si="43"/>
        <v>0</v>
      </c>
      <c r="L159" s="32">
        <f t="shared" si="44"/>
        <v>76007</v>
      </c>
      <c r="M159" s="32">
        <f>IF(AND(AND(T158="",A159&lt;=S158),A159=入力!$B$15),ROUND(MIN(入力!$B$16,MAX(0,C159-L159)),0),0)</f>
        <v>0</v>
      </c>
      <c r="N159" s="32">
        <f t="shared" si="45"/>
        <v>19569658</v>
      </c>
      <c r="O159" s="32">
        <f t="shared" si="46"/>
        <v>6233048</v>
      </c>
      <c r="P159" s="34" t="str">
        <f>IF(NOT(AND(T158="",A159&lt;=S158)),"",IF(A159=入力!$B$15+1,"繰上返済後再計算","")&amp;IF(AND(入力!$B$13="有効",A159&gt;1,MOD(A159-1,60)=0),IF(A159=入力!$B$15+1,"・","")&amp;"5年見直し","")&amp;IF(AND(A159=入力!$B$11,A159&gt;1),IF(OR(A159=入力!$B$15+1,AND(入力!$B$13="有効",A159&gt;1,MOD(A159-1,60)=0)),"・","")&amp;"金利変更","")&amp;IF(AND(OR(AND(入力!$B$13="有効",A159&gt;1,MOD(A159-1,60)=0),AND(A159=入力!$B$11,A159&gt;1)),入力!$B$14="有効",IF(E159=0,ROUND(C159/MAX(1,S158-A159+1),0),ROUND(-PMT(E159/12,MAX(1,S158-A159+1),C159),0))&gt;ROUND(G158*1.25,0),NOT(A159=入力!$B$15+1)),"・上限適用",""))</f>
        <v/>
      </c>
      <c r="Q159" s="35" t="str">
        <f>IF(AND(T158="",A159&lt;=S158),入力!$B$13,"")</f>
        <v>有効</v>
      </c>
      <c r="R159" s="32" t="str">
        <f>IF(AND(AND(T158="",A159&lt;=S158),OR(AND(入力!$B$13="有効",A159&gt;1,MOD(A159-1,60)=0),AND(A159=入力!$B$11,A159&gt;1)),入力!$B$14="有効"),ROUND(G158*1.25,0),"")</f>
        <v/>
      </c>
      <c r="S159" s="36">
        <f>IF(A159=入力!$B$15,A159+入力!$B$19,S158)</f>
        <v>360</v>
      </c>
      <c r="T159" s="35" t="str">
        <f t="shared" si="47"/>
        <v/>
      </c>
      <c r="U159" s="3">
        <f t="shared" si="32"/>
        <v>0</v>
      </c>
      <c r="V159" s="3">
        <f t="shared" si="33"/>
        <v>0</v>
      </c>
      <c r="W159" s="3">
        <f t="shared" si="34"/>
        <v>0</v>
      </c>
      <c r="X159" s="3">
        <f t="shared" si="35"/>
        <v>0</v>
      </c>
      <c r="Y159" s="3">
        <f>IF(A159&lt;入力!$B$15,ABS(G159-何もしない_月次!G159),0)</f>
        <v>0</v>
      </c>
      <c r="Z159" s="3">
        <f t="shared" si="36"/>
        <v>0</v>
      </c>
      <c r="AA159">
        <f>ROUND(IF(A159=入力!$B$15+1,IF(E159=0,ROUND(C159/入力!$B$19,0),ROUND(-PMT(E159/12,入力!$B$19,C159),0)),IF(OR(AND(入力!$B$13="有効",A159&gt;1,MOD(A159-1,60)=0),AND(A159=入力!$B$11,A159&gt;1)),IF(入力!$B$14="有効",MIN(IF(E159=0,ROUND(C159/MAX(1,S158-A159+1),0),ROUND(-PMT(E159/12,MAX(1,S158-A159+1),C159),0)),ROUND(G158*1.25,0)),IF(E159=0,ROUND(C159/MAX(1,S158-A159+1),0),ROUND(-PMT(E159/12,MAX(1,S158-A159+1),C159),0))),G158)),0)</f>
        <v>116935</v>
      </c>
    </row>
    <row r="160" spans="1:27">
      <c r="A160" s="30">
        <f>155</f>
        <v>155</v>
      </c>
      <c r="B160" s="31">
        <f>EDATE(入力!$B$6,A160-1)</f>
        <v>50922</v>
      </c>
      <c r="C160" s="32">
        <f t="shared" si="37"/>
        <v>19569658</v>
      </c>
      <c r="D160" s="32">
        <f t="shared" si="38"/>
        <v>0</v>
      </c>
      <c r="E160" s="33">
        <f>IF(AND(T159="",A160&lt;=S159),IF(A160&lt;入力!$B$11,入力!$B$10,入力!$B$12),0)</f>
        <v>2.5000000000000001E-2</v>
      </c>
      <c r="F160" s="32">
        <f t="shared" si="39"/>
        <v>40770</v>
      </c>
      <c r="G160" s="32">
        <f>ROUND(IF(NOT(AND(T159="",A160&lt;=S159)),0,IF(A160=入力!$B$15+1,IF(E160=0,ROUND(C160/入力!$B$19,0),ROUND(-PMT(E160/12,入力!$B$19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),0)</f>
        <v>116935</v>
      </c>
      <c r="H160" s="32">
        <f t="shared" si="40"/>
        <v>116935</v>
      </c>
      <c r="I160" s="32">
        <f t="shared" si="41"/>
        <v>40770</v>
      </c>
      <c r="J160" s="32">
        <f t="shared" si="42"/>
        <v>0</v>
      </c>
      <c r="K160" s="32">
        <f t="shared" si="43"/>
        <v>0</v>
      </c>
      <c r="L160" s="32">
        <f t="shared" si="44"/>
        <v>76165</v>
      </c>
      <c r="M160" s="32">
        <f>IF(AND(AND(T159="",A160&lt;=S159),A160=入力!$B$15),ROUND(MIN(入力!$B$16,MAX(0,C160-L160)),0),0)</f>
        <v>0</v>
      </c>
      <c r="N160" s="32">
        <f t="shared" si="45"/>
        <v>19493493</v>
      </c>
      <c r="O160" s="32">
        <f t="shared" si="46"/>
        <v>6273818</v>
      </c>
      <c r="P160" s="34" t="str">
        <f>IF(NOT(AND(T159="",A160&lt;=S159)),"",IF(A160=入力!$B$15+1,"繰上返済後再計算","")&amp;IF(AND(入力!$B$13="有効",A160&gt;1,MOD(A160-1,60)=0),IF(A160=入力!$B$15+1,"・","")&amp;"5年見直し","")&amp;IF(AND(A160=入力!$B$11,A160&gt;1),IF(OR(A160=入力!$B$15+1,AND(入力!$B$13="有効",A160&gt;1,MOD(A160-1,60)=0)),"・","")&amp;"金利変更","")&amp;IF(AND(OR(AND(入力!$B$13="有効",A160&gt;1,MOD(A160-1,60)=0),AND(A160=入力!$B$11,A160&gt;1)),入力!$B$14="有効",IF(E160=0,ROUND(C160/MAX(1,S159-A160+1),0),ROUND(-PMT(E160/12,MAX(1,S159-A160+1),C160),0))&gt;ROUND(G159*1.25,0),NOT(A160=入力!$B$15+1)),"・上限適用",""))</f>
        <v/>
      </c>
      <c r="Q160" s="35" t="str">
        <f>IF(AND(T159="",A160&lt;=S159),入力!$B$13,"")</f>
        <v>有効</v>
      </c>
      <c r="R160" s="32" t="str">
        <f>IF(AND(AND(T159="",A160&lt;=S159),OR(AND(入力!$B$13="有効",A160&gt;1,MOD(A160-1,60)=0),AND(A160=入力!$B$11,A160&gt;1)),入力!$B$14="有効"),ROUND(G159*1.25,0),"")</f>
        <v/>
      </c>
      <c r="S160" s="36">
        <f>IF(A160=入力!$B$15,A160+入力!$B$19,S159)</f>
        <v>360</v>
      </c>
      <c r="T160" s="35" t="str">
        <f t="shared" si="47"/>
        <v/>
      </c>
      <c r="U160" s="3">
        <f t="shared" si="32"/>
        <v>0</v>
      </c>
      <c r="V160" s="3">
        <f t="shared" si="33"/>
        <v>0</v>
      </c>
      <c r="W160" s="3">
        <f t="shared" si="34"/>
        <v>0</v>
      </c>
      <c r="X160" s="3">
        <f t="shared" si="35"/>
        <v>0</v>
      </c>
      <c r="Y160" s="3">
        <f>IF(A160&lt;入力!$B$15,ABS(G160-何もしない_月次!G160),0)</f>
        <v>0</v>
      </c>
      <c r="Z160" s="3">
        <f t="shared" si="36"/>
        <v>0</v>
      </c>
      <c r="AA160">
        <f>ROUND(IF(A160=入力!$B$15+1,IF(E160=0,ROUND(C160/入力!$B$19,0),ROUND(-PMT(E160/12,入力!$B$19,C160),0)),IF(OR(AND(入力!$B$13="有効",A160&gt;1,MOD(A160-1,60)=0),AND(A160=入力!$B$11,A160&gt;1)),IF(入力!$B$14="有効",MIN(IF(E160=0,ROUND(C160/MAX(1,S159-A160+1),0),ROUND(-PMT(E160/12,MAX(1,S159-A160+1),C160),0)),ROUND(G159*1.25,0)),IF(E160=0,ROUND(C160/MAX(1,S159-A160+1),0),ROUND(-PMT(E160/12,MAX(1,S159-A160+1),C160),0))),G159)),0)</f>
        <v>116935</v>
      </c>
    </row>
    <row r="161" spans="1:27">
      <c r="A161" s="30">
        <f>156</f>
        <v>156</v>
      </c>
      <c r="B161" s="31">
        <f>EDATE(入力!$B$6,A161-1)</f>
        <v>50952</v>
      </c>
      <c r="C161" s="32">
        <f t="shared" si="37"/>
        <v>19493493</v>
      </c>
      <c r="D161" s="32">
        <f t="shared" si="38"/>
        <v>0</v>
      </c>
      <c r="E161" s="33">
        <f>IF(AND(T160="",A161&lt;=S160),IF(A161&lt;入力!$B$11,入力!$B$10,入力!$B$12),0)</f>
        <v>2.5000000000000001E-2</v>
      </c>
      <c r="F161" s="32">
        <f t="shared" si="39"/>
        <v>40611</v>
      </c>
      <c r="G161" s="32">
        <f>ROUND(IF(NOT(AND(T160="",A161&lt;=S160)),0,IF(A161=入力!$B$15+1,IF(E161=0,ROUND(C161/入力!$B$19,0),ROUND(-PMT(E161/12,入力!$B$19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),0)</f>
        <v>116935</v>
      </c>
      <c r="H161" s="32">
        <f t="shared" si="40"/>
        <v>116935</v>
      </c>
      <c r="I161" s="32">
        <f t="shared" si="41"/>
        <v>40611</v>
      </c>
      <c r="J161" s="32">
        <f t="shared" si="42"/>
        <v>0</v>
      </c>
      <c r="K161" s="32">
        <f t="shared" si="43"/>
        <v>0</v>
      </c>
      <c r="L161" s="32">
        <f t="shared" si="44"/>
        <v>76324</v>
      </c>
      <c r="M161" s="32">
        <f>IF(AND(AND(T160="",A161&lt;=S160),A161=入力!$B$15),ROUND(MIN(入力!$B$16,MAX(0,C161-L161)),0),0)</f>
        <v>0</v>
      </c>
      <c r="N161" s="32">
        <f t="shared" si="45"/>
        <v>19417169</v>
      </c>
      <c r="O161" s="32">
        <f t="shared" si="46"/>
        <v>6314429</v>
      </c>
      <c r="P161" s="34" t="str">
        <f>IF(NOT(AND(T160="",A161&lt;=S160)),"",IF(A161=入力!$B$15+1,"繰上返済後再計算","")&amp;IF(AND(入力!$B$13="有効",A161&gt;1,MOD(A161-1,60)=0),IF(A161=入力!$B$15+1,"・","")&amp;"5年見直し","")&amp;IF(AND(A161=入力!$B$11,A161&gt;1),IF(OR(A161=入力!$B$15+1,AND(入力!$B$13="有効",A161&gt;1,MOD(A161-1,60)=0)),"・","")&amp;"金利変更","")&amp;IF(AND(OR(AND(入力!$B$13="有効",A161&gt;1,MOD(A161-1,60)=0),AND(A161=入力!$B$11,A161&gt;1)),入力!$B$14="有効",IF(E161=0,ROUND(C161/MAX(1,S160-A161+1),0),ROUND(-PMT(E161/12,MAX(1,S160-A161+1),C161),0))&gt;ROUND(G160*1.25,0),NOT(A161=入力!$B$15+1)),"・上限適用",""))</f>
        <v/>
      </c>
      <c r="Q161" s="35" t="str">
        <f>IF(AND(T160="",A161&lt;=S160),入力!$B$13,"")</f>
        <v>有効</v>
      </c>
      <c r="R161" s="32" t="str">
        <f>IF(AND(AND(T160="",A161&lt;=S160),OR(AND(入力!$B$13="有効",A161&gt;1,MOD(A161-1,60)=0),AND(A161=入力!$B$11,A161&gt;1)),入力!$B$14="有効"),ROUND(G160*1.25,0),"")</f>
        <v/>
      </c>
      <c r="S161" s="36">
        <f>IF(A161=入力!$B$15,A161+入力!$B$19,S160)</f>
        <v>360</v>
      </c>
      <c r="T161" s="35" t="str">
        <f t="shared" si="47"/>
        <v/>
      </c>
      <c r="U161" s="3">
        <f t="shared" si="32"/>
        <v>0</v>
      </c>
      <c r="V161" s="3">
        <f t="shared" si="33"/>
        <v>0</v>
      </c>
      <c r="W161" s="3">
        <f t="shared" si="34"/>
        <v>0</v>
      </c>
      <c r="X161" s="3">
        <f t="shared" si="35"/>
        <v>0</v>
      </c>
      <c r="Y161" s="3">
        <f>IF(A161&lt;入力!$B$15,ABS(G161-何もしない_月次!G161),0)</f>
        <v>0</v>
      </c>
      <c r="Z161" s="3">
        <f t="shared" si="36"/>
        <v>0</v>
      </c>
      <c r="AA161">
        <f>ROUND(IF(A161=入力!$B$15+1,IF(E161=0,ROUND(C161/入力!$B$19,0),ROUND(-PMT(E161/12,入力!$B$19,C161),0)),IF(OR(AND(入力!$B$13="有効",A161&gt;1,MOD(A161-1,60)=0),AND(A161=入力!$B$11,A161&gt;1)),IF(入力!$B$14="有効",MIN(IF(E161=0,ROUND(C161/MAX(1,S160-A161+1),0),ROUND(-PMT(E161/12,MAX(1,S160-A161+1),C161),0)),ROUND(G160*1.25,0)),IF(E161=0,ROUND(C161/MAX(1,S160-A161+1),0),ROUND(-PMT(E161/12,MAX(1,S160-A161+1),C161),0))),G160)),0)</f>
        <v>116935</v>
      </c>
    </row>
    <row r="162" spans="1:27">
      <c r="A162" s="30">
        <f>157</f>
        <v>157</v>
      </c>
      <c r="B162" s="31">
        <f>EDATE(入力!$B$6,A162-1)</f>
        <v>50983</v>
      </c>
      <c r="C162" s="32">
        <f t="shared" si="37"/>
        <v>19417169</v>
      </c>
      <c r="D162" s="32">
        <f t="shared" si="38"/>
        <v>0</v>
      </c>
      <c r="E162" s="33">
        <f>IF(AND(T161="",A162&lt;=S161),IF(A162&lt;入力!$B$11,入力!$B$10,入力!$B$12),0)</f>
        <v>2.5000000000000001E-2</v>
      </c>
      <c r="F162" s="32">
        <f t="shared" si="39"/>
        <v>40452</v>
      </c>
      <c r="G162" s="32">
        <f>ROUND(IF(NOT(AND(T161="",A162&lt;=S161)),0,IF(A162=入力!$B$15+1,IF(E162=0,ROUND(C162/入力!$B$19,0),ROUND(-PMT(E162/12,入力!$B$19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),0)</f>
        <v>116935</v>
      </c>
      <c r="H162" s="32">
        <f t="shared" si="40"/>
        <v>116935</v>
      </c>
      <c r="I162" s="32">
        <f t="shared" si="41"/>
        <v>40452</v>
      </c>
      <c r="J162" s="32">
        <f t="shared" si="42"/>
        <v>0</v>
      </c>
      <c r="K162" s="32">
        <f t="shared" si="43"/>
        <v>0</v>
      </c>
      <c r="L162" s="32">
        <f t="shared" si="44"/>
        <v>76483</v>
      </c>
      <c r="M162" s="32">
        <f>IF(AND(AND(T161="",A162&lt;=S161),A162=入力!$B$15),ROUND(MIN(入力!$B$16,MAX(0,C162-L162)),0),0)</f>
        <v>0</v>
      </c>
      <c r="N162" s="32">
        <f t="shared" si="45"/>
        <v>19340686</v>
      </c>
      <c r="O162" s="32">
        <f t="shared" si="46"/>
        <v>6354881</v>
      </c>
      <c r="P162" s="34" t="str">
        <f>IF(NOT(AND(T161="",A162&lt;=S161)),"",IF(A162=入力!$B$15+1,"繰上返済後再計算","")&amp;IF(AND(入力!$B$13="有効",A162&gt;1,MOD(A162-1,60)=0),IF(A162=入力!$B$15+1,"・","")&amp;"5年見直し","")&amp;IF(AND(A162=入力!$B$11,A162&gt;1),IF(OR(A162=入力!$B$15+1,AND(入力!$B$13="有効",A162&gt;1,MOD(A162-1,60)=0)),"・","")&amp;"金利変更","")&amp;IF(AND(OR(AND(入力!$B$13="有効",A162&gt;1,MOD(A162-1,60)=0),AND(A162=入力!$B$11,A162&gt;1)),入力!$B$14="有効",IF(E162=0,ROUND(C162/MAX(1,S161-A162+1),0),ROUND(-PMT(E162/12,MAX(1,S161-A162+1),C162),0))&gt;ROUND(G161*1.25,0),NOT(A162=入力!$B$15+1)),"・上限適用",""))</f>
        <v/>
      </c>
      <c r="Q162" s="35" t="str">
        <f>IF(AND(T161="",A162&lt;=S161),入力!$B$13,"")</f>
        <v>有効</v>
      </c>
      <c r="R162" s="32" t="str">
        <f>IF(AND(AND(T161="",A162&lt;=S161),OR(AND(入力!$B$13="有効",A162&gt;1,MOD(A162-1,60)=0),AND(A162=入力!$B$11,A162&gt;1)),入力!$B$14="有効"),ROUND(G161*1.25,0),"")</f>
        <v/>
      </c>
      <c r="S162" s="36">
        <f>IF(A162=入力!$B$15,A162+入力!$B$19,S161)</f>
        <v>360</v>
      </c>
      <c r="T162" s="35" t="str">
        <f t="shared" si="47"/>
        <v/>
      </c>
      <c r="U162" s="3">
        <f t="shared" si="32"/>
        <v>0</v>
      </c>
      <c r="V162" s="3">
        <f t="shared" si="33"/>
        <v>0</v>
      </c>
      <c r="W162" s="3">
        <f t="shared" si="34"/>
        <v>0</v>
      </c>
      <c r="X162" s="3">
        <f t="shared" si="35"/>
        <v>0</v>
      </c>
      <c r="Y162" s="3">
        <f>IF(A162&lt;入力!$B$15,ABS(G162-何もしない_月次!G162),0)</f>
        <v>0</v>
      </c>
      <c r="Z162" s="3">
        <f t="shared" si="36"/>
        <v>0</v>
      </c>
      <c r="AA162">
        <f>ROUND(IF(A162=入力!$B$15+1,IF(E162=0,ROUND(C162/入力!$B$19,0),ROUND(-PMT(E162/12,入力!$B$19,C162),0)),IF(OR(AND(入力!$B$13="有効",A162&gt;1,MOD(A162-1,60)=0),AND(A162=入力!$B$11,A162&gt;1)),IF(入力!$B$14="有効",MIN(IF(E162=0,ROUND(C162/MAX(1,S161-A162+1),0),ROUND(-PMT(E162/12,MAX(1,S161-A162+1),C162),0)),ROUND(G161*1.25,0)),IF(E162=0,ROUND(C162/MAX(1,S161-A162+1),0),ROUND(-PMT(E162/12,MAX(1,S161-A162+1),C162),0))),G161)),0)</f>
        <v>116935</v>
      </c>
    </row>
    <row r="163" spans="1:27">
      <c r="A163" s="30">
        <f>158</f>
        <v>158</v>
      </c>
      <c r="B163" s="31">
        <f>EDATE(入力!$B$6,A163-1)</f>
        <v>51014</v>
      </c>
      <c r="C163" s="32">
        <f t="shared" si="37"/>
        <v>19340686</v>
      </c>
      <c r="D163" s="32">
        <f t="shared" si="38"/>
        <v>0</v>
      </c>
      <c r="E163" s="33">
        <f>IF(AND(T162="",A163&lt;=S162),IF(A163&lt;入力!$B$11,入力!$B$10,入力!$B$12),0)</f>
        <v>2.5000000000000001E-2</v>
      </c>
      <c r="F163" s="32">
        <f t="shared" si="39"/>
        <v>40293</v>
      </c>
      <c r="G163" s="32">
        <f>ROUND(IF(NOT(AND(T162="",A163&lt;=S162)),0,IF(A163=入力!$B$15+1,IF(E163=0,ROUND(C163/入力!$B$19,0),ROUND(-PMT(E163/12,入力!$B$19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),0)</f>
        <v>116935</v>
      </c>
      <c r="H163" s="32">
        <f t="shared" si="40"/>
        <v>116935</v>
      </c>
      <c r="I163" s="32">
        <f t="shared" si="41"/>
        <v>40293</v>
      </c>
      <c r="J163" s="32">
        <f t="shared" si="42"/>
        <v>0</v>
      </c>
      <c r="K163" s="32">
        <f t="shared" si="43"/>
        <v>0</v>
      </c>
      <c r="L163" s="32">
        <f t="shared" si="44"/>
        <v>76642</v>
      </c>
      <c r="M163" s="32">
        <f>IF(AND(AND(T162="",A163&lt;=S162),A163=入力!$B$15),ROUND(MIN(入力!$B$16,MAX(0,C163-L163)),0),0)</f>
        <v>0</v>
      </c>
      <c r="N163" s="32">
        <f t="shared" si="45"/>
        <v>19264044</v>
      </c>
      <c r="O163" s="32">
        <f t="shared" si="46"/>
        <v>6395174</v>
      </c>
      <c r="P163" s="34" t="str">
        <f>IF(NOT(AND(T162="",A163&lt;=S162)),"",IF(A163=入力!$B$15+1,"繰上返済後再計算","")&amp;IF(AND(入力!$B$13="有効",A163&gt;1,MOD(A163-1,60)=0),IF(A163=入力!$B$15+1,"・","")&amp;"5年見直し","")&amp;IF(AND(A163=入力!$B$11,A163&gt;1),IF(OR(A163=入力!$B$15+1,AND(入力!$B$13="有効",A163&gt;1,MOD(A163-1,60)=0)),"・","")&amp;"金利変更","")&amp;IF(AND(OR(AND(入力!$B$13="有効",A163&gt;1,MOD(A163-1,60)=0),AND(A163=入力!$B$11,A163&gt;1)),入力!$B$14="有効",IF(E163=0,ROUND(C163/MAX(1,S162-A163+1),0),ROUND(-PMT(E163/12,MAX(1,S162-A163+1),C163),0))&gt;ROUND(G162*1.25,0),NOT(A163=入力!$B$15+1)),"・上限適用",""))</f>
        <v/>
      </c>
      <c r="Q163" s="35" t="str">
        <f>IF(AND(T162="",A163&lt;=S162),入力!$B$13,"")</f>
        <v>有効</v>
      </c>
      <c r="R163" s="32" t="str">
        <f>IF(AND(AND(T162="",A163&lt;=S162),OR(AND(入力!$B$13="有効",A163&gt;1,MOD(A163-1,60)=0),AND(A163=入力!$B$11,A163&gt;1)),入力!$B$14="有効"),ROUND(G162*1.25,0),"")</f>
        <v/>
      </c>
      <c r="S163" s="36">
        <f>IF(A163=入力!$B$15,A163+入力!$B$19,S162)</f>
        <v>360</v>
      </c>
      <c r="T163" s="35" t="str">
        <f t="shared" si="47"/>
        <v/>
      </c>
      <c r="U163" s="3">
        <f t="shared" si="32"/>
        <v>0</v>
      </c>
      <c r="V163" s="3">
        <f t="shared" si="33"/>
        <v>0</v>
      </c>
      <c r="W163" s="3">
        <f t="shared" si="34"/>
        <v>0</v>
      </c>
      <c r="X163" s="3">
        <f t="shared" si="35"/>
        <v>0</v>
      </c>
      <c r="Y163" s="3">
        <f>IF(A163&lt;入力!$B$15,ABS(G163-何もしない_月次!G163),0)</f>
        <v>0</v>
      </c>
      <c r="Z163" s="3">
        <f t="shared" si="36"/>
        <v>0</v>
      </c>
      <c r="AA163">
        <f>ROUND(IF(A163=入力!$B$15+1,IF(E163=0,ROUND(C163/入力!$B$19,0),ROUND(-PMT(E163/12,入力!$B$19,C163),0)),IF(OR(AND(入力!$B$13="有効",A163&gt;1,MOD(A163-1,60)=0),AND(A163=入力!$B$11,A163&gt;1)),IF(入力!$B$14="有効",MIN(IF(E163=0,ROUND(C163/MAX(1,S162-A163+1),0),ROUND(-PMT(E163/12,MAX(1,S162-A163+1),C163),0)),ROUND(G162*1.25,0)),IF(E163=0,ROUND(C163/MAX(1,S162-A163+1),0),ROUND(-PMT(E163/12,MAX(1,S162-A163+1),C163),0))),G162)),0)</f>
        <v>116935</v>
      </c>
    </row>
    <row r="164" spans="1:27">
      <c r="A164" s="30">
        <f>159</f>
        <v>159</v>
      </c>
      <c r="B164" s="31">
        <f>EDATE(入力!$B$6,A164-1)</f>
        <v>51044</v>
      </c>
      <c r="C164" s="32">
        <f t="shared" si="37"/>
        <v>19264044</v>
      </c>
      <c r="D164" s="32">
        <f t="shared" si="38"/>
        <v>0</v>
      </c>
      <c r="E164" s="33">
        <f>IF(AND(T163="",A164&lt;=S163),IF(A164&lt;入力!$B$11,入力!$B$10,入力!$B$12),0)</f>
        <v>2.5000000000000001E-2</v>
      </c>
      <c r="F164" s="32">
        <f t="shared" si="39"/>
        <v>40133</v>
      </c>
      <c r="G164" s="32">
        <f>ROUND(IF(NOT(AND(T163="",A164&lt;=S163)),0,IF(A164=入力!$B$15+1,IF(E164=0,ROUND(C164/入力!$B$19,0),ROUND(-PMT(E164/12,入力!$B$19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),0)</f>
        <v>116935</v>
      </c>
      <c r="H164" s="32">
        <f t="shared" si="40"/>
        <v>116935</v>
      </c>
      <c r="I164" s="32">
        <f t="shared" si="41"/>
        <v>40133</v>
      </c>
      <c r="J164" s="32">
        <f t="shared" si="42"/>
        <v>0</v>
      </c>
      <c r="K164" s="32">
        <f t="shared" si="43"/>
        <v>0</v>
      </c>
      <c r="L164" s="32">
        <f t="shared" si="44"/>
        <v>76802</v>
      </c>
      <c r="M164" s="32">
        <f>IF(AND(AND(T163="",A164&lt;=S163),A164=入力!$B$15),ROUND(MIN(入力!$B$16,MAX(0,C164-L164)),0),0)</f>
        <v>0</v>
      </c>
      <c r="N164" s="32">
        <f t="shared" si="45"/>
        <v>19187242</v>
      </c>
      <c r="O164" s="32">
        <f t="shared" si="46"/>
        <v>6435307</v>
      </c>
      <c r="P164" s="34" t="str">
        <f>IF(NOT(AND(T163="",A164&lt;=S163)),"",IF(A164=入力!$B$15+1,"繰上返済後再計算","")&amp;IF(AND(入力!$B$13="有効",A164&gt;1,MOD(A164-1,60)=0),IF(A164=入力!$B$15+1,"・","")&amp;"5年見直し","")&amp;IF(AND(A164=入力!$B$11,A164&gt;1),IF(OR(A164=入力!$B$15+1,AND(入力!$B$13="有効",A164&gt;1,MOD(A164-1,60)=0)),"・","")&amp;"金利変更","")&amp;IF(AND(OR(AND(入力!$B$13="有効",A164&gt;1,MOD(A164-1,60)=0),AND(A164=入力!$B$11,A164&gt;1)),入力!$B$14="有効",IF(E164=0,ROUND(C164/MAX(1,S163-A164+1),0),ROUND(-PMT(E164/12,MAX(1,S163-A164+1),C164),0))&gt;ROUND(G163*1.25,0),NOT(A164=入力!$B$15+1)),"・上限適用",""))</f>
        <v/>
      </c>
      <c r="Q164" s="35" t="str">
        <f>IF(AND(T163="",A164&lt;=S163),入力!$B$13,"")</f>
        <v>有効</v>
      </c>
      <c r="R164" s="32" t="str">
        <f>IF(AND(AND(T163="",A164&lt;=S163),OR(AND(入力!$B$13="有効",A164&gt;1,MOD(A164-1,60)=0),AND(A164=入力!$B$11,A164&gt;1)),入力!$B$14="有効"),ROUND(G163*1.25,0),"")</f>
        <v/>
      </c>
      <c r="S164" s="36">
        <f>IF(A164=入力!$B$15,A164+入力!$B$19,S163)</f>
        <v>360</v>
      </c>
      <c r="T164" s="35" t="str">
        <f t="shared" si="47"/>
        <v/>
      </c>
      <c r="U164" s="3">
        <f t="shared" si="32"/>
        <v>0</v>
      </c>
      <c r="V164" s="3">
        <f t="shared" si="33"/>
        <v>0</v>
      </c>
      <c r="W164" s="3">
        <f t="shared" si="34"/>
        <v>0</v>
      </c>
      <c r="X164" s="3">
        <f t="shared" si="35"/>
        <v>0</v>
      </c>
      <c r="Y164" s="3">
        <f>IF(A164&lt;入力!$B$15,ABS(G164-何もしない_月次!G164),0)</f>
        <v>0</v>
      </c>
      <c r="Z164" s="3">
        <f t="shared" si="36"/>
        <v>0</v>
      </c>
      <c r="AA164">
        <f>ROUND(IF(A164=入力!$B$15+1,IF(E164=0,ROUND(C164/入力!$B$19,0),ROUND(-PMT(E164/12,入力!$B$19,C164),0)),IF(OR(AND(入力!$B$13="有効",A164&gt;1,MOD(A164-1,60)=0),AND(A164=入力!$B$11,A164&gt;1)),IF(入力!$B$14="有効",MIN(IF(E164=0,ROUND(C164/MAX(1,S163-A164+1),0),ROUND(-PMT(E164/12,MAX(1,S163-A164+1),C164),0)),ROUND(G163*1.25,0)),IF(E164=0,ROUND(C164/MAX(1,S163-A164+1),0),ROUND(-PMT(E164/12,MAX(1,S163-A164+1),C164),0))),G163)),0)</f>
        <v>116935</v>
      </c>
    </row>
    <row r="165" spans="1:27">
      <c r="A165" s="30">
        <f>160</f>
        <v>160</v>
      </c>
      <c r="B165" s="31">
        <f>EDATE(入力!$B$6,A165-1)</f>
        <v>51075</v>
      </c>
      <c r="C165" s="32">
        <f t="shared" si="37"/>
        <v>19187242</v>
      </c>
      <c r="D165" s="32">
        <f t="shared" si="38"/>
        <v>0</v>
      </c>
      <c r="E165" s="33">
        <f>IF(AND(T164="",A165&lt;=S164),IF(A165&lt;入力!$B$11,入力!$B$10,入力!$B$12),0)</f>
        <v>2.5000000000000001E-2</v>
      </c>
      <c r="F165" s="32">
        <f t="shared" si="39"/>
        <v>39973</v>
      </c>
      <c r="G165" s="32">
        <f>ROUND(IF(NOT(AND(T164="",A165&lt;=S164)),0,IF(A165=入力!$B$15+1,IF(E165=0,ROUND(C165/入力!$B$19,0),ROUND(-PMT(E165/12,入力!$B$19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),0)</f>
        <v>116935</v>
      </c>
      <c r="H165" s="32">
        <f t="shared" si="40"/>
        <v>116935</v>
      </c>
      <c r="I165" s="32">
        <f t="shared" si="41"/>
        <v>39973</v>
      </c>
      <c r="J165" s="32">
        <f t="shared" si="42"/>
        <v>0</v>
      </c>
      <c r="K165" s="32">
        <f t="shared" si="43"/>
        <v>0</v>
      </c>
      <c r="L165" s="32">
        <f t="shared" si="44"/>
        <v>76962</v>
      </c>
      <c r="M165" s="32">
        <f>IF(AND(AND(T164="",A165&lt;=S164),A165=入力!$B$15),ROUND(MIN(入力!$B$16,MAX(0,C165-L165)),0),0)</f>
        <v>0</v>
      </c>
      <c r="N165" s="32">
        <f t="shared" si="45"/>
        <v>19110280</v>
      </c>
      <c r="O165" s="32">
        <f t="shared" si="46"/>
        <v>6475280</v>
      </c>
      <c r="P165" s="34" t="str">
        <f>IF(NOT(AND(T164="",A165&lt;=S164)),"",IF(A165=入力!$B$15+1,"繰上返済後再計算","")&amp;IF(AND(入力!$B$13="有効",A165&gt;1,MOD(A165-1,60)=0),IF(A165=入力!$B$15+1,"・","")&amp;"5年見直し","")&amp;IF(AND(A165=入力!$B$11,A165&gt;1),IF(OR(A165=入力!$B$15+1,AND(入力!$B$13="有効",A165&gt;1,MOD(A165-1,60)=0)),"・","")&amp;"金利変更","")&amp;IF(AND(OR(AND(入力!$B$13="有効",A165&gt;1,MOD(A165-1,60)=0),AND(A165=入力!$B$11,A165&gt;1)),入力!$B$14="有効",IF(E165=0,ROUND(C165/MAX(1,S164-A165+1),0),ROUND(-PMT(E165/12,MAX(1,S164-A165+1),C165),0))&gt;ROUND(G164*1.25,0),NOT(A165=入力!$B$15+1)),"・上限適用",""))</f>
        <v/>
      </c>
      <c r="Q165" s="35" t="str">
        <f>IF(AND(T164="",A165&lt;=S164),入力!$B$13,"")</f>
        <v>有効</v>
      </c>
      <c r="R165" s="32" t="str">
        <f>IF(AND(AND(T164="",A165&lt;=S164),OR(AND(入力!$B$13="有効",A165&gt;1,MOD(A165-1,60)=0),AND(A165=入力!$B$11,A165&gt;1)),入力!$B$14="有効"),ROUND(G164*1.25,0),"")</f>
        <v/>
      </c>
      <c r="S165" s="36">
        <f>IF(A165=入力!$B$15,A165+入力!$B$19,S164)</f>
        <v>360</v>
      </c>
      <c r="T165" s="35" t="str">
        <f t="shared" si="47"/>
        <v/>
      </c>
      <c r="U165" s="3">
        <f t="shared" si="32"/>
        <v>0</v>
      </c>
      <c r="V165" s="3">
        <f t="shared" si="33"/>
        <v>0</v>
      </c>
      <c r="W165" s="3">
        <f t="shared" si="34"/>
        <v>0</v>
      </c>
      <c r="X165" s="3">
        <f t="shared" si="35"/>
        <v>0</v>
      </c>
      <c r="Y165" s="3">
        <f>IF(A165&lt;入力!$B$15,ABS(G165-何もしない_月次!G165),0)</f>
        <v>0</v>
      </c>
      <c r="Z165" s="3">
        <f t="shared" si="36"/>
        <v>0</v>
      </c>
      <c r="AA165">
        <f>ROUND(IF(A165=入力!$B$15+1,IF(E165=0,ROUND(C165/入力!$B$19,0),ROUND(-PMT(E165/12,入力!$B$19,C165),0)),IF(OR(AND(入力!$B$13="有効",A165&gt;1,MOD(A165-1,60)=0),AND(A165=入力!$B$11,A165&gt;1)),IF(入力!$B$14="有効",MIN(IF(E165=0,ROUND(C165/MAX(1,S164-A165+1),0),ROUND(-PMT(E165/12,MAX(1,S164-A165+1),C165),0)),ROUND(G164*1.25,0)),IF(E165=0,ROUND(C165/MAX(1,S164-A165+1),0),ROUND(-PMT(E165/12,MAX(1,S164-A165+1),C165),0))),G164)),0)</f>
        <v>116935</v>
      </c>
    </row>
    <row r="166" spans="1:27">
      <c r="A166" s="30">
        <f>161</f>
        <v>161</v>
      </c>
      <c r="B166" s="31">
        <f>EDATE(入力!$B$6,A166-1)</f>
        <v>51105</v>
      </c>
      <c r="C166" s="32">
        <f t="shared" si="37"/>
        <v>19110280</v>
      </c>
      <c r="D166" s="32">
        <f t="shared" si="38"/>
        <v>0</v>
      </c>
      <c r="E166" s="33">
        <f>IF(AND(T165="",A166&lt;=S165),IF(A166&lt;入力!$B$11,入力!$B$10,入力!$B$12),0)</f>
        <v>2.5000000000000001E-2</v>
      </c>
      <c r="F166" s="32">
        <f t="shared" si="39"/>
        <v>39813</v>
      </c>
      <c r="G166" s="32">
        <f>ROUND(IF(NOT(AND(T165="",A166&lt;=S165)),0,IF(A166=入力!$B$15+1,IF(E166=0,ROUND(C166/入力!$B$19,0),ROUND(-PMT(E166/12,入力!$B$19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),0)</f>
        <v>116935</v>
      </c>
      <c r="H166" s="32">
        <f t="shared" si="40"/>
        <v>116935</v>
      </c>
      <c r="I166" s="32">
        <f t="shared" si="41"/>
        <v>39813</v>
      </c>
      <c r="J166" s="32">
        <f t="shared" si="42"/>
        <v>0</v>
      </c>
      <c r="K166" s="32">
        <f t="shared" si="43"/>
        <v>0</v>
      </c>
      <c r="L166" s="32">
        <f t="shared" si="44"/>
        <v>77122</v>
      </c>
      <c r="M166" s="32">
        <f>IF(AND(AND(T165="",A166&lt;=S165),A166=入力!$B$15),ROUND(MIN(入力!$B$16,MAX(0,C166-L166)),0),0)</f>
        <v>0</v>
      </c>
      <c r="N166" s="32">
        <f t="shared" si="45"/>
        <v>19033158</v>
      </c>
      <c r="O166" s="32">
        <f t="shared" si="46"/>
        <v>6515093</v>
      </c>
      <c r="P166" s="34" t="str">
        <f>IF(NOT(AND(T165="",A166&lt;=S165)),"",IF(A166=入力!$B$15+1,"繰上返済後再計算","")&amp;IF(AND(入力!$B$13="有効",A166&gt;1,MOD(A166-1,60)=0),IF(A166=入力!$B$15+1,"・","")&amp;"5年見直し","")&amp;IF(AND(A166=入力!$B$11,A166&gt;1),IF(OR(A166=入力!$B$15+1,AND(入力!$B$13="有効",A166&gt;1,MOD(A166-1,60)=0)),"・","")&amp;"金利変更","")&amp;IF(AND(OR(AND(入力!$B$13="有効",A166&gt;1,MOD(A166-1,60)=0),AND(A166=入力!$B$11,A166&gt;1)),入力!$B$14="有効",IF(E166=0,ROUND(C166/MAX(1,S165-A166+1),0),ROUND(-PMT(E166/12,MAX(1,S165-A166+1),C166),0))&gt;ROUND(G165*1.25,0),NOT(A166=入力!$B$15+1)),"・上限適用",""))</f>
        <v/>
      </c>
      <c r="Q166" s="35" t="str">
        <f>IF(AND(T165="",A166&lt;=S165),入力!$B$13,"")</f>
        <v>有効</v>
      </c>
      <c r="R166" s="32" t="str">
        <f>IF(AND(AND(T165="",A166&lt;=S165),OR(AND(入力!$B$13="有効",A166&gt;1,MOD(A166-1,60)=0),AND(A166=入力!$B$11,A166&gt;1)),入力!$B$14="有効"),ROUND(G165*1.25,0),"")</f>
        <v/>
      </c>
      <c r="S166" s="36">
        <f>IF(A166=入力!$B$15,A166+入力!$B$19,S165)</f>
        <v>360</v>
      </c>
      <c r="T166" s="35" t="str">
        <f t="shared" si="47"/>
        <v/>
      </c>
      <c r="U166" s="3">
        <f t="shared" si="32"/>
        <v>0</v>
      </c>
      <c r="V166" s="3">
        <f t="shared" si="33"/>
        <v>0</v>
      </c>
      <c r="W166" s="3">
        <f t="shared" si="34"/>
        <v>0</v>
      </c>
      <c r="X166" s="3">
        <f t="shared" si="35"/>
        <v>0</v>
      </c>
      <c r="Y166" s="3">
        <f>IF(A166&lt;入力!$B$15,ABS(G166-何もしない_月次!G166),0)</f>
        <v>0</v>
      </c>
      <c r="Z166" s="3">
        <f t="shared" si="36"/>
        <v>0</v>
      </c>
      <c r="AA166">
        <f>ROUND(IF(A166=入力!$B$15+1,IF(E166=0,ROUND(C166/入力!$B$19,0),ROUND(-PMT(E166/12,入力!$B$19,C166),0)),IF(OR(AND(入力!$B$13="有効",A166&gt;1,MOD(A166-1,60)=0),AND(A166=入力!$B$11,A166&gt;1)),IF(入力!$B$14="有効",MIN(IF(E166=0,ROUND(C166/MAX(1,S165-A166+1),0),ROUND(-PMT(E166/12,MAX(1,S165-A166+1),C166),0)),ROUND(G165*1.25,0)),IF(E166=0,ROUND(C166/MAX(1,S165-A166+1),0),ROUND(-PMT(E166/12,MAX(1,S165-A166+1),C166),0))),G165)),0)</f>
        <v>116935</v>
      </c>
    </row>
    <row r="167" spans="1:27">
      <c r="A167" s="30">
        <f>162</f>
        <v>162</v>
      </c>
      <c r="B167" s="31">
        <f>EDATE(入力!$B$6,A167-1)</f>
        <v>51136</v>
      </c>
      <c r="C167" s="32">
        <f t="shared" si="37"/>
        <v>19033158</v>
      </c>
      <c r="D167" s="32">
        <f t="shared" si="38"/>
        <v>0</v>
      </c>
      <c r="E167" s="33">
        <f>IF(AND(T166="",A167&lt;=S166),IF(A167&lt;入力!$B$11,入力!$B$10,入力!$B$12),0)</f>
        <v>2.5000000000000001E-2</v>
      </c>
      <c r="F167" s="32">
        <f t="shared" si="39"/>
        <v>39652</v>
      </c>
      <c r="G167" s="32">
        <f>ROUND(IF(NOT(AND(T166="",A167&lt;=S166)),0,IF(A167=入力!$B$15+1,IF(E167=0,ROUND(C167/入力!$B$19,0),ROUND(-PMT(E167/12,入力!$B$19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),0)</f>
        <v>116935</v>
      </c>
      <c r="H167" s="32">
        <f t="shared" si="40"/>
        <v>116935</v>
      </c>
      <c r="I167" s="32">
        <f t="shared" si="41"/>
        <v>39652</v>
      </c>
      <c r="J167" s="32">
        <f t="shared" si="42"/>
        <v>0</v>
      </c>
      <c r="K167" s="32">
        <f t="shared" si="43"/>
        <v>0</v>
      </c>
      <c r="L167" s="32">
        <f t="shared" si="44"/>
        <v>77283</v>
      </c>
      <c r="M167" s="32">
        <f>IF(AND(AND(T166="",A167&lt;=S166),A167=入力!$B$15),ROUND(MIN(入力!$B$16,MAX(0,C167-L167)),0),0)</f>
        <v>0</v>
      </c>
      <c r="N167" s="32">
        <f t="shared" si="45"/>
        <v>18955875</v>
      </c>
      <c r="O167" s="32">
        <f t="shared" si="46"/>
        <v>6554745</v>
      </c>
      <c r="P167" s="34" t="str">
        <f>IF(NOT(AND(T166="",A167&lt;=S166)),"",IF(A167=入力!$B$15+1,"繰上返済後再計算","")&amp;IF(AND(入力!$B$13="有効",A167&gt;1,MOD(A167-1,60)=0),IF(A167=入力!$B$15+1,"・","")&amp;"5年見直し","")&amp;IF(AND(A167=入力!$B$11,A167&gt;1),IF(OR(A167=入力!$B$15+1,AND(入力!$B$13="有効",A167&gt;1,MOD(A167-1,60)=0)),"・","")&amp;"金利変更","")&amp;IF(AND(OR(AND(入力!$B$13="有効",A167&gt;1,MOD(A167-1,60)=0),AND(A167=入力!$B$11,A167&gt;1)),入力!$B$14="有効",IF(E167=0,ROUND(C167/MAX(1,S166-A167+1),0),ROUND(-PMT(E167/12,MAX(1,S166-A167+1),C167),0))&gt;ROUND(G166*1.25,0),NOT(A167=入力!$B$15+1)),"・上限適用",""))</f>
        <v/>
      </c>
      <c r="Q167" s="35" t="str">
        <f>IF(AND(T166="",A167&lt;=S166),入力!$B$13,"")</f>
        <v>有効</v>
      </c>
      <c r="R167" s="32" t="str">
        <f>IF(AND(AND(T166="",A167&lt;=S166),OR(AND(入力!$B$13="有効",A167&gt;1,MOD(A167-1,60)=0),AND(A167=入力!$B$11,A167&gt;1)),入力!$B$14="有効"),ROUND(G166*1.25,0),"")</f>
        <v/>
      </c>
      <c r="S167" s="36">
        <f>IF(A167=入力!$B$15,A167+入力!$B$19,S166)</f>
        <v>360</v>
      </c>
      <c r="T167" s="35" t="str">
        <f t="shared" si="47"/>
        <v/>
      </c>
      <c r="U167" s="3">
        <f t="shared" si="32"/>
        <v>0</v>
      </c>
      <c r="V167" s="3">
        <f t="shared" si="33"/>
        <v>0</v>
      </c>
      <c r="W167" s="3">
        <f t="shared" si="34"/>
        <v>0</v>
      </c>
      <c r="X167" s="3">
        <f t="shared" si="35"/>
        <v>0</v>
      </c>
      <c r="Y167" s="3">
        <f>IF(A167&lt;入力!$B$15,ABS(G167-何もしない_月次!G167),0)</f>
        <v>0</v>
      </c>
      <c r="Z167" s="3">
        <f t="shared" si="36"/>
        <v>0</v>
      </c>
      <c r="AA167">
        <f>ROUND(IF(A167=入力!$B$15+1,IF(E167=0,ROUND(C167/入力!$B$19,0),ROUND(-PMT(E167/12,入力!$B$19,C167),0)),IF(OR(AND(入力!$B$13="有効",A167&gt;1,MOD(A167-1,60)=0),AND(A167=入力!$B$11,A167&gt;1)),IF(入力!$B$14="有効",MIN(IF(E167=0,ROUND(C167/MAX(1,S166-A167+1),0),ROUND(-PMT(E167/12,MAX(1,S166-A167+1),C167),0)),ROUND(G166*1.25,0)),IF(E167=0,ROUND(C167/MAX(1,S166-A167+1),0),ROUND(-PMT(E167/12,MAX(1,S166-A167+1),C167),0))),G166)),0)</f>
        <v>116935</v>
      </c>
    </row>
    <row r="168" spans="1:27">
      <c r="A168" s="30">
        <f>163</f>
        <v>163</v>
      </c>
      <c r="B168" s="31">
        <f>EDATE(入力!$B$6,A168-1)</f>
        <v>51167</v>
      </c>
      <c r="C168" s="32">
        <f t="shared" si="37"/>
        <v>18955875</v>
      </c>
      <c r="D168" s="32">
        <f t="shared" si="38"/>
        <v>0</v>
      </c>
      <c r="E168" s="33">
        <f>IF(AND(T167="",A168&lt;=S167),IF(A168&lt;入力!$B$11,入力!$B$10,入力!$B$12),0)</f>
        <v>2.5000000000000001E-2</v>
      </c>
      <c r="F168" s="32">
        <f t="shared" si="39"/>
        <v>39491</v>
      </c>
      <c r="G168" s="32">
        <f>ROUND(IF(NOT(AND(T167="",A168&lt;=S167)),0,IF(A168=入力!$B$15+1,IF(E168=0,ROUND(C168/入力!$B$19,0),ROUND(-PMT(E168/12,入力!$B$19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),0)</f>
        <v>116935</v>
      </c>
      <c r="H168" s="32">
        <f t="shared" si="40"/>
        <v>116935</v>
      </c>
      <c r="I168" s="32">
        <f t="shared" si="41"/>
        <v>39491</v>
      </c>
      <c r="J168" s="32">
        <f t="shared" si="42"/>
        <v>0</v>
      </c>
      <c r="K168" s="32">
        <f t="shared" si="43"/>
        <v>0</v>
      </c>
      <c r="L168" s="32">
        <f t="shared" si="44"/>
        <v>77444</v>
      </c>
      <c r="M168" s="32">
        <f>IF(AND(AND(T167="",A168&lt;=S167),A168=入力!$B$15),ROUND(MIN(入力!$B$16,MAX(0,C168-L168)),0),0)</f>
        <v>0</v>
      </c>
      <c r="N168" s="32">
        <f t="shared" si="45"/>
        <v>18878431</v>
      </c>
      <c r="O168" s="32">
        <f t="shared" si="46"/>
        <v>6594236</v>
      </c>
      <c r="P168" s="34" t="str">
        <f>IF(NOT(AND(T167="",A168&lt;=S167)),"",IF(A168=入力!$B$15+1,"繰上返済後再計算","")&amp;IF(AND(入力!$B$13="有効",A168&gt;1,MOD(A168-1,60)=0),IF(A168=入力!$B$15+1,"・","")&amp;"5年見直し","")&amp;IF(AND(A168=入力!$B$11,A168&gt;1),IF(OR(A168=入力!$B$15+1,AND(入力!$B$13="有効",A168&gt;1,MOD(A168-1,60)=0)),"・","")&amp;"金利変更","")&amp;IF(AND(OR(AND(入力!$B$13="有効",A168&gt;1,MOD(A168-1,60)=0),AND(A168=入力!$B$11,A168&gt;1)),入力!$B$14="有効",IF(E168=0,ROUND(C168/MAX(1,S167-A168+1),0),ROUND(-PMT(E168/12,MAX(1,S167-A168+1),C168),0))&gt;ROUND(G167*1.25,0),NOT(A168=入力!$B$15+1)),"・上限適用",""))</f>
        <v/>
      </c>
      <c r="Q168" s="35" t="str">
        <f>IF(AND(T167="",A168&lt;=S167),入力!$B$13,"")</f>
        <v>有効</v>
      </c>
      <c r="R168" s="32" t="str">
        <f>IF(AND(AND(T167="",A168&lt;=S167),OR(AND(入力!$B$13="有効",A168&gt;1,MOD(A168-1,60)=0),AND(A168=入力!$B$11,A168&gt;1)),入力!$B$14="有効"),ROUND(G167*1.25,0),"")</f>
        <v/>
      </c>
      <c r="S168" s="36">
        <f>IF(A168=入力!$B$15,A168+入力!$B$19,S167)</f>
        <v>360</v>
      </c>
      <c r="T168" s="35" t="str">
        <f t="shared" si="47"/>
        <v/>
      </c>
      <c r="U168" s="3">
        <f t="shared" si="32"/>
        <v>0</v>
      </c>
      <c r="V168" s="3">
        <f t="shared" si="33"/>
        <v>0</v>
      </c>
      <c r="W168" s="3">
        <f t="shared" si="34"/>
        <v>0</v>
      </c>
      <c r="X168" s="3">
        <f t="shared" si="35"/>
        <v>0</v>
      </c>
      <c r="Y168" s="3">
        <f>IF(A168&lt;入力!$B$15,ABS(G168-何もしない_月次!G168),0)</f>
        <v>0</v>
      </c>
      <c r="Z168" s="3">
        <f t="shared" si="36"/>
        <v>0</v>
      </c>
      <c r="AA168">
        <f>ROUND(IF(A168=入力!$B$15+1,IF(E168=0,ROUND(C168/入力!$B$19,0),ROUND(-PMT(E168/12,入力!$B$19,C168),0)),IF(OR(AND(入力!$B$13="有効",A168&gt;1,MOD(A168-1,60)=0),AND(A168=入力!$B$11,A168&gt;1)),IF(入力!$B$14="有効",MIN(IF(E168=0,ROUND(C168/MAX(1,S167-A168+1),0),ROUND(-PMT(E168/12,MAX(1,S167-A168+1),C168),0)),ROUND(G167*1.25,0)),IF(E168=0,ROUND(C168/MAX(1,S167-A168+1),0),ROUND(-PMT(E168/12,MAX(1,S167-A168+1),C168),0))),G167)),0)</f>
        <v>116935</v>
      </c>
    </row>
    <row r="169" spans="1:27">
      <c r="A169" s="30">
        <f>164</f>
        <v>164</v>
      </c>
      <c r="B169" s="31">
        <f>EDATE(入力!$B$6,A169-1)</f>
        <v>51196</v>
      </c>
      <c r="C169" s="32">
        <f t="shared" si="37"/>
        <v>18878431</v>
      </c>
      <c r="D169" s="32">
        <f t="shared" si="38"/>
        <v>0</v>
      </c>
      <c r="E169" s="33">
        <f>IF(AND(T168="",A169&lt;=S168),IF(A169&lt;入力!$B$11,入力!$B$10,入力!$B$12),0)</f>
        <v>2.5000000000000001E-2</v>
      </c>
      <c r="F169" s="32">
        <f t="shared" si="39"/>
        <v>39330</v>
      </c>
      <c r="G169" s="32">
        <f>ROUND(IF(NOT(AND(T168="",A169&lt;=S168)),0,IF(A169=入力!$B$15+1,IF(E169=0,ROUND(C169/入力!$B$19,0),ROUND(-PMT(E169/12,入力!$B$19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),0)</f>
        <v>116935</v>
      </c>
      <c r="H169" s="32">
        <f t="shared" si="40"/>
        <v>116935</v>
      </c>
      <c r="I169" s="32">
        <f t="shared" si="41"/>
        <v>39330</v>
      </c>
      <c r="J169" s="32">
        <f t="shared" si="42"/>
        <v>0</v>
      </c>
      <c r="K169" s="32">
        <f t="shared" si="43"/>
        <v>0</v>
      </c>
      <c r="L169" s="32">
        <f t="shared" si="44"/>
        <v>77605</v>
      </c>
      <c r="M169" s="32">
        <f>IF(AND(AND(T168="",A169&lt;=S168),A169=入力!$B$15),ROUND(MIN(入力!$B$16,MAX(0,C169-L169)),0),0)</f>
        <v>0</v>
      </c>
      <c r="N169" s="32">
        <f t="shared" si="45"/>
        <v>18800826</v>
      </c>
      <c r="O169" s="32">
        <f t="shared" si="46"/>
        <v>6633566</v>
      </c>
      <c r="P169" s="34" t="str">
        <f>IF(NOT(AND(T168="",A169&lt;=S168)),"",IF(A169=入力!$B$15+1,"繰上返済後再計算","")&amp;IF(AND(入力!$B$13="有効",A169&gt;1,MOD(A169-1,60)=0),IF(A169=入力!$B$15+1,"・","")&amp;"5年見直し","")&amp;IF(AND(A169=入力!$B$11,A169&gt;1),IF(OR(A169=入力!$B$15+1,AND(入力!$B$13="有効",A169&gt;1,MOD(A169-1,60)=0)),"・","")&amp;"金利変更","")&amp;IF(AND(OR(AND(入力!$B$13="有効",A169&gt;1,MOD(A169-1,60)=0),AND(A169=入力!$B$11,A169&gt;1)),入力!$B$14="有効",IF(E169=0,ROUND(C169/MAX(1,S168-A169+1),0),ROUND(-PMT(E169/12,MAX(1,S168-A169+1),C169),0))&gt;ROUND(G168*1.25,0),NOT(A169=入力!$B$15+1)),"・上限適用",""))</f>
        <v/>
      </c>
      <c r="Q169" s="35" t="str">
        <f>IF(AND(T168="",A169&lt;=S168),入力!$B$13,"")</f>
        <v>有効</v>
      </c>
      <c r="R169" s="32" t="str">
        <f>IF(AND(AND(T168="",A169&lt;=S168),OR(AND(入力!$B$13="有効",A169&gt;1,MOD(A169-1,60)=0),AND(A169=入力!$B$11,A169&gt;1)),入力!$B$14="有効"),ROUND(G168*1.25,0),"")</f>
        <v/>
      </c>
      <c r="S169" s="36">
        <f>IF(A169=入力!$B$15,A169+入力!$B$19,S168)</f>
        <v>360</v>
      </c>
      <c r="T169" s="35" t="str">
        <f t="shared" si="47"/>
        <v/>
      </c>
      <c r="U169" s="3">
        <f t="shared" si="32"/>
        <v>0</v>
      </c>
      <c r="V169" s="3">
        <f t="shared" si="33"/>
        <v>0</v>
      </c>
      <c r="W169" s="3">
        <f t="shared" si="34"/>
        <v>0</v>
      </c>
      <c r="X169" s="3">
        <f t="shared" si="35"/>
        <v>0</v>
      </c>
      <c r="Y169" s="3">
        <f>IF(A169&lt;入力!$B$15,ABS(G169-何もしない_月次!G169),0)</f>
        <v>0</v>
      </c>
      <c r="Z169" s="3">
        <f t="shared" si="36"/>
        <v>0</v>
      </c>
      <c r="AA169">
        <f>ROUND(IF(A169=入力!$B$15+1,IF(E169=0,ROUND(C169/入力!$B$19,0),ROUND(-PMT(E169/12,入力!$B$19,C169),0)),IF(OR(AND(入力!$B$13="有効",A169&gt;1,MOD(A169-1,60)=0),AND(A169=入力!$B$11,A169&gt;1)),IF(入力!$B$14="有効",MIN(IF(E169=0,ROUND(C169/MAX(1,S168-A169+1),0),ROUND(-PMT(E169/12,MAX(1,S168-A169+1),C169),0)),ROUND(G168*1.25,0)),IF(E169=0,ROUND(C169/MAX(1,S168-A169+1),0),ROUND(-PMT(E169/12,MAX(1,S168-A169+1),C169),0))),G168)),0)</f>
        <v>116935</v>
      </c>
    </row>
    <row r="170" spans="1:27">
      <c r="A170" s="30">
        <f>165</f>
        <v>165</v>
      </c>
      <c r="B170" s="31">
        <f>EDATE(入力!$B$6,A170-1)</f>
        <v>51227</v>
      </c>
      <c r="C170" s="32">
        <f t="shared" si="37"/>
        <v>18800826</v>
      </c>
      <c r="D170" s="32">
        <f t="shared" si="38"/>
        <v>0</v>
      </c>
      <c r="E170" s="33">
        <f>IF(AND(T169="",A170&lt;=S169),IF(A170&lt;入力!$B$11,入力!$B$10,入力!$B$12),0)</f>
        <v>2.5000000000000001E-2</v>
      </c>
      <c r="F170" s="32">
        <f t="shared" si="39"/>
        <v>39168</v>
      </c>
      <c r="G170" s="32">
        <f>ROUND(IF(NOT(AND(T169="",A170&lt;=S169)),0,IF(A170=入力!$B$15+1,IF(E170=0,ROUND(C170/入力!$B$19,0),ROUND(-PMT(E170/12,入力!$B$19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),0)</f>
        <v>116935</v>
      </c>
      <c r="H170" s="32">
        <f t="shared" si="40"/>
        <v>116935</v>
      </c>
      <c r="I170" s="32">
        <f t="shared" si="41"/>
        <v>39168</v>
      </c>
      <c r="J170" s="32">
        <f t="shared" si="42"/>
        <v>0</v>
      </c>
      <c r="K170" s="32">
        <f t="shared" si="43"/>
        <v>0</v>
      </c>
      <c r="L170" s="32">
        <f t="shared" si="44"/>
        <v>77767</v>
      </c>
      <c r="M170" s="32">
        <f>IF(AND(AND(T169="",A170&lt;=S169),A170=入力!$B$15),ROUND(MIN(入力!$B$16,MAX(0,C170-L170)),0),0)</f>
        <v>0</v>
      </c>
      <c r="N170" s="32">
        <f t="shared" si="45"/>
        <v>18723059</v>
      </c>
      <c r="O170" s="32">
        <f t="shared" si="46"/>
        <v>6672734</v>
      </c>
      <c r="P170" s="34" t="str">
        <f>IF(NOT(AND(T169="",A170&lt;=S169)),"",IF(A170=入力!$B$15+1,"繰上返済後再計算","")&amp;IF(AND(入力!$B$13="有効",A170&gt;1,MOD(A170-1,60)=0),IF(A170=入力!$B$15+1,"・","")&amp;"5年見直し","")&amp;IF(AND(A170=入力!$B$11,A170&gt;1),IF(OR(A170=入力!$B$15+1,AND(入力!$B$13="有効",A170&gt;1,MOD(A170-1,60)=0)),"・","")&amp;"金利変更","")&amp;IF(AND(OR(AND(入力!$B$13="有効",A170&gt;1,MOD(A170-1,60)=0),AND(A170=入力!$B$11,A170&gt;1)),入力!$B$14="有効",IF(E170=0,ROUND(C170/MAX(1,S169-A170+1),0),ROUND(-PMT(E170/12,MAX(1,S169-A170+1),C170),0))&gt;ROUND(G169*1.25,0),NOT(A170=入力!$B$15+1)),"・上限適用",""))</f>
        <v/>
      </c>
      <c r="Q170" s="35" t="str">
        <f>IF(AND(T169="",A170&lt;=S169),入力!$B$13,"")</f>
        <v>有効</v>
      </c>
      <c r="R170" s="32" t="str">
        <f>IF(AND(AND(T169="",A170&lt;=S169),OR(AND(入力!$B$13="有効",A170&gt;1,MOD(A170-1,60)=0),AND(A170=入力!$B$11,A170&gt;1)),入力!$B$14="有効"),ROUND(G169*1.25,0),"")</f>
        <v/>
      </c>
      <c r="S170" s="36">
        <f>IF(A170=入力!$B$15,A170+入力!$B$19,S169)</f>
        <v>360</v>
      </c>
      <c r="T170" s="35" t="str">
        <f t="shared" si="47"/>
        <v/>
      </c>
      <c r="U170" s="3">
        <f t="shared" si="32"/>
        <v>0</v>
      </c>
      <c r="V170" s="3">
        <f t="shared" si="33"/>
        <v>0</v>
      </c>
      <c r="W170" s="3">
        <f t="shared" si="34"/>
        <v>0</v>
      </c>
      <c r="X170" s="3">
        <f t="shared" si="35"/>
        <v>0</v>
      </c>
      <c r="Y170" s="3">
        <f>IF(A170&lt;入力!$B$15,ABS(G170-何もしない_月次!G170),0)</f>
        <v>0</v>
      </c>
      <c r="Z170" s="3">
        <f t="shared" si="36"/>
        <v>0</v>
      </c>
      <c r="AA170">
        <f>ROUND(IF(A170=入力!$B$15+1,IF(E170=0,ROUND(C170/入力!$B$19,0),ROUND(-PMT(E170/12,入力!$B$19,C170),0)),IF(OR(AND(入力!$B$13="有効",A170&gt;1,MOD(A170-1,60)=0),AND(A170=入力!$B$11,A170&gt;1)),IF(入力!$B$14="有効",MIN(IF(E170=0,ROUND(C170/MAX(1,S169-A170+1),0),ROUND(-PMT(E170/12,MAX(1,S169-A170+1),C170),0)),ROUND(G169*1.25,0)),IF(E170=0,ROUND(C170/MAX(1,S169-A170+1),0),ROUND(-PMT(E170/12,MAX(1,S169-A170+1),C170),0))),G169)),0)</f>
        <v>116935</v>
      </c>
    </row>
    <row r="171" spans="1:27">
      <c r="A171" s="30">
        <f>166</f>
        <v>166</v>
      </c>
      <c r="B171" s="31">
        <f>EDATE(入力!$B$6,A171-1)</f>
        <v>51257</v>
      </c>
      <c r="C171" s="32">
        <f t="shared" si="37"/>
        <v>18723059</v>
      </c>
      <c r="D171" s="32">
        <f t="shared" si="38"/>
        <v>0</v>
      </c>
      <c r="E171" s="33">
        <f>IF(AND(T170="",A171&lt;=S170),IF(A171&lt;入力!$B$11,入力!$B$10,入力!$B$12),0)</f>
        <v>2.5000000000000001E-2</v>
      </c>
      <c r="F171" s="32">
        <f t="shared" si="39"/>
        <v>39006</v>
      </c>
      <c r="G171" s="32">
        <f>ROUND(IF(NOT(AND(T170="",A171&lt;=S170)),0,IF(A171=入力!$B$15+1,IF(E171=0,ROUND(C171/入力!$B$19,0),ROUND(-PMT(E171/12,入力!$B$19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),0)</f>
        <v>116935</v>
      </c>
      <c r="H171" s="32">
        <f t="shared" si="40"/>
        <v>116935</v>
      </c>
      <c r="I171" s="32">
        <f t="shared" si="41"/>
        <v>39006</v>
      </c>
      <c r="J171" s="32">
        <f t="shared" si="42"/>
        <v>0</v>
      </c>
      <c r="K171" s="32">
        <f t="shared" si="43"/>
        <v>0</v>
      </c>
      <c r="L171" s="32">
        <f t="shared" si="44"/>
        <v>77929</v>
      </c>
      <c r="M171" s="32">
        <f>IF(AND(AND(T170="",A171&lt;=S170),A171=入力!$B$15),ROUND(MIN(入力!$B$16,MAX(0,C171-L171)),0),0)</f>
        <v>0</v>
      </c>
      <c r="N171" s="32">
        <f t="shared" si="45"/>
        <v>18645130</v>
      </c>
      <c r="O171" s="32">
        <f t="shared" si="46"/>
        <v>6711740</v>
      </c>
      <c r="P171" s="34" t="str">
        <f>IF(NOT(AND(T170="",A171&lt;=S170)),"",IF(A171=入力!$B$15+1,"繰上返済後再計算","")&amp;IF(AND(入力!$B$13="有効",A171&gt;1,MOD(A171-1,60)=0),IF(A171=入力!$B$15+1,"・","")&amp;"5年見直し","")&amp;IF(AND(A171=入力!$B$11,A171&gt;1),IF(OR(A171=入力!$B$15+1,AND(入力!$B$13="有効",A171&gt;1,MOD(A171-1,60)=0)),"・","")&amp;"金利変更","")&amp;IF(AND(OR(AND(入力!$B$13="有効",A171&gt;1,MOD(A171-1,60)=0),AND(A171=入力!$B$11,A171&gt;1)),入力!$B$14="有効",IF(E171=0,ROUND(C171/MAX(1,S170-A171+1),0),ROUND(-PMT(E171/12,MAX(1,S170-A171+1),C171),0))&gt;ROUND(G170*1.25,0),NOT(A171=入力!$B$15+1)),"・上限適用",""))</f>
        <v/>
      </c>
      <c r="Q171" s="35" t="str">
        <f>IF(AND(T170="",A171&lt;=S170),入力!$B$13,"")</f>
        <v>有効</v>
      </c>
      <c r="R171" s="32" t="str">
        <f>IF(AND(AND(T170="",A171&lt;=S170),OR(AND(入力!$B$13="有効",A171&gt;1,MOD(A171-1,60)=0),AND(A171=入力!$B$11,A171&gt;1)),入力!$B$14="有効"),ROUND(G170*1.25,0),"")</f>
        <v/>
      </c>
      <c r="S171" s="36">
        <f>IF(A171=入力!$B$15,A171+入力!$B$19,S170)</f>
        <v>360</v>
      </c>
      <c r="T171" s="35" t="str">
        <f t="shared" si="47"/>
        <v/>
      </c>
      <c r="U171" s="3">
        <f t="shared" si="32"/>
        <v>0</v>
      </c>
      <c r="V171" s="3">
        <f t="shared" si="33"/>
        <v>0</v>
      </c>
      <c r="W171" s="3">
        <f t="shared" si="34"/>
        <v>0</v>
      </c>
      <c r="X171" s="3">
        <f t="shared" si="35"/>
        <v>0</v>
      </c>
      <c r="Y171" s="3">
        <f>IF(A171&lt;入力!$B$15,ABS(G171-何もしない_月次!G171),0)</f>
        <v>0</v>
      </c>
      <c r="Z171" s="3">
        <f t="shared" si="36"/>
        <v>0</v>
      </c>
      <c r="AA171">
        <f>ROUND(IF(A171=入力!$B$15+1,IF(E171=0,ROUND(C171/入力!$B$19,0),ROUND(-PMT(E171/12,入力!$B$19,C171),0)),IF(OR(AND(入力!$B$13="有効",A171&gt;1,MOD(A171-1,60)=0),AND(A171=入力!$B$11,A171&gt;1)),IF(入力!$B$14="有効",MIN(IF(E171=0,ROUND(C171/MAX(1,S170-A171+1),0),ROUND(-PMT(E171/12,MAX(1,S170-A171+1),C171),0)),ROUND(G170*1.25,0)),IF(E171=0,ROUND(C171/MAX(1,S170-A171+1),0),ROUND(-PMT(E171/12,MAX(1,S170-A171+1),C171),0))),G170)),0)</f>
        <v>116935</v>
      </c>
    </row>
    <row r="172" spans="1:27">
      <c r="A172" s="30">
        <f>167</f>
        <v>167</v>
      </c>
      <c r="B172" s="31">
        <f>EDATE(入力!$B$6,A172-1)</f>
        <v>51288</v>
      </c>
      <c r="C172" s="32">
        <f t="shared" si="37"/>
        <v>18645130</v>
      </c>
      <c r="D172" s="32">
        <f t="shared" si="38"/>
        <v>0</v>
      </c>
      <c r="E172" s="33">
        <f>IF(AND(T171="",A172&lt;=S171),IF(A172&lt;入力!$B$11,入力!$B$10,入力!$B$12),0)</f>
        <v>2.5000000000000001E-2</v>
      </c>
      <c r="F172" s="32">
        <f t="shared" si="39"/>
        <v>38844</v>
      </c>
      <c r="G172" s="32">
        <f>ROUND(IF(NOT(AND(T171="",A172&lt;=S171)),0,IF(A172=入力!$B$15+1,IF(E172=0,ROUND(C172/入力!$B$19,0),ROUND(-PMT(E172/12,入力!$B$19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),0)</f>
        <v>116935</v>
      </c>
      <c r="H172" s="32">
        <f t="shared" si="40"/>
        <v>116935</v>
      </c>
      <c r="I172" s="32">
        <f t="shared" si="41"/>
        <v>38844</v>
      </c>
      <c r="J172" s="32">
        <f t="shared" si="42"/>
        <v>0</v>
      </c>
      <c r="K172" s="32">
        <f t="shared" si="43"/>
        <v>0</v>
      </c>
      <c r="L172" s="32">
        <f t="shared" si="44"/>
        <v>78091</v>
      </c>
      <c r="M172" s="32">
        <f>IF(AND(AND(T171="",A172&lt;=S171),A172=入力!$B$15),ROUND(MIN(入力!$B$16,MAX(0,C172-L172)),0),0)</f>
        <v>0</v>
      </c>
      <c r="N172" s="32">
        <f t="shared" si="45"/>
        <v>18567039</v>
      </c>
      <c r="O172" s="32">
        <f t="shared" si="46"/>
        <v>6750584</v>
      </c>
      <c r="P172" s="34" t="str">
        <f>IF(NOT(AND(T171="",A172&lt;=S171)),"",IF(A172=入力!$B$15+1,"繰上返済後再計算","")&amp;IF(AND(入力!$B$13="有効",A172&gt;1,MOD(A172-1,60)=0),IF(A172=入力!$B$15+1,"・","")&amp;"5年見直し","")&amp;IF(AND(A172=入力!$B$11,A172&gt;1),IF(OR(A172=入力!$B$15+1,AND(入力!$B$13="有効",A172&gt;1,MOD(A172-1,60)=0)),"・","")&amp;"金利変更","")&amp;IF(AND(OR(AND(入力!$B$13="有効",A172&gt;1,MOD(A172-1,60)=0),AND(A172=入力!$B$11,A172&gt;1)),入力!$B$14="有効",IF(E172=0,ROUND(C172/MAX(1,S171-A172+1),0),ROUND(-PMT(E172/12,MAX(1,S171-A172+1),C172),0))&gt;ROUND(G171*1.25,0),NOT(A172=入力!$B$15+1)),"・上限適用",""))</f>
        <v/>
      </c>
      <c r="Q172" s="35" t="str">
        <f>IF(AND(T171="",A172&lt;=S171),入力!$B$13,"")</f>
        <v>有効</v>
      </c>
      <c r="R172" s="32" t="str">
        <f>IF(AND(AND(T171="",A172&lt;=S171),OR(AND(入力!$B$13="有効",A172&gt;1,MOD(A172-1,60)=0),AND(A172=入力!$B$11,A172&gt;1)),入力!$B$14="有効"),ROUND(G171*1.25,0),"")</f>
        <v/>
      </c>
      <c r="S172" s="36">
        <f>IF(A172=入力!$B$15,A172+入力!$B$19,S171)</f>
        <v>360</v>
      </c>
      <c r="T172" s="35" t="str">
        <f t="shared" si="47"/>
        <v/>
      </c>
      <c r="U172" s="3">
        <f t="shared" si="32"/>
        <v>0</v>
      </c>
      <c r="V172" s="3">
        <f t="shared" si="33"/>
        <v>0</v>
      </c>
      <c r="W172" s="3">
        <f t="shared" si="34"/>
        <v>0</v>
      </c>
      <c r="X172" s="3">
        <f t="shared" si="35"/>
        <v>0</v>
      </c>
      <c r="Y172" s="3">
        <f>IF(A172&lt;入力!$B$15,ABS(G172-何もしない_月次!G172),0)</f>
        <v>0</v>
      </c>
      <c r="Z172" s="3">
        <f t="shared" si="36"/>
        <v>0</v>
      </c>
      <c r="AA172">
        <f>ROUND(IF(A172=入力!$B$15+1,IF(E172=0,ROUND(C172/入力!$B$19,0),ROUND(-PMT(E172/12,入力!$B$19,C172),0)),IF(OR(AND(入力!$B$13="有効",A172&gt;1,MOD(A172-1,60)=0),AND(A172=入力!$B$11,A172&gt;1)),IF(入力!$B$14="有効",MIN(IF(E172=0,ROUND(C172/MAX(1,S171-A172+1),0),ROUND(-PMT(E172/12,MAX(1,S171-A172+1),C172),0)),ROUND(G171*1.25,0)),IF(E172=0,ROUND(C172/MAX(1,S171-A172+1),0),ROUND(-PMT(E172/12,MAX(1,S171-A172+1),C172),0))),G171)),0)</f>
        <v>116935</v>
      </c>
    </row>
    <row r="173" spans="1:27">
      <c r="A173" s="30">
        <f>168</f>
        <v>168</v>
      </c>
      <c r="B173" s="31">
        <f>EDATE(入力!$B$6,A173-1)</f>
        <v>51318</v>
      </c>
      <c r="C173" s="32">
        <f t="shared" si="37"/>
        <v>18567039</v>
      </c>
      <c r="D173" s="32">
        <f t="shared" si="38"/>
        <v>0</v>
      </c>
      <c r="E173" s="33">
        <f>IF(AND(T172="",A173&lt;=S172),IF(A173&lt;入力!$B$11,入力!$B$10,入力!$B$12),0)</f>
        <v>2.5000000000000001E-2</v>
      </c>
      <c r="F173" s="32">
        <f t="shared" si="39"/>
        <v>38681</v>
      </c>
      <c r="G173" s="32">
        <f>ROUND(IF(NOT(AND(T172="",A173&lt;=S172)),0,IF(A173=入力!$B$15+1,IF(E173=0,ROUND(C173/入力!$B$19,0),ROUND(-PMT(E173/12,入力!$B$19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),0)</f>
        <v>116935</v>
      </c>
      <c r="H173" s="32">
        <f t="shared" si="40"/>
        <v>116935</v>
      </c>
      <c r="I173" s="32">
        <f t="shared" si="41"/>
        <v>38681</v>
      </c>
      <c r="J173" s="32">
        <f t="shared" si="42"/>
        <v>0</v>
      </c>
      <c r="K173" s="32">
        <f t="shared" si="43"/>
        <v>0</v>
      </c>
      <c r="L173" s="32">
        <f t="shared" si="44"/>
        <v>78254</v>
      </c>
      <c r="M173" s="32">
        <f>IF(AND(AND(T172="",A173&lt;=S172),A173=入力!$B$15),ROUND(MIN(入力!$B$16,MAX(0,C173-L173)),0),0)</f>
        <v>0</v>
      </c>
      <c r="N173" s="32">
        <f t="shared" si="45"/>
        <v>18488785</v>
      </c>
      <c r="O173" s="32">
        <f t="shared" si="46"/>
        <v>6789265</v>
      </c>
      <c r="P173" s="34" t="str">
        <f>IF(NOT(AND(T172="",A173&lt;=S172)),"",IF(A173=入力!$B$15+1,"繰上返済後再計算","")&amp;IF(AND(入力!$B$13="有効",A173&gt;1,MOD(A173-1,60)=0),IF(A173=入力!$B$15+1,"・","")&amp;"5年見直し","")&amp;IF(AND(A173=入力!$B$11,A173&gt;1),IF(OR(A173=入力!$B$15+1,AND(入力!$B$13="有効",A173&gt;1,MOD(A173-1,60)=0)),"・","")&amp;"金利変更","")&amp;IF(AND(OR(AND(入力!$B$13="有効",A173&gt;1,MOD(A173-1,60)=0),AND(A173=入力!$B$11,A173&gt;1)),入力!$B$14="有効",IF(E173=0,ROUND(C173/MAX(1,S172-A173+1),0),ROUND(-PMT(E173/12,MAX(1,S172-A173+1),C173),0))&gt;ROUND(G172*1.25,0),NOT(A173=入力!$B$15+1)),"・上限適用",""))</f>
        <v/>
      </c>
      <c r="Q173" s="35" t="str">
        <f>IF(AND(T172="",A173&lt;=S172),入力!$B$13,"")</f>
        <v>有効</v>
      </c>
      <c r="R173" s="32" t="str">
        <f>IF(AND(AND(T172="",A173&lt;=S172),OR(AND(入力!$B$13="有効",A173&gt;1,MOD(A173-1,60)=0),AND(A173=入力!$B$11,A173&gt;1)),入力!$B$14="有効"),ROUND(G172*1.25,0),"")</f>
        <v/>
      </c>
      <c r="S173" s="36">
        <f>IF(A173=入力!$B$15,A173+入力!$B$19,S172)</f>
        <v>360</v>
      </c>
      <c r="T173" s="35" t="str">
        <f t="shared" si="47"/>
        <v/>
      </c>
      <c r="U173" s="3">
        <f t="shared" si="32"/>
        <v>0</v>
      </c>
      <c r="V173" s="3">
        <f t="shared" si="33"/>
        <v>0</v>
      </c>
      <c r="W173" s="3">
        <f t="shared" si="34"/>
        <v>0</v>
      </c>
      <c r="X173" s="3">
        <f t="shared" si="35"/>
        <v>0</v>
      </c>
      <c r="Y173" s="3">
        <f>IF(A173&lt;入力!$B$15,ABS(G173-何もしない_月次!G173),0)</f>
        <v>0</v>
      </c>
      <c r="Z173" s="3">
        <f t="shared" si="36"/>
        <v>0</v>
      </c>
      <c r="AA173">
        <f>ROUND(IF(A173=入力!$B$15+1,IF(E173=0,ROUND(C173/入力!$B$19,0),ROUND(-PMT(E173/12,入力!$B$19,C173),0)),IF(OR(AND(入力!$B$13="有効",A173&gt;1,MOD(A173-1,60)=0),AND(A173=入力!$B$11,A173&gt;1)),IF(入力!$B$14="有効",MIN(IF(E173=0,ROUND(C173/MAX(1,S172-A173+1),0),ROUND(-PMT(E173/12,MAX(1,S172-A173+1),C173),0)),ROUND(G172*1.25,0)),IF(E173=0,ROUND(C173/MAX(1,S172-A173+1),0),ROUND(-PMT(E173/12,MAX(1,S172-A173+1),C173),0))),G172)),0)</f>
        <v>116935</v>
      </c>
    </row>
    <row r="174" spans="1:27">
      <c r="A174" s="30">
        <f>169</f>
        <v>169</v>
      </c>
      <c r="B174" s="31">
        <f>EDATE(入力!$B$6,A174-1)</f>
        <v>51349</v>
      </c>
      <c r="C174" s="32">
        <f t="shared" si="37"/>
        <v>18488785</v>
      </c>
      <c r="D174" s="32">
        <f t="shared" si="38"/>
        <v>0</v>
      </c>
      <c r="E174" s="33">
        <f>IF(AND(T173="",A174&lt;=S173),IF(A174&lt;入力!$B$11,入力!$B$10,入力!$B$12),0)</f>
        <v>2.5000000000000001E-2</v>
      </c>
      <c r="F174" s="32">
        <f t="shared" si="39"/>
        <v>38518</v>
      </c>
      <c r="G174" s="32">
        <f>ROUND(IF(NOT(AND(T173="",A174&lt;=S173)),0,IF(A174=入力!$B$15+1,IF(E174=0,ROUND(C174/入力!$B$19,0),ROUND(-PMT(E174/12,入力!$B$19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),0)</f>
        <v>116935</v>
      </c>
      <c r="H174" s="32">
        <f t="shared" si="40"/>
        <v>116935</v>
      </c>
      <c r="I174" s="32">
        <f t="shared" si="41"/>
        <v>38518</v>
      </c>
      <c r="J174" s="32">
        <f t="shared" si="42"/>
        <v>0</v>
      </c>
      <c r="K174" s="32">
        <f t="shared" si="43"/>
        <v>0</v>
      </c>
      <c r="L174" s="32">
        <f t="shared" si="44"/>
        <v>78417</v>
      </c>
      <c r="M174" s="32">
        <f>IF(AND(AND(T173="",A174&lt;=S173),A174=入力!$B$15),ROUND(MIN(入力!$B$16,MAX(0,C174-L174)),0),0)</f>
        <v>0</v>
      </c>
      <c r="N174" s="32">
        <f t="shared" si="45"/>
        <v>18410368</v>
      </c>
      <c r="O174" s="32">
        <f t="shared" si="46"/>
        <v>6827783</v>
      </c>
      <c r="P174" s="34" t="str">
        <f>IF(NOT(AND(T173="",A174&lt;=S173)),"",IF(A174=入力!$B$15+1,"繰上返済後再計算","")&amp;IF(AND(入力!$B$13="有効",A174&gt;1,MOD(A174-1,60)=0),IF(A174=入力!$B$15+1,"・","")&amp;"5年見直し","")&amp;IF(AND(A174=入力!$B$11,A174&gt;1),IF(OR(A174=入力!$B$15+1,AND(入力!$B$13="有効",A174&gt;1,MOD(A174-1,60)=0)),"・","")&amp;"金利変更","")&amp;IF(AND(OR(AND(入力!$B$13="有効",A174&gt;1,MOD(A174-1,60)=0),AND(A174=入力!$B$11,A174&gt;1)),入力!$B$14="有効",IF(E174=0,ROUND(C174/MAX(1,S173-A174+1),0),ROUND(-PMT(E174/12,MAX(1,S173-A174+1),C174),0))&gt;ROUND(G173*1.25,0),NOT(A174=入力!$B$15+1)),"・上限適用",""))</f>
        <v/>
      </c>
      <c r="Q174" s="35" t="str">
        <f>IF(AND(T173="",A174&lt;=S173),入力!$B$13,"")</f>
        <v>有効</v>
      </c>
      <c r="R174" s="32" t="str">
        <f>IF(AND(AND(T173="",A174&lt;=S173),OR(AND(入力!$B$13="有効",A174&gt;1,MOD(A174-1,60)=0),AND(A174=入力!$B$11,A174&gt;1)),入力!$B$14="有効"),ROUND(G173*1.25,0),"")</f>
        <v/>
      </c>
      <c r="S174" s="36">
        <f>IF(A174=入力!$B$15,A174+入力!$B$19,S173)</f>
        <v>360</v>
      </c>
      <c r="T174" s="35" t="str">
        <f t="shared" si="47"/>
        <v/>
      </c>
      <c r="U174" s="3">
        <f t="shared" si="32"/>
        <v>0</v>
      </c>
      <c r="V174" s="3">
        <f t="shared" si="33"/>
        <v>0</v>
      </c>
      <c r="W174" s="3">
        <f t="shared" si="34"/>
        <v>0</v>
      </c>
      <c r="X174" s="3">
        <f t="shared" si="35"/>
        <v>0</v>
      </c>
      <c r="Y174" s="3">
        <f>IF(A174&lt;入力!$B$15,ABS(G174-何もしない_月次!G174),0)</f>
        <v>0</v>
      </c>
      <c r="Z174" s="3">
        <f t="shared" si="36"/>
        <v>0</v>
      </c>
      <c r="AA174">
        <f>ROUND(IF(A174=入力!$B$15+1,IF(E174=0,ROUND(C174/入力!$B$19,0),ROUND(-PMT(E174/12,入力!$B$19,C174),0)),IF(OR(AND(入力!$B$13="有効",A174&gt;1,MOD(A174-1,60)=0),AND(A174=入力!$B$11,A174&gt;1)),IF(入力!$B$14="有効",MIN(IF(E174=0,ROUND(C174/MAX(1,S173-A174+1),0),ROUND(-PMT(E174/12,MAX(1,S173-A174+1),C174),0)),ROUND(G173*1.25,0)),IF(E174=0,ROUND(C174/MAX(1,S173-A174+1),0),ROUND(-PMT(E174/12,MAX(1,S173-A174+1),C174),0))),G173)),0)</f>
        <v>116935</v>
      </c>
    </row>
    <row r="175" spans="1:27">
      <c r="A175" s="30">
        <f>170</f>
        <v>170</v>
      </c>
      <c r="B175" s="31">
        <f>EDATE(入力!$B$6,A175-1)</f>
        <v>51380</v>
      </c>
      <c r="C175" s="32">
        <f t="shared" si="37"/>
        <v>18410368</v>
      </c>
      <c r="D175" s="32">
        <f t="shared" si="38"/>
        <v>0</v>
      </c>
      <c r="E175" s="33">
        <f>IF(AND(T174="",A175&lt;=S174),IF(A175&lt;入力!$B$11,入力!$B$10,入力!$B$12),0)</f>
        <v>2.5000000000000001E-2</v>
      </c>
      <c r="F175" s="32">
        <f t="shared" si="39"/>
        <v>38355</v>
      </c>
      <c r="G175" s="32">
        <f>ROUND(IF(NOT(AND(T174="",A175&lt;=S174)),0,IF(A175=入力!$B$15+1,IF(E175=0,ROUND(C175/入力!$B$19,0),ROUND(-PMT(E175/12,入力!$B$19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),0)</f>
        <v>116935</v>
      </c>
      <c r="H175" s="32">
        <f t="shared" si="40"/>
        <v>116935</v>
      </c>
      <c r="I175" s="32">
        <f t="shared" si="41"/>
        <v>38355</v>
      </c>
      <c r="J175" s="32">
        <f t="shared" si="42"/>
        <v>0</v>
      </c>
      <c r="K175" s="32">
        <f t="shared" si="43"/>
        <v>0</v>
      </c>
      <c r="L175" s="32">
        <f t="shared" si="44"/>
        <v>78580</v>
      </c>
      <c r="M175" s="32">
        <f>IF(AND(AND(T174="",A175&lt;=S174),A175=入力!$B$15),ROUND(MIN(入力!$B$16,MAX(0,C175-L175)),0),0)</f>
        <v>0</v>
      </c>
      <c r="N175" s="32">
        <f t="shared" si="45"/>
        <v>18331788</v>
      </c>
      <c r="O175" s="32">
        <f t="shared" si="46"/>
        <v>6866138</v>
      </c>
      <c r="P175" s="34" t="str">
        <f>IF(NOT(AND(T174="",A175&lt;=S174)),"",IF(A175=入力!$B$15+1,"繰上返済後再計算","")&amp;IF(AND(入力!$B$13="有効",A175&gt;1,MOD(A175-1,60)=0),IF(A175=入力!$B$15+1,"・","")&amp;"5年見直し","")&amp;IF(AND(A175=入力!$B$11,A175&gt;1),IF(OR(A175=入力!$B$15+1,AND(入力!$B$13="有効",A175&gt;1,MOD(A175-1,60)=0)),"・","")&amp;"金利変更","")&amp;IF(AND(OR(AND(入力!$B$13="有効",A175&gt;1,MOD(A175-1,60)=0),AND(A175=入力!$B$11,A175&gt;1)),入力!$B$14="有効",IF(E175=0,ROUND(C175/MAX(1,S174-A175+1),0),ROUND(-PMT(E175/12,MAX(1,S174-A175+1),C175),0))&gt;ROUND(G174*1.25,0),NOT(A175=入力!$B$15+1)),"・上限適用",""))</f>
        <v/>
      </c>
      <c r="Q175" s="35" t="str">
        <f>IF(AND(T174="",A175&lt;=S174),入力!$B$13,"")</f>
        <v>有効</v>
      </c>
      <c r="R175" s="32" t="str">
        <f>IF(AND(AND(T174="",A175&lt;=S174),OR(AND(入力!$B$13="有効",A175&gt;1,MOD(A175-1,60)=0),AND(A175=入力!$B$11,A175&gt;1)),入力!$B$14="有効"),ROUND(G174*1.25,0),"")</f>
        <v/>
      </c>
      <c r="S175" s="36">
        <f>IF(A175=入力!$B$15,A175+入力!$B$19,S174)</f>
        <v>360</v>
      </c>
      <c r="T175" s="35" t="str">
        <f t="shared" si="47"/>
        <v/>
      </c>
      <c r="U175" s="3">
        <f t="shared" si="32"/>
        <v>0</v>
      </c>
      <c r="V175" s="3">
        <f t="shared" si="33"/>
        <v>0</v>
      </c>
      <c r="W175" s="3">
        <f t="shared" si="34"/>
        <v>0</v>
      </c>
      <c r="X175" s="3">
        <f t="shared" si="35"/>
        <v>0</v>
      </c>
      <c r="Y175" s="3">
        <f>IF(A175&lt;入力!$B$15,ABS(G175-何もしない_月次!G175),0)</f>
        <v>0</v>
      </c>
      <c r="Z175" s="3">
        <f t="shared" si="36"/>
        <v>0</v>
      </c>
      <c r="AA175">
        <f>ROUND(IF(A175=入力!$B$15+1,IF(E175=0,ROUND(C175/入力!$B$19,0),ROUND(-PMT(E175/12,入力!$B$19,C175),0)),IF(OR(AND(入力!$B$13="有効",A175&gt;1,MOD(A175-1,60)=0),AND(A175=入力!$B$11,A175&gt;1)),IF(入力!$B$14="有効",MIN(IF(E175=0,ROUND(C175/MAX(1,S174-A175+1),0),ROUND(-PMT(E175/12,MAX(1,S174-A175+1),C175),0)),ROUND(G174*1.25,0)),IF(E175=0,ROUND(C175/MAX(1,S174-A175+1),0),ROUND(-PMT(E175/12,MAX(1,S174-A175+1),C175),0))),G174)),0)</f>
        <v>116935</v>
      </c>
    </row>
    <row r="176" spans="1:27">
      <c r="A176" s="30">
        <f>171</f>
        <v>171</v>
      </c>
      <c r="B176" s="31">
        <f>EDATE(入力!$B$6,A176-1)</f>
        <v>51410</v>
      </c>
      <c r="C176" s="32">
        <f t="shared" si="37"/>
        <v>18331788</v>
      </c>
      <c r="D176" s="32">
        <f t="shared" si="38"/>
        <v>0</v>
      </c>
      <c r="E176" s="33">
        <f>IF(AND(T175="",A176&lt;=S175),IF(A176&lt;入力!$B$11,入力!$B$10,入力!$B$12),0)</f>
        <v>2.5000000000000001E-2</v>
      </c>
      <c r="F176" s="32">
        <f t="shared" si="39"/>
        <v>38191</v>
      </c>
      <c r="G176" s="32">
        <f>ROUND(IF(NOT(AND(T175="",A176&lt;=S175)),0,IF(A176=入力!$B$15+1,IF(E176=0,ROUND(C176/入力!$B$19,0),ROUND(-PMT(E176/12,入力!$B$19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),0)</f>
        <v>116935</v>
      </c>
      <c r="H176" s="32">
        <f t="shared" si="40"/>
        <v>116935</v>
      </c>
      <c r="I176" s="32">
        <f t="shared" si="41"/>
        <v>38191</v>
      </c>
      <c r="J176" s="32">
        <f t="shared" si="42"/>
        <v>0</v>
      </c>
      <c r="K176" s="32">
        <f t="shared" si="43"/>
        <v>0</v>
      </c>
      <c r="L176" s="32">
        <f t="shared" si="44"/>
        <v>78744</v>
      </c>
      <c r="M176" s="32">
        <f>IF(AND(AND(T175="",A176&lt;=S175),A176=入力!$B$15),ROUND(MIN(入力!$B$16,MAX(0,C176-L176)),0),0)</f>
        <v>0</v>
      </c>
      <c r="N176" s="32">
        <f t="shared" si="45"/>
        <v>18253044</v>
      </c>
      <c r="O176" s="32">
        <f t="shared" si="46"/>
        <v>6904329</v>
      </c>
      <c r="P176" s="34" t="str">
        <f>IF(NOT(AND(T175="",A176&lt;=S175)),"",IF(A176=入力!$B$15+1,"繰上返済後再計算","")&amp;IF(AND(入力!$B$13="有効",A176&gt;1,MOD(A176-1,60)=0),IF(A176=入力!$B$15+1,"・","")&amp;"5年見直し","")&amp;IF(AND(A176=入力!$B$11,A176&gt;1),IF(OR(A176=入力!$B$15+1,AND(入力!$B$13="有効",A176&gt;1,MOD(A176-1,60)=0)),"・","")&amp;"金利変更","")&amp;IF(AND(OR(AND(入力!$B$13="有効",A176&gt;1,MOD(A176-1,60)=0),AND(A176=入力!$B$11,A176&gt;1)),入力!$B$14="有効",IF(E176=0,ROUND(C176/MAX(1,S175-A176+1),0),ROUND(-PMT(E176/12,MAX(1,S175-A176+1),C176),0))&gt;ROUND(G175*1.25,0),NOT(A176=入力!$B$15+1)),"・上限適用",""))</f>
        <v/>
      </c>
      <c r="Q176" s="35" t="str">
        <f>IF(AND(T175="",A176&lt;=S175),入力!$B$13,"")</f>
        <v>有効</v>
      </c>
      <c r="R176" s="32" t="str">
        <f>IF(AND(AND(T175="",A176&lt;=S175),OR(AND(入力!$B$13="有効",A176&gt;1,MOD(A176-1,60)=0),AND(A176=入力!$B$11,A176&gt;1)),入力!$B$14="有効"),ROUND(G175*1.25,0),"")</f>
        <v/>
      </c>
      <c r="S176" s="36">
        <f>IF(A176=入力!$B$15,A176+入力!$B$19,S175)</f>
        <v>360</v>
      </c>
      <c r="T176" s="35" t="str">
        <f t="shared" si="47"/>
        <v/>
      </c>
      <c r="U176" s="3">
        <f t="shared" si="32"/>
        <v>0</v>
      </c>
      <c r="V176" s="3">
        <f t="shared" si="33"/>
        <v>0</v>
      </c>
      <c r="W176" s="3">
        <f t="shared" si="34"/>
        <v>0</v>
      </c>
      <c r="X176" s="3">
        <f t="shared" si="35"/>
        <v>0</v>
      </c>
      <c r="Y176" s="3">
        <f>IF(A176&lt;入力!$B$15,ABS(G176-何もしない_月次!G176),0)</f>
        <v>0</v>
      </c>
      <c r="Z176" s="3">
        <f t="shared" si="36"/>
        <v>0</v>
      </c>
      <c r="AA176">
        <f>ROUND(IF(A176=入力!$B$15+1,IF(E176=0,ROUND(C176/入力!$B$19,0),ROUND(-PMT(E176/12,入力!$B$19,C176),0)),IF(OR(AND(入力!$B$13="有効",A176&gt;1,MOD(A176-1,60)=0),AND(A176=入力!$B$11,A176&gt;1)),IF(入力!$B$14="有効",MIN(IF(E176=0,ROUND(C176/MAX(1,S175-A176+1),0),ROUND(-PMT(E176/12,MAX(1,S175-A176+1),C176),0)),ROUND(G175*1.25,0)),IF(E176=0,ROUND(C176/MAX(1,S175-A176+1),0),ROUND(-PMT(E176/12,MAX(1,S175-A176+1),C176),0))),G175)),0)</f>
        <v>116935</v>
      </c>
    </row>
    <row r="177" spans="1:27">
      <c r="A177" s="30">
        <f>172</f>
        <v>172</v>
      </c>
      <c r="B177" s="31">
        <f>EDATE(入力!$B$6,A177-1)</f>
        <v>51441</v>
      </c>
      <c r="C177" s="32">
        <f t="shared" si="37"/>
        <v>18253044</v>
      </c>
      <c r="D177" s="32">
        <f t="shared" si="38"/>
        <v>0</v>
      </c>
      <c r="E177" s="33">
        <f>IF(AND(T176="",A177&lt;=S176),IF(A177&lt;入力!$B$11,入力!$B$10,入力!$B$12),0)</f>
        <v>2.5000000000000001E-2</v>
      </c>
      <c r="F177" s="32">
        <f t="shared" si="39"/>
        <v>38027</v>
      </c>
      <c r="G177" s="32">
        <f>ROUND(IF(NOT(AND(T176="",A177&lt;=S176)),0,IF(A177=入力!$B$15+1,IF(E177=0,ROUND(C177/入力!$B$19,0),ROUND(-PMT(E177/12,入力!$B$19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),0)</f>
        <v>116935</v>
      </c>
      <c r="H177" s="32">
        <f t="shared" si="40"/>
        <v>116935</v>
      </c>
      <c r="I177" s="32">
        <f t="shared" si="41"/>
        <v>38027</v>
      </c>
      <c r="J177" s="32">
        <f t="shared" si="42"/>
        <v>0</v>
      </c>
      <c r="K177" s="32">
        <f t="shared" si="43"/>
        <v>0</v>
      </c>
      <c r="L177" s="32">
        <f t="shared" si="44"/>
        <v>78908</v>
      </c>
      <c r="M177" s="32">
        <f>IF(AND(AND(T176="",A177&lt;=S176),A177=入力!$B$15),ROUND(MIN(入力!$B$16,MAX(0,C177-L177)),0),0)</f>
        <v>0</v>
      </c>
      <c r="N177" s="32">
        <f t="shared" si="45"/>
        <v>18174136</v>
      </c>
      <c r="O177" s="32">
        <f t="shared" si="46"/>
        <v>6942356</v>
      </c>
      <c r="P177" s="34" t="str">
        <f>IF(NOT(AND(T176="",A177&lt;=S176)),"",IF(A177=入力!$B$15+1,"繰上返済後再計算","")&amp;IF(AND(入力!$B$13="有効",A177&gt;1,MOD(A177-1,60)=0),IF(A177=入力!$B$15+1,"・","")&amp;"5年見直し","")&amp;IF(AND(A177=入力!$B$11,A177&gt;1),IF(OR(A177=入力!$B$15+1,AND(入力!$B$13="有効",A177&gt;1,MOD(A177-1,60)=0)),"・","")&amp;"金利変更","")&amp;IF(AND(OR(AND(入力!$B$13="有効",A177&gt;1,MOD(A177-1,60)=0),AND(A177=入力!$B$11,A177&gt;1)),入力!$B$14="有効",IF(E177=0,ROUND(C177/MAX(1,S176-A177+1),0),ROUND(-PMT(E177/12,MAX(1,S176-A177+1),C177),0))&gt;ROUND(G176*1.25,0),NOT(A177=入力!$B$15+1)),"・上限適用",""))</f>
        <v/>
      </c>
      <c r="Q177" s="35" t="str">
        <f>IF(AND(T176="",A177&lt;=S176),入力!$B$13,"")</f>
        <v>有効</v>
      </c>
      <c r="R177" s="32" t="str">
        <f>IF(AND(AND(T176="",A177&lt;=S176),OR(AND(入力!$B$13="有効",A177&gt;1,MOD(A177-1,60)=0),AND(A177=入力!$B$11,A177&gt;1)),入力!$B$14="有効"),ROUND(G176*1.25,0),"")</f>
        <v/>
      </c>
      <c r="S177" s="36">
        <f>IF(A177=入力!$B$15,A177+入力!$B$19,S176)</f>
        <v>360</v>
      </c>
      <c r="T177" s="35" t="str">
        <f t="shared" si="47"/>
        <v/>
      </c>
      <c r="U177" s="3">
        <f t="shared" si="32"/>
        <v>0</v>
      </c>
      <c r="V177" s="3">
        <f t="shared" si="33"/>
        <v>0</v>
      </c>
      <c r="W177" s="3">
        <f t="shared" si="34"/>
        <v>0</v>
      </c>
      <c r="X177" s="3">
        <f t="shared" si="35"/>
        <v>0</v>
      </c>
      <c r="Y177" s="3">
        <f>IF(A177&lt;入力!$B$15,ABS(G177-何もしない_月次!G177),0)</f>
        <v>0</v>
      </c>
      <c r="Z177" s="3">
        <f t="shared" si="36"/>
        <v>0</v>
      </c>
      <c r="AA177">
        <f>ROUND(IF(A177=入力!$B$15+1,IF(E177=0,ROUND(C177/入力!$B$19,0),ROUND(-PMT(E177/12,入力!$B$19,C177),0)),IF(OR(AND(入力!$B$13="有効",A177&gt;1,MOD(A177-1,60)=0),AND(A177=入力!$B$11,A177&gt;1)),IF(入力!$B$14="有効",MIN(IF(E177=0,ROUND(C177/MAX(1,S176-A177+1),0),ROUND(-PMT(E177/12,MAX(1,S176-A177+1),C177),0)),ROUND(G176*1.25,0)),IF(E177=0,ROUND(C177/MAX(1,S176-A177+1),0),ROUND(-PMT(E177/12,MAX(1,S176-A177+1),C177),0))),G176)),0)</f>
        <v>116935</v>
      </c>
    </row>
    <row r="178" spans="1:27">
      <c r="A178" s="30">
        <f>173</f>
        <v>173</v>
      </c>
      <c r="B178" s="31">
        <f>EDATE(入力!$B$6,A178-1)</f>
        <v>51471</v>
      </c>
      <c r="C178" s="32">
        <f t="shared" si="37"/>
        <v>18174136</v>
      </c>
      <c r="D178" s="32">
        <f t="shared" si="38"/>
        <v>0</v>
      </c>
      <c r="E178" s="33">
        <f>IF(AND(T177="",A178&lt;=S177),IF(A178&lt;入力!$B$11,入力!$B$10,入力!$B$12),0)</f>
        <v>2.5000000000000001E-2</v>
      </c>
      <c r="F178" s="32">
        <f t="shared" si="39"/>
        <v>37863</v>
      </c>
      <c r="G178" s="32">
        <f>ROUND(IF(NOT(AND(T177="",A178&lt;=S177)),0,IF(A178=入力!$B$15+1,IF(E178=0,ROUND(C178/入力!$B$19,0),ROUND(-PMT(E178/12,入力!$B$19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),0)</f>
        <v>116935</v>
      </c>
      <c r="H178" s="32">
        <f t="shared" si="40"/>
        <v>116935</v>
      </c>
      <c r="I178" s="32">
        <f t="shared" si="41"/>
        <v>37863</v>
      </c>
      <c r="J178" s="32">
        <f t="shared" si="42"/>
        <v>0</v>
      </c>
      <c r="K178" s="32">
        <f t="shared" si="43"/>
        <v>0</v>
      </c>
      <c r="L178" s="32">
        <f t="shared" si="44"/>
        <v>79072</v>
      </c>
      <c r="M178" s="32">
        <f>IF(AND(AND(T177="",A178&lt;=S177),A178=入力!$B$15),ROUND(MIN(入力!$B$16,MAX(0,C178-L178)),0),0)</f>
        <v>0</v>
      </c>
      <c r="N178" s="32">
        <f t="shared" si="45"/>
        <v>18095064</v>
      </c>
      <c r="O178" s="32">
        <f t="shared" si="46"/>
        <v>6980219</v>
      </c>
      <c r="P178" s="34" t="str">
        <f>IF(NOT(AND(T177="",A178&lt;=S177)),"",IF(A178=入力!$B$15+1,"繰上返済後再計算","")&amp;IF(AND(入力!$B$13="有効",A178&gt;1,MOD(A178-1,60)=0),IF(A178=入力!$B$15+1,"・","")&amp;"5年見直し","")&amp;IF(AND(A178=入力!$B$11,A178&gt;1),IF(OR(A178=入力!$B$15+1,AND(入力!$B$13="有効",A178&gt;1,MOD(A178-1,60)=0)),"・","")&amp;"金利変更","")&amp;IF(AND(OR(AND(入力!$B$13="有効",A178&gt;1,MOD(A178-1,60)=0),AND(A178=入力!$B$11,A178&gt;1)),入力!$B$14="有効",IF(E178=0,ROUND(C178/MAX(1,S177-A178+1),0),ROUND(-PMT(E178/12,MAX(1,S177-A178+1),C178),0))&gt;ROUND(G177*1.25,0),NOT(A178=入力!$B$15+1)),"・上限適用",""))</f>
        <v/>
      </c>
      <c r="Q178" s="35" t="str">
        <f>IF(AND(T177="",A178&lt;=S177),入力!$B$13,"")</f>
        <v>有効</v>
      </c>
      <c r="R178" s="32" t="str">
        <f>IF(AND(AND(T177="",A178&lt;=S177),OR(AND(入力!$B$13="有効",A178&gt;1,MOD(A178-1,60)=0),AND(A178=入力!$B$11,A178&gt;1)),入力!$B$14="有効"),ROUND(G177*1.25,0),"")</f>
        <v/>
      </c>
      <c r="S178" s="36">
        <f>IF(A178=入力!$B$15,A178+入力!$B$19,S177)</f>
        <v>360</v>
      </c>
      <c r="T178" s="35" t="str">
        <f t="shared" si="47"/>
        <v/>
      </c>
      <c r="U178" s="3">
        <f t="shared" si="32"/>
        <v>0</v>
      </c>
      <c r="V178" s="3">
        <f t="shared" si="33"/>
        <v>0</v>
      </c>
      <c r="W178" s="3">
        <f t="shared" si="34"/>
        <v>0</v>
      </c>
      <c r="X178" s="3">
        <f t="shared" si="35"/>
        <v>0</v>
      </c>
      <c r="Y178" s="3">
        <f>IF(A178&lt;入力!$B$15,ABS(G178-何もしない_月次!G178),0)</f>
        <v>0</v>
      </c>
      <c r="Z178" s="3">
        <f t="shared" si="36"/>
        <v>0</v>
      </c>
      <c r="AA178">
        <f>ROUND(IF(A178=入力!$B$15+1,IF(E178=0,ROUND(C178/入力!$B$19,0),ROUND(-PMT(E178/12,入力!$B$19,C178),0)),IF(OR(AND(入力!$B$13="有効",A178&gt;1,MOD(A178-1,60)=0),AND(A178=入力!$B$11,A178&gt;1)),IF(入力!$B$14="有効",MIN(IF(E178=0,ROUND(C178/MAX(1,S177-A178+1),0),ROUND(-PMT(E178/12,MAX(1,S177-A178+1),C178),0)),ROUND(G177*1.25,0)),IF(E178=0,ROUND(C178/MAX(1,S177-A178+1),0),ROUND(-PMT(E178/12,MAX(1,S177-A178+1),C178),0))),G177)),0)</f>
        <v>116935</v>
      </c>
    </row>
    <row r="179" spans="1:27">
      <c r="A179" s="30">
        <f>174</f>
        <v>174</v>
      </c>
      <c r="B179" s="31">
        <f>EDATE(入力!$B$6,A179-1)</f>
        <v>51502</v>
      </c>
      <c r="C179" s="32">
        <f t="shared" si="37"/>
        <v>18095064</v>
      </c>
      <c r="D179" s="32">
        <f t="shared" si="38"/>
        <v>0</v>
      </c>
      <c r="E179" s="33">
        <f>IF(AND(T178="",A179&lt;=S178),IF(A179&lt;入力!$B$11,入力!$B$10,入力!$B$12),0)</f>
        <v>2.5000000000000001E-2</v>
      </c>
      <c r="F179" s="32">
        <f t="shared" si="39"/>
        <v>37698</v>
      </c>
      <c r="G179" s="32">
        <f>ROUND(IF(NOT(AND(T178="",A179&lt;=S178)),0,IF(A179=入力!$B$15+1,IF(E179=0,ROUND(C179/入力!$B$19,0),ROUND(-PMT(E179/12,入力!$B$19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),0)</f>
        <v>116935</v>
      </c>
      <c r="H179" s="32">
        <f t="shared" si="40"/>
        <v>116935</v>
      </c>
      <c r="I179" s="32">
        <f t="shared" si="41"/>
        <v>37698</v>
      </c>
      <c r="J179" s="32">
        <f t="shared" si="42"/>
        <v>0</v>
      </c>
      <c r="K179" s="32">
        <f t="shared" si="43"/>
        <v>0</v>
      </c>
      <c r="L179" s="32">
        <f t="shared" si="44"/>
        <v>79237</v>
      </c>
      <c r="M179" s="32">
        <f>IF(AND(AND(T178="",A179&lt;=S178),A179=入力!$B$15),ROUND(MIN(入力!$B$16,MAX(0,C179-L179)),0),0)</f>
        <v>0</v>
      </c>
      <c r="N179" s="32">
        <f t="shared" si="45"/>
        <v>18015827</v>
      </c>
      <c r="O179" s="32">
        <f t="shared" si="46"/>
        <v>7017917</v>
      </c>
      <c r="P179" s="34" t="str">
        <f>IF(NOT(AND(T178="",A179&lt;=S178)),"",IF(A179=入力!$B$15+1,"繰上返済後再計算","")&amp;IF(AND(入力!$B$13="有効",A179&gt;1,MOD(A179-1,60)=0),IF(A179=入力!$B$15+1,"・","")&amp;"5年見直し","")&amp;IF(AND(A179=入力!$B$11,A179&gt;1),IF(OR(A179=入力!$B$15+1,AND(入力!$B$13="有効",A179&gt;1,MOD(A179-1,60)=0)),"・","")&amp;"金利変更","")&amp;IF(AND(OR(AND(入力!$B$13="有効",A179&gt;1,MOD(A179-1,60)=0),AND(A179=入力!$B$11,A179&gt;1)),入力!$B$14="有効",IF(E179=0,ROUND(C179/MAX(1,S178-A179+1),0),ROUND(-PMT(E179/12,MAX(1,S178-A179+1),C179),0))&gt;ROUND(G178*1.25,0),NOT(A179=入力!$B$15+1)),"・上限適用",""))</f>
        <v/>
      </c>
      <c r="Q179" s="35" t="str">
        <f>IF(AND(T178="",A179&lt;=S178),入力!$B$13,"")</f>
        <v>有効</v>
      </c>
      <c r="R179" s="32" t="str">
        <f>IF(AND(AND(T178="",A179&lt;=S178),OR(AND(入力!$B$13="有効",A179&gt;1,MOD(A179-1,60)=0),AND(A179=入力!$B$11,A179&gt;1)),入力!$B$14="有効"),ROUND(G178*1.25,0),"")</f>
        <v/>
      </c>
      <c r="S179" s="36">
        <f>IF(A179=入力!$B$15,A179+入力!$B$19,S178)</f>
        <v>360</v>
      </c>
      <c r="T179" s="35" t="str">
        <f t="shared" si="47"/>
        <v/>
      </c>
      <c r="U179" s="3">
        <f t="shared" si="32"/>
        <v>0</v>
      </c>
      <c r="V179" s="3">
        <f t="shared" si="33"/>
        <v>0</v>
      </c>
      <c r="W179" s="3">
        <f t="shared" si="34"/>
        <v>0</v>
      </c>
      <c r="X179" s="3">
        <f t="shared" si="35"/>
        <v>0</v>
      </c>
      <c r="Y179" s="3">
        <f>IF(A179&lt;入力!$B$15,ABS(G179-何もしない_月次!G179),0)</f>
        <v>0</v>
      </c>
      <c r="Z179" s="3">
        <f t="shared" si="36"/>
        <v>0</v>
      </c>
      <c r="AA179">
        <f>ROUND(IF(A179=入力!$B$15+1,IF(E179=0,ROUND(C179/入力!$B$19,0),ROUND(-PMT(E179/12,入力!$B$19,C179),0)),IF(OR(AND(入力!$B$13="有効",A179&gt;1,MOD(A179-1,60)=0),AND(A179=入力!$B$11,A179&gt;1)),IF(入力!$B$14="有効",MIN(IF(E179=0,ROUND(C179/MAX(1,S178-A179+1),0),ROUND(-PMT(E179/12,MAX(1,S178-A179+1),C179),0)),ROUND(G178*1.25,0)),IF(E179=0,ROUND(C179/MAX(1,S178-A179+1),0),ROUND(-PMT(E179/12,MAX(1,S178-A179+1),C179),0))),G178)),0)</f>
        <v>116935</v>
      </c>
    </row>
    <row r="180" spans="1:27">
      <c r="A180" s="30">
        <f>175</f>
        <v>175</v>
      </c>
      <c r="B180" s="31">
        <f>EDATE(入力!$B$6,A180-1)</f>
        <v>51533</v>
      </c>
      <c r="C180" s="32">
        <f t="shared" si="37"/>
        <v>18015827</v>
      </c>
      <c r="D180" s="32">
        <f t="shared" si="38"/>
        <v>0</v>
      </c>
      <c r="E180" s="33">
        <f>IF(AND(T179="",A180&lt;=S179),IF(A180&lt;入力!$B$11,入力!$B$10,入力!$B$12),0)</f>
        <v>2.5000000000000001E-2</v>
      </c>
      <c r="F180" s="32">
        <f t="shared" si="39"/>
        <v>37533</v>
      </c>
      <c r="G180" s="32">
        <f>ROUND(IF(NOT(AND(T179="",A180&lt;=S179)),0,IF(A180=入力!$B$15+1,IF(E180=0,ROUND(C180/入力!$B$19,0),ROUND(-PMT(E180/12,入力!$B$19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),0)</f>
        <v>116935</v>
      </c>
      <c r="H180" s="32">
        <f t="shared" si="40"/>
        <v>116935</v>
      </c>
      <c r="I180" s="32">
        <f t="shared" si="41"/>
        <v>37533</v>
      </c>
      <c r="J180" s="32">
        <f t="shared" si="42"/>
        <v>0</v>
      </c>
      <c r="K180" s="32">
        <f t="shared" si="43"/>
        <v>0</v>
      </c>
      <c r="L180" s="32">
        <f t="shared" si="44"/>
        <v>79402</v>
      </c>
      <c r="M180" s="32">
        <f>IF(AND(AND(T179="",A180&lt;=S179),A180=入力!$B$15),ROUND(MIN(入力!$B$16,MAX(0,C180-L180)),0),0)</f>
        <v>0</v>
      </c>
      <c r="N180" s="32">
        <f t="shared" si="45"/>
        <v>17936425</v>
      </c>
      <c r="O180" s="32">
        <f t="shared" si="46"/>
        <v>7055450</v>
      </c>
      <c r="P180" s="34" t="str">
        <f>IF(NOT(AND(T179="",A180&lt;=S179)),"",IF(A180=入力!$B$15+1,"繰上返済後再計算","")&amp;IF(AND(入力!$B$13="有効",A180&gt;1,MOD(A180-1,60)=0),IF(A180=入力!$B$15+1,"・","")&amp;"5年見直し","")&amp;IF(AND(A180=入力!$B$11,A180&gt;1),IF(OR(A180=入力!$B$15+1,AND(入力!$B$13="有効",A180&gt;1,MOD(A180-1,60)=0)),"・","")&amp;"金利変更","")&amp;IF(AND(OR(AND(入力!$B$13="有効",A180&gt;1,MOD(A180-1,60)=0),AND(A180=入力!$B$11,A180&gt;1)),入力!$B$14="有効",IF(E180=0,ROUND(C180/MAX(1,S179-A180+1),0),ROUND(-PMT(E180/12,MAX(1,S179-A180+1),C180),0))&gt;ROUND(G179*1.25,0),NOT(A180=入力!$B$15+1)),"・上限適用",""))</f>
        <v/>
      </c>
      <c r="Q180" s="35" t="str">
        <f>IF(AND(T179="",A180&lt;=S179),入力!$B$13,"")</f>
        <v>有効</v>
      </c>
      <c r="R180" s="32" t="str">
        <f>IF(AND(AND(T179="",A180&lt;=S179),OR(AND(入力!$B$13="有効",A180&gt;1,MOD(A180-1,60)=0),AND(A180=入力!$B$11,A180&gt;1)),入力!$B$14="有効"),ROUND(G179*1.25,0),"")</f>
        <v/>
      </c>
      <c r="S180" s="36">
        <f>IF(A180=入力!$B$15,A180+入力!$B$19,S179)</f>
        <v>360</v>
      </c>
      <c r="T180" s="35" t="str">
        <f t="shared" si="47"/>
        <v/>
      </c>
      <c r="U180" s="3">
        <f t="shared" si="32"/>
        <v>0</v>
      </c>
      <c r="V180" s="3">
        <f t="shared" si="33"/>
        <v>0</v>
      </c>
      <c r="W180" s="3">
        <f t="shared" si="34"/>
        <v>0</v>
      </c>
      <c r="X180" s="3">
        <f t="shared" si="35"/>
        <v>0</v>
      </c>
      <c r="Y180" s="3">
        <f>IF(A180&lt;入力!$B$15,ABS(G180-何もしない_月次!G180),0)</f>
        <v>0</v>
      </c>
      <c r="Z180" s="3">
        <f t="shared" si="36"/>
        <v>0</v>
      </c>
      <c r="AA180">
        <f>ROUND(IF(A180=入力!$B$15+1,IF(E180=0,ROUND(C180/入力!$B$19,0),ROUND(-PMT(E180/12,入力!$B$19,C180),0)),IF(OR(AND(入力!$B$13="有効",A180&gt;1,MOD(A180-1,60)=0),AND(A180=入力!$B$11,A180&gt;1)),IF(入力!$B$14="有効",MIN(IF(E180=0,ROUND(C180/MAX(1,S179-A180+1),0),ROUND(-PMT(E180/12,MAX(1,S179-A180+1),C180),0)),ROUND(G179*1.25,0)),IF(E180=0,ROUND(C180/MAX(1,S179-A180+1),0),ROUND(-PMT(E180/12,MAX(1,S179-A180+1),C180),0))),G179)),0)</f>
        <v>116935</v>
      </c>
    </row>
    <row r="181" spans="1:27">
      <c r="A181" s="30">
        <f>176</f>
        <v>176</v>
      </c>
      <c r="B181" s="31">
        <f>EDATE(入力!$B$6,A181-1)</f>
        <v>51561</v>
      </c>
      <c r="C181" s="32">
        <f t="shared" si="37"/>
        <v>17936425</v>
      </c>
      <c r="D181" s="32">
        <f t="shared" si="38"/>
        <v>0</v>
      </c>
      <c r="E181" s="33">
        <f>IF(AND(T180="",A181&lt;=S180),IF(A181&lt;入力!$B$11,入力!$B$10,入力!$B$12),0)</f>
        <v>2.5000000000000001E-2</v>
      </c>
      <c r="F181" s="32">
        <f t="shared" si="39"/>
        <v>37368</v>
      </c>
      <c r="G181" s="32">
        <f>ROUND(IF(NOT(AND(T180="",A181&lt;=S180)),0,IF(A181=入力!$B$15+1,IF(E181=0,ROUND(C181/入力!$B$19,0),ROUND(-PMT(E181/12,入力!$B$19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),0)</f>
        <v>116935</v>
      </c>
      <c r="H181" s="32">
        <f t="shared" si="40"/>
        <v>116935</v>
      </c>
      <c r="I181" s="32">
        <f t="shared" si="41"/>
        <v>37368</v>
      </c>
      <c r="J181" s="32">
        <f t="shared" si="42"/>
        <v>0</v>
      </c>
      <c r="K181" s="32">
        <f t="shared" si="43"/>
        <v>0</v>
      </c>
      <c r="L181" s="32">
        <f t="shared" si="44"/>
        <v>79567</v>
      </c>
      <c r="M181" s="32">
        <f>IF(AND(AND(T180="",A181&lt;=S180),A181=入力!$B$15),ROUND(MIN(入力!$B$16,MAX(0,C181-L181)),0),0)</f>
        <v>0</v>
      </c>
      <c r="N181" s="32">
        <f t="shared" si="45"/>
        <v>17856858</v>
      </c>
      <c r="O181" s="32">
        <f t="shared" si="46"/>
        <v>7092818</v>
      </c>
      <c r="P181" s="34" t="str">
        <f>IF(NOT(AND(T180="",A181&lt;=S180)),"",IF(A181=入力!$B$15+1,"繰上返済後再計算","")&amp;IF(AND(入力!$B$13="有効",A181&gt;1,MOD(A181-1,60)=0),IF(A181=入力!$B$15+1,"・","")&amp;"5年見直し","")&amp;IF(AND(A181=入力!$B$11,A181&gt;1),IF(OR(A181=入力!$B$15+1,AND(入力!$B$13="有効",A181&gt;1,MOD(A181-1,60)=0)),"・","")&amp;"金利変更","")&amp;IF(AND(OR(AND(入力!$B$13="有効",A181&gt;1,MOD(A181-1,60)=0),AND(A181=入力!$B$11,A181&gt;1)),入力!$B$14="有効",IF(E181=0,ROUND(C181/MAX(1,S180-A181+1),0),ROUND(-PMT(E181/12,MAX(1,S180-A181+1),C181),0))&gt;ROUND(G180*1.25,0),NOT(A181=入力!$B$15+1)),"・上限適用",""))</f>
        <v/>
      </c>
      <c r="Q181" s="35" t="str">
        <f>IF(AND(T180="",A181&lt;=S180),入力!$B$13,"")</f>
        <v>有効</v>
      </c>
      <c r="R181" s="32" t="str">
        <f>IF(AND(AND(T180="",A181&lt;=S180),OR(AND(入力!$B$13="有効",A181&gt;1,MOD(A181-1,60)=0),AND(A181=入力!$B$11,A181&gt;1)),入力!$B$14="有効"),ROUND(G180*1.25,0),"")</f>
        <v/>
      </c>
      <c r="S181" s="36">
        <f>IF(A181=入力!$B$15,A181+入力!$B$19,S180)</f>
        <v>360</v>
      </c>
      <c r="T181" s="35" t="str">
        <f t="shared" si="47"/>
        <v/>
      </c>
      <c r="U181" s="3">
        <f t="shared" si="32"/>
        <v>0</v>
      </c>
      <c r="V181" s="3">
        <f t="shared" si="33"/>
        <v>0</v>
      </c>
      <c r="W181" s="3">
        <f t="shared" si="34"/>
        <v>0</v>
      </c>
      <c r="X181" s="3">
        <f t="shared" si="35"/>
        <v>0</v>
      </c>
      <c r="Y181" s="3">
        <f>IF(A181&lt;入力!$B$15,ABS(G181-何もしない_月次!G181),0)</f>
        <v>0</v>
      </c>
      <c r="Z181" s="3">
        <f t="shared" si="36"/>
        <v>0</v>
      </c>
      <c r="AA181">
        <f>ROUND(IF(A181=入力!$B$15+1,IF(E181=0,ROUND(C181/入力!$B$19,0),ROUND(-PMT(E181/12,入力!$B$19,C181),0)),IF(OR(AND(入力!$B$13="有効",A181&gt;1,MOD(A181-1,60)=0),AND(A181=入力!$B$11,A181&gt;1)),IF(入力!$B$14="有効",MIN(IF(E181=0,ROUND(C181/MAX(1,S180-A181+1),0),ROUND(-PMT(E181/12,MAX(1,S180-A181+1),C181),0)),ROUND(G180*1.25,0)),IF(E181=0,ROUND(C181/MAX(1,S180-A181+1),0),ROUND(-PMT(E181/12,MAX(1,S180-A181+1),C181),0))),G180)),0)</f>
        <v>116935</v>
      </c>
    </row>
    <row r="182" spans="1:27">
      <c r="A182" s="30">
        <f>177</f>
        <v>177</v>
      </c>
      <c r="B182" s="31">
        <f>EDATE(入力!$B$6,A182-1)</f>
        <v>51592</v>
      </c>
      <c r="C182" s="32">
        <f t="shared" si="37"/>
        <v>17856858</v>
      </c>
      <c r="D182" s="32">
        <f t="shared" si="38"/>
        <v>0</v>
      </c>
      <c r="E182" s="33">
        <f>IF(AND(T181="",A182&lt;=S181),IF(A182&lt;入力!$B$11,入力!$B$10,入力!$B$12),0)</f>
        <v>2.5000000000000001E-2</v>
      </c>
      <c r="F182" s="32">
        <f t="shared" si="39"/>
        <v>37202</v>
      </c>
      <c r="G182" s="32">
        <f>ROUND(IF(NOT(AND(T181="",A182&lt;=S181)),0,IF(A182=入力!$B$15+1,IF(E182=0,ROUND(C182/入力!$B$19,0),ROUND(-PMT(E182/12,入力!$B$19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),0)</f>
        <v>116935</v>
      </c>
      <c r="H182" s="32">
        <f t="shared" si="40"/>
        <v>116935</v>
      </c>
      <c r="I182" s="32">
        <f t="shared" si="41"/>
        <v>37202</v>
      </c>
      <c r="J182" s="32">
        <f t="shared" si="42"/>
        <v>0</v>
      </c>
      <c r="K182" s="32">
        <f t="shared" si="43"/>
        <v>0</v>
      </c>
      <c r="L182" s="32">
        <f t="shared" si="44"/>
        <v>79733</v>
      </c>
      <c r="M182" s="32">
        <f>IF(AND(AND(T181="",A182&lt;=S181),A182=入力!$B$15),ROUND(MIN(入力!$B$16,MAX(0,C182-L182)),0),0)</f>
        <v>0</v>
      </c>
      <c r="N182" s="32">
        <f t="shared" si="45"/>
        <v>17777125</v>
      </c>
      <c r="O182" s="32">
        <f t="shared" si="46"/>
        <v>7130020</v>
      </c>
      <c r="P182" s="34" t="str">
        <f>IF(NOT(AND(T181="",A182&lt;=S181)),"",IF(A182=入力!$B$15+1,"繰上返済後再計算","")&amp;IF(AND(入力!$B$13="有効",A182&gt;1,MOD(A182-1,60)=0),IF(A182=入力!$B$15+1,"・","")&amp;"5年見直し","")&amp;IF(AND(A182=入力!$B$11,A182&gt;1),IF(OR(A182=入力!$B$15+1,AND(入力!$B$13="有効",A182&gt;1,MOD(A182-1,60)=0)),"・","")&amp;"金利変更","")&amp;IF(AND(OR(AND(入力!$B$13="有効",A182&gt;1,MOD(A182-1,60)=0),AND(A182=入力!$B$11,A182&gt;1)),入力!$B$14="有効",IF(E182=0,ROUND(C182/MAX(1,S181-A182+1),0),ROUND(-PMT(E182/12,MAX(1,S181-A182+1),C182),0))&gt;ROUND(G181*1.25,0),NOT(A182=入力!$B$15+1)),"・上限適用",""))</f>
        <v/>
      </c>
      <c r="Q182" s="35" t="str">
        <f>IF(AND(T181="",A182&lt;=S181),入力!$B$13,"")</f>
        <v>有効</v>
      </c>
      <c r="R182" s="32" t="str">
        <f>IF(AND(AND(T181="",A182&lt;=S181),OR(AND(入力!$B$13="有効",A182&gt;1,MOD(A182-1,60)=0),AND(A182=入力!$B$11,A182&gt;1)),入力!$B$14="有効"),ROUND(G181*1.25,0),"")</f>
        <v/>
      </c>
      <c r="S182" s="36">
        <f>IF(A182=入力!$B$15,A182+入力!$B$19,S181)</f>
        <v>360</v>
      </c>
      <c r="T182" s="35" t="str">
        <f t="shared" si="47"/>
        <v/>
      </c>
      <c r="U182" s="3">
        <f t="shared" si="32"/>
        <v>0</v>
      </c>
      <c r="V182" s="3">
        <f t="shared" si="33"/>
        <v>0</v>
      </c>
      <c r="W182" s="3">
        <f t="shared" si="34"/>
        <v>0</v>
      </c>
      <c r="X182" s="3">
        <f t="shared" si="35"/>
        <v>0</v>
      </c>
      <c r="Y182" s="3">
        <f>IF(A182&lt;入力!$B$15,ABS(G182-何もしない_月次!G182),0)</f>
        <v>0</v>
      </c>
      <c r="Z182" s="3">
        <f t="shared" si="36"/>
        <v>0</v>
      </c>
      <c r="AA182">
        <f>ROUND(IF(A182=入力!$B$15+1,IF(E182=0,ROUND(C182/入力!$B$19,0),ROUND(-PMT(E182/12,入力!$B$19,C182),0)),IF(OR(AND(入力!$B$13="有効",A182&gt;1,MOD(A182-1,60)=0),AND(A182=入力!$B$11,A182&gt;1)),IF(入力!$B$14="有効",MIN(IF(E182=0,ROUND(C182/MAX(1,S181-A182+1),0),ROUND(-PMT(E182/12,MAX(1,S181-A182+1),C182),0)),ROUND(G181*1.25,0)),IF(E182=0,ROUND(C182/MAX(1,S181-A182+1),0),ROUND(-PMT(E182/12,MAX(1,S181-A182+1),C182),0))),G181)),0)</f>
        <v>116935</v>
      </c>
    </row>
    <row r="183" spans="1:27">
      <c r="A183" s="30">
        <f>178</f>
        <v>178</v>
      </c>
      <c r="B183" s="31">
        <f>EDATE(入力!$B$6,A183-1)</f>
        <v>51622</v>
      </c>
      <c r="C183" s="32">
        <f t="shared" si="37"/>
        <v>17777125</v>
      </c>
      <c r="D183" s="32">
        <f t="shared" si="38"/>
        <v>0</v>
      </c>
      <c r="E183" s="33">
        <f>IF(AND(T182="",A183&lt;=S182),IF(A183&lt;入力!$B$11,入力!$B$10,入力!$B$12),0)</f>
        <v>2.5000000000000001E-2</v>
      </c>
      <c r="F183" s="32">
        <f t="shared" si="39"/>
        <v>37036</v>
      </c>
      <c r="G183" s="32">
        <f>ROUND(IF(NOT(AND(T182="",A183&lt;=S182)),0,IF(A183=入力!$B$15+1,IF(E183=0,ROUND(C183/入力!$B$19,0),ROUND(-PMT(E183/12,入力!$B$19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),0)</f>
        <v>116935</v>
      </c>
      <c r="H183" s="32">
        <f t="shared" si="40"/>
        <v>116935</v>
      </c>
      <c r="I183" s="32">
        <f t="shared" si="41"/>
        <v>37036</v>
      </c>
      <c r="J183" s="32">
        <f t="shared" si="42"/>
        <v>0</v>
      </c>
      <c r="K183" s="32">
        <f t="shared" si="43"/>
        <v>0</v>
      </c>
      <c r="L183" s="32">
        <f t="shared" si="44"/>
        <v>79899</v>
      </c>
      <c r="M183" s="32">
        <f>IF(AND(AND(T182="",A183&lt;=S182),A183=入力!$B$15),ROUND(MIN(入力!$B$16,MAX(0,C183-L183)),0),0)</f>
        <v>0</v>
      </c>
      <c r="N183" s="32">
        <f t="shared" si="45"/>
        <v>17697226</v>
      </c>
      <c r="O183" s="32">
        <f t="shared" si="46"/>
        <v>7167056</v>
      </c>
      <c r="P183" s="34" t="str">
        <f>IF(NOT(AND(T182="",A183&lt;=S182)),"",IF(A183=入力!$B$15+1,"繰上返済後再計算","")&amp;IF(AND(入力!$B$13="有効",A183&gt;1,MOD(A183-1,60)=0),IF(A183=入力!$B$15+1,"・","")&amp;"5年見直し","")&amp;IF(AND(A183=入力!$B$11,A183&gt;1),IF(OR(A183=入力!$B$15+1,AND(入力!$B$13="有効",A183&gt;1,MOD(A183-1,60)=0)),"・","")&amp;"金利変更","")&amp;IF(AND(OR(AND(入力!$B$13="有効",A183&gt;1,MOD(A183-1,60)=0),AND(A183=入力!$B$11,A183&gt;1)),入力!$B$14="有効",IF(E183=0,ROUND(C183/MAX(1,S182-A183+1),0),ROUND(-PMT(E183/12,MAX(1,S182-A183+1),C183),0))&gt;ROUND(G182*1.25,0),NOT(A183=入力!$B$15+1)),"・上限適用",""))</f>
        <v/>
      </c>
      <c r="Q183" s="35" t="str">
        <f>IF(AND(T182="",A183&lt;=S182),入力!$B$13,"")</f>
        <v>有効</v>
      </c>
      <c r="R183" s="32" t="str">
        <f>IF(AND(AND(T182="",A183&lt;=S182),OR(AND(入力!$B$13="有効",A183&gt;1,MOD(A183-1,60)=0),AND(A183=入力!$B$11,A183&gt;1)),入力!$B$14="有効"),ROUND(G182*1.25,0),"")</f>
        <v/>
      </c>
      <c r="S183" s="36">
        <f>IF(A183=入力!$B$15,A183+入力!$B$19,S182)</f>
        <v>360</v>
      </c>
      <c r="T183" s="35" t="str">
        <f t="shared" si="47"/>
        <v/>
      </c>
      <c r="U183" s="3">
        <f t="shared" si="32"/>
        <v>0</v>
      </c>
      <c r="V183" s="3">
        <f t="shared" si="33"/>
        <v>0</v>
      </c>
      <c r="W183" s="3">
        <f t="shared" si="34"/>
        <v>0</v>
      </c>
      <c r="X183" s="3">
        <f t="shared" si="35"/>
        <v>0</v>
      </c>
      <c r="Y183" s="3">
        <f>IF(A183&lt;入力!$B$15,ABS(G183-何もしない_月次!G183),0)</f>
        <v>0</v>
      </c>
      <c r="Z183" s="3">
        <f t="shared" si="36"/>
        <v>0</v>
      </c>
      <c r="AA183">
        <f>ROUND(IF(A183=入力!$B$15+1,IF(E183=0,ROUND(C183/入力!$B$19,0),ROUND(-PMT(E183/12,入力!$B$19,C183),0)),IF(OR(AND(入力!$B$13="有効",A183&gt;1,MOD(A183-1,60)=0),AND(A183=入力!$B$11,A183&gt;1)),IF(入力!$B$14="有効",MIN(IF(E183=0,ROUND(C183/MAX(1,S182-A183+1),0),ROUND(-PMT(E183/12,MAX(1,S182-A183+1),C183),0)),ROUND(G182*1.25,0)),IF(E183=0,ROUND(C183/MAX(1,S182-A183+1),0),ROUND(-PMT(E183/12,MAX(1,S182-A183+1),C183),0))),G182)),0)</f>
        <v>116935</v>
      </c>
    </row>
    <row r="184" spans="1:27">
      <c r="A184" s="30">
        <f>179</f>
        <v>179</v>
      </c>
      <c r="B184" s="31">
        <f>EDATE(入力!$B$6,A184-1)</f>
        <v>51653</v>
      </c>
      <c r="C184" s="32">
        <f t="shared" si="37"/>
        <v>17697226</v>
      </c>
      <c r="D184" s="32">
        <f t="shared" si="38"/>
        <v>0</v>
      </c>
      <c r="E184" s="33">
        <f>IF(AND(T183="",A184&lt;=S183),IF(A184&lt;入力!$B$11,入力!$B$10,入力!$B$12),0)</f>
        <v>2.5000000000000001E-2</v>
      </c>
      <c r="F184" s="32">
        <f t="shared" si="39"/>
        <v>36869</v>
      </c>
      <c r="G184" s="32">
        <f>ROUND(IF(NOT(AND(T183="",A184&lt;=S183)),0,IF(A184=入力!$B$15+1,IF(E184=0,ROUND(C184/入力!$B$19,0),ROUND(-PMT(E184/12,入力!$B$19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),0)</f>
        <v>116935</v>
      </c>
      <c r="H184" s="32">
        <f t="shared" si="40"/>
        <v>116935</v>
      </c>
      <c r="I184" s="32">
        <f t="shared" si="41"/>
        <v>36869</v>
      </c>
      <c r="J184" s="32">
        <f t="shared" si="42"/>
        <v>0</v>
      </c>
      <c r="K184" s="32">
        <f t="shared" si="43"/>
        <v>0</v>
      </c>
      <c r="L184" s="32">
        <f t="shared" si="44"/>
        <v>80066</v>
      </c>
      <c r="M184" s="32">
        <f>IF(AND(AND(T183="",A184&lt;=S183),A184=入力!$B$15),ROUND(MIN(入力!$B$16,MAX(0,C184-L184)),0),0)</f>
        <v>0</v>
      </c>
      <c r="N184" s="32">
        <f t="shared" si="45"/>
        <v>17617160</v>
      </c>
      <c r="O184" s="32">
        <f t="shared" si="46"/>
        <v>7203925</v>
      </c>
      <c r="P184" s="34" t="str">
        <f>IF(NOT(AND(T183="",A184&lt;=S183)),"",IF(A184=入力!$B$15+1,"繰上返済後再計算","")&amp;IF(AND(入力!$B$13="有効",A184&gt;1,MOD(A184-1,60)=0),IF(A184=入力!$B$15+1,"・","")&amp;"5年見直し","")&amp;IF(AND(A184=入力!$B$11,A184&gt;1),IF(OR(A184=入力!$B$15+1,AND(入力!$B$13="有効",A184&gt;1,MOD(A184-1,60)=0)),"・","")&amp;"金利変更","")&amp;IF(AND(OR(AND(入力!$B$13="有効",A184&gt;1,MOD(A184-1,60)=0),AND(A184=入力!$B$11,A184&gt;1)),入力!$B$14="有効",IF(E184=0,ROUND(C184/MAX(1,S183-A184+1),0),ROUND(-PMT(E184/12,MAX(1,S183-A184+1),C184),0))&gt;ROUND(G183*1.25,0),NOT(A184=入力!$B$15+1)),"・上限適用",""))</f>
        <v/>
      </c>
      <c r="Q184" s="35" t="str">
        <f>IF(AND(T183="",A184&lt;=S183),入力!$B$13,"")</f>
        <v>有効</v>
      </c>
      <c r="R184" s="32" t="str">
        <f>IF(AND(AND(T183="",A184&lt;=S183),OR(AND(入力!$B$13="有効",A184&gt;1,MOD(A184-1,60)=0),AND(A184=入力!$B$11,A184&gt;1)),入力!$B$14="有効"),ROUND(G183*1.25,0),"")</f>
        <v/>
      </c>
      <c r="S184" s="36">
        <f>IF(A184=入力!$B$15,A184+入力!$B$19,S183)</f>
        <v>360</v>
      </c>
      <c r="T184" s="35" t="str">
        <f t="shared" si="47"/>
        <v/>
      </c>
      <c r="U184" s="3">
        <f t="shared" si="32"/>
        <v>0</v>
      </c>
      <c r="V184" s="3">
        <f t="shared" si="33"/>
        <v>0</v>
      </c>
      <c r="W184" s="3">
        <f t="shared" si="34"/>
        <v>0</v>
      </c>
      <c r="X184" s="3">
        <f t="shared" si="35"/>
        <v>0</v>
      </c>
      <c r="Y184" s="3">
        <f>IF(A184&lt;入力!$B$15,ABS(G184-何もしない_月次!G184),0)</f>
        <v>0</v>
      </c>
      <c r="Z184" s="3">
        <f t="shared" si="36"/>
        <v>0</v>
      </c>
      <c r="AA184">
        <f>ROUND(IF(A184=入力!$B$15+1,IF(E184=0,ROUND(C184/入力!$B$19,0),ROUND(-PMT(E184/12,入力!$B$19,C184),0)),IF(OR(AND(入力!$B$13="有効",A184&gt;1,MOD(A184-1,60)=0),AND(A184=入力!$B$11,A184&gt;1)),IF(入力!$B$14="有効",MIN(IF(E184=0,ROUND(C184/MAX(1,S183-A184+1),0),ROUND(-PMT(E184/12,MAX(1,S183-A184+1),C184),0)),ROUND(G183*1.25,0)),IF(E184=0,ROUND(C184/MAX(1,S183-A184+1),0),ROUND(-PMT(E184/12,MAX(1,S183-A184+1),C184),0))),G183)),0)</f>
        <v>116935</v>
      </c>
    </row>
    <row r="185" spans="1:27">
      <c r="A185" s="30">
        <f>180</f>
        <v>180</v>
      </c>
      <c r="B185" s="31">
        <f>EDATE(入力!$B$6,A185-1)</f>
        <v>51683</v>
      </c>
      <c r="C185" s="32">
        <f t="shared" si="37"/>
        <v>17617160</v>
      </c>
      <c r="D185" s="32">
        <f t="shared" si="38"/>
        <v>0</v>
      </c>
      <c r="E185" s="33">
        <f>IF(AND(T184="",A185&lt;=S184),IF(A185&lt;入力!$B$11,入力!$B$10,入力!$B$12),0)</f>
        <v>2.5000000000000001E-2</v>
      </c>
      <c r="F185" s="32">
        <f t="shared" si="39"/>
        <v>36702</v>
      </c>
      <c r="G185" s="32">
        <f>ROUND(IF(NOT(AND(T184="",A185&lt;=S184)),0,IF(A185=入力!$B$15+1,IF(E185=0,ROUND(C185/入力!$B$19,0),ROUND(-PMT(E185/12,入力!$B$19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),0)</f>
        <v>116935</v>
      </c>
      <c r="H185" s="32">
        <f t="shared" si="40"/>
        <v>116935</v>
      </c>
      <c r="I185" s="32">
        <f t="shared" si="41"/>
        <v>36702</v>
      </c>
      <c r="J185" s="32">
        <f t="shared" si="42"/>
        <v>0</v>
      </c>
      <c r="K185" s="32">
        <f t="shared" si="43"/>
        <v>0</v>
      </c>
      <c r="L185" s="32">
        <f t="shared" si="44"/>
        <v>80233</v>
      </c>
      <c r="M185" s="32">
        <f>IF(AND(AND(T184="",A185&lt;=S184),A185=入力!$B$15),ROUND(MIN(入力!$B$16,MAX(0,C185-L185)),0),0)</f>
        <v>0</v>
      </c>
      <c r="N185" s="32">
        <f t="shared" si="45"/>
        <v>17536927</v>
      </c>
      <c r="O185" s="32">
        <f t="shared" si="46"/>
        <v>7240627</v>
      </c>
      <c r="P185" s="34" t="str">
        <f>IF(NOT(AND(T184="",A185&lt;=S184)),"",IF(A185=入力!$B$15+1,"繰上返済後再計算","")&amp;IF(AND(入力!$B$13="有効",A185&gt;1,MOD(A185-1,60)=0),IF(A185=入力!$B$15+1,"・","")&amp;"5年見直し","")&amp;IF(AND(A185=入力!$B$11,A185&gt;1),IF(OR(A185=入力!$B$15+1,AND(入力!$B$13="有効",A185&gt;1,MOD(A185-1,60)=0)),"・","")&amp;"金利変更","")&amp;IF(AND(OR(AND(入力!$B$13="有効",A185&gt;1,MOD(A185-1,60)=0),AND(A185=入力!$B$11,A185&gt;1)),入力!$B$14="有効",IF(E185=0,ROUND(C185/MAX(1,S184-A185+1),0),ROUND(-PMT(E185/12,MAX(1,S184-A185+1),C185),0))&gt;ROUND(G184*1.25,0),NOT(A185=入力!$B$15+1)),"・上限適用",""))</f>
        <v/>
      </c>
      <c r="Q185" s="35" t="str">
        <f>IF(AND(T184="",A185&lt;=S184),入力!$B$13,"")</f>
        <v>有効</v>
      </c>
      <c r="R185" s="32" t="str">
        <f>IF(AND(AND(T184="",A185&lt;=S184),OR(AND(入力!$B$13="有効",A185&gt;1,MOD(A185-1,60)=0),AND(A185=入力!$B$11,A185&gt;1)),入力!$B$14="有効"),ROUND(G184*1.25,0),"")</f>
        <v/>
      </c>
      <c r="S185" s="36">
        <f>IF(A185=入力!$B$15,A185+入力!$B$19,S184)</f>
        <v>360</v>
      </c>
      <c r="T185" s="35" t="str">
        <f t="shared" si="47"/>
        <v/>
      </c>
      <c r="U185" s="3">
        <f t="shared" si="32"/>
        <v>0</v>
      </c>
      <c r="V185" s="3">
        <f t="shared" si="33"/>
        <v>0</v>
      </c>
      <c r="W185" s="3">
        <f t="shared" si="34"/>
        <v>0</v>
      </c>
      <c r="X185" s="3">
        <f t="shared" si="35"/>
        <v>0</v>
      </c>
      <c r="Y185" s="3">
        <f>IF(A185&lt;入力!$B$15,ABS(G185-何もしない_月次!G185),0)</f>
        <v>0</v>
      </c>
      <c r="Z185" s="3">
        <f t="shared" si="36"/>
        <v>0</v>
      </c>
      <c r="AA185">
        <f>ROUND(IF(A185=入力!$B$15+1,IF(E185=0,ROUND(C185/入力!$B$19,0),ROUND(-PMT(E185/12,入力!$B$19,C185),0)),IF(OR(AND(入力!$B$13="有効",A185&gt;1,MOD(A185-1,60)=0),AND(A185=入力!$B$11,A185&gt;1)),IF(入力!$B$14="有効",MIN(IF(E185=0,ROUND(C185/MAX(1,S184-A185+1),0),ROUND(-PMT(E185/12,MAX(1,S184-A185+1),C185),0)),ROUND(G184*1.25,0)),IF(E185=0,ROUND(C185/MAX(1,S184-A185+1),0),ROUND(-PMT(E185/12,MAX(1,S184-A185+1),C185),0))),G184)),0)</f>
        <v>116935</v>
      </c>
    </row>
    <row r="186" spans="1:27">
      <c r="A186" s="30">
        <f>181</f>
        <v>181</v>
      </c>
      <c r="B186" s="31">
        <f>EDATE(入力!$B$6,A186-1)</f>
        <v>51714</v>
      </c>
      <c r="C186" s="32">
        <f t="shared" si="37"/>
        <v>17536927</v>
      </c>
      <c r="D186" s="32">
        <f t="shared" si="38"/>
        <v>0</v>
      </c>
      <c r="E186" s="33">
        <f>IF(AND(T185="",A186&lt;=S185),IF(A186&lt;入力!$B$11,入力!$B$10,入力!$B$12),0)</f>
        <v>2.5000000000000001E-2</v>
      </c>
      <c r="F186" s="32">
        <f t="shared" si="39"/>
        <v>36535</v>
      </c>
      <c r="G186" s="32">
        <f>ROUND(IF(NOT(AND(T185="",A186&lt;=S185)),0,IF(A186=入力!$B$15+1,IF(E186=0,ROUND(C186/入力!$B$19,0),ROUND(-PMT(E186/12,入力!$B$19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),0)</f>
        <v>116934</v>
      </c>
      <c r="H186" s="32">
        <f t="shared" si="40"/>
        <v>116934</v>
      </c>
      <c r="I186" s="32">
        <f t="shared" si="41"/>
        <v>36535</v>
      </c>
      <c r="J186" s="32">
        <f t="shared" si="42"/>
        <v>0</v>
      </c>
      <c r="K186" s="32">
        <f t="shared" si="43"/>
        <v>0</v>
      </c>
      <c r="L186" s="32">
        <f t="shared" si="44"/>
        <v>80399</v>
      </c>
      <c r="M186" s="32">
        <f>IF(AND(AND(T185="",A186&lt;=S185),A186=入力!$B$15),ROUND(MIN(入力!$B$16,MAX(0,C186-L186)),0),0)</f>
        <v>0</v>
      </c>
      <c r="N186" s="32">
        <f t="shared" si="45"/>
        <v>17456528</v>
      </c>
      <c r="O186" s="32">
        <f t="shared" si="46"/>
        <v>7277162</v>
      </c>
      <c r="P186" s="34" t="str">
        <f>IF(NOT(AND(T185="",A186&lt;=S185)),"",IF(A186=入力!$B$15+1,"繰上返済後再計算","")&amp;IF(AND(入力!$B$13="有効",A186&gt;1,MOD(A186-1,60)=0),IF(A186=入力!$B$15+1,"・","")&amp;"5年見直し","")&amp;IF(AND(A186=入力!$B$11,A186&gt;1),IF(OR(A186=入力!$B$15+1,AND(入力!$B$13="有効",A186&gt;1,MOD(A186-1,60)=0)),"・","")&amp;"金利変更","")&amp;IF(AND(OR(AND(入力!$B$13="有効",A186&gt;1,MOD(A186-1,60)=0),AND(A186=入力!$B$11,A186&gt;1)),入力!$B$14="有効",IF(E186=0,ROUND(C186/MAX(1,S185-A186+1),0),ROUND(-PMT(E186/12,MAX(1,S185-A186+1),C186),0))&gt;ROUND(G185*1.25,0),NOT(A186=入力!$B$15+1)),"・上限適用",""))</f>
        <v>5年見直し</v>
      </c>
      <c r="Q186" s="35" t="str">
        <f>IF(AND(T185="",A186&lt;=S185),入力!$B$13,"")</f>
        <v>有効</v>
      </c>
      <c r="R186" s="32">
        <f>IF(AND(AND(T185="",A186&lt;=S185),OR(AND(入力!$B$13="有効",A186&gt;1,MOD(A186-1,60)=0),AND(A186=入力!$B$11,A186&gt;1)),入力!$B$14="有効"),ROUND(G185*1.25,0),"")</f>
        <v>146169</v>
      </c>
      <c r="S186" s="36">
        <f>IF(A186=入力!$B$15,A186+入力!$B$19,S185)</f>
        <v>360</v>
      </c>
      <c r="T186" s="35" t="str">
        <f t="shared" si="47"/>
        <v/>
      </c>
      <c r="U186" s="3">
        <f t="shared" si="32"/>
        <v>0</v>
      </c>
      <c r="V186" s="3">
        <f t="shared" si="33"/>
        <v>0</v>
      </c>
      <c r="W186" s="3">
        <f t="shared" si="34"/>
        <v>0</v>
      </c>
      <c r="X186" s="3">
        <f t="shared" si="35"/>
        <v>0</v>
      </c>
      <c r="Y186" s="3">
        <f>IF(A186&lt;入力!$B$15,ABS(G186-何もしない_月次!G186),0)</f>
        <v>0</v>
      </c>
      <c r="Z186" s="3">
        <f t="shared" si="36"/>
        <v>0</v>
      </c>
      <c r="AA186">
        <f>ROUND(IF(A186=入力!$B$15+1,IF(E186=0,ROUND(C186/入力!$B$19,0),ROUND(-PMT(E186/12,入力!$B$19,C186),0)),IF(OR(AND(入力!$B$13="有効",A186&gt;1,MOD(A186-1,60)=0),AND(A186=入力!$B$11,A186&gt;1)),IF(入力!$B$14="有効",MIN(IF(E186=0,ROUND(C186/MAX(1,S185-A186+1),0),ROUND(-PMT(E186/12,MAX(1,S185-A186+1),C186),0)),ROUND(G185*1.25,0)),IF(E186=0,ROUND(C186/MAX(1,S185-A186+1),0),ROUND(-PMT(E186/12,MAX(1,S185-A186+1),C186),0))),G185)),0)</f>
        <v>116934</v>
      </c>
    </row>
    <row r="187" spans="1:27">
      <c r="A187" s="30">
        <f>182</f>
        <v>182</v>
      </c>
      <c r="B187" s="31">
        <f>EDATE(入力!$B$6,A187-1)</f>
        <v>51745</v>
      </c>
      <c r="C187" s="32">
        <f t="shared" si="37"/>
        <v>17456528</v>
      </c>
      <c r="D187" s="32">
        <f t="shared" si="38"/>
        <v>0</v>
      </c>
      <c r="E187" s="33">
        <f>IF(AND(T186="",A187&lt;=S186),IF(A187&lt;入力!$B$11,入力!$B$10,入力!$B$12),0)</f>
        <v>2.5000000000000001E-2</v>
      </c>
      <c r="F187" s="32">
        <f t="shared" si="39"/>
        <v>36368</v>
      </c>
      <c r="G187" s="32">
        <f>ROUND(IF(NOT(AND(T186="",A187&lt;=S186)),0,IF(A187=入力!$B$15+1,IF(E187=0,ROUND(C187/入力!$B$19,0),ROUND(-PMT(E187/12,入力!$B$19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),0)</f>
        <v>116934</v>
      </c>
      <c r="H187" s="32">
        <f t="shared" si="40"/>
        <v>116934</v>
      </c>
      <c r="I187" s="32">
        <f t="shared" si="41"/>
        <v>36368</v>
      </c>
      <c r="J187" s="32">
        <f t="shared" si="42"/>
        <v>0</v>
      </c>
      <c r="K187" s="32">
        <f t="shared" si="43"/>
        <v>0</v>
      </c>
      <c r="L187" s="32">
        <f t="shared" si="44"/>
        <v>80566</v>
      </c>
      <c r="M187" s="32">
        <f>IF(AND(AND(T186="",A187&lt;=S186),A187=入力!$B$15),ROUND(MIN(入力!$B$16,MAX(0,C187-L187)),0),0)</f>
        <v>0</v>
      </c>
      <c r="N187" s="32">
        <f t="shared" si="45"/>
        <v>17375962</v>
      </c>
      <c r="O187" s="32">
        <f t="shared" si="46"/>
        <v>7313530</v>
      </c>
      <c r="P187" s="34" t="str">
        <f>IF(NOT(AND(T186="",A187&lt;=S186)),"",IF(A187=入力!$B$15+1,"繰上返済後再計算","")&amp;IF(AND(入力!$B$13="有効",A187&gt;1,MOD(A187-1,60)=0),IF(A187=入力!$B$15+1,"・","")&amp;"5年見直し","")&amp;IF(AND(A187=入力!$B$11,A187&gt;1),IF(OR(A187=入力!$B$15+1,AND(入力!$B$13="有効",A187&gt;1,MOD(A187-1,60)=0)),"・","")&amp;"金利変更","")&amp;IF(AND(OR(AND(入力!$B$13="有効",A187&gt;1,MOD(A187-1,60)=0),AND(A187=入力!$B$11,A187&gt;1)),入力!$B$14="有効",IF(E187=0,ROUND(C187/MAX(1,S186-A187+1),0),ROUND(-PMT(E187/12,MAX(1,S186-A187+1),C187),0))&gt;ROUND(G186*1.25,0),NOT(A187=入力!$B$15+1)),"・上限適用",""))</f>
        <v/>
      </c>
      <c r="Q187" s="35" t="str">
        <f>IF(AND(T186="",A187&lt;=S186),入力!$B$13,"")</f>
        <v>有効</v>
      </c>
      <c r="R187" s="32" t="str">
        <f>IF(AND(AND(T186="",A187&lt;=S186),OR(AND(入力!$B$13="有効",A187&gt;1,MOD(A187-1,60)=0),AND(A187=入力!$B$11,A187&gt;1)),入力!$B$14="有効"),ROUND(G186*1.25,0),"")</f>
        <v/>
      </c>
      <c r="S187" s="36">
        <f>IF(A187=入力!$B$15,A187+入力!$B$19,S186)</f>
        <v>360</v>
      </c>
      <c r="T187" s="35" t="str">
        <f t="shared" si="47"/>
        <v/>
      </c>
      <c r="U187" s="3">
        <f t="shared" si="32"/>
        <v>0</v>
      </c>
      <c r="V187" s="3">
        <f t="shared" si="33"/>
        <v>0</v>
      </c>
      <c r="W187" s="3">
        <f t="shared" si="34"/>
        <v>0</v>
      </c>
      <c r="X187" s="3">
        <f t="shared" si="35"/>
        <v>0</v>
      </c>
      <c r="Y187" s="3">
        <f>IF(A187&lt;入力!$B$15,ABS(G187-何もしない_月次!G187),0)</f>
        <v>0</v>
      </c>
      <c r="Z187" s="3">
        <f t="shared" si="36"/>
        <v>0</v>
      </c>
      <c r="AA187">
        <f>ROUND(IF(A187=入力!$B$15+1,IF(E187=0,ROUND(C187/入力!$B$19,0),ROUND(-PMT(E187/12,入力!$B$19,C187),0)),IF(OR(AND(入力!$B$13="有効",A187&gt;1,MOD(A187-1,60)=0),AND(A187=入力!$B$11,A187&gt;1)),IF(入力!$B$14="有効",MIN(IF(E187=0,ROUND(C187/MAX(1,S186-A187+1),0),ROUND(-PMT(E187/12,MAX(1,S186-A187+1),C187),0)),ROUND(G186*1.25,0)),IF(E187=0,ROUND(C187/MAX(1,S186-A187+1),0),ROUND(-PMT(E187/12,MAX(1,S186-A187+1),C187),0))),G186)),0)</f>
        <v>116934</v>
      </c>
    </row>
    <row r="188" spans="1:27">
      <c r="A188" s="30">
        <f>183</f>
        <v>183</v>
      </c>
      <c r="B188" s="31">
        <f>EDATE(入力!$B$6,A188-1)</f>
        <v>51775</v>
      </c>
      <c r="C188" s="32">
        <f t="shared" si="37"/>
        <v>17375962</v>
      </c>
      <c r="D188" s="32">
        <f t="shared" si="38"/>
        <v>0</v>
      </c>
      <c r="E188" s="33">
        <f>IF(AND(T187="",A188&lt;=S187),IF(A188&lt;入力!$B$11,入力!$B$10,入力!$B$12),0)</f>
        <v>2.5000000000000001E-2</v>
      </c>
      <c r="F188" s="32">
        <f t="shared" si="39"/>
        <v>36200</v>
      </c>
      <c r="G188" s="32">
        <f>ROUND(IF(NOT(AND(T187="",A188&lt;=S187)),0,IF(A188=入力!$B$15+1,IF(E188=0,ROUND(C188/入力!$B$19,0),ROUND(-PMT(E188/12,入力!$B$19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),0)</f>
        <v>116934</v>
      </c>
      <c r="H188" s="32">
        <f t="shared" si="40"/>
        <v>116934</v>
      </c>
      <c r="I188" s="32">
        <f t="shared" si="41"/>
        <v>36200</v>
      </c>
      <c r="J188" s="32">
        <f t="shared" si="42"/>
        <v>0</v>
      </c>
      <c r="K188" s="32">
        <f t="shared" si="43"/>
        <v>0</v>
      </c>
      <c r="L188" s="32">
        <f t="shared" si="44"/>
        <v>80734</v>
      </c>
      <c r="M188" s="32">
        <f>IF(AND(AND(T187="",A188&lt;=S187),A188=入力!$B$15),ROUND(MIN(入力!$B$16,MAX(0,C188-L188)),0),0)</f>
        <v>0</v>
      </c>
      <c r="N188" s="32">
        <f t="shared" si="45"/>
        <v>17295228</v>
      </c>
      <c r="O188" s="32">
        <f t="shared" si="46"/>
        <v>7349730</v>
      </c>
      <c r="P188" s="34" t="str">
        <f>IF(NOT(AND(T187="",A188&lt;=S187)),"",IF(A188=入力!$B$15+1,"繰上返済後再計算","")&amp;IF(AND(入力!$B$13="有効",A188&gt;1,MOD(A188-1,60)=0),IF(A188=入力!$B$15+1,"・","")&amp;"5年見直し","")&amp;IF(AND(A188=入力!$B$11,A188&gt;1),IF(OR(A188=入力!$B$15+1,AND(入力!$B$13="有効",A188&gt;1,MOD(A188-1,60)=0)),"・","")&amp;"金利変更","")&amp;IF(AND(OR(AND(入力!$B$13="有効",A188&gt;1,MOD(A188-1,60)=0),AND(A188=入力!$B$11,A188&gt;1)),入力!$B$14="有効",IF(E188=0,ROUND(C188/MAX(1,S187-A188+1),0),ROUND(-PMT(E188/12,MAX(1,S187-A188+1),C188),0))&gt;ROUND(G187*1.25,0),NOT(A188=入力!$B$15+1)),"・上限適用",""))</f>
        <v/>
      </c>
      <c r="Q188" s="35" t="str">
        <f>IF(AND(T187="",A188&lt;=S187),入力!$B$13,"")</f>
        <v>有効</v>
      </c>
      <c r="R188" s="32" t="str">
        <f>IF(AND(AND(T187="",A188&lt;=S187),OR(AND(入力!$B$13="有効",A188&gt;1,MOD(A188-1,60)=0),AND(A188=入力!$B$11,A188&gt;1)),入力!$B$14="有効"),ROUND(G187*1.25,0),"")</f>
        <v/>
      </c>
      <c r="S188" s="36">
        <f>IF(A188=入力!$B$15,A188+入力!$B$19,S187)</f>
        <v>360</v>
      </c>
      <c r="T188" s="35" t="str">
        <f t="shared" si="47"/>
        <v/>
      </c>
      <c r="U188" s="3">
        <f t="shared" si="32"/>
        <v>0</v>
      </c>
      <c r="V188" s="3">
        <f t="shared" si="33"/>
        <v>0</v>
      </c>
      <c r="W188" s="3">
        <f t="shared" si="34"/>
        <v>0</v>
      </c>
      <c r="X188" s="3">
        <f t="shared" si="35"/>
        <v>0</v>
      </c>
      <c r="Y188" s="3">
        <f>IF(A188&lt;入力!$B$15,ABS(G188-何もしない_月次!G188),0)</f>
        <v>0</v>
      </c>
      <c r="Z188" s="3">
        <f t="shared" si="36"/>
        <v>0</v>
      </c>
      <c r="AA188">
        <f>ROUND(IF(A188=入力!$B$15+1,IF(E188=0,ROUND(C188/入力!$B$19,0),ROUND(-PMT(E188/12,入力!$B$19,C188),0)),IF(OR(AND(入力!$B$13="有効",A188&gt;1,MOD(A188-1,60)=0),AND(A188=入力!$B$11,A188&gt;1)),IF(入力!$B$14="有効",MIN(IF(E188=0,ROUND(C188/MAX(1,S187-A188+1),0),ROUND(-PMT(E188/12,MAX(1,S187-A188+1),C188),0)),ROUND(G187*1.25,0)),IF(E188=0,ROUND(C188/MAX(1,S187-A188+1),0),ROUND(-PMT(E188/12,MAX(1,S187-A188+1),C188),0))),G187)),0)</f>
        <v>116934</v>
      </c>
    </row>
    <row r="189" spans="1:27">
      <c r="A189" s="30">
        <f>184</f>
        <v>184</v>
      </c>
      <c r="B189" s="31">
        <f>EDATE(入力!$B$6,A189-1)</f>
        <v>51806</v>
      </c>
      <c r="C189" s="32">
        <f t="shared" si="37"/>
        <v>17295228</v>
      </c>
      <c r="D189" s="32">
        <f t="shared" si="38"/>
        <v>0</v>
      </c>
      <c r="E189" s="33">
        <f>IF(AND(T188="",A189&lt;=S188),IF(A189&lt;入力!$B$11,入力!$B$10,入力!$B$12),0)</f>
        <v>2.5000000000000001E-2</v>
      </c>
      <c r="F189" s="32">
        <f t="shared" si="39"/>
        <v>36032</v>
      </c>
      <c r="G189" s="32">
        <f>ROUND(IF(NOT(AND(T188="",A189&lt;=S188)),0,IF(A189=入力!$B$15+1,IF(E189=0,ROUND(C189/入力!$B$19,0),ROUND(-PMT(E189/12,入力!$B$19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),0)</f>
        <v>116934</v>
      </c>
      <c r="H189" s="32">
        <f t="shared" si="40"/>
        <v>116934</v>
      </c>
      <c r="I189" s="32">
        <f t="shared" si="41"/>
        <v>36032</v>
      </c>
      <c r="J189" s="32">
        <f t="shared" si="42"/>
        <v>0</v>
      </c>
      <c r="K189" s="32">
        <f t="shared" si="43"/>
        <v>0</v>
      </c>
      <c r="L189" s="32">
        <f t="shared" si="44"/>
        <v>80902</v>
      </c>
      <c r="M189" s="32">
        <f>IF(AND(AND(T188="",A189&lt;=S188),A189=入力!$B$15),ROUND(MIN(入力!$B$16,MAX(0,C189-L189)),0),0)</f>
        <v>0</v>
      </c>
      <c r="N189" s="32">
        <f t="shared" si="45"/>
        <v>17214326</v>
      </c>
      <c r="O189" s="32">
        <f t="shared" si="46"/>
        <v>7385762</v>
      </c>
      <c r="P189" s="34" t="str">
        <f>IF(NOT(AND(T188="",A189&lt;=S188)),"",IF(A189=入力!$B$15+1,"繰上返済後再計算","")&amp;IF(AND(入力!$B$13="有効",A189&gt;1,MOD(A189-1,60)=0),IF(A189=入力!$B$15+1,"・","")&amp;"5年見直し","")&amp;IF(AND(A189=入力!$B$11,A189&gt;1),IF(OR(A189=入力!$B$15+1,AND(入力!$B$13="有効",A189&gt;1,MOD(A189-1,60)=0)),"・","")&amp;"金利変更","")&amp;IF(AND(OR(AND(入力!$B$13="有効",A189&gt;1,MOD(A189-1,60)=0),AND(A189=入力!$B$11,A189&gt;1)),入力!$B$14="有効",IF(E189=0,ROUND(C189/MAX(1,S188-A189+1),0),ROUND(-PMT(E189/12,MAX(1,S188-A189+1),C189),0))&gt;ROUND(G188*1.25,0),NOT(A189=入力!$B$15+1)),"・上限適用",""))</f>
        <v/>
      </c>
      <c r="Q189" s="35" t="str">
        <f>IF(AND(T188="",A189&lt;=S188),入力!$B$13,"")</f>
        <v>有効</v>
      </c>
      <c r="R189" s="32" t="str">
        <f>IF(AND(AND(T188="",A189&lt;=S188),OR(AND(入力!$B$13="有効",A189&gt;1,MOD(A189-1,60)=0),AND(A189=入力!$B$11,A189&gt;1)),入力!$B$14="有効"),ROUND(G188*1.25,0),"")</f>
        <v/>
      </c>
      <c r="S189" s="36">
        <f>IF(A189=入力!$B$15,A189+入力!$B$19,S188)</f>
        <v>360</v>
      </c>
      <c r="T189" s="35" t="str">
        <f t="shared" si="47"/>
        <v/>
      </c>
      <c r="U189" s="3">
        <f t="shared" si="32"/>
        <v>0</v>
      </c>
      <c r="V189" s="3">
        <f t="shared" si="33"/>
        <v>0</v>
      </c>
      <c r="W189" s="3">
        <f t="shared" si="34"/>
        <v>0</v>
      </c>
      <c r="X189" s="3">
        <f t="shared" si="35"/>
        <v>0</v>
      </c>
      <c r="Y189" s="3">
        <f>IF(A189&lt;入力!$B$15,ABS(G189-何もしない_月次!G189),0)</f>
        <v>0</v>
      </c>
      <c r="Z189" s="3">
        <f t="shared" si="36"/>
        <v>0</v>
      </c>
      <c r="AA189">
        <f>ROUND(IF(A189=入力!$B$15+1,IF(E189=0,ROUND(C189/入力!$B$19,0),ROUND(-PMT(E189/12,入力!$B$19,C189),0)),IF(OR(AND(入力!$B$13="有効",A189&gt;1,MOD(A189-1,60)=0),AND(A189=入力!$B$11,A189&gt;1)),IF(入力!$B$14="有効",MIN(IF(E189=0,ROUND(C189/MAX(1,S188-A189+1),0),ROUND(-PMT(E189/12,MAX(1,S188-A189+1),C189),0)),ROUND(G188*1.25,0)),IF(E189=0,ROUND(C189/MAX(1,S188-A189+1),0),ROUND(-PMT(E189/12,MAX(1,S188-A189+1),C189),0))),G188)),0)</f>
        <v>116934</v>
      </c>
    </row>
    <row r="190" spans="1:27">
      <c r="A190" s="30">
        <f>185</f>
        <v>185</v>
      </c>
      <c r="B190" s="31">
        <f>EDATE(入力!$B$6,A190-1)</f>
        <v>51836</v>
      </c>
      <c r="C190" s="32">
        <f t="shared" si="37"/>
        <v>17214326</v>
      </c>
      <c r="D190" s="32">
        <f t="shared" si="38"/>
        <v>0</v>
      </c>
      <c r="E190" s="33">
        <f>IF(AND(T189="",A190&lt;=S189),IF(A190&lt;入力!$B$11,入力!$B$10,入力!$B$12),0)</f>
        <v>2.5000000000000001E-2</v>
      </c>
      <c r="F190" s="32">
        <f t="shared" si="39"/>
        <v>35863</v>
      </c>
      <c r="G190" s="32">
        <f>ROUND(IF(NOT(AND(T189="",A190&lt;=S189)),0,IF(A190=入力!$B$15+1,IF(E190=0,ROUND(C190/入力!$B$19,0),ROUND(-PMT(E190/12,入力!$B$19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),0)</f>
        <v>116934</v>
      </c>
      <c r="H190" s="32">
        <f t="shared" si="40"/>
        <v>116934</v>
      </c>
      <c r="I190" s="32">
        <f t="shared" si="41"/>
        <v>35863</v>
      </c>
      <c r="J190" s="32">
        <f t="shared" si="42"/>
        <v>0</v>
      </c>
      <c r="K190" s="32">
        <f t="shared" si="43"/>
        <v>0</v>
      </c>
      <c r="L190" s="32">
        <f t="shared" si="44"/>
        <v>81071</v>
      </c>
      <c r="M190" s="32">
        <f>IF(AND(AND(T189="",A190&lt;=S189),A190=入力!$B$15),ROUND(MIN(入力!$B$16,MAX(0,C190-L190)),0),0)</f>
        <v>0</v>
      </c>
      <c r="N190" s="32">
        <f t="shared" si="45"/>
        <v>17133255</v>
      </c>
      <c r="O190" s="32">
        <f t="shared" si="46"/>
        <v>7421625</v>
      </c>
      <c r="P190" s="34" t="str">
        <f>IF(NOT(AND(T189="",A190&lt;=S189)),"",IF(A190=入力!$B$15+1,"繰上返済後再計算","")&amp;IF(AND(入力!$B$13="有効",A190&gt;1,MOD(A190-1,60)=0),IF(A190=入力!$B$15+1,"・","")&amp;"5年見直し","")&amp;IF(AND(A190=入力!$B$11,A190&gt;1),IF(OR(A190=入力!$B$15+1,AND(入力!$B$13="有効",A190&gt;1,MOD(A190-1,60)=0)),"・","")&amp;"金利変更","")&amp;IF(AND(OR(AND(入力!$B$13="有効",A190&gt;1,MOD(A190-1,60)=0),AND(A190=入力!$B$11,A190&gt;1)),入力!$B$14="有効",IF(E190=0,ROUND(C190/MAX(1,S189-A190+1),0),ROUND(-PMT(E190/12,MAX(1,S189-A190+1),C190),0))&gt;ROUND(G189*1.25,0),NOT(A190=入力!$B$15+1)),"・上限適用",""))</f>
        <v/>
      </c>
      <c r="Q190" s="35" t="str">
        <f>IF(AND(T189="",A190&lt;=S189),入力!$B$13,"")</f>
        <v>有効</v>
      </c>
      <c r="R190" s="32" t="str">
        <f>IF(AND(AND(T189="",A190&lt;=S189),OR(AND(入力!$B$13="有効",A190&gt;1,MOD(A190-1,60)=0),AND(A190=入力!$B$11,A190&gt;1)),入力!$B$14="有効"),ROUND(G189*1.25,0),"")</f>
        <v/>
      </c>
      <c r="S190" s="36">
        <f>IF(A190=入力!$B$15,A190+入力!$B$19,S189)</f>
        <v>360</v>
      </c>
      <c r="T190" s="35" t="str">
        <f t="shared" si="47"/>
        <v/>
      </c>
      <c r="U190" s="3">
        <f t="shared" si="32"/>
        <v>0</v>
      </c>
      <c r="V190" s="3">
        <f t="shared" si="33"/>
        <v>0</v>
      </c>
      <c r="W190" s="3">
        <f t="shared" si="34"/>
        <v>0</v>
      </c>
      <c r="X190" s="3">
        <f t="shared" si="35"/>
        <v>0</v>
      </c>
      <c r="Y190" s="3">
        <f>IF(A190&lt;入力!$B$15,ABS(G190-何もしない_月次!G190),0)</f>
        <v>0</v>
      </c>
      <c r="Z190" s="3">
        <f t="shared" si="36"/>
        <v>0</v>
      </c>
      <c r="AA190">
        <f>ROUND(IF(A190=入力!$B$15+1,IF(E190=0,ROUND(C190/入力!$B$19,0),ROUND(-PMT(E190/12,入力!$B$19,C190),0)),IF(OR(AND(入力!$B$13="有効",A190&gt;1,MOD(A190-1,60)=0),AND(A190=入力!$B$11,A190&gt;1)),IF(入力!$B$14="有効",MIN(IF(E190=0,ROUND(C190/MAX(1,S189-A190+1),0),ROUND(-PMT(E190/12,MAX(1,S189-A190+1),C190),0)),ROUND(G189*1.25,0)),IF(E190=0,ROUND(C190/MAX(1,S189-A190+1),0),ROUND(-PMT(E190/12,MAX(1,S189-A190+1),C190),0))),G189)),0)</f>
        <v>116934</v>
      </c>
    </row>
    <row r="191" spans="1:27">
      <c r="A191" s="30">
        <f>186</f>
        <v>186</v>
      </c>
      <c r="B191" s="31">
        <f>EDATE(入力!$B$6,A191-1)</f>
        <v>51867</v>
      </c>
      <c r="C191" s="32">
        <f t="shared" si="37"/>
        <v>17133255</v>
      </c>
      <c r="D191" s="32">
        <f t="shared" si="38"/>
        <v>0</v>
      </c>
      <c r="E191" s="33">
        <f>IF(AND(T190="",A191&lt;=S190),IF(A191&lt;入力!$B$11,入力!$B$10,入力!$B$12),0)</f>
        <v>2.5000000000000001E-2</v>
      </c>
      <c r="F191" s="32">
        <f t="shared" si="39"/>
        <v>35694</v>
      </c>
      <c r="G191" s="32">
        <f>ROUND(IF(NOT(AND(T190="",A191&lt;=S190)),0,IF(A191=入力!$B$15+1,IF(E191=0,ROUND(C191/入力!$B$19,0),ROUND(-PMT(E191/12,入力!$B$19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),0)</f>
        <v>116934</v>
      </c>
      <c r="H191" s="32">
        <f t="shared" si="40"/>
        <v>116934</v>
      </c>
      <c r="I191" s="32">
        <f t="shared" si="41"/>
        <v>35694</v>
      </c>
      <c r="J191" s="32">
        <f t="shared" si="42"/>
        <v>0</v>
      </c>
      <c r="K191" s="32">
        <f t="shared" si="43"/>
        <v>0</v>
      </c>
      <c r="L191" s="32">
        <f t="shared" si="44"/>
        <v>81240</v>
      </c>
      <c r="M191" s="32">
        <f>IF(AND(AND(T190="",A191&lt;=S190),A191=入力!$B$15),ROUND(MIN(入力!$B$16,MAX(0,C191-L191)),0),0)</f>
        <v>0</v>
      </c>
      <c r="N191" s="32">
        <f t="shared" si="45"/>
        <v>17052015</v>
      </c>
      <c r="O191" s="32">
        <f t="shared" si="46"/>
        <v>7457319</v>
      </c>
      <c r="P191" s="34" t="str">
        <f>IF(NOT(AND(T190="",A191&lt;=S190)),"",IF(A191=入力!$B$15+1,"繰上返済後再計算","")&amp;IF(AND(入力!$B$13="有効",A191&gt;1,MOD(A191-1,60)=0),IF(A191=入力!$B$15+1,"・","")&amp;"5年見直し","")&amp;IF(AND(A191=入力!$B$11,A191&gt;1),IF(OR(A191=入力!$B$15+1,AND(入力!$B$13="有効",A191&gt;1,MOD(A191-1,60)=0)),"・","")&amp;"金利変更","")&amp;IF(AND(OR(AND(入力!$B$13="有効",A191&gt;1,MOD(A191-1,60)=0),AND(A191=入力!$B$11,A191&gt;1)),入力!$B$14="有効",IF(E191=0,ROUND(C191/MAX(1,S190-A191+1),0),ROUND(-PMT(E191/12,MAX(1,S190-A191+1),C191),0))&gt;ROUND(G190*1.25,0),NOT(A191=入力!$B$15+1)),"・上限適用",""))</f>
        <v/>
      </c>
      <c r="Q191" s="35" t="str">
        <f>IF(AND(T190="",A191&lt;=S190),入力!$B$13,"")</f>
        <v>有効</v>
      </c>
      <c r="R191" s="32" t="str">
        <f>IF(AND(AND(T190="",A191&lt;=S190),OR(AND(入力!$B$13="有効",A191&gt;1,MOD(A191-1,60)=0),AND(A191=入力!$B$11,A191&gt;1)),入力!$B$14="有効"),ROUND(G190*1.25,0),"")</f>
        <v/>
      </c>
      <c r="S191" s="36">
        <f>IF(A191=入力!$B$15,A191+入力!$B$19,S190)</f>
        <v>360</v>
      </c>
      <c r="T191" s="35" t="str">
        <f t="shared" si="47"/>
        <v/>
      </c>
      <c r="U191" s="3">
        <f t="shared" si="32"/>
        <v>0</v>
      </c>
      <c r="V191" s="3">
        <f t="shared" si="33"/>
        <v>0</v>
      </c>
      <c r="W191" s="3">
        <f t="shared" si="34"/>
        <v>0</v>
      </c>
      <c r="X191" s="3">
        <f t="shared" si="35"/>
        <v>0</v>
      </c>
      <c r="Y191" s="3">
        <f>IF(A191&lt;入力!$B$15,ABS(G191-何もしない_月次!G191),0)</f>
        <v>0</v>
      </c>
      <c r="Z191" s="3">
        <f t="shared" si="36"/>
        <v>0</v>
      </c>
      <c r="AA191">
        <f>ROUND(IF(A191=入力!$B$15+1,IF(E191=0,ROUND(C191/入力!$B$19,0),ROUND(-PMT(E191/12,入力!$B$19,C191),0)),IF(OR(AND(入力!$B$13="有効",A191&gt;1,MOD(A191-1,60)=0),AND(A191=入力!$B$11,A191&gt;1)),IF(入力!$B$14="有効",MIN(IF(E191=0,ROUND(C191/MAX(1,S190-A191+1),0),ROUND(-PMT(E191/12,MAX(1,S190-A191+1),C191),0)),ROUND(G190*1.25,0)),IF(E191=0,ROUND(C191/MAX(1,S190-A191+1),0),ROUND(-PMT(E191/12,MAX(1,S190-A191+1),C191),0))),G190)),0)</f>
        <v>116934</v>
      </c>
    </row>
    <row r="192" spans="1:27">
      <c r="A192" s="30">
        <f>187</f>
        <v>187</v>
      </c>
      <c r="B192" s="31">
        <f>EDATE(入力!$B$6,A192-1)</f>
        <v>51898</v>
      </c>
      <c r="C192" s="32">
        <f t="shared" si="37"/>
        <v>17052015</v>
      </c>
      <c r="D192" s="32">
        <f t="shared" si="38"/>
        <v>0</v>
      </c>
      <c r="E192" s="33">
        <f>IF(AND(T191="",A192&lt;=S191),IF(A192&lt;入力!$B$11,入力!$B$10,入力!$B$12),0)</f>
        <v>2.5000000000000001E-2</v>
      </c>
      <c r="F192" s="32">
        <f t="shared" si="39"/>
        <v>35525</v>
      </c>
      <c r="G192" s="32">
        <f>ROUND(IF(NOT(AND(T191="",A192&lt;=S191)),0,IF(A192=入力!$B$15+1,IF(E192=0,ROUND(C192/入力!$B$19,0),ROUND(-PMT(E192/12,入力!$B$19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),0)</f>
        <v>116934</v>
      </c>
      <c r="H192" s="32">
        <f t="shared" si="40"/>
        <v>116934</v>
      </c>
      <c r="I192" s="32">
        <f t="shared" si="41"/>
        <v>35525</v>
      </c>
      <c r="J192" s="32">
        <f t="shared" si="42"/>
        <v>0</v>
      </c>
      <c r="K192" s="32">
        <f t="shared" si="43"/>
        <v>0</v>
      </c>
      <c r="L192" s="32">
        <f t="shared" si="44"/>
        <v>81409</v>
      </c>
      <c r="M192" s="32">
        <f>IF(AND(AND(T191="",A192&lt;=S191),A192=入力!$B$15),ROUND(MIN(入力!$B$16,MAX(0,C192-L192)),0),0)</f>
        <v>0</v>
      </c>
      <c r="N192" s="32">
        <f t="shared" si="45"/>
        <v>16970606</v>
      </c>
      <c r="O192" s="32">
        <f t="shared" si="46"/>
        <v>7492844</v>
      </c>
      <c r="P192" s="34" t="str">
        <f>IF(NOT(AND(T191="",A192&lt;=S191)),"",IF(A192=入力!$B$15+1,"繰上返済後再計算","")&amp;IF(AND(入力!$B$13="有効",A192&gt;1,MOD(A192-1,60)=0),IF(A192=入力!$B$15+1,"・","")&amp;"5年見直し","")&amp;IF(AND(A192=入力!$B$11,A192&gt;1),IF(OR(A192=入力!$B$15+1,AND(入力!$B$13="有効",A192&gt;1,MOD(A192-1,60)=0)),"・","")&amp;"金利変更","")&amp;IF(AND(OR(AND(入力!$B$13="有効",A192&gt;1,MOD(A192-1,60)=0),AND(A192=入力!$B$11,A192&gt;1)),入力!$B$14="有効",IF(E192=0,ROUND(C192/MAX(1,S191-A192+1),0),ROUND(-PMT(E192/12,MAX(1,S191-A192+1),C192),0))&gt;ROUND(G191*1.25,0),NOT(A192=入力!$B$15+1)),"・上限適用",""))</f>
        <v/>
      </c>
      <c r="Q192" s="35" t="str">
        <f>IF(AND(T191="",A192&lt;=S191),入力!$B$13,"")</f>
        <v>有効</v>
      </c>
      <c r="R192" s="32" t="str">
        <f>IF(AND(AND(T191="",A192&lt;=S191),OR(AND(入力!$B$13="有効",A192&gt;1,MOD(A192-1,60)=0),AND(A192=入力!$B$11,A192&gt;1)),入力!$B$14="有効"),ROUND(G191*1.25,0),"")</f>
        <v/>
      </c>
      <c r="S192" s="36">
        <f>IF(A192=入力!$B$15,A192+入力!$B$19,S191)</f>
        <v>360</v>
      </c>
      <c r="T192" s="35" t="str">
        <f t="shared" si="47"/>
        <v/>
      </c>
      <c r="U192" s="3">
        <f t="shared" si="32"/>
        <v>0</v>
      </c>
      <c r="V192" s="3">
        <f t="shared" si="33"/>
        <v>0</v>
      </c>
      <c r="W192" s="3">
        <f t="shared" si="34"/>
        <v>0</v>
      </c>
      <c r="X192" s="3">
        <f t="shared" si="35"/>
        <v>0</v>
      </c>
      <c r="Y192" s="3">
        <f>IF(A192&lt;入力!$B$15,ABS(G192-何もしない_月次!G192),0)</f>
        <v>0</v>
      </c>
      <c r="Z192" s="3">
        <f t="shared" si="36"/>
        <v>0</v>
      </c>
      <c r="AA192">
        <f>ROUND(IF(A192=入力!$B$15+1,IF(E192=0,ROUND(C192/入力!$B$19,0),ROUND(-PMT(E192/12,入力!$B$19,C192),0)),IF(OR(AND(入力!$B$13="有効",A192&gt;1,MOD(A192-1,60)=0),AND(A192=入力!$B$11,A192&gt;1)),IF(入力!$B$14="有効",MIN(IF(E192=0,ROUND(C192/MAX(1,S191-A192+1),0),ROUND(-PMT(E192/12,MAX(1,S191-A192+1),C192),0)),ROUND(G191*1.25,0)),IF(E192=0,ROUND(C192/MAX(1,S191-A192+1),0),ROUND(-PMT(E192/12,MAX(1,S191-A192+1),C192),0))),G191)),0)</f>
        <v>116934</v>
      </c>
    </row>
    <row r="193" spans="1:27">
      <c r="A193" s="30">
        <f>188</f>
        <v>188</v>
      </c>
      <c r="B193" s="31">
        <f>EDATE(入力!$B$6,A193-1)</f>
        <v>51926</v>
      </c>
      <c r="C193" s="32">
        <f t="shared" si="37"/>
        <v>16970606</v>
      </c>
      <c r="D193" s="32">
        <f t="shared" si="38"/>
        <v>0</v>
      </c>
      <c r="E193" s="33">
        <f>IF(AND(T192="",A193&lt;=S192),IF(A193&lt;入力!$B$11,入力!$B$10,入力!$B$12),0)</f>
        <v>2.5000000000000001E-2</v>
      </c>
      <c r="F193" s="32">
        <f t="shared" si="39"/>
        <v>35355</v>
      </c>
      <c r="G193" s="32">
        <f>ROUND(IF(NOT(AND(T192="",A193&lt;=S192)),0,IF(A193=入力!$B$15+1,IF(E193=0,ROUND(C193/入力!$B$19,0),ROUND(-PMT(E193/12,入力!$B$19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),0)</f>
        <v>116934</v>
      </c>
      <c r="H193" s="32">
        <f t="shared" si="40"/>
        <v>116934</v>
      </c>
      <c r="I193" s="32">
        <f t="shared" si="41"/>
        <v>35355</v>
      </c>
      <c r="J193" s="32">
        <f t="shared" si="42"/>
        <v>0</v>
      </c>
      <c r="K193" s="32">
        <f t="shared" si="43"/>
        <v>0</v>
      </c>
      <c r="L193" s="32">
        <f t="shared" si="44"/>
        <v>81579</v>
      </c>
      <c r="M193" s="32">
        <f>IF(AND(AND(T192="",A193&lt;=S192),A193=入力!$B$15),ROUND(MIN(入力!$B$16,MAX(0,C193-L193)),0),0)</f>
        <v>0</v>
      </c>
      <c r="N193" s="32">
        <f t="shared" si="45"/>
        <v>16889027</v>
      </c>
      <c r="O193" s="32">
        <f t="shared" si="46"/>
        <v>7528199</v>
      </c>
      <c r="P193" s="34" t="str">
        <f>IF(NOT(AND(T192="",A193&lt;=S192)),"",IF(A193=入力!$B$15+1,"繰上返済後再計算","")&amp;IF(AND(入力!$B$13="有効",A193&gt;1,MOD(A193-1,60)=0),IF(A193=入力!$B$15+1,"・","")&amp;"5年見直し","")&amp;IF(AND(A193=入力!$B$11,A193&gt;1),IF(OR(A193=入力!$B$15+1,AND(入力!$B$13="有効",A193&gt;1,MOD(A193-1,60)=0)),"・","")&amp;"金利変更","")&amp;IF(AND(OR(AND(入力!$B$13="有効",A193&gt;1,MOD(A193-1,60)=0),AND(A193=入力!$B$11,A193&gt;1)),入力!$B$14="有効",IF(E193=0,ROUND(C193/MAX(1,S192-A193+1),0),ROUND(-PMT(E193/12,MAX(1,S192-A193+1),C193),0))&gt;ROUND(G192*1.25,0),NOT(A193=入力!$B$15+1)),"・上限適用",""))</f>
        <v/>
      </c>
      <c r="Q193" s="35" t="str">
        <f>IF(AND(T192="",A193&lt;=S192),入力!$B$13,"")</f>
        <v>有効</v>
      </c>
      <c r="R193" s="32" t="str">
        <f>IF(AND(AND(T192="",A193&lt;=S192),OR(AND(入力!$B$13="有効",A193&gt;1,MOD(A193-1,60)=0),AND(A193=入力!$B$11,A193&gt;1)),入力!$B$14="有効"),ROUND(G192*1.25,0),"")</f>
        <v/>
      </c>
      <c r="S193" s="36">
        <f>IF(A193=入力!$B$15,A193+入力!$B$19,S192)</f>
        <v>360</v>
      </c>
      <c r="T193" s="35" t="str">
        <f t="shared" si="47"/>
        <v/>
      </c>
      <c r="U193" s="3">
        <f t="shared" si="32"/>
        <v>0</v>
      </c>
      <c r="V193" s="3">
        <f t="shared" si="33"/>
        <v>0</v>
      </c>
      <c r="W193" s="3">
        <f t="shared" si="34"/>
        <v>0</v>
      </c>
      <c r="X193" s="3">
        <f t="shared" si="35"/>
        <v>0</v>
      </c>
      <c r="Y193" s="3">
        <f>IF(A193&lt;入力!$B$15,ABS(G193-何もしない_月次!G193),0)</f>
        <v>0</v>
      </c>
      <c r="Z193" s="3">
        <f t="shared" si="36"/>
        <v>0</v>
      </c>
      <c r="AA193">
        <f>ROUND(IF(A193=入力!$B$15+1,IF(E193=0,ROUND(C193/入力!$B$19,0),ROUND(-PMT(E193/12,入力!$B$19,C193),0)),IF(OR(AND(入力!$B$13="有効",A193&gt;1,MOD(A193-1,60)=0),AND(A193=入力!$B$11,A193&gt;1)),IF(入力!$B$14="有効",MIN(IF(E193=0,ROUND(C193/MAX(1,S192-A193+1),0),ROUND(-PMT(E193/12,MAX(1,S192-A193+1),C193),0)),ROUND(G192*1.25,0)),IF(E193=0,ROUND(C193/MAX(1,S192-A193+1),0),ROUND(-PMT(E193/12,MAX(1,S192-A193+1),C193),0))),G192)),0)</f>
        <v>116934</v>
      </c>
    </row>
    <row r="194" spans="1:27">
      <c r="A194" s="30">
        <f>189</f>
        <v>189</v>
      </c>
      <c r="B194" s="31">
        <f>EDATE(入力!$B$6,A194-1)</f>
        <v>51957</v>
      </c>
      <c r="C194" s="32">
        <f t="shared" si="37"/>
        <v>16889027</v>
      </c>
      <c r="D194" s="32">
        <f t="shared" si="38"/>
        <v>0</v>
      </c>
      <c r="E194" s="33">
        <f>IF(AND(T193="",A194&lt;=S193),IF(A194&lt;入力!$B$11,入力!$B$10,入力!$B$12),0)</f>
        <v>2.5000000000000001E-2</v>
      </c>
      <c r="F194" s="32">
        <f t="shared" si="39"/>
        <v>35185</v>
      </c>
      <c r="G194" s="32">
        <f>ROUND(IF(NOT(AND(T193="",A194&lt;=S193)),0,IF(A194=入力!$B$15+1,IF(E194=0,ROUND(C194/入力!$B$19,0),ROUND(-PMT(E194/12,入力!$B$19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),0)</f>
        <v>116934</v>
      </c>
      <c r="H194" s="32">
        <f t="shared" si="40"/>
        <v>116934</v>
      </c>
      <c r="I194" s="32">
        <f t="shared" si="41"/>
        <v>35185</v>
      </c>
      <c r="J194" s="32">
        <f t="shared" si="42"/>
        <v>0</v>
      </c>
      <c r="K194" s="32">
        <f t="shared" si="43"/>
        <v>0</v>
      </c>
      <c r="L194" s="32">
        <f t="shared" si="44"/>
        <v>81749</v>
      </c>
      <c r="M194" s="32">
        <f>IF(AND(AND(T193="",A194&lt;=S193),A194=入力!$B$15),ROUND(MIN(入力!$B$16,MAX(0,C194-L194)),0),0)</f>
        <v>0</v>
      </c>
      <c r="N194" s="32">
        <f t="shared" si="45"/>
        <v>16807278</v>
      </c>
      <c r="O194" s="32">
        <f t="shared" si="46"/>
        <v>7563384</v>
      </c>
      <c r="P194" s="34" t="str">
        <f>IF(NOT(AND(T193="",A194&lt;=S193)),"",IF(A194=入力!$B$15+1,"繰上返済後再計算","")&amp;IF(AND(入力!$B$13="有効",A194&gt;1,MOD(A194-1,60)=0),IF(A194=入力!$B$15+1,"・","")&amp;"5年見直し","")&amp;IF(AND(A194=入力!$B$11,A194&gt;1),IF(OR(A194=入力!$B$15+1,AND(入力!$B$13="有効",A194&gt;1,MOD(A194-1,60)=0)),"・","")&amp;"金利変更","")&amp;IF(AND(OR(AND(入力!$B$13="有効",A194&gt;1,MOD(A194-1,60)=0),AND(A194=入力!$B$11,A194&gt;1)),入力!$B$14="有効",IF(E194=0,ROUND(C194/MAX(1,S193-A194+1),0),ROUND(-PMT(E194/12,MAX(1,S193-A194+1),C194),0))&gt;ROUND(G193*1.25,0),NOT(A194=入力!$B$15+1)),"・上限適用",""))</f>
        <v/>
      </c>
      <c r="Q194" s="35" t="str">
        <f>IF(AND(T193="",A194&lt;=S193),入力!$B$13,"")</f>
        <v>有効</v>
      </c>
      <c r="R194" s="32" t="str">
        <f>IF(AND(AND(T193="",A194&lt;=S193),OR(AND(入力!$B$13="有効",A194&gt;1,MOD(A194-1,60)=0),AND(A194=入力!$B$11,A194&gt;1)),入力!$B$14="有効"),ROUND(G193*1.25,0),"")</f>
        <v/>
      </c>
      <c r="S194" s="36">
        <f>IF(A194=入力!$B$15,A194+入力!$B$19,S193)</f>
        <v>360</v>
      </c>
      <c r="T194" s="35" t="str">
        <f t="shared" si="47"/>
        <v/>
      </c>
      <c r="U194" s="3">
        <f t="shared" si="32"/>
        <v>0</v>
      </c>
      <c r="V194" s="3">
        <f t="shared" si="33"/>
        <v>0</v>
      </c>
      <c r="W194" s="3">
        <f t="shared" si="34"/>
        <v>0</v>
      </c>
      <c r="X194" s="3">
        <f t="shared" si="35"/>
        <v>0</v>
      </c>
      <c r="Y194" s="3">
        <f>IF(A194&lt;入力!$B$15,ABS(G194-何もしない_月次!G194),0)</f>
        <v>0</v>
      </c>
      <c r="Z194" s="3">
        <f t="shared" si="36"/>
        <v>0</v>
      </c>
      <c r="AA194">
        <f>ROUND(IF(A194=入力!$B$15+1,IF(E194=0,ROUND(C194/入力!$B$19,0),ROUND(-PMT(E194/12,入力!$B$19,C194),0)),IF(OR(AND(入力!$B$13="有効",A194&gt;1,MOD(A194-1,60)=0),AND(A194=入力!$B$11,A194&gt;1)),IF(入力!$B$14="有効",MIN(IF(E194=0,ROUND(C194/MAX(1,S193-A194+1),0),ROUND(-PMT(E194/12,MAX(1,S193-A194+1),C194),0)),ROUND(G193*1.25,0)),IF(E194=0,ROUND(C194/MAX(1,S193-A194+1),0),ROUND(-PMT(E194/12,MAX(1,S193-A194+1),C194),0))),G193)),0)</f>
        <v>116934</v>
      </c>
    </row>
    <row r="195" spans="1:27">
      <c r="A195" s="30">
        <f>190</f>
        <v>190</v>
      </c>
      <c r="B195" s="31">
        <f>EDATE(入力!$B$6,A195-1)</f>
        <v>51987</v>
      </c>
      <c r="C195" s="32">
        <f t="shared" si="37"/>
        <v>16807278</v>
      </c>
      <c r="D195" s="32">
        <f t="shared" si="38"/>
        <v>0</v>
      </c>
      <c r="E195" s="33">
        <f>IF(AND(T194="",A195&lt;=S194),IF(A195&lt;入力!$B$11,入力!$B$10,入力!$B$12),0)</f>
        <v>2.5000000000000001E-2</v>
      </c>
      <c r="F195" s="32">
        <f t="shared" si="39"/>
        <v>35015</v>
      </c>
      <c r="G195" s="32">
        <f>ROUND(IF(NOT(AND(T194="",A195&lt;=S194)),0,IF(A195=入力!$B$15+1,IF(E195=0,ROUND(C195/入力!$B$19,0),ROUND(-PMT(E195/12,入力!$B$19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),0)</f>
        <v>116934</v>
      </c>
      <c r="H195" s="32">
        <f t="shared" si="40"/>
        <v>116934</v>
      </c>
      <c r="I195" s="32">
        <f t="shared" si="41"/>
        <v>35015</v>
      </c>
      <c r="J195" s="32">
        <f t="shared" si="42"/>
        <v>0</v>
      </c>
      <c r="K195" s="32">
        <f t="shared" si="43"/>
        <v>0</v>
      </c>
      <c r="L195" s="32">
        <f t="shared" si="44"/>
        <v>81919</v>
      </c>
      <c r="M195" s="32">
        <f>IF(AND(AND(T194="",A195&lt;=S194),A195=入力!$B$15),ROUND(MIN(入力!$B$16,MAX(0,C195-L195)),0),0)</f>
        <v>0</v>
      </c>
      <c r="N195" s="32">
        <f t="shared" si="45"/>
        <v>16725359</v>
      </c>
      <c r="O195" s="32">
        <f t="shared" si="46"/>
        <v>7598399</v>
      </c>
      <c r="P195" s="34" t="str">
        <f>IF(NOT(AND(T194="",A195&lt;=S194)),"",IF(A195=入力!$B$15+1,"繰上返済後再計算","")&amp;IF(AND(入力!$B$13="有効",A195&gt;1,MOD(A195-1,60)=0),IF(A195=入力!$B$15+1,"・","")&amp;"5年見直し","")&amp;IF(AND(A195=入力!$B$11,A195&gt;1),IF(OR(A195=入力!$B$15+1,AND(入力!$B$13="有効",A195&gt;1,MOD(A195-1,60)=0)),"・","")&amp;"金利変更","")&amp;IF(AND(OR(AND(入力!$B$13="有効",A195&gt;1,MOD(A195-1,60)=0),AND(A195=入力!$B$11,A195&gt;1)),入力!$B$14="有効",IF(E195=0,ROUND(C195/MAX(1,S194-A195+1),0),ROUND(-PMT(E195/12,MAX(1,S194-A195+1),C195),0))&gt;ROUND(G194*1.25,0),NOT(A195=入力!$B$15+1)),"・上限適用",""))</f>
        <v/>
      </c>
      <c r="Q195" s="35" t="str">
        <f>IF(AND(T194="",A195&lt;=S194),入力!$B$13,"")</f>
        <v>有効</v>
      </c>
      <c r="R195" s="32" t="str">
        <f>IF(AND(AND(T194="",A195&lt;=S194),OR(AND(入力!$B$13="有効",A195&gt;1,MOD(A195-1,60)=0),AND(A195=入力!$B$11,A195&gt;1)),入力!$B$14="有効"),ROUND(G194*1.25,0),"")</f>
        <v/>
      </c>
      <c r="S195" s="36">
        <f>IF(A195=入力!$B$15,A195+入力!$B$19,S194)</f>
        <v>360</v>
      </c>
      <c r="T195" s="35" t="str">
        <f t="shared" si="47"/>
        <v/>
      </c>
      <c r="U195" s="3">
        <f t="shared" si="32"/>
        <v>0</v>
      </c>
      <c r="V195" s="3">
        <f t="shared" si="33"/>
        <v>0</v>
      </c>
      <c r="W195" s="3">
        <f t="shared" si="34"/>
        <v>0</v>
      </c>
      <c r="X195" s="3">
        <f t="shared" si="35"/>
        <v>0</v>
      </c>
      <c r="Y195" s="3">
        <f>IF(A195&lt;入力!$B$15,ABS(G195-何もしない_月次!G195),0)</f>
        <v>0</v>
      </c>
      <c r="Z195" s="3">
        <f t="shared" si="36"/>
        <v>0</v>
      </c>
      <c r="AA195">
        <f>ROUND(IF(A195=入力!$B$15+1,IF(E195=0,ROUND(C195/入力!$B$19,0),ROUND(-PMT(E195/12,入力!$B$19,C195),0)),IF(OR(AND(入力!$B$13="有効",A195&gt;1,MOD(A195-1,60)=0),AND(A195=入力!$B$11,A195&gt;1)),IF(入力!$B$14="有効",MIN(IF(E195=0,ROUND(C195/MAX(1,S194-A195+1),0),ROUND(-PMT(E195/12,MAX(1,S194-A195+1),C195),0)),ROUND(G194*1.25,0)),IF(E195=0,ROUND(C195/MAX(1,S194-A195+1),0),ROUND(-PMT(E195/12,MAX(1,S194-A195+1),C195),0))),G194)),0)</f>
        <v>116934</v>
      </c>
    </row>
    <row r="196" spans="1:27">
      <c r="A196" s="30">
        <f>191</f>
        <v>191</v>
      </c>
      <c r="B196" s="31">
        <f>EDATE(入力!$B$6,A196-1)</f>
        <v>52018</v>
      </c>
      <c r="C196" s="32">
        <f t="shared" si="37"/>
        <v>16725359</v>
      </c>
      <c r="D196" s="32">
        <f t="shared" si="38"/>
        <v>0</v>
      </c>
      <c r="E196" s="33">
        <f>IF(AND(T195="",A196&lt;=S195),IF(A196&lt;入力!$B$11,入力!$B$10,入力!$B$12),0)</f>
        <v>2.5000000000000001E-2</v>
      </c>
      <c r="F196" s="32">
        <f t="shared" si="39"/>
        <v>34844</v>
      </c>
      <c r="G196" s="32">
        <f>ROUND(IF(NOT(AND(T195="",A196&lt;=S195)),0,IF(A196=入力!$B$15+1,IF(E196=0,ROUND(C196/入力!$B$19,0),ROUND(-PMT(E196/12,入力!$B$19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),0)</f>
        <v>116934</v>
      </c>
      <c r="H196" s="32">
        <f t="shared" si="40"/>
        <v>116934</v>
      </c>
      <c r="I196" s="32">
        <f t="shared" si="41"/>
        <v>34844</v>
      </c>
      <c r="J196" s="32">
        <f t="shared" si="42"/>
        <v>0</v>
      </c>
      <c r="K196" s="32">
        <f t="shared" si="43"/>
        <v>0</v>
      </c>
      <c r="L196" s="32">
        <f t="shared" si="44"/>
        <v>82090</v>
      </c>
      <c r="M196" s="32">
        <f>IF(AND(AND(T195="",A196&lt;=S195),A196=入力!$B$15),ROUND(MIN(入力!$B$16,MAX(0,C196-L196)),0),0)</f>
        <v>0</v>
      </c>
      <c r="N196" s="32">
        <f t="shared" si="45"/>
        <v>16643269</v>
      </c>
      <c r="O196" s="32">
        <f t="shared" si="46"/>
        <v>7633243</v>
      </c>
      <c r="P196" s="34" t="str">
        <f>IF(NOT(AND(T195="",A196&lt;=S195)),"",IF(A196=入力!$B$15+1,"繰上返済後再計算","")&amp;IF(AND(入力!$B$13="有効",A196&gt;1,MOD(A196-1,60)=0),IF(A196=入力!$B$15+1,"・","")&amp;"5年見直し","")&amp;IF(AND(A196=入力!$B$11,A196&gt;1),IF(OR(A196=入力!$B$15+1,AND(入力!$B$13="有効",A196&gt;1,MOD(A196-1,60)=0)),"・","")&amp;"金利変更","")&amp;IF(AND(OR(AND(入力!$B$13="有効",A196&gt;1,MOD(A196-1,60)=0),AND(A196=入力!$B$11,A196&gt;1)),入力!$B$14="有効",IF(E196=0,ROUND(C196/MAX(1,S195-A196+1),0),ROUND(-PMT(E196/12,MAX(1,S195-A196+1),C196),0))&gt;ROUND(G195*1.25,0),NOT(A196=入力!$B$15+1)),"・上限適用",""))</f>
        <v/>
      </c>
      <c r="Q196" s="35" t="str">
        <f>IF(AND(T195="",A196&lt;=S195),入力!$B$13,"")</f>
        <v>有効</v>
      </c>
      <c r="R196" s="32" t="str">
        <f>IF(AND(AND(T195="",A196&lt;=S195),OR(AND(入力!$B$13="有効",A196&gt;1,MOD(A196-1,60)=0),AND(A196=入力!$B$11,A196&gt;1)),入力!$B$14="有効"),ROUND(G195*1.25,0),"")</f>
        <v/>
      </c>
      <c r="S196" s="36">
        <f>IF(A196=入力!$B$15,A196+入力!$B$19,S195)</f>
        <v>360</v>
      </c>
      <c r="T196" s="35" t="str">
        <f t="shared" si="47"/>
        <v/>
      </c>
      <c r="U196" s="3">
        <f t="shared" si="32"/>
        <v>0</v>
      </c>
      <c r="V196" s="3">
        <f t="shared" si="33"/>
        <v>0</v>
      </c>
      <c r="W196" s="3">
        <f t="shared" si="34"/>
        <v>0</v>
      </c>
      <c r="X196" s="3">
        <f t="shared" si="35"/>
        <v>0</v>
      </c>
      <c r="Y196" s="3">
        <f>IF(A196&lt;入力!$B$15,ABS(G196-何もしない_月次!G196),0)</f>
        <v>0</v>
      </c>
      <c r="Z196" s="3">
        <f t="shared" si="36"/>
        <v>0</v>
      </c>
      <c r="AA196">
        <f>ROUND(IF(A196=入力!$B$15+1,IF(E196=0,ROUND(C196/入力!$B$19,0),ROUND(-PMT(E196/12,入力!$B$19,C196),0)),IF(OR(AND(入力!$B$13="有効",A196&gt;1,MOD(A196-1,60)=0),AND(A196=入力!$B$11,A196&gt;1)),IF(入力!$B$14="有効",MIN(IF(E196=0,ROUND(C196/MAX(1,S195-A196+1),0),ROUND(-PMT(E196/12,MAX(1,S195-A196+1),C196),0)),ROUND(G195*1.25,0)),IF(E196=0,ROUND(C196/MAX(1,S195-A196+1),0),ROUND(-PMT(E196/12,MAX(1,S195-A196+1),C196),0))),G195)),0)</f>
        <v>116934</v>
      </c>
    </row>
    <row r="197" spans="1:27">
      <c r="A197" s="30">
        <f>192</f>
        <v>192</v>
      </c>
      <c r="B197" s="31">
        <f>EDATE(入力!$B$6,A197-1)</f>
        <v>52048</v>
      </c>
      <c r="C197" s="32">
        <f t="shared" si="37"/>
        <v>16643269</v>
      </c>
      <c r="D197" s="32">
        <f t="shared" si="38"/>
        <v>0</v>
      </c>
      <c r="E197" s="33">
        <f>IF(AND(T196="",A197&lt;=S196),IF(A197&lt;入力!$B$11,入力!$B$10,入力!$B$12),0)</f>
        <v>2.5000000000000001E-2</v>
      </c>
      <c r="F197" s="32">
        <f t="shared" si="39"/>
        <v>34673</v>
      </c>
      <c r="G197" s="32">
        <f>ROUND(IF(NOT(AND(T196="",A197&lt;=S196)),0,IF(A197=入力!$B$15+1,IF(E197=0,ROUND(C197/入力!$B$19,0),ROUND(-PMT(E197/12,入力!$B$19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),0)</f>
        <v>116934</v>
      </c>
      <c r="H197" s="32">
        <f t="shared" si="40"/>
        <v>116934</v>
      </c>
      <c r="I197" s="32">
        <f t="shared" si="41"/>
        <v>34673</v>
      </c>
      <c r="J197" s="32">
        <f t="shared" si="42"/>
        <v>0</v>
      </c>
      <c r="K197" s="32">
        <f t="shared" si="43"/>
        <v>0</v>
      </c>
      <c r="L197" s="32">
        <f t="shared" si="44"/>
        <v>82261</v>
      </c>
      <c r="M197" s="32">
        <f>IF(AND(AND(T196="",A197&lt;=S196),A197=入力!$B$15),ROUND(MIN(入力!$B$16,MAX(0,C197-L197)),0),0)</f>
        <v>0</v>
      </c>
      <c r="N197" s="32">
        <f t="shared" si="45"/>
        <v>16561008</v>
      </c>
      <c r="O197" s="32">
        <f t="shared" si="46"/>
        <v>7667916</v>
      </c>
      <c r="P197" s="34" t="str">
        <f>IF(NOT(AND(T196="",A197&lt;=S196)),"",IF(A197=入力!$B$15+1,"繰上返済後再計算","")&amp;IF(AND(入力!$B$13="有効",A197&gt;1,MOD(A197-1,60)=0),IF(A197=入力!$B$15+1,"・","")&amp;"5年見直し","")&amp;IF(AND(A197=入力!$B$11,A197&gt;1),IF(OR(A197=入力!$B$15+1,AND(入力!$B$13="有効",A197&gt;1,MOD(A197-1,60)=0)),"・","")&amp;"金利変更","")&amp;IF(AND(OR(AND(入力!$B$13="有効",A197&gt;1,MOD(A197-1,60)=0),AND(A197=入力!$B$11,A197&gt;1)),入力!$B$14="有効",IF(E197=0,ROUND(C197/MAX(1,S196-A197+1),0),ROUND(-PMT(E197/12,MAX(1,S196-A197+1),C197),0))&gt;ROUND(G196*1.25,0),NOT(A197=入力!$B$15+1)),"・上限適用",""))</f>
        <v/>
      </c>
      <c r="Q197" s="35" t="str">
        <f>IF(AND(T196="",A197&lt;=S196),入力!$B$13,"")</f>
        <v>有効</v>
      </c>
      <c r="R197" s="32" t="str">
        <f>IF(AND(AND(T196="",A197&lt;=S196),OR(AND(入力!$B$13="有効",A197&gt;1,MOD(A197-1,60)=0),AND(A197=入力!$B$11,A197&gt;1)),入力!$B$14="有効"),ROUND(G196*1.25,0),"")</f>
        <v/>
      </c>
      <c r="S197" s="36">
        <f>IF(A197=入力!$B$15,A197+入力!$B$19,S196)</f>
        <v>360</v>
      </c>
      <c r="T197" s="35" t="str">
        <f t="shared" si="47"/>
        <v/>
      </c>
      <c r="U197" s="3">
        <f t="shared" si="32"/>
        <v>0</v>
      </c>
      <c r="V197" s="3">
        <f t="shared" si="33"/>
        <v>0</v>
      </c>
      <c r="W197" s="3">
        <f t="shared" si="34"/>
        <v>0</v>
      </c>
      <c r="X197" s="3">
        <f t="shared" si="35"/>
        <v>0</v>
      </c>
      <c r="Y197" s="3">
        <f>IF(A197&lt;入力!$B$15,ABS(G197-何もしない_月次!G197),0)</f>
        <v>0</v>
      </c>
      <c r="Z197" s="3">
        <f t="shared" si="36"/>
        <v>0</v>
      </c>
      <c r="AA197">
        <f>ROUND(IF(A197=入力!$B$15+1,IF(E197=0,ROUND(C197/入力!$B$19,0),ROUND(-PMT(E197/12,入力!$B$19,C197),0)),IF(OR(AND(入力!$B$13="有効",A197&gt;1,MOD(A197-1,60)=0),AND(A197=入力!$B$11,A197&gt;1)),IF(入力!$B$14="有効",MIN(IF(E197=0,ROUND(C197/MAX(1,S196-A197+1),0),ROUND(-PMT(E197/12,MAX(1,S196-A197+1),C197),0)),ROUND(G196*1.25,0)),IF(E197=0,ROUND(C197/MAX(1,S196-A197+1),0),ROUND(-PMT(E197/12,MAX(1,S196-A197+1),C197),0))),G196)),0)</f>
        <v>116934</v>
      </c>
    </row>
    <row r="198" spans="1:27">
      <c r="A198" s="30">
        <f>193</f>
        <v>193</v>
      </c>
      <c r="B198" s="31">
        <f>EDATE(入力!$B$6,A198-1)</f>
        <v>52079</v>
      </c>
      <c r="C198" s="32">
        <f t="shared" si="37"/>
        <v>16561008</v>
      </c>
      <c r="D198" s="32">
        <f t="shared" si="38"/>
        <v>0</v>
      </c>
      <c r="E198" s="33">
        <f>IF(AND(T197="",A198&lt;=S197),IF(A198&lt;入力!$B$11,入力!$B$10,入力!$B$12),0)</f>
        <v>2.5000000000000001E-2</v>
      </c>
      <c r="F198" s="32">
        <f t="shared" si="39"/>
        <v>34502</v>
      </c>
      <c r="G198" s="32">
        <f>ROUND(IF(NOT(AND(T197="",A198&lt;=S197)),0,IF(A198=入力!$B$15+1,IF(E198=0,ROUND(C198/入力!$B$19,0),ROUND(-PMT(E198/12,入力!$B$19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),0)</f>
        <v>116934</v>
      </c>
      <c r="H198" s="32">
        <f t="shared" si="40"/>
        <v>116934</v>
      </c>
      <c r="I198" s="32">
        <f t="shared" si="41"/>
        <v>34502</v>
      </c>
      <c r="J198" s="32">
        <f t="shared" si="42"/>
        <v>0</v>
      </c>
      <c r="K198" s="32">
        <f t="shared" si="43"/>
        <v>0</v>
      </c>
      <c r="L198" s="32">
        <f t="shared" si="44"/>
        <v>82432</v>
      </c>
      <c r="M198" s="32">
        <f>IF(AND(AND(T197="",A198&lt;=S197),A198=入力!$B$15),ROUND(MIN(入力!$B$16,MAX(0,C198-L198)),0),0)</f>
        <v>0</v>
      </c>
      <c r="N198" s="32">
        <f t="shared" si="45"/>
        <v>16478576</v>
      </c>
      <c r="O198" s="32">
        <f t="shared" si="46"/>
        <v>7702418</v>
      </c>
      <c r="P198" s="34" t="str">
        <f>IF(NOT(AND(T197="",A198&lt;=S197)),"",IF(A198=入力!$B$15+1,"繰上返済後再計算","")&amp;IF(AND(入力!$B$13="有効",A198&gt;1,MOD(A198-1,60)=0),IF(A198=入力!$B$15+1,"・","")&amp;"5年見直し","")&amp;IF(AND(A198=入力!$B$11,A198&gt;1),IF(OR(A198=入力!$B$15+1,AND(入力!$B$13="有効",A198&gt;1,MOD(A198-1,60)=0)),"・","")&amp;"金利変更","")&amp;IF(AND(OR(AND(入力!$B$13="有効",A198&gt;1,MOD(A198-1,60)=0),AND(A198=入力!$B$11,A198&gt;1)),入力!$B$14="有効",IF(E198=0,ROUND(C198/MAX(1,S197-A198+1),0),ROUND(-PMT(E198/12,MAX(1,S197-A198+1),C198),0))&gt;ROUND(G197*1.25,0),NOT(A198=入力!$B$15+1)),"・上限適用",""))</f>
        <v/>
      </c>
      <c r="Q198" s="35" t="str">
        <f>IF(AND(T197="",A198&lt;=S197),入力!$B$13,"")</f>
        <v>有効</v>
      </c>
      <c r="R198" s="32" t="str">
        <f>IF(AND(AND(T197="",A198&lt;=S197),OR(AND(入力!$B$13="有効",A198&gt;1,MOD(A198-1,60)=0),AND(A198=入力!$B$11,A198&gt;1)),入力!$B$14="有効"),ROUND(G197*1.25,0),"")</f>
        <v/>
      </c>
      <c r="S198" s="36">
        <f>IF(A198=入力!$B$15,A198+入力!$B$19,S197)</f>
        <v>360</v>
      </c>
      <c r="T198" s="35" t="str">
        <f t="shared" si="47"/>
        <v/>
      </c>
      <c r="U198" s="3">
        <f t="shared" ref="U198:U261" si="48">ABS(I198-MIN(H198,D198+F198))</f>
        <v>0</v>
      </c>
      <c r="V198" s="3">
        <f t="shared" ref="V198:V261" si="49">ABS(L198-(H198-I198))</f>
        <v>0</v>
      </c>
      <c r="W198" s="3">
        <f t="shared" ref="W198:W261" si="50">ABS(K198-(D198+J198))</f>
        <v>0</v>
      </c>
      <c r="X198" s="3">
        <f t="shared" ref="X198:X261" si="51">ABS(F198-ROUND(F198,0))+ABS(G198-ROUND(G198,0))+ABS(H198-ROUND(H198,0))+ABS(I198-ROUND(I198,0))+ABS(J198-ROUND(J198,0))+ABS(K198-ROUND(K198,0))+ABS(L198-ROUND(L198,0))+ABS(M198-ROUND(M198,0))+ABS(N198-ROUND(N198,0))+ABS(O198-ROUND(O198,0))</f>
        <v>0</v>
      </c>
      <c r="Y198" s="3">
        <f>IF(A198&lt;入力!$B$15,ABS(G198-何もしない_月次!G198),0)</f>
        <v>0</v>
      </c>
      <c r="Z198" s="3">
        <f t="shared" ref="Z198:Z261" si="52">SUM(--ISERROR(A198),--ISERROR(B198),--ISERROR(C198),--ISERROR(D198),--ISERROR(E198),--ISERROR(F198),--ISERROR(G198),--ISERROR(H198),--ISERROR(I198),--ISERROR(J198),--ISERROR(K198),--ISERROR(L198),--ISERROR(M198),--ISERROR(N198),--ISERROR(O198),--ISERROR(P198),--ISERROR(Q198),--ISERROR(R198),--ISERROR(S198),--ISERROR(T198))</f>
        <v>0</v>
      </c>
      <c r="AA198">
        <f>ROUND(IF(A198=入力!$B$15+1,IF(E198=0,ROUND(C198/入力!$B$19,0),ROUND(-PMT(E198/12,入力!$B$19,C198),0)),IF(OR(AND(入力!$B$13="有効",A198&gt;1,MOD(A198-1,60)=0),AND(A198=入力!$B$11,A198&gt;1)),IF(入力!$B$14="有効",MIN(IF(E198=0,ROUND(C198/MAX(1,S197-A198+1),0),ROUND(-PMT(E198/12,MAX(1,S197-A198+1),C198),0)),ROUND(G197*1.25,0)),IF(E198=0,ROUND(C198/MAX(1,S197-A198+1),0),ROUND(-PMT(E198/12,MAX(1,S197-A198+1),C198),0))),G197)),0)</f>
        <v>116934</v>
      </c>
    </row>
    <row r="199" spans="1:27">
      <c r="A199" s="30">
        <f>194</f>
        <v>194</v>
      </c>
      <c r="B199" s="31">
        <f>EDATE(入力!$B$6,A199-1)</f>
        <v>52110</v>
      </c>
      <c r="C199" s="32">
        <f t="shared" ref="C199:C262" si="53">IF(AND(T198="",A199&lt;=S198),N198,0)</f>
        <v>16478576</v>
      </c>
      <c r="D199" s="32">
        <f t="shared" ref="D199:D262" si="54">IF(AND(T198="",A199&lt;=S198),K198,0)</f>
        <v>0</v>
      </c>
      <c r="E199" s="33">
        <f>IF(AND(T198="",A199&lt;=S198),IF(A199&lt;入力!$B$11,入力!$B$10,入力!$B$12),0)</f>
        <v>2.5000000000000001E-2</v>
      </c>
      <c r="F199" s="32">
        <f t="shared" ref="F199:F262" si="55">IF(AND(T198="",A199&lt;=S198),ROUND(C199*E199/12,0),0)</f>
        <v>34330</v>
      </c>
      <c r="G199" s="32">
        <f>ROUND(IF(NOT(AND(T198="",A199&lt;=S198)),0,IF(A199=入力!$B$15+1,IF(E199=0,ROUND(C199/入力!$B$19,0),ROUND(-PMT(E199/12,入力!$B$19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),0)</f>
        <v>116934</v>
      </c>
      <c r="H199" s="32">
        <f t="shared" ref="H199:H262" si="56">IF(AND(T198="",A199&lt;=S198),ROUND(MIN(G199,C199+D199+F199),0),0)</f>
        <v>116934</v>
      </c>
      <c r="I199" s="32">
        <f t="shared" ref="I199:I262" si="57">IF(AND(T198="",A199&lt;=S198),ROUND(MIN(H199,D199+F199),0),0)</f>
        <v>34330</v>
      </c>
      <c r="J199" s="32">
        <f t="shared" ref="J199:J262" si="58">IF(AND(T198="",A199&lt;=S198),ROUND(F199-I199,0),0)</f>
        <v>0</v>
      </c>
      <c r="K199" s="32">
        <f t="shared" ref="K199:K262" si="59">IF(AND(T198="",A199&lt;=S198),ROUND(D199+J199,0),0)</f>
        <v>0</v>
      </c>
      <c r="L199" s="32">
        <f t="shared" ref="L199:L262" si="60">IF(AND(T198="",A199&lt;=S198),ROUND(H199-I199,0),0)</f>
        <v>82604</v>
      </c>
      <c r="M199" s="32">
        <f>IF(AND(AND(T198="",A199&lt;=S198),A199=入力!$B$15),ROUND(MIN(入力!$B$16,MAX(0,C199-L199)),0),0)</f>
        <v>0</v>
      </c>
      <c r="N199" s="32">
        <f t="shared" ref="N199:N262" si="61">IF(AND(T198="",A199&lt;=S198),ROUND(MAX(0,C199-L199-M199),0),0)</f>
        <v>16395972</v>
      </c>
      <c r="O199" s="32">
        <f t="shared" ref="O199:O262" si="62">IF(AND(T198="",A199&lt;=S198),ROUND(O198+F199,0),O198)</f>
        <v>7736748</v>
      </c>
      <c r="P199" s="34" t="str">
        <f>IF(NOT(AND(T198="",A199&lt;=S198)),"",IF(A199=入力!$B$15+1,"繰上返済後再計算","")&amp;IF(AND(入力!$B$13="有効",A199&gt;1,MOD(A199-1,60)=0),IF(A199=入力!$B$15+1,"・","")&amp;"5年見直し","")&amp;IF(AND(A199=入力!$B$11,A199&gt;1),IF(OR(A199=入力!$B$15+1,AND(入力!$B$13="有効",A199&gt;1,MOD(A199-1,60)=0)),"・","")&amp;"金利変更","")&amp;IF(AND(OR(AND(入力!$B$13="有効",A199&gt;1,MOD(A199-1,60)=0),AND(A199=入力!$B$11,A199&gt;1)),入力!$B$14="有効",IF(E199=0,ROUND(C199/MAX(1,S198-A199+1),0),ROUND(-PMT(E199/12,MAX(1,S198-A199+1),C199),0))&gt;ROUND(G198*1.25,0),NOT(A199=入力!$B$15+1)),"・上限適用",""))</f>
        <v/>
      </c>
      <c r="Q199" s="35" t="str">
        <f>IF(AND(T198="",A199&lt;=S198),入力!$B$13,"")</f>
        <v>有効</v>
      </c>
      <c r="R199" s="32" t="str">
        <f>IF(AND(AND(T198="",A199&lt;=S198),OR(AND(入力!$B$13="有効",A199&gt;1,MOD(A199-1,60)=0),AND(A199=入力!$B$11,A199&gt;1)),入力!$B$14="有効"),ROUND(G198*1.25,0),"")</f>
        <v/>
      </c>
      <c r="S199" s="36">
        <f>IF(A199=入力!$B$15,A199+入力!$B$19,S198)</f>
        <v>360</v>
      </c>
      <c r="T199" s="35" t="str">
        <f t="shared" ref="T199:T262" si="63">IF(NOT(AND(T198="",A199&lt;=S198)),"",IF(AND(N199=0,K199=0),"完済",IF(A199=S199,"最終回清算","")))</f>
        <v/>
      </c>
      <c r="U199" s="3">
        <f t="shared" si="48"/>
        <v>0</v>
      </c>
      <c r="V199" s="3">
        <f t="shared" si="49"/>
        <v>0</v>
      </c>
      <c r="W199" s="3">
        <f t="shared" si="50"/>
        <v>0</v>
      </c>
      <c r="X199" s="3">
        <f t="shared" si="51"/>
        <v>0</v>
      </c>
      <c r="Y199" s="3">
        <f>IF(A199&lt;入力!$B$15,ABS(G199-何もしない_月次!G199),0)</f>
        <v>0</v>
      </c>
      <c r="Z199" s="3">
        <f t="shared" si="52"/>
        <v>0</v>
      </c>
      <c r="AA199">
        <f>ROUND(IF(A199=入力!$B$15+1,IF(E199=0,ROUND(C199/入力!$B$19,0),ROUND(-PMT(E199/12,入力!$B$19,C199),0)),IF(OR(AND(入力!$B$13="有効",A199&gt;1,MOD(A199-1,60)=0),AND(A199=入力!$B$11,A199&gt;1)),IF(入力!$B$14="有効",MIN(IF(E199=0,ROUND(C199/MAX(1,S198-A199+1),0),ROUND(-PMT(E199/12,MAX(1,S198-A199+1),C199),0)),ROUND(G198*1.25,0)),IF(E199=0,ROUND(C199/MAX(1,S198-A199+1),0),ROUND(-PMT(E199/12,MAX(1,S198-A199+1),C199),0))),G198)),0)</f>
        <v>116934</v>
      </c>
    </row>
    <row r="200" spans="1:27">
      <c r="A200" s="30">
        <f>195</f>
        <v>195</v>
      </c>
      <c r="B200" s="31">
        <f>EDATE(入力!$B$6,A200-1)</f>
        <v>52140</v>
      </c>
      <c r="C200" s="32">
        <f t="shared" si="53"/>
        <v>16395972</v>
      </c>
      <c r="D200" s="32">
        <f t="shared" si="54"/>
        <v>0</v>
      </c>
      <c r="E200" s="33">
        <f>IF(AND(T199="",A200&lt;=S199),IF(A200&lt;入力!$B$11,入力!$B$10,入力!$B$12),0)</f>
        <v>2.5000000000000001E-2</v>
      </c>
      <c r="F200" s="32">
        <f t="shared" si="55"/>
        <v>34158</v>
      </c>
      <c r="G200" s="32">
        <f>ROUND(IF(NOT(AND(T199="",A200&lt;=S199)),0,IF(A200=入力!$B$15+1,IF(E200=0,ROUND(C200/入力!$B$19,0),ROUND(-PMT(E200/12,入力!$B$19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),0)</f>
        <v>116934</v>
      </c>
      <c r="H200" s="32">
        <f t="shared" si="56"/>
        <v>116934</v>
      </c>
      <c r="I200" s="32">
        <f t="shared" si="57"/>
        <v>34158</v>
      </c>
      <c r="J200" s="32">
        <f t="shared" si="58"/>
        <v>0</v>
      </c>
      <c r="K200" s="32">
        <f t="shared" si="59"/>
        <v>0</v>
      </c>
      <c r="L200" s="32">
        <f t="shared" si="60"/>
        <v>82776</v>
      </c>
      <c r="M200" s="32">
        <f>IF(AND(AND(T199="",A200&lt;=S199),A200=入力!$B$15),ROUND(MIN(入力!$B$16,MAX(0,C200-L200)),0),0)</f>
        <v>0</v>
      </c>
      <c r="N200" s="32">
        <f t="shared" si="61"/>
        <v>16313196</v>
      </c>
      <c r="O200" s="32">
        <f t="shared" si="62"/>
        <v>7770906</v>
      </c>
      <c r="P200" s="34" t="str">
        <f>IF(NOT(AND(T199="",A200&lt;=S199)),"",IF(A200=入力!$B$15+1,"繰上返済後再計算","")&amp;IF(AND(入力!$B$13="有効",A200&gt;1,MOD(A200-1,60)=0),IF(A200=入力!$B$15+1,"・","")&amp;"5年見直し","")&amp;IF(AND(A200=入力!$B$11,A200&gt;1),IF(OR(A200=入力!$B$15+1,AND(入力!$B$13="有効",A200&gt;1,MOD(A200-1,60)=0)),"・","")&amp;"金利変更","")&amp;IF(AND(OR(AND(入力!$B$13="有効",A200&gt;1,MOD(A200-1,60)=0),AND(A200=入力!$B$11,A200&gt;1)),入力!$B$14="有効",IF(E200=0,ROUND(C200/MAX(1,S199-A200+1),0),ROUND(-PMT(E200/12,MAX(1,S199-A200+1),C200),0))&gt;ROUND(G199*1.25,0),NOT(A200=入力!$B$15+1)),"・上限適用",""))</f>
        <v/>
      </c>
      <c r="Q200" s="35" t="str">
        <f>IF(AND(T199="",A200&lt;=S199),入力!$B$13,"")</f>
        <v>有効</v>
      </c>
      <c r="R200" s="32" t="str">
        <f>IF(AND(AND(T199="",A200&lt;=S199),OR(AND(入力!$B$13="有効",A200&gt;1,MOD(A200-1,60)=0),AND(A200=入力!$B$11,A200&gt;1)),入力!$B$14="有効"),ROUND(G199*1.25,0),"")</f>
        <v/>
      </c>
      <c r="S200" s="36">
        <f>IF(A200=入力!$B$15,A200+入力!$B$19,S199)</f>
        <v>360</v>
      </c>
      <c r="T200" s="35" t="str">
        <f t="shared" si="63"/>
        <v/>
      </c>
      <c r="U200" s="3">
        <f t="shared" si="48"/>
        <v>0</v>
      </c>
      <c r="V200" s="3">
        <f t="shared" si="49"/>
        <v>0</v>
      </c>
      <c r="W200" s="3">
        <f t="shared" si="50"/>
        <v>0</v>
      </c>
      <c r="X200" s="3">
        <f t="shared" si="51"/>
        <v>0</v>
      </c>
      <c r="Y200" s="3">
        <f>IF(A200&lt;入力!$B$15,ABS(G200-何もしない_月次!G200),0)</f>
        <v>0</v>
      </c>
      <c r="Z200" s="3">
        <f t="shared" si="52"/>
        <v>0</v>
      </c>
      <c r="AA200">
        <f>ROUND(IF(A200=入力!$B$15+1,IF(E200=0,ROUND(C200/入力!$B$19,0),ROUND(-PMT(E200/12,入力!$B$19,C200),0)),IF(OR(AND(入力!$B$13="有効",A200&gt;1,MOD(A200-1,60)=0),AND(A200=入力!$B$11,A200&gt;1)),IF(入力!$B$14="有効",MIN(IF(E200=0,ROUND(C200/MAX(1,S199-A200+1),0),ROUND(-PMT(E200/12,MAX(1,S199-A200+1),C200),0)),ROUND(G199*1.25,0)),IF(E200=0,ROUND(C200/MAX(1,S199-A200+1),0),ROUND(-PMT(E200/12,MAX(1,S199-A200+1),C200),0))),G199)),0)</f>
        <v>116934</v>
      </c>
    </row>
    <row r="201" spans="1:27">
      <c r="A201" s="30">
        <f>196</f>
        <v>196</v>
      </c>
      <c r="B201" s="31">
        <f>EDATE(入力!$B$6,A201-1)</f>
        <v>52171</v>
      </c>
      <c r="C201" s="32">
        <f t="shared" si="53"/>
        <v>16313196</v>
      </c>
      <c r="D201" s="32">
        <f t="shared" si="54"/>
        <v>0</v>
      </c>
      <c r="E201" s="33">
        <f>IF(AND(T200="",A201&lt;=S200),IF(A201&lt;入力!$B$11,入力!$B$10,入力!$B$12),0)</f>
        <v>2.5000000000000001E-2</v>
      </c>
      <c r="F201" s="32">
        <f t="shared" si="55"/>
        <v>33986</v>
      </c>
      <c r="G201" s="32">
        <f>ROUND(IF(NOT(AND(T200="",A201&lt;=S200)),0,IF(A201=入力!$B$15+1,IF(E201=0,ROUND(C201/入力!$B$19,0),ROUND(-PMT(E201/12,入力!$B$19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),0)</f>
        <v>116934</v>
      </c>
      <c r="H201" s="32">
        <f t="shared" si="56"/>
        <v>116934</v>
      </c>
      <c r="I201" s="32">
        <f t="shared" si="57"/>
        <v>33986</v>
      </c>
      <c r="J201" s="32">
        <f t="shared" si="58"/>
        <v>0</v>
      </c>
      <c r="K201" s="32">
        <f t="shared" si="59"/>
        <v>0</v>
      </c>
      <c r="L201" s="32">
        <f t="shared" si="60"/>
        <v>82948</v>
      </c>
      <c r="M201" s="32">
        <f>IF(AND(AND(T200="",A201&lt;=S200),A201=入力!$B$15),ROUND(MIN(入力!$B$16,MAX(0,C201-L201)),0),0)</f>
        <v>0</v>
      </c>
      <c r="N201" s="32">
        <f t="shared" si="61"/>
        <v>16230248</v>
      </c>
      <c r="O201" s="32">
        <f t="shared" si="62"/>
        <v>7804892</v>
      </c>
      <c r="P201" s="34" t="str">
        <f>IF(NOT(AND(T200="",A201&lt;=S200)),"",IF(A201=入力!$B$15+1,"繰上返済後再計算","")&amp;IF(AND(入力!$B$13="有効",A201&gt;1,MOD(A201-1,60)=0),IF(A201=入力!$B$15+1,"・","")&amp;"5年見直し","")&amp;IF(AND(A201=入力!$B$11,A201&gt;1),IF(OR(A201=入力!$B$15+1,AND(入力!$B$13="有効",A201&gt;1,MOD(A201-1,60)=0)),"・","")&amp;"金利変更","")&amp;IF(AND(OR(AND(入力!$B$13="有効",A201&gt;1,MOD(A201-1,60)=0),AND(A201=入力!$B$11,A201&gt;1)),入力!$B$14="有効",IF(E201=0,ROUND(C201/MAX(1,S200-A201+1),0),ROUND(-PMT(E201/12,MAX(1,S200-A201+1),C201),0))&gt;ROUND(G200*1.25,0),NOT(A201=入力!$B$15+1)),"・上限適用",""))</f>
        <v/>
      </c>
      <c r="Q201" s="35" t="str">
        <f>IF(AND(T200="",A201&lt;=S200),入力!$B$13,"")</f>
        <v>有効</v>
      </c>
      <c r="R201" s="32" t="str">
        <f>IF(AND(AND(T200="",A201&lt;=S200),OR(AND(入力!$B$13="有効",A201&gt;1,MOD(A201-1,60)=0),AND(A201=入力!$B$11,A201&gt;1)),入力!$B$14="有効"),ROUND(G200*1.25,0),"")</f>
        <v/>
      </c>
      <c r="S201" s="36">
        <f>IF(A201=入力!$B$15,A201+入力!$B$19,S200)</f>
        <v>360</v>
      </c>
      <c r="T201" s="35" t="str">
        <f t="shared" si="63"/>
        <v/>
      </c>
      <c r="U201" s="3">
        <f t="shared" si="48"/>
        <v>0</v>
      </c>
      <c r="V201" s="3">
        <f t="shared" si="49"/>
        <v>0</v>
      </c>
      <c r="W201" s="3">
        <f t="shared" si="50"/>
        <v>0</v>
      </c>
      <c r="X201" s="3">
        <f t="shared" si="51"/>
        <v>0</v>
      </c>
      <c r="Y201" s="3">
        <f>IF(A201&lt;入力!$B$15,ABS(G201-何もしない_月次!G201),0)</f>
        <v>0</v>
      </c>
      <c r="Z201" s="3">
        <f t="shared" si="52"/>
        <v>0</v>
      </c>
      <c r="AA201">
        <f>ROUND(IF(A201=入力!$B$15+1,IF(E201=0,ROUND(C201/入力!$B$19,0),ROUND(-PMT(E201/12,入力!$B$19,C201),0)),IF(OR(AND(入力!$B$13="有効",A201&gt;1,MOD(A201-1,60)=0),AND(A201=入力!$B$11,A201&gt;1)),IF(入力!$B$14="有効",MIN(IF(E201=0,ROUND(C201/MAX(1,S200-A201+1),0),ROUND(-PMT(E201/12,MAX(1,S200-A201+1),C201),0)),ROUND(G200*1.25,0)),IF(E201=0,ROUND(C201/MAX(1,S200-A201+1),0),ROUND(-PMT(E201/12,MAX(1,S200-A201+1),C201),0))),G200)),0)</f>
        <v>116934</v>
      </c>
    </row>
    <row r="202" spans="1:27">
      <c r="A202" s="30">
        <f>197</f>
        <v>197</v>
      </c>
      <c r="B202" s="31">
        <f>EDATE(入力!$B$6,A202-1)</f>
        <v>52201</v>
      </c>
      <c r="C202" s="32">
        <f t="shared" si="53"/>
        <v>16230248</v>
      </c>
      <c r="D202" s="32">
        <f t="shared" si="54"/>
        <v>0</v>
      </c>
      <c r="E202" s="33">
        <f>IF(AND(T201="",A202&lt;=S201),IF(A202&lt;入力!$B$11,入力!$B$10,入力!$B$12),0)</f>
        <v>2.5000000000000001E-2</v>
      </c>
      <c r="F202" s="32">
        <f t="shared" si="55"/>
        <v>33813</v>
      </c>
      <c r="G202" s="32">
        <f>ROUND(IF(NOT(AND(T201="",A202&lt;=S201)),0,IF(A202=入力!$B$15+1,IF(E202=0,ROUND(C202/入力!$B$19,0),ROUND(-PMT(E202/12,入力!$B$19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),0)</f>
        <v>116934</v>
      </c>
      <c r="H202" s="32">
        <f t="shared" si="56"/>
        <v>116934</v>
      </c>
      <c r="I202" s="32">
        <f t="shared" si="57"/>
        <v>33813</v>
      </c>
      <c r="J202" s="32">
        <f t="shared" si="58"/>
        <v>0</v>
      </c>
      <c r="K202" s="32">
        <f t="shared" si="59"/>
        <v>0</v>
      </c>
      <c r="L202" s="32">
        <f t="shared" si="60"/>
        <v>83121</v>
      </c>
      <c r="M202" s="32">
        <f>IF(AND(AND(T201="",A202&lt;=S201),A202=入力!$B$15),ROUND(MIN(入力!$B$16,MAX(0,C202-L202)),0),0)</f>
        <v>0</v>
      </c>
      <c r="N202" s="32">
        <f t="shared" si="61"/>
        <v>16147127</v>
      </c>
      <c r="O202" s="32">
        <f t="shared" si="62"/>
        <v>7838705</v>
      </c>
      <c r="P202" s="34" t="str">
        <f>IF(NOT(AND(T201="",A202&lt;=S201)),"",IF(A202=入力!$B$15+1,"繰上返済後再計算","")&amp;IF(AND(入力!$B$13="有効",A202&gt;1,MOD(A202-1,60)=0),IF(A202=入力!$B$15+1,"・","")&amp;"5年見直し","")&amp;IF(AND(A202=入力!$B$11,A202&gt;1),IF(OR(A202=入力!$B$15+1,AND(入力!$B$13="有効",A202&gt;1,MOD(A202-1,60)=0)),"・","")&amp;"金利変更","")&amp;IF(AND(OR(AND(入力!$B$13="有効",A202&gt;1,MOD(A202-1,60)=0),AND(A202=入力!$B$11,A202&gt;1)),入力!$B$14="有効",IF(E202=0,ROUND(C202/MAX(1,S201-A202+1),0),ROUND(-PMT(E202/12,MAX(1,S201-A202+1),C202),0))&gt;ROUND(G201*1.25,0),NOT(A202=入力!$B$15+1)),"・上限適用",""))</f>
        <v/>
      </c>
      <c r="Q202" s="35" t="str">
        <f>IF(AND(T201="",A202&lt;=S201),入力!$B$13,"")</f>
        <v>有効</v>
      </c>
      <c r="R202" s="32" t="str">
        <f>IF(AND(AND(T201="",A202&lt;=S201),OR(AND(入力!$B$13="有効",A202&gt;1,MOD(A202-1,60)=0),AND(A202=入力!$B$11,A202&gt;1)),入力!$B$14="有効"),ROUND(G201*1.25,0),"")</f>
        <v/>
      </c>
      <c r="S202" s="36">
        <f>IF(A202=入力!$B$15,A202+入力!$B$19,S201)</f>
        <v>360</v>
      </c>
      <c r="T202" s="35" t="str">
        <f t="shared" si="63"/>
        <v/>
      </c>
      <c r="U202" s="3">
        <f t="shared" si="48"/>
        <v>0</v>
      </c>
      <c r="V202" s="3">
        <f t="shared" si="49"/>
        <v>0</v>
      </c>
      <c r="W202" s="3">
        <f t="shared" si="50"/>
        <v>0</v>
      </c>
      <c r="X202" s="3">
        <f t="shared" si="51"/>
        <v>0</v>
      </c>
      <c r="Y202" s="3">
        <f>IF(A202&lt;入力!$B$15,ABS(G202-何もしない_月次!G202),0)</f>
        <v>0</v>
      </c>
      <c r="Z202" s="3">
        <f t="shared" si="52"/>
        <v>0</v>
      </c>
      <c r="AA202">
        <f>ROUND(IF(A202=入力!$B$15+1,IF(E202=0,ROUND(C202/入力!$B$19,0),ROUND(-PMT(E202/12,入力!$B$19,C202),0)),IF(OR(AND(入力!$B$13="有効",A202&gt;1,MOD(A202-1,60)=0),AND(A202=入力!$B$11,A202&gt;1)),IF(入力!$B$14="有効",MIN(IF(E202=0,ROUND(C202/MAX(1,S201-A202+1),0),ROUND(-PMT(E202/12,MAX(1,S201-A202+1),C202),0)),ROUND(G201*1.25,0)),IF(E202=0,ROUND(C202/MAX(1,S201-A202+1),0),ROUND(-PMT(E202/12,MAX(1,S201-A202+1),C202),0))),G201)),0)</f>
        <v>116934</v>
      </c>
    </row>
    <row r="203" spans="1:27">
      <c r="A203" s="30">
        <f>198</f>
        <v>198</v>
      </c>
      <c r="B203" s="31">
        <f>EDATE(入力!$B$6,A203-1)</f>
        <v>52232</v>
      </c>
      <c r="C203" s="32">
        <f t="shared" si="53"/>
        <v>16147127</v>
      </c>
      <c r="D203" s="32">
        <f t="shared" si="54"/>
        <v>0</v>
      </c>
      <c r="E203" s="33">
        <f>IF(AND(T202="",A203&lt;=S202),IF(A203&lt;入力!$B$11,入力!$B$10,入力!$B$12),0)</f>
        <v>2.5000000000000001E-2</v>
      </c>
      <c r="F203" s="32">
        <f t="shared" si="55"/>
        <v>33640</v>
      </c>
      <c r="G203" s="32">
        <f>ROUND(IF(NOT(AND(T202="",A203&lt;=S202)),0,IF(A203=入力!$B$15+1,IF(E203=0,ROUND(C203/入力!$B$19,0),ROUND(-PMT(E203/12,入力!$B$19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),0)</f>
        <v>116934</v>
      </c>
      <c r="H203" s="32">
        <f t="shared" si="56"/>
        <v>116934</v>
      </c>
      <c r="I203" s="32">
        <f t="shared" si="57"/>
        <v>33640</v>
      </c>
      <c r="J203" s="32">
        <f t="shared" si="58"/>
        <v>0</v>
      </c>
      <c r="K203" s="32">
        <f t="shared" si="59"/>
        <v>0</v>
      </c>
      <c r="L203" s="32">
        <f t="shared" si="60"/>
        <v>83294</v>
      </c>
      <c r="M203" s="32">
        <f>IF(AND(AND(T202="",A203&lt;=S202),A203=入力!$B$15),ROUND(MIN(入力!$B$16,MAX(0,C203-L203)),0),0)</f>
        <v>0</v>
      </c>
      <c r="N203" s="32">
        <f t="shared" si="61"/>
        <v>16063833</v>
      </c>
      <c r="O203" s="32">
        <f t="shared" si="62"/>
        <v>7872345</v>
      </c>
      <c r="P203" s="34" t="str">
        <f>IF(NOT(AND(T202="",A203&lt;=S202)),"",IF(A203=入力!$B$15+1,"繰上返済後再計算","")&amp;IF(AND(入力!$B$13="有効",A203&gt;1,MOD(A203-1,60)=0),IF(A203=入力!$B$15+1,"・","")&amp;"5年見直し","")&amp;IF(AND(A203=入力!$B$11,A203&gt;1),IF(OR(A203=入力!$B$15+1,AND(入力!$B$13="有効",A203&gt;1,MOD(A203-1,60)=0)),"・","")&amp;"金利変更","")&amp;IF(AND(OR(AND(入力!$B$13="有効",A203&gt;1,MOD(A203-1,60)=0),AND(A203=入力!$B$11,A203&gt;1)),入力!$B$14="有効",IF(E203=0,ROUND(C203/MAX(1,S202-A203+1),0),ROUND(-PMT(E203/12,MAX(1,S202-A203+1),C203),0))&gt;ROUND(G202*1.25,0),NOT(A203=入力!$B$15+1)),"・上限適用",""))</f>
        <v/>
      </c>
      <c r="Q203" s="35" t="str">
        <f>IF(AND(T202="",A203&lt;=S202),入力!$B$13,"")</f>
        <v>有効</v>
      </c>
      <c r="R203" s="32" t="str">
        <f>IF(AND(AND(T202="",A203&lt;=S202),OR(AND(入力!$B$13="有効",A203&gt;1,MOD(A203-1,60)=0),AND(A203=入力!$B$11,A203&gt;1)),入力!$B$14="有効"),ROUND(G202*1.25,0),"")</f>
        <v/>
      </c>
      <c r="S203" s="36">
        <f>IF(A203=入力!$B$15,A203+入力!$B$19,S202)</f>
        <v>360</v>
      </c>
      <c r="T203" s="35" t="str">
        <f t="shared" si="63"/>
        <v/>
      </c>
      <c r="U203" s="3">
        <f t="shared" si="48"/>
        <v>0</v>
      </c>
      <c r="V203" s="3">
        <f t="shared" si="49"/>
        <v>0</v>
      </c>
      <c r="W203" s="3">
        <f t="shared" si="50"/>
        <v>0</v>
      </c>
      <c r="X203" s="3">
        <f t="shared" si="51"/>
        <v>0</v>
      </c>
      <c r="Y203" s="3">
        <f>IF(A203&lt;入力!$B$15,ABS(G203-何もしない_月次!G203),0)</f>
        <v>0</v>
      </c>
      <c r="Z203" s="3">
        <f t="shared" si="52"/>
        <v>0</v>
      </c>
      <c r="AA203">
        <f>ROUND(IF(A203=入力!$B$15+1,IF(E203=0,ROUND(C203/入力!$B$19,0),ROUND(-PMT(E203/12,入力!$B$19,C203),0)),IF(OR(AND(入力!$B$13="有効",A203&gt;1,MOD(A203-1,60)=0),AND(A203=入力!$B$11,A203&gt;1)),IF(入力!$B$14="有効",MIN(IF(E203=0,ROUND(C203/MAX(1,S202-A203+1),0),ROUND(-PMT(E203/12,MAX(1,S202-A203+1),C203),0)),ROUND(G202*1.25,0)),IF(E203=0,ROUND(C203/MAX(1,S202-A203+1),0),ROUND(-PMT(E203/12,MAX(1,S202-A203+1),C203),0))),G202)),0)</f>
        <v>116934</v>
      </c>
    </row>
    <row r="204" spans="1:27">
      <c r="A204" s="30">
        <f>199</f>
        <v>199</v>
      </c>
      <c r="B204" s="31">
        <f>EDATE(入力!$B$6,A204-1)</f>
        <v>52263</v>
      </c>
      <c r="C204" s="32">
        <f t="shared" si="53"/>
        <v>16063833</v>
      </c>
      <c r="D204" s="32">
        <f t="shared" si="54"/>
        <v>0</v>
      </c>
      <c r="E204" s="33">
        <f>IF(AND(T203="",A204&lt;=S203),IF(A204&lt;入力!$B$11,入力!$B$10,入力!$B$12),0)</f>
        <v>2.5000000000000001E-2</v>
      </c>
      <c r="F204" s="32">
        <f t="shared" si="55"/>
        <v>33466</v>
      </c>
      <c r="G204" s="32">
        <f>ROUND(IF(NOT(AND(T203="",A204&lt;=S203)),0,IF(A204=入力!$B$15+1,IF(E204=0,ROUND(C204/入力!$B$19,0),ROUND(-PMT(E204/12,入力!$B$19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),0)</f>
        <v>116934</v>
      </c>
      <c r="H204" s="32">
        <f t="shared" si="56"/>
        <v>116934</v>
      </c>
      <c r="I204" s="32">
        <f t="shared" si="57"/>
        <v>33466</v>
      </c>
      <c r="J204" s="32">
        <f t="shared" si="58"/>
        <v>0</v>
      </c>
      <c r="K204" s="32">
        <f t="shared" si="59"/>
        <v>0</v>
      </c>
      <c r="L204" s="32">
        <f t="shared" si="60"/>
        <v>83468</v>
      </c>
      <c r="M204" s="32">
        <f>IF(AND(AND(T203="",A204&lt;=S203),A204=入力!$B$15),ROUND(MIN(入力!$B$16,MAX(0,C204-L204)),0),0)</f>
        <v>0</v>
      </c>
      <c r="N204" s="32">
        <f t="shared" si="61"/>
        <v>15980365</v>
      </c>
      <c r="O204" s="32">
        <f t="shared" si="62"/>
        <v>7905811</v>
      </c>
      <c r="P204" s="34" t="str">
        <f>IF(NOT(AND(T203="",A204&lt;=S203)),"",IF(A204=入力!$B$15+1,"繰上返済後再計算","")&amp;IF(AND(入力!$B$13="有効",A204&gt;1,MOD(A204-1,60)=0),IF(A204=入力!$B$15+1,"・","")&amp;"5年見直し","")&amp;IF(AND(A204=入力!$B$11,A204&gt;1),IF(OR(A204=入力!$B$15+1,AND(入力!$B$13="有効",A204&gt;1,MOD(A204-1,60)=0)),"・","")&amp;"金利変更","")&amp;IF(AND(OR(AND(入力!$B$13="有効",A204&gt;1,MOD(A204-1,60)=0),AND(A204=入力!$B$11,A204&gt;1)),入力!$B$14="有効",IF(E204=0,ROUND(C204/MAX(1,S203-A204+1),0),ROUND(-PMT(E204/12,MAX(1,S203-A204+1),C204),0))&gt;ROUND(G203*1.25,0),NOT(A204=入力!$B$15+1)),"・上限適用",""))</f>
        <v/>
      </c>
      <c r="Q204" s="35" t="str">
        <f>IF(AND(T203="",A204&lt;=S203),入力!$B$13,"")</f>
        <v>有効</v>
      </c>
      <c r="R204" s="32" t="str">
        <f>IF(AND(AND(T203="",A204&lt;=S203),OR(AND(入力!$B$13="有効",A204&gt;1,MOD(A204-1,60)=0),AND(A204=入力!$B$11,A204&gt;1)),入力!$B$14="有効"),ROUND(G203*1.25,0),"")</f>
        <v/>
      </c>
      <c r="S204" s="36">
        <f>IF(A204=入力!$B$15,A204+入力!$B$19,S203)</f>
        <v>360</v>
      </c>
      <c r="T204" s="35" t="str">
        <f t="shared" si="63"/>
        <v/>
      </c>
      <c r="U204" s="3">
        <f t="shared" si="48"/>
        <v>0</v>
      </c>
      <c r="V204" s="3">
        <f t="shared" si="49"/>
        <v>0</v>
      </c>
      <c r="W204" s="3">
        <f t="shared" si="50"/>
        <v>0</v>
      </c>
      <c r="X204" s="3">
        <f t="shared" si="51"/>
        <v>0</v>
      </c>
      <c r="Y204" s="3">
        <f>IF(A204&lt;入力!$B$15,ABS(G204-何もしない_月次!G204),0)</f>
        <v>0</v>
      </c>
      <c r="Z204" s="3">
        <f t="shared" si="52"/>
        <v>0</v>
      </c>
      <c r="AA204">
        <f>ROUND(IF(A204=入力!$B$15+1,IF(E204=0,ROUND(C204/入力!$B$19,0),ROUND(-PMT(E204/12,入力!$B$19,C204),0)),IF(OR(AND(入力!$B$13="有効",A204&gt;1,MOD(A204-1,60)=0),AND(A204=入力!$B$11,A204&gt;1)),IF(入力!$B$14="有効",MIN(IF(E204=0,ROUND(C204/MAX(1,S203-A204+1),0),ROUND(-PMT(E204/12,MAX(1,S203-A204+1),C204),0)),ROUND(G203*1.25,0)),IF(E204=0,ROUND(C204/MAX(1,S203-A204+1),0),ROUND(-PMT(E204/12,MAX(1,S203-A204+1),C204),0))),G203)),0)</f>
        <v>116934</v>
      </c>
    </row>
    <row r="205" spans="1:27">
      <c r="A205" s="30">
        <f>200</f>
        <v>200</v>
      </c>
      <c r="B205" s="31">
        <f>EDATE(入力!$B$6,A205-1)</f>
        <v>52291</v>
      </c>
      <c r="C205" s="32">
        <f t="shared" si="53"/>
        <v>15980365</v>
      </c>
      <c r="D205" s="32">
        <f t="shared" si="54"/>
        <v>0</v>
      </c>
      <c r="E205" s="33">
        <f>IF(AND(T204="",A205&lt;=S204),IF(A205&lt;入力!$B$11,入力!$B$10,入力!$B$12),0)</f>
        <v>2.5000000000000001E-2</v>
      </c>
      <c r="F205" s="32">
        <f t="shared" si="55"/>
        <v>33292</v>
      </c>
      <c r="G205" s="32">
        <f>ROUND(IF(NOT(AND(T204="",A205&lt;=S204)),0,IF(A205=入力!$B$15+1,IF(E205=0,ROUND(C205/入力!$B$19,0),ROUND(-PMT(E205/12,入力!$B$19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),0)</f>
        <v>116934</v>
      </c>
      <c r="H205" s="32">
        <f t="shared" si="56"/>
        <v>116934</v>
      </c>
      <c r="I205" s="32">
        <f t="shared" si="57"/>
        <v>33292</v>
      </c>
      <c r="J205" s="32">
        <f t="shared" si="58"/>
        <v>0</v>
      </c>
      <c r="K205" s="32">
        <f t="shared" si="59"/>
        <v>0</v>
      </c>
      <c r="L205" s="32">
        <f t="shared" si="60"/>
        <v>83642</v>
      </c>
      <c r="M205" s="32">
        <f>IF(AND(AND(T204="",A205&lt;=S204),A205=入力!$B$15),ROUND(MIN(入力!$B$16,MAX(0,C205-L205)),0),0)</f>
        <v>0</v>
      </c>
      <c r="N205" s="32">
        <f t="shared" si="61"/>
        <v>15896723</v>
      </c>
      <c r="O205" s="32">
        <f t="shared" si="62"/>
        <v>7939103</v>
      </c>
      <c r="P205" s="34" t="str">
        <f>IF(NOT(AND(T204="",A205&lt;=S204)),"",IF(A205=入力!$B$15+1,"繰上返済後再計算","")&amp;IF(AND(入力!$B$13="有効",A205&gt;1,MOD(A205-1,60)=0),IF(A205=入力!$B$15+1,"・","")&amp;"5年見直し","")&amp;IF(AND(A205=入力!$B$11,A205&gt;1),IF(OR(A205=入力!$B$15+1,AND(入力!$B$13="有効",A205&gt;1,MOD(A205-1,60)=0)),"・","")&amp;"金利変更","")&amp;IF(AND(OR(AND(入力!$B$13="有効",A205&gt;1,MOD(A205-1,60)=0),AND(A205=入力!$B$11,A205&gt;1)),入力!$B$14="有効",IF(E205=0,ROUND(C205/MAX(1,S204-A205+1),0),ROUND(-PMT(E205/12,MAX(1,S204-A205+1),C205),0))&gt;ROUND(G204*1.25,0),NOT(A205=入力!$B$15+1)),"・上限適用",""))</f>
        <v/>
      </c>
      <c r="Q205" s="35" t="str">
        <f>IF(AND(T204="",A205&lt;=S204),入力!$B$13,"")</f>
        <v>有効</v>
      </c>
      <c r="R205" s="32" t="str">
        <f>IF(AND(AND(T204="",A205&lt;=S204),OR(AND(入力!$B$13="有効",A205&gt;1,MOD(A205-1,60)=0),AND(A205=入力!$B$11,A205&gt;1)),入力!$B$14="有効"),ROUND(G204*1.25,0),"")</f>
        <v/>
      </c>
      <c r="S205" s="36">
        <f>IF(A205=入力!$B$15,A205+入力!$B$19,S204)</f>
        <v>360</v>
      </c>
      <c r="T205" s="35" t="str">
        <f t="shared" si="63"/>
        <v/>
      </c>
      <c r="U205" s="3">
        <f t="shared" si="48"/>
        <v>0</v>
      </c>
      <c r="V205" s="3">
        <f t="shared" si="49"/>
        <v>0</v>
      </c>
      <c r="W205" s="3">
        <f t="shared" si="50"/>
        <v>0</v>
      </c>
      <c r="X205" s="3">
        <f t="shared" si="51"/>
        <v>0</v>
      </c>
      <c r="Y205" s="3">
        <f>IF(A205&lt;入力!$B$15,ABS(G205-何もしない_月次!G205),0)</f>
        <v>0</v>
      </c>
      <c r="Z205" s="3">
        <f t="shared" si="52"/>
        <v>0</v>
      </c>
      <c r="AA205">
        <f>ROUND(IF(A205=入力!$B$15+1,IF(E205=0,ROUND(C205/入力!$B$19,0),ROUND(-PMT(E205/12,入力!$B$19,C205),0)),IF(OR(AND(入力!$B$13="有効",A205&gt;1,MOD(A205-1,60)=0),AND(A205=入力!$B$11,A205&gt;1)),IF(入力!$B$14="有効",MIN(IF(E205=0,ROUND(C205/MAX(1,S204-A205+1),0),ROUND(-PMT(E205/12,MAX(1,S204-A205+1),C205),0)),ROUND(G204*1.25,0)),IF(E205=0,ROUND(C205/MAX(1,S204-A205+1),0),ROUND(-PMT(E205/12,MAX(1,S204-A205+1),C205),0))),G204)),0)</f>
        <v>116934</v>
      </c>
    </row>
    <row r="206" spans="1:27">
      <c r="A206" s="30">
        <f>201</f>
        <v>201</v>
      </c>
      <c r="B206" s="31">
        <f>EDATE(入力!$B$6,A206-1)</f>
        <v>52322</v>
      </c>
      <c r="C206" s="32">
        <f t="shared" si="53"/>
        <v>15896723</v>
      </c>
      <c r="D206" s="32">
        <f t="shared" si="54"/>
        <v>0</v>
      </c>
      <c r="E206" s="33">
        <f>IF(AND(T205="",A206&lt;=S205),IF(A206&lt;入力!$B$11,入力!$B$10,入力!$B$12),0)</f>
        <v>2.5000000000000001E-2</v>
      </c>
      <c r="F206" s="32">
        <f t="shared" si="55"/>
        <v>33118</v>
      </c>
      <c r="G206" s="32">
        <f>ROUND(IF(NOT(AND(T205="",A206&lt;=S205)),0,IF(A206=入力!$B$15+1,IF(E206=0,ROUND(C206/入力!$B$19,0),ROUND(-PMT(E206/12,入力!$B$19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),0)</f>
        <v>116934</v>
      </c>
      <c r="H206" s="32">
        <f t="shared" si="56"/>
        <v>116934</v>
      </c>
      <c r="I206" s="32">
        <f t="shared" si="57"/>
        <v>33118</v>
      </c>
      <c r="J206" s="32">
        <f t="shared" si="58"/>
        <v>0</v>
      </c>
      <c r="K206" s="32">
        <f t="shared" si="59"/>
        <v>0</v>
      </c>
      <c r="L206" s="32">
        <f t="shared" si="60"/>
        <v>83816</v>
      </c>
      <c r="M206" s="32">
        <f>IF(AND(AND(T205="",A206&lt;=S205),A206=入力!$B$15),ROUND(MIN(入力!$B$16,MAX(0,C206-L206)),0),0)</f>
        <v>0</v>
      </c>
      <c r="N206" s="32">
        <f t="shared" si="61"/>
        <v>15812907</v>
      </c>
      <c r="O206" s="32">
        <f t="shared" si="62"/>
        <v>7972221</v>
      </c>
      <c r="P206" s="34" t="str">
        <f>IF(NOT(AND(T205="",A206&lt;=S205)),"",IF(A206=入力!$B$15+1,"繰上返済後再計算","")&amp;IF(AND(入力!$B$13="有効",A206&gt;1,MOD(A206-1,60)=0),IF(A206=入力!$B$15+1,"・","")&amp;"5年見直し","")&amp;IF(AND(A206=入力!$B$11,A206&gt;1),IF(OR(A206=入力!$B$15+1,AND(入力!$B$13="有効",A206&gt;1,MOD(A206-1,60)=0)),"・","")&amp;"金利変更","")&amp;IF(AND(OR(AND(入力!$B$13="有効",A206&gt;1,MOD(A206-1,60)=0),AND(A206=入力!$B$11,A206&gt;1)),入力!$B$14="有効",IF(E206=0,ROUND(C206/MAX(1,S205-A206+1),0),ROUND(-PMT(E206/12,MAX(1,S205-A206+1),C206),0))&gt;ROUND(G205*1.25,0),NOT(A206=入力!$B$15+1)),"・上限適用",""))</f>
        <v/>
      </c>
      <c r="Q206" s="35" t="str">
        <f>IF(AND(T205="",A206&lt;=S205),入力!$B$13,"")</f>
        <v>有効</v>
      </c>
      <c r="R206" s="32" t="str">
        <f>IF(AND(AND(T205="",A206&lt;=S205),OR(AND(入力!$B$13="有効",A206&gt;1,MOD(A206-1,60)=0),AND(A206=入力!$B$11,A206&gt;1)),入力!$B$14="有効"),ROUND(G205*1.25,0),"")</f>
        <v/>
      </c>
      <c r="S206" s="36">
        <f>IF(A206=入力!$B$15,A206+入力!$B$19,S205)</f>
        <v>360</v>
      </c>
      <c r="T206" s="35" t="str">
        <f t="shared" si="63"/>
        <v/>
      </c>
      <c r="U206" s="3">
        <f t="shared" si="48"/>
        <v>0</v>
      </c>
      <c r="V206" s="3">
        <f t="shared" si="49"/>
        <v>0</v>
      </c>
      <c r="W206" s="3">
        <f t="shared" si="50"/>
        <v>0</v>
      </c>
      <c r="X206" s="3">
        <f t="shared" si="51"/>
        <v>0</v>
      </c>
      <c r="Y206" s="3">
        <f>IF(A206&lt;入力!$B$15,ABS(G206-何もしない_月次!G206),0)</f>
        <v>0</v>
      </c>
      <c r="Z206" s="3">
        <f t="shared" si="52"/>
        <v>0</v>
      </c>
      <c r="AA206">
        <f>ROUND(IF(A206=入力!$B$15+1,IF(E206=0,ROUND(C206/入力!$B$19,0),ROUND(-PMT(E206/12,入力!$B$19,C206),0)),IF(OR(AND(入力!$B$13="有効",A206&gt;1,MOD(A206-1,60)=0),AND(A206=入力!$B$11,A206&gt;1)),IF(入力!$B$14="有効",MIN(IF(E206=0,ROUND(C206/MAX(1,S205-A206+1),0),ROUND(-PMT(E206/12,MAX(1,S205-A206+1),C206),0)),ROUND(G205*1.25,0)),IF(E206=0,ROUND(C206/MAX(1,S205-A206+1),0),ROUND(-PMT(E206/12,MAX(1,S205-A206+1),C206),0))),G205)),0)</f>
        <v>116934</v>
      </c>
    </row>
    <row r="207" spans="1:27">
      <c r="A207" s="30">
        <f>202</f>
        <v>202</v>
      </c>
      <c r="B207" s="31">
        <f>EDATE(入力!$B$6,A207-1)</f>
        <v>52352</v>
      </c>
      <c r="C207" s="32">
        <f t="shared" si="53"/>
        <v>15812907</v>
      </c>
      <c r="D207" s="32">
        <f t="shared" si="54"/>
        <v>0</v>
      </c>
      <c r="E207" s="33">
        <f>IF(AND(T206="",A207&lt;=S206),IF(A207&lt;入力!$B$11,入力!$B$10,入力!$B$12),0)</f>
        <v>2.5000000000000001E-2</v>
      </c>
      <c r="F207" s="32">
        <f t="shared" si="55"/>
        <v>32944</v>
      </c>
      <c r="G207" s="32">
        <f>ROUND(IF(NOT(AND(T206="",A207&lt;=S206)),0,IF(A207=入力!$B$15+1,IF(E207=0,ROUND(C207/入力!$B$19,0),ROUND(-PMT(E207/12,入力!$B$19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),0)</f>
        <v>116934</v>
      </c>
      <c r="H207" s="32">
        <f t="shared" si="56"/>
        <v>116934</v>
      </c>
      <c r="I207" s="32">
        <f t="shared" si="57"/>
        <v>32944</v>
      </c>
      <c r="J207" s="32">
        <f t="shared" si="58"/>
        <v>0</v>
      </c>
      <c r="K207" s="32">
        <f t="shared" si="59"/>
        <v>0</v>
      </c>
      <c r="L207" s="32">
        <f t="shared" si="60"/>
        <v>83990</v>
      </c>
      <c r="M207" s="32">
        <f>IF(AND(AND(T206="",A207&lt;=S206),A207=入力!$B$15),ROUND(MIN(入力!$B$16,MAX(0,C207-L207)),0),0)</f>
        <v>0</v>
      </c>
      <c r="N207" s="32">
        <f t="shared" si="61"/>
        <v>15728917</v>
      </c>
      <c r="O207" s="32">
        <f t="shared" si="62"/>
        <v>8005165</v>
      </c>
      <c r="P207" s="34" t="str">
        <f>IF(NOT(AND(T206="",A207&lt;=S206)),"",IF(A207=入力!$B$15+1,"繰上返済後再計算","")&amp;IF(AND(入力!$B$13="有効",A207&gt;1,MOD(A207-1,60)=0),IF(A207=入力!$B$15+1,"・","")&amp;"5年見直し","")&amp;IF(AND(A207=入力!$B$11,A207&gt;1),IF(OR(A207=入力!$B$15+1,AND(入力!$B$13="有効",A207&gt;1,MOD(A207-1,60)=0)),"・","")&amp;"金利変更","")&amp;IF(AND(OR(AND(入力!$B$13="有効",A207&gt;1,MOD(A207-1,60)=0),AND(A207=入力!$B$11,A207&gt;1)),入力!$B$14="有効",IF(E207=0,ROUND(C207/MAX(1,S206-A207+1),0),ROUND(-PMT(E207/12,MAX(1,S206-A207+1),C207),0))&gt;ROUND(G206*1.25,0),NOT(A207=入力!$B$15+1)),"・上限適用",""))</f>
        <v/>
      </c>
      <c r="Q207" s="35" t="str">
        <f>IF(AND(T206="",A207&lt;=S206),入力!$B$13,"")</f>
        <v>有効</v>
      </c>
      <c r="R207" s="32" t="str">
        <f>IF(AND(AND(T206="",A207&lt;=S206),OR(AND(入力!$B$13="有効",A207&gt;1,MOD(A207-1,60)=0),AND(A207=入力!$B$11,A207&gt;1)),入力!$B$14="有効"),ROUND(G206*1.25,0),"")</f>
        <v/>
      </c>
      <c r="S207" s="36">
        <f>IF(A207=入力!$B$15,A207+入力!$B$19,S206)</f>
        <v>360</v>
      </c>
      <c r="T207" s="35" t="str">
        <f t="shared" si="63"/>
        <v/>
      </c>
      <c r="U207" s="3">
        <f t="shared" si="48"/>
        <v>0</v>
      </c>
      <c r="V207" s="3">
        <f t="shared" si="49"/>
        <v>0</v>
      </c>
      <c r="W207" s="3">
        <f t="shared" si="50"/>
        <v>0</v>
      </c>
      <c r="X207" s="3">
        <f t="shared" si="51"/>
        <v>0</v>
      </c>
      <c r="Y207" s="3">
        <f>IF(A207&lt;入力!$B$15,ABS(G207-何もしない_月次!G207),0)</f>
        <v>0</v>
      </c>
      <c r="Z207" s="3">
        <f t="shared" si="52"/>
        <v>0</v>
      </c>
      <c r="AA207">
        <f>ROUND(IF(A207=入力!$B$15+1,IF(E207=0,ROUND(C207/入力!$B$19,0),ROUND(-PMT(E207/12,入力!$B$19,C207),0)),IF(OR(AND(入力!$B$13="有効",A207&gt;1,MOD(A207-1,60)=0),AND(A207=入力!$B$11,A207&gt;1)),IF(入力!$B$14="有効",MIN(IF(E207=0,ROUND(C207/MAX(1,S206-A207+1),0),ROUND(-PMT(E207/12,MAX(1,S206-A207+1),C207),0)),ROUND(G206*1.25,0)),IF(E207=0,ROUND(C207/MAX(1,S206-A207+1),0),ROUND(-PMT(E207/12,MAX(1,S206-A207+1),C207),0))),G206)),0)</f>
        <v>116934</v>
      </c>
    </row>
    <row r="208" spans="1:27">
      <c r="A208" s="30">
        <f>203</f>
        <v>203</v>
      </c>
      <c r="B208" s="31">
        <f>EDATE(入力!$B$6,A208-1)</f>
        <v>52383</v>
      </c>
      <c r="C208" s="32">
        <f t="shared" si="53"/>
        <v>15728917</v>
      </c>
      <c r="D208" s="32">
        <f t="shared" si="54"/>
        <v>0</v>
      </c>
      <c r="E208" s="33">
        <f>IF(AND(T207="",A208&lt;=S207),IF(A208&lt;入力!$B$11,入力!$B$10,入力!$B$12),0)</f>
        <v>2.5000000000000001E-2</v>
      </c>
      <c r="F208" s="32">
        <f t="shared" si="55"/>
        <v>32769</v>
      </c>
      <c r="G208" s="32">
        <f>ROUND(IF(NOT(AND(T207="",A208&lt;=S207)),0,IF(A208=入力!$B$15+1,IF(E208=0,ROUND(C208/入力!$B$19,0),ROUND(-PMT(E208/12,入力!$B$19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),0)</f>
        <v>116934</v>
      </c>
      <c r="H208" s="32">
        <f t="shared" si="56"/>
        <v>116934</v>
      </c>
      <c r="I208" s="32">
        <f t="shared" si="57"/>
        <v>32769</v>
      </c>
      <c r="J208" s="32">
        <f t="shared" si="58"/>
        <v>0</v>
      </c>
      <c r="K208" s="32">
        <f t="shared" si="59"/>
        <v>0</v>
      </c>
      <c r="L208" s="32">
        <f t="shared" si="60"/>
        <v>84165</v>
      </c>
      <c r="M208" s="32">
        <f>IF(AND(AND(T207="",A208&lt;=S207),A208=入力!$B$15),ROUND(MIN(入力!$B$16,MAX(0,C208-L208)),0),0)</f>
        <v>0</v>
      </c>
      <c r="N208" s="32">
        <f t="shared" si="61"/>
        <v>15644752</v>
      </c>
      <c r="O208" s="32">
        <f t="shared" si="62"/>
        <v>8037934</v>
      </c>
      <c r="P208" s="34" t="str">
        <f>IF(NOT(AND(T207="",A208&lt;=S207)),"",IF(A208=入力!$B$15+1,"繰上返済後再計算","")&amp;IF(AND(入力!$B$13="有効",A208&gt;1,MOD(A208-1,60)=0),IF(A208=入力!$B$15+1,"・","")&amp;"5年見直し","")&amp;IF(AND(A208=入力!$B$11,A208&gt;1),IF(OR(A208=入力!$B$15+1,AND(入力!$B$13="有効",A208&gt;1,MOD(A208-1,60)=0)),"・","")&amp;"金利変更","")&amp;IF(AND(OR(AND(入力!$B$13="有効",A208&gt;1,MOD(A208-1,60)=0),AND(A208=入力!$B$11,A208&gt;1)),入力!$B$14="有効",IF(E208=0,ROUND(C208/MAX(1,S207-A208+1),0),ROUND(-PMT(E208/12,MAX(1,S207-A208+1),C208),0))&gt;ROUND(G207*1.25,0),NOT(A208=入力!$B$15+1)),"・上限適用",""))</f>
        <v/>
      </c>
      <c r="Q208" s="35" t="str">
        <f>IF(AND(T207="",A208&lt;=S207),入力!$B$13,"")</f>
        <v>有効</v>
      </c>
      <c r="R208" s="32" t="str">
        <f>IF(AND(AND(T207="",A208&lt;=S207),OR(AND(入力!$B$13="有効",A208&gt;1,MOD(A208-1,60)=0),AND(A208=入力!$B$11,A208&gt;1)),入力!$B$14="有効"),ROUND(G207*1.25,0),"")</f>
        <v/>
      </c>
      <c r="S208" s="36">
        <f>IF(A208=入力!$B$15,A208+入力!$B$19,S207)</f>
        <v>360</v>
      </c>
      <c r="T208" s="35" t="str">
        <f t="shared" si="63"/>
        <v/>
      </c>
      <c r="U208" s="3">
        <f t="shared" si="48"/>
        <v>0</v>
      </c>
      <c r="V208" s="3">
        <f t="shared" si="49"/>
        <v>0</v>
      </c>
      <c r="W208" s="3">
        <f t="shared" si="50"/>
        <v>0</v>
      </c>
      <c r="X208" s="3">
        <f t="shared" si="51"/>
        <v>0</v>
      </c>
      <c r="Y208" s="3">
        <f>IF(A208&lt;入力!$B$15,ABS(G208-何もしない_月次!G208),0)</f>
        <v>0</v>
      </c>
      <c r="Z208" s="3">
        <f t="shared" si="52"/>
        <v>0</v>
      </c>
      <c r="AA208">
        <f>ROUND(IF(A208=入力!$B$15+1,IF(E208=0,ROUND(C208/入力!$B$19,0),ROUND(-PMT(E208/12,入力!$B$19,C208),0)),IF(OR(AND(入力!$B$13="有効",A208&gt;1,MOD(A208-1,60)=0),AND(A208=入力!$B$11,A208&gt;1)),IF(入力!$B$14="有効",MIN(IF(E208=0,ROUND(C208/MAX(1,S207-A208+1),0),ROUND(-PMT(E208/12,MAX(1,S207-A208+1),C208),0)),ROUND(G207*1.25,0)),IF(E208=0,ROUND(C208/MAX(1,S207-A208+1),0),ROUND(-PMT(E208/12,MAX(1,S207-A208+1),C208),0))),G207)),0)</f>
        <v>116934</v>
      </c>
    </row>
    <row r="209" spans="1:27">
      <c r="A209" s="30">
        <f>204</f>
        <v>204</v>
      </c>
      <c r="B209" s="31">
        <f>EDATE(入力!$B$6,A209-1)</f>
        <v>52413</v>
      </c>
      <c r="C209" s="32">
        <f t="shared" si="53"/>
        <v>15644752</v>
      </c>
      <c r="D209" s="32">
        <f t="shared" si="54"/>
        <v>0</v>
      </c>
      <c r="E209" s="33">
        <f>IF(AND(T208="",A209&lt;=S208),IF(A209&lt;入力!$B$11,入力!$B$10,入力!$B$12),0)</f>
        <v>2.5000000000000001E-2</v>
      </c>
      <c r="F209" s="32">
        <f t="shared" si="55"/>
        <v>32593</v>
      </c>
      <c r="G209" s="32">
        <f>ROUND(IF(NOT(AND(T208="",A209&lt;=S208)),0,IF(A209=入力!$B$15+1,IF(E209=0,ROUND(C209/入力!$B$19,0),ROUND(-PMT(E209/12,入力!$B$19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),0)</f>
        <v>116934</v>
      </c>
      <c r="H209" s="32">
        <f t="shared" si="56"/>
        <v>116934</v>
      </c>
      <c r="I209" s="32">
        <f t="shared" si="57"/>
        <v>32593</v>
      </c>
      <c r="J209" s="32">
        <f t="shared" si="58"/>
        <v>0</v>
      </c>
      <c r="K209" s="32">
        <f t="shared" si="59"/>
        <v>0</v>
      </c>
      <c r="L209" s="32">
        <f t="shared" si="60"/>
        <v>84341</v>
      </c>
      <c r="M209" s="32">
        <f>IF(AND(AND(T208="",A209&lt;=S208),A209=入力!$B$15),ROUND(MIN(入力!$B$16,MAX(0,C209-L209)),0),0)</f>
        <v>0</v>
      </c>
      <c r="N209" s="32">
        <f t="shared" si="61"/>
        <v>15560411</v>
      </c>
      <c r="O209" s="32">
        <f t="shared" si="62"/>
        <v>8070527</v>
      </c>
      <c r="P209" s="34" t="str">
        <f>IF(NOT(AND(T208="",A209&lt;=S208)),"",IF(A209=入力!$B$15+1,"繰上返済後再計算","")&amp;IF(AND(入力!$B$13="有効",A209&gt;1,MOD(A209-1,60)=0),IF(A209=入力!$B$15+1,"・","")&amp;"5年見直し","")&amp;IF(AND(A209=入力!$B$11,A209&gt;1),IF(OR(A209=入力!$B$15+1,AND(入力!$B$13="有効",A209&gt;1,MOD(A209-1,60)=0)),"・","")&amp;"金利変更","")&amp;IF(AND(OR(AND(入力!$B$13="有効",A209&gt;1,MOD(A209-1,60)=0),AND(A209=入力!$B$11,A209&gt;1)),入力!$B$14="有効",IF(E209=0,ROUND(C209/MAX(1,S208-A209+1),0),ROUND(-PMT(E209/12,MAX(1,S208-A209+1),C209),0))&gt;ROUND(G208*1.25,0),NOT(A209=入力!$B$15+1)),"・上限適用",""))</f>
        <v/>
      </c>
      <c r="Q209" s="35" t="str">
        <f>IF(AND(T208="",A209&lt;=S208),入力!$B$13,"")</f>
        <v>有効</v>
      </c>
      <c r="R209" s="32" t="str">
        <f>IF(AND(AND(T208="",A209&lt;=S208),OR(AND(入力!$B$13="有効",A209&gt;1,MOD(A209-1,60)=0),AND(A209=入力!$B$11,A209&gt;1)),入力!$B$14="有効"),ROUND(G208*1.25,0),"")</f>
        <v/>
      </c>
      <c r="S209" s="36">
        <f>IF(A209=入力!$B$15,A209+入力!$B$19,S208)</f>
        <v>360</v>
      </c>
      <c r="T209" s="35" t="str">
        <f t="shared" si="63"/>
        <v/>
      </c>
      <c r="U209" s="3">
        <f t="shared" si="48"/>
        <v>0</v>
      </c>
      <c r="V209" s="3">
        <f t="shared" si="49"/>
        <v>0</v>
      </c>
      <c r="W209" s="3">
        <f t="shared" si="50"/>
        <v>0</v>
      </c>
      <c r="X209" s="3">
        <f t="shared" si="51"/>
        <v>0</v>
      </c>
      <c r="Y209" s="3">
        <f>IF(A209&lt;入力!$B$15,ABS(G209-何もしない_月次!G209),0)</f>
        <v>0</v>
      </c>
      <c r="Z209" s="3">
        <f t="shared" si="52"/>
        <v>0</v>
      </c>
      <c r="AA209">
        <f>ROUND(IF(A209=入力!$B$15+1,IF(E209=0,ROUND(C209/入力!$B$19,0),ROUND(-PMT(E209/12,入力!$B$19,C209),0)),IF(OR(AND(入力!$B$13="有効",A209&gt;1,MOD(A209-1,60)=0),AND(A209=入力!$B$11,A209&gt;1)),IF(入力!$B$14="有効",MIN(IF(E209=0,ROUND(C209/MAX(1,S208-A209+1),0),ROUND(-PMT(E209/12,MAX(1,S208-A209+1),C209),0)),ROUND(G208*1.25,0)),IF(E209=0,ROUND(C209/MAX(1,S208-A209+1),0),ROUND(-PMT(E209/12,MAX(1,S208-A209+1),C209),0))),G208)),0)</f>
        <v>116934</v>
      </c>
    </row>
    <row r="210" spans="1:27">
      <c r="A210" s="30">
        <f>205</f>
        <v>205</v>
      </c>
      <c r="B210" s="31">
        <f>EDATE(入力!$B$6,A210-1)</f>
        <v>52444</v>
      </c>
      <c r="C210" s="32">
        <f t="shared" si="53"/>
        <v>15560411</v>
      </c>
      <c r="D210" s="32">
        <f t="shared" si="54"/>
        <v>0</v>
      </c>
      <c r="E210" s="33">
        <f>IF(AND(T209="",A210&lt;=S209),IF(A210&lt;入力!$B$11,入力!$B$10,入力!$B$12),0)</f>
        <v>2.5000000000000001E-2</v>
      </c>
      <c r="F210" s="32">
        <f t="shared" si="55"/>
        <v>32418</v>
      </c>
      <c r="G210" s="32">
        <f>ROUND(IF(NOT(AND(T209="",A210&lt;=S209)),0,IF(A210=入力!$B$15+1,IF(E210=0,ROUND(C210/入力!$B$19,0),ROUND(-PMT(E210/12,入力!$B$19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),0)</f>
        <v>116934</v>
      </c>
      <c r="H210" s="32">
        <f t="shared" si="56"/>
        <v>116934</v>
      </c>
      <c r="I210" s="32">
        <f t="shared" si="57"/>
        <v>32418</v>
      </c>
      <c r="J210" s="32">
        <f t="shared" si="58"/>
        <v>0</v>
      </c>
      <c r="K210" s="32">
        <f t="shared" si="59"/>
        <v>0</v>
      </c>
      <c r="L210" s="32">
        <f t="shared" si="60"/>
        <v>84516</v>
      </c>
      <c r="M210" s="32">
        <f>IF(AND(AND(T209="",A210&lt;=S209),A210=入力!$B$15),ROUND(MIN(入力!$B$16,MAX(0,C210-L210)),0),0)</f>
        <v>0</v>
      </c>
      <c r="N210" s="32">
        <f t="shared" si="61"/>
        <v>15475895</v>
      </c>
      <c r="O210" s="32">
        <f t="shared" si="62"/>
        <v>8102945</v>
      </c>
      <c r="P210" s="34" t="str">
        <f>IF(NOT(AND(T209="",A210&lt;=S209)),"",IF(A210=入力!$B$15+1,"繰上返済後再計算","")&amp;IF(AND(入力!$B$13="有効",A210&gt;1,MOD(A210-1,60)=0),IF(A210=入力!$B$15+1,"・","")&amp;"5年見直し","")&amp;IF(AND(A210=入力!$B$11,A210&gt;1),IF(OR(A210=入力!$B$15+1,AND(入力!$B$13="有効",A210&gt;1,MOD(A210-1,60)=0)),"・","")&amp;"金利変更","")&amp;IF(AND(OR(AND(入力!$B$13="有効",A210&gt;1,MOD(A210-1,60)=0),AND(A210=入力!$B$11,A210&gt;1)),入力!$B$14="有効",IF(E210=0,ROUND(C210/MAX(1,S209-A210+1),0),ROUND(-PMT(E210/12,MAX(1,S209-A210+1),C210),0))&gt;ROUND(G209*1.25,0),NOT(A210=入力!$B$15+1)),"・上限適用",""))</f>
        <v/>
      </c>
      <c r="Q210" s="35" t="str">
        <f>IF(AND(T209="",A210&lt;=S209),入力!$B$13,"")</f>
        <v>有効</v>
      </c>
      <c r="R210" s="32" t="str">
        <f>IF(AND(AND(T209="",A210&lt;=S209),OR(AND(入力!$B$13="有効",A210&gt;1,MOD(A210-1,60)=0),AND(A210=入力!$B$11,A210&gt;1)),入力!$B$14="有効"),ROUND(G209*1.25,0),"")</f>
        <v/>
      </c>
      <c r="S210" s="36">
        <f>IF(A210=入力!$B$15,A210+入力!$B$19,S209)</f>
        <v>360</v>
      </c>
      <c r="T210" s="35" t="str">
        <f t="shared" si="63"/>
        <v/>
      </c>
      <c r="U210" s="3">
        <f t="shared" si="48"/>
        <v>0</v>
      </c>
      <c r="V210" s="3">
        <f t="shared" si="49"/>
        <v>0</v>
      </c>
      <c r="W210" s="3">
        <f t="shared" si="50"/>
        <v>0</v>
      </c>
      <c r="X210" s="3">
        <f t="shared" si="51"/>
        <v>0</v>
      </c>
      <c r="Y210" s="3">
        <f>IF(A210&lt;入力!$B$15,ABS(G210-何もしない_月次!G210),0)</f>
        <v>0</v>
      </c>
      <c r="Z210" s="3">
        <f t="shared" si="52"/>
        <v>0</v>
      </c>
      <c r="AA210">
        <f>ROUND(IF(A210=入力!$B$15+1,IF(E210=0,ROUND(C210/入力!$B$19,0),ROUND(-PMT(E210/12,入力!$B$19,C210),0)),IF(OR(AND(入力!$B$13="有効",A210&gt;1,MOD(A210-1,60)=0),AND(A210=入力!$B$11,A210&gt;1)),IF(入力!$B$14="有効",MIN(IF(E210=0,ROUND(C210/MAX(1,S209-A210+1),0),ROUND(-PMT(E210/12,MAX(1,S209-A210+1),C210),0)),ROUND(G209*1.25,0)),IF(E210=0,ROUND(C210/MAX(1,S209-A210+1),0),ROUND(-PMT(E210/12,MAX(1,S209-A210+1),C210),0))),G209)),0)</f>
        <v>116934</v>
      </c>
    </row>
    <row r="211" spans="1:27">
      <c r="A211" s="30">
        <f>206</f>
        <v>206</v>
      </c>
      <c r="B211" s="31">
        <f>EDATE(入力!$B$6,A211-1)</f>
        <v>52475</v>
      </c>
      <c r="C211" s="32">
        <f t="shared" si="53"/>
        <v>15475895</v>
      </c>
      <c r="D211" s="32">
        <f t="shared" si="54"/>
        <v>0</v>
      </c>
      <c r="E211" s="33">
        <f>IF(AND(T210="",A211&lt;=S210),IF(A211&lt;入力!$B$11,入力!$B$10,入力!$B$12),0)</f>
        <v>2.5000000000000001E-2</v>
      </c>
      <c r="F211" s="32">
        <f t="shared" si="55"/>
        <v>32241</v>
      </c>
      <c r="G211" s="32">
        <f>ROUND(IF(NOT(AND(T210="",A211&lt;=S210)),0,IF(A211=入力!$B$15+1,IF(E211=0,ROUND(C211/入力!$B$19,0),ROUND(-PMT(E211/12,入力!$B$19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),0)</f>
        <v>116934</v>
      </c>
      <c r="H211" s="32">
        <f t="shared" si="56"/>
        <v>116934</v>
      </c>
      <c r="I211" s="32">
        <f t="shared" si="57"/>
        <v>32241</v>
      </c>
      <c r="J211" s="32">
        <f t="shared" si="58"/>
        <v>0</v>
      </c>
      <c r="K211" s="32">
        <f t="shared" si="59"/>
        <v>0</v>
      </c>
      <c r="L211" s="32">
        <f t="shared" si="60"/>
        <v>84693</v>
      </c>
      <c r="M211" s="32">
        <f>IF(AND(AND(T210="",A211&lt;=S210),A211=入力!$B$15),ROUND(MIN(入力!$B$16,MAX(0,C211-L211)),0),0)</f>
        <v>0</v>
      </c>
      <c r="N211" s="32">
        <f t="shared" si="61"/>
        <v>15391202</v>
      </c>
      <c r="O211" s="32">
        <f t="shared" si="62"/>
        <v>8135186</v>
      </c>
      <c r="P211" s="34" t="str">
        <f>IF(NOT(AND(T210="",A211&lt;=S210)),"",IF(A211=入力!$B$15+1,"繰上返済後再計算","")&amp;IF(AND(入力!$B$13="有効",A211&gt;1,MOD(A211-1,60)=0),IF(A211=入力!$B$15+1,"・","")&amp;"5年見直し","")&amp;IF(AND(A211=入力!$B$11,A211&gt;1),IF(OR(A211=入力!$B$15+1,AND(入力!$B$13="有効",A211&gt;1,MOD(A211-1,60)=0)),"・","")&amp;"金利変更","")&amp;IF(AND(OR(AND(入力!$B$13="有効",A211&gt;1,MOD(A211-1,60)=0),AND(A211=入力!$B$11,A211&gt;1)),入力!$B$14="有効",IF(E211=0,ROUND(C211/MAX(1,S210-A211+1),0),ROUND(-PMT(E211/12,MAX(1,S210-A211+1),C211),0))&gt;ROUND(G210*1.25,0),NOT(A211=入力!$B$15+1)),"・上限適用",""))</f>
        <v/>
      </c>
      <c r="Q211" s="35" t="str">
        <f>IF(AND(T210="",A211&lt;=S210),入力!$B$13,"")</f>
        <v>有効</v>
      </c>
      <c r="R211" s="32" t="str">
        <f>IF(AND(AND(T210="",A211&lt;=S210),OR(AND(入力!$B$13="有効",A211&gt;1,MOD(A211-1,60)=0),AND(A211=入力!$B$11,A211&gt;1)),入力!$B$14="有効"),ROUND(G210*1.25,0),"")</f>
        <v/>
      </c>
      <c r="S211" s="36">
        <f>IF(A211=入力!$B$15,A211+入力!$B$19,S210)</f>
        <v>360</v>
      </c>
      <c r="T211" s="35" t="str">
        <f t="shared" si="63"/>
        <v/>
      </c>
      <c r="U211" s="3">
        <f t="shared" si="48"/>
        <v>0</v>
      </c>
      <c r="V211" s="3">
        <f t="shared" si="49"/>
        <v>0</v>
      </c>
      <c r="W211" s="3">
        <f t="shared" si="50"/>
        <v>0</v>
      </c>
      <c r="X211" s="3">
        <f t="shared" si="51"/>
        <v>0</v>
      </c>
      <c r="Y211" s="3">
        <f>IF(A211&lt;入力!$B$15,ABS(G211-何もしない_月次!G211),0)</f>
        <v>0</v>
      </c>
      <c r="Z211" s="3">
        <f t="shared" si="52"/>
        <v>0</v>
      </c>
      <c r="AA211">
        <f>ROUND(IF(A211=入力!$B$15+1,IF(E211=0,ROUND(C211/入力!$B$19,0),ROUND(-PMT(E211/12,入力!$B$19,C211),0)),IF(OR(AND(入力!$B$13="有効",A211&gt;1,MOD(A211-1,60)=0),AND(A211=入力!$B$11,A211&gt;1)),IF(入力!$B$14="有効",MIN(IF(E211=0,ROUND(C211/MAX(1,S210-A211+1),0),ROUND(-PMT(E211/12,MAX(1,S210-A211+1),C211),0)),ROUND(G210*1.25,0)),IF(E211=0,ROUND(C211/MAX(1,S210-A211+1),0),ROUND(-PMT(E211/12,MAX(1,S210-A211+1),C211),0))),G210)),0)</f>
        <v>116934</v>
      </c>
    </row>
    <row r="212" spans="1:27">
      <c r="A212" s="30">
        <f>207</f>
        <v>207</v>
      </c>
      <c r="B212" s="31">
        <f>EDATE(入力!$B$6,A212-1)</f>
        <v>52505</v>
      </c>
      <c r="C212" s="32">
        <f t="shared" si="53"/>
        <v>15391202</v>
      </c>
      <c r="D212" s="32">
        <f t="shared" si="54"/>
        <v>0</v>
      </c>
      <c r="E212" s="33">
        <f>IF(AND(T211="",A212&lt;=S211),IF(A212&lt;入力!$B$11,入力!$B$10,入力!$B$12),0)</f>
        <v>2.5000000000000001E-2</v>
      </c>
      <c r="F212" s="32">
        <f t="shared" si="55"/>
        <v>32065</v>
      </c>
      <c r="G212" s="32">
        <f>ROUND(IF(NOT(AND(T211="",A212&lt;=S211)),0,IF(A212=入力!$B$15+1,IF(E212=0,ROUND(C212/入力!$B$19,0),ROUND(-PMT(E212/12,入力!$B$19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),0)</f>
        <v>116934</v>
      </c>
      <c r="H212" s="32">
        <f t="shared" si="56"/>
        <v>116934</v>
      </c>
      <c r="I212" s="32">
        <f t="shared" si="57"/>
        <v>32065</v>
      </c>
      <c r="J212" s="32">
        <f t="shared" si="58"/>
        <v>0</v>
      </c>
      <c r="K212" s="32">
        <f t="shared" si="59"/>
        <v>0</v>
      </c>
      <c r="L212" s="32">
        <f t="shared" si="60"/>
        <v>84869</v>
      </c>
      <c r="M212" s="32">
        <f>IF(AND(AND(T211="",A212&lt;=S211),A212=入力!$B$15),ROUND(MIN(入力!$B$16,MAX(0,C212-L212)),0),0)</f>
        <v>0</v>
      </c>
      <c r="N212" s="32">
        <f t="shared" si="61"/>
        <v>15306333</v>
      </c>
      <c r="O212" s="32">
        <f t="shared" si="62"/>
        <v>8167251</v>
      </c>
      <c r="P212" s="34" t="str">
        <f>IF(NOT(AND(T211="",A212&lt;=S211)),"",IF(A212=入力!$B$15+1,"繰上返済後再計算","")&amp;IF(AND(入力!$B$13="有効",A212&gt;1,MOD(A212-1,60)=0),IF(A212=入力!$B$15+1,"・","")&amp;"5年見直し","")&amp;IF(AND(A212=入力!$B$11,A212&gt;1),IF(OR(A212=入力!$B$15+1,AND(入力!$B$13="有効",A212&gt;1,MOD(A212-1,60)=0)),"・","")&amp;"金利変更","")&amp;IF(AND(OR(AND(入力!$B$13="有効",A212&gt;1,MOD(A212-1,60)=0),AND(A212=入力!$B$11,A212&gt;1)),入力!$B$14="有効",IF(E212=0,ROUND(C212/MAX(1,S211-A212+1),0),ROUND(-PMT(E212/12,MAX(1,S211-A212+1),C212),0))&gt;ROUND(G211*1.25,0),NOT(A212=入力!$B$15+1)),"・上限適用",""))</f>
        <v/>
      </c>
      <c r="Q212" s="35" t="str">
        <f>IF(AND(T211="",A212&lt;=S211),入力!$B$13,"")</f>
        <v>有効</v>
      </c>
      <c r="R212" s="32" t="str">
        <f>IF(AND(AND(T211="",A212&lt;=S211),OR(AND(入力!$B$13="有効",A212&gt;1,MOD(A212-1,60)=0),AND(A212=入力!$B$11,A212&gt;1)),入力!$B$14="有効"),ROUND(G211*1.25,0),"")</f>
        <v/>
      </c>
      <c r="S212" s="36">
        <f>IF(A212=入力!$B$15,A212+入力!$B$19,S211)</f>
        <v>360</v>
      </c>
      <c r="T212" s="35" t="str">
        <f t="shared" si="63"/>
        <v/>
      </c>
      <c r="U212" s="3">
        <f t="shared" si="48"/>
        <v>0</v>
      </c>
      <c r="V212" s="3">
        <f t="shared" si="49"/>
        <v>0</v>
      </c>
      <c r="W212" s="3">
        <f t="shared" si="50"/>
        <v>0</v>
      </c>
      <c r="X212" s="3">
        <f t="shared" si="51"/>
        <v>0</v>
      </c>
      <c r="Y212" s="3">
        <f>IF(A212&lt;入力!$B$15,ABS(G212-何もしない_月次!G212),0)</f>
        <v>0</v>
      </c>
      <c r="Z212" s="3">
        <f t="shared" si="52"/>
        <v>0</v>
      </c>
      <c r="AA212">
        <f>ROUND(IF(A212=入力!$B$15+1,IF(E212=0,ROUND(C212/入力!$B$19,0),ROUND(-PMT(E212/12,入力!$B$19,C212),0)),IF(OR(AND(入力!$B$13="有効",A212&gt;1,MOD(A212-1,60)=0),AND(A212=入力!$B$11,A212&gt;1)),IF(入力!$B$14="有効",MIN(IF(E212=0,ROUND(C212/MAX(1,S211-A212+1),0),ROUND(-PMT(E212/12,MAX(1,S211-A212+1),C212),0)),ROUND(G211*1.25,0)),IF(E212=0,ROUND(C212/MAX(1,S211-A212+1),0),ROUND(-PMT(E212/12,MAX(1,S211-A212+1),C212),0))),G211)),0)</f>
        <v>116934</v>
      </c>
    </row>
    <row r="213" spans="1:27">
      <c r="A213" s="30">
        <f>208</f>
        <v>208</v>
      </c>
      <c r="B213" s="31">
        <f>EDATE(入力!$B$6,A213-1)</f>
        <v>52536</v>
      </c>
      <c r="C213" s="32">
        <f t="shared" si="53"/>
        <v>15306333</v>
      </c>
      <c r="D213" s="32">
        <f t="shared" si="54"/>
        <v>0</v>
      </c>
      <c r="E213" s="33">
        <f>IF(AND(T212="",A213&lt;=S212),IF(A213&lt;入力!$B$11,入力!$B$10,入力!$B$12),0)</f>
        <v>2.5000000000000001E-2</v>
      </c>
      <c r="F213" s="32">
        <f t="shared" si="55"/>
        <v>31888</v>
      </c>
      <c r="G213" s="32">
        <f>ROUND(IF(NOT(AND(T212="",A213&lt;=S212)),0,IF(A213=入力!$B$15+1,IF(E213=0,ROUND(C213/入力!$B$19,0),ROUND(-PMT(E213/12,入力!$B$19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),0)</f>
        <v>116934</v>
      </c>
      <c r="H213" s="32">
        <f t="shared" si="56"/>
        <v>116934</v>
      </c>
      <c r="I213" s="32">
        <f t="shared" si="57"/>
        <v>31888</v>
      </c>
      <c r="J213" s="32">
        <f t="shared" si="58"/>
        <v>0</v>
      </c>
      <c r="K213" s="32">
        <f t="shared" si="59"/>
        <v>0</v>
      </c>
      <c r="L213" s="32">
        <f t="shared" si="60"/>
        <v>85046</v>
      </c>
      <c r="M213" s="32">
        <f>IF(AND(AND(T212="",A213&lt;=S212),A213=入力!$B$15),ROUND(MIN(入力!$B$16,MAX(0,C213-L213)),0),0)</f>
        <v>0</v>
      </c>
      <c r="N213" s="32">
        <f t="shared" si="61"/>
        <v>15221287</v>
      </c>
      <c r="O213" s="32">
        <f t="shared" si="62"/>
        <v>8199139</v>
      </c>
      <c r="P213" s="34" t="str">
        <f>IF(NOT(AND(T212="",A213&lt;=S212)),"",IF(A213=入力!$B$15+1,"繰上返済後再計算","")&amp;IF(AND(入力!$B$13="有効",A213&gt;1,MOD(A213-1,60)=0),IF(A213=入力!$B$15+1,"・","")&amp;"5年見直し","")&amp;IF(AND(A213=入力!$B$11,A213&gt;1),IF(OR(A213=入力!$B$15+1,AND(入力!$B$13="有効",A213&gt;1,MOD(A213-1,60)=0)),"・","")&amp;"金利変更","")&amp;IF(AND(OR(AND(入力!$B$13="有効",A213&gt;1,MOD(A213-1,60)=0),AND(A213=入力!$B$11,A213&gt;1)),入力!$B$14="有効",IF(E213=0,ROUND(C213/MAX(1,S212-A213+1),0),ROUND(-PMT(E213/12,MAX(1,S212-A213+1),C213),0))&gt;ROUND(G212*1.25,0),NOT(A213=入力!$B$15+1)),"・上限適用",""))</f>
        <v/>
      </c>
      <c r="Q213" s="35" t="str">
        <f>IF(AND(T212="",A213&lt;=S212),入力!$B$13,"")</f>
        <v>有効</v>
      </c>
      <c r="R213" s="32" t="str">
        <f>IF(AND(AND(T212="",A213&lt;=S212),OR(AND(入力!$B$13="有効",A213&gt;1,MOD(A213-1,60)=0),AND(A213=入力!$B$11,A213&gt;1)),入力!$B$14="有効"),ROUND(G212*1.25,0),"")</f>
        <v/>
      </c>
      <c r="S213" s="36">
        <f>IF(A213=入力!$B$15,A213+入力!$B$19,S212)</f>
        <v>360</v>
      </c>
      <c r="T213" s="35" t="str">
        <f t="shared" si="63"/>
        <v/>
      </c>
      <c r="U213" s="3">
        <f t="shared" si="48"/>
        <v>0</v>
      </c>
      <c r="V213" s="3">
        <f t="shared" si="49"/>
        <v>0</v>
      </c>
      <c r="W213" s="3">
        <f t="shared" si="50"/>
        <v>0</v>
      </c>
      <c r="X213" s="3">
        <f t="shared" si="51"/>
        <v>0</v>
      </c>
      <c r="Y213" s="3">
        <f>IF(A213&lt;入力!$B$15,ABS(G213-何もしない_月次!G213),0)</f>
        <v>0</v>
      </c>
      <c r="Z213" s="3">
        <f t="shared" si="52"/>
        <v>0</v>
      </c>
      <c r="AA213">
        <f>ROUND(IF(A213=入力!$B$15+1,IF(E213=0,ROUND(C213/入力!$B$19,0),ROUND(-PMT(E213/12,入力!$B$19,C213),0)),IF(OR(AND(入力!$B$13="有効",A213&gt;1,MOD(A213-1,60)=0),AND(A213=入力!$B$11,A213&gt;1)),IF(入力!$B$14="有効",MIN(IF(E213=0,ROUND(C213/MAX(1,S212-A213+1),0),ROUND(-PMT(E213/12,MAX(1,S212-A213+1),C213),0)),ROUND(G212*1.25,0)),IF(E213=0,ROUND(C213/MAX(1,S212-A213+1),0),ROUND(-PMT(E213/12,MAX(1,S212-A213+1),C213),0))),G212)),0)</f>
        <v>116934</v>
      </c>
    </row>
    <row r="214" spans="1:27">
      <c r="A214" s="30">
        <f>209</f>
        <v>209</v>
      </c>
      <c r="B214" s="31">
        <f>EDATE(入力!$B$6,A214-1)</f>
        <v>52566</v>
      </c>
      <c r="C214" s="32">
        <f t="shared" si="53"/>
        <v>15221287</v>
      </c>
      <c r="D214" s="32">
        <f t="shared" si="54"/>
        <v>0</v>
      </c>
      <c r="E214" s="33">
        <f>IF(AND(T213="",A214&lt;=S213),IF(A214&lt;入力!$B$11,入力!$B$10,入力!$B$12),0)</f>
        <v>2.5000000000000001E-2</v>
      </c>
      <c r="F214" s="32">
        <f t="shared" si="55"/>
        <v>31711</v>
      </c>
      <c r="G214" s="32">
        <f>ROUND(IF(NOT(AND(T213="",A214&lt;=S213)),0,IF(A214=入力!$B$15+1,IF(E214=0,ROUND(C214/入力!$B$19,0),ROUND(-PMT(E214/12,入力!$B$19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),0)</f>
        <v>116934</v>
      </c>
      <c r="H214" s="32">
        <f t="shared" si="56"/>
        <v>116934</v>
      </c>
      <c r="I214" s="32">
        <f t="shared" si="57"/>
        <v>31711</v>
      </c>
      <c r="J214" s="32">
        <f t="shared" si="58"/>
        <v>0</v>
      </c>
      <c r="K214" s="32">
        <f t="shared" si="59"/>
        <v>0</v>
      </c>
      <c r="L214" s="32">
        <f t="shared" si="60"/>
        <v>85223</v>
      </c>
      <c r="M214" s="32">
        <f>IF(AND(AND(T213="",A214&lt;=S213),A214=入力!$B$15),ROUND(MIN(入力!$B$16,MAX(0,C214-L214)),0),0)</f>
        <v>0</v>
      </c>
      <c r="N214" s="32">
        <f t="shared" si="61"/>
        <v>15136064</v>
      </c>
      <c r="O214" s="32">
        <f t="shared" si="62"/>
        <v>8230850</v>
      </c>
      <c r="P214" s="34" t="str">
        <f>IF(NOT(AND(T213="",A214&lt;=S213)),"",IF(A214=入力!$B$15+1,"繰上返済後再計算","")&amp;IF(AND(入力!$B$13="有効",A214&gt;1,MOD(A214-1,60)=0),IF(A214=入力!$B$15+1,"・","")&amp;"5年見直し","")&amp;IF(AND(A214=入力!$B$11,A214&gt;1),IF(OR(A214=入力!$B$15+1,AND(入力!$B$13="有効",A214&gt;1,MOD(A214-1,60)=0)),"・","")&amp;"金利変更","")&amp;IF(AND(OR(AND(入力!$B$13="有効",A214&gt;1,MOD(A214-1,60)=0),AND(A214=入力!$B$11,A214&gt;1)),入力!$B$14="有効",IF(E214=0,ROUND(C214/MAX(1,S213-A214+1),0),ROUND(-PMT(E214/12,MAX(1,S213-A214+1),C214),0))&gt;ROUND(G213*1.25,0),NOT(A214=入力!$B$15+1)),"・上限適用",""))</f>
        <v/>
      </c>
      <c r="Q214" s="35" t="str">
        <f>IF(AND(T213="",A214&lt;=S213),入力!$B$13,"")</f>
        <v>有効</v>
      </c>
      <c r="R214" s="32" t="str">
        <f>IF(AND(AND(T213="",A214&lt;=S213),OR(AND(入力!$B$13="有効",A214&gt;1,MOD(A214-1,60)=0),AND(A214=入力!$B$11,A214&gt;1)),入力!$B$14="有効"),ROUND(G213*1.25,0),"")</f>
        <v/>
      </c>
      <c r="S214" s="36">
        <f>IF(A214=入力!$B$15,A214+入力!$B$19,S213)</f>
        <v>360</v>
      </c>
      <c r="T214" s="35" t="str">
        <f t="shared" si="63"/>
        <v/>
      </c>
      <c r="U214" s="3">
        <f t="shared" si="48"/>
        <v>0</v>
      </c>
      <c r="V214" s="3">
        <f t="shared" si="49"/>
        <v>0</v>
      </c>
      <c r="W214" s="3">
        <f t="shared" si="50"/>
        <v>0</v>
      </c>
      <c r="X214" s="3">
        <f t="shared" si="51"/>
        <v>0</v>
      </c>
      <c r="Y214" s="3">
        <f>IF(A214&lt;入力!$B$15,ABS(G214-何もしない_月次!G214),0)</f>
        <v>0</v>
      </c>
      <c r="Z214" s="3">
        <f t="shared" si="52"/>
        <v>0</v>
      </c>
      <c r="AA214">
        <f>ROUND(IF(A214=入力!$B$15+1,IF(E214=0,ROUND(C214/入力!$B$19,0),ROUND(-PMT(E214/12,入力!$B$19,C214),0)),IF(OR(AND(入力!$B$13="有効",A214&gt;1,MOD(A214-1,60)=0),AND(A214=入力!$B$11,A214&gt;1)),IF(入力!$B$14="有効",MIN(IF(E214=0,ROUND(C214/MAX(1,S213-A214+1),0),ROUND(-PMT(E214/12,MAX(1,S213-A214+1),C214),0)),ROUND(G213*1.25,0)),IF(E214=0,ROUND(C214/MAX(1,S213-A214+1),0),ROUND(-PMT(E214/12,MAX(1,S213-A214+1),C214),0))),G213)),0)</f>
        <v>116934</v>
      </c>
    </row>
    <row r="215" spans="1:27">
      <c r="A215" s="30">
        <f>210</f>
        <v>210</v>
      </c>
      <c r="B215" s="31">
        <f>EDATE(入力!$B$6,A215-1)</f>
        <v>52597</v>
      </c>
      <c r="C215" s="32">
        <f t="shared" si="53"/>
        <v>15136064</v>
      </c>
      <c r="D215" s="32">
        <f t="shared" si="54"/>
        <v>0</v>
      </c>
      <c r="E215" s="33">
        <f>IF(AND(T214="",A215&lt;=S214),IF(A215&lt;入力!$B$11,入力!$B$10,入力!$B$12),0)</f>
        <v>2.5000000000000001E-2</v>
      </c>
      <c r="F215" s="32">
        <f t="shared" si="55"/>
        <v>31533</v>
      </c>
      <c r="G215" s="32">
        <f>ROUND(IF(NOT(AND(T214="",A215&lt;=S214)),0,IF(A215=入力!$B$15+1,IF(E215=0,ROUND(C215/入力!$B$19,0),ROUND(-PMT(E215/12,入力!$B$19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),0)</f>
        <v>116934</v>
      </c>
      <c r="H215" s="32">
        <f t="shared" si="56"/>
        <v>116934</v>
      </c>
      <c r="I215" s="32">
        <f t="shared" si="57"/>
        <v>31533</v>
      </c>
      <c r="J215" s="32">
        <f t="shared" si="58"/>
        <v>0</v>
      </c>
      <c r="K215" s="32">
        <f t="shared" si="59"/>
        <v>0</v>
      </c>
      <c r="L215" s="32">
        <f t="shared" si="60"/>
        <v>85401</v>
      </c>
      <c r="M215" s="32">
        <f>IF(AND(AND(T214="",A215&lt;=S214),A215=入力!$B$15),ROUND(MIN(入力!$B$16,MAX(0,C215-L215)),0),0)</f>
        <v>0</v>
      </c>
      <c r="N215" s="32">
        <f t="shared" si="61"/>
        <v>15050663</v>
      </c>
      <c r="O215" s="32">
        <f t="shared" si="62"/>
        <v>8262383</v>
      </c>
      <c r="P215" s="34" t="str">
        <f>IF(NOT(AND(T214="",A215&lt;=S214)),"",IF(A215=入力!$B$15+1,"繰上返済後再計算","")&amp;IF(AND(入力!$B$13="有効",A215&gt;1,MOD(A215-1,60)=0),IF(A215=入力!$B$15+1,"・","")&amp;"5年見直し","")&amp;IF(AND(A215=入力!$B$11,A215&gt;1),IF(OR(A215=入力!$B$15+1,AND(入力!$B$13="有効",A215&gt;1,MOD(A215-1,60)=0)),"・","")&amp;"金利変更","")&amp;IF(AND(OR(AND(入力!$B$13="有効",A215&gt;1,MOD(A215-1,60)=0),AND(A215=入力!$B$11,A215&gt;1)),入力!$B$14="有効",IF(E215=0,ROUND(C215/MAX(1,S214-A215+1),0),ROUND(-PMT(E215/12,MAX(1,S214-A215+1),C215),0))&gt;ROUND(G214*1.25,0),NOT(A215=入力!$B$15+1)),"・上限適用",""))</f>
        <v/>
      </c>
      <c r="Q215" s="35" t="str">
        <f>IF(AND(T214="",A215&lt;=S214),入力!$B$13,"")</f>
        <v>有効</v>
      </c>
      <c r="R215" s="32" t="str">
        <f>IF(AND(AND(T214="",A215&lt;=S214),OR(AND(入力!$B$13="有効",A215&gt;1,MOD(A215-1,60)=0),AND(A215=入力!$B$11,A215&gt;1)),入力!$B$14="有効"),ROUND(G214*1.25,0),"")</f>
        <v/>
      </c>
      <c r="S215" s="36">
        <f>IF(A215=入力!$B$15,A215+入力!$B$19,S214)</f>
        <v>360</v>
      </c>
      <c r="T215" s="35" t="str">
        <f t="shared" si="63"/>
        <v/>
      </c>
      <c r="U215" s="3">
        <f t="shared" si="48"/>
        <v>0</v>
      </c>
      <c r="V215" s="3">
        <f t="shared" si="49"/>
        <v>0</v>
      </c>
      <c r="W215" s="3">
        <f t="shared" si="50"/>
        <v>0</v>
      </c>
      <c r="X215" s="3">
        <f t="shared" si="51"/>
        <v>0</v>
      </c>
      <c r="Y215" s="3">
        <f>IF(A215&lt;入力!$B$15,ABS(G215-何もしない_月次!G215),0)</f>
        <v>0</v>
      </c>
      <c r="Z215" s="3">
        <f t="shared" si="52"/>
        <v>0</v>
      </c>
      <c r="AA215">
        <f>ROUND(IF(A215=入力!$B$15+1,IF(E215=0,ROUND(C215/入力!$B$19,0),ROUND(-PMT(E215/12,入力!$B$19,C215),0)),IF(OR(AND(入力!$B$13="有効",A215&gt;1,MOD(A215-1,60)=0),AND(A215=入力!$B$11,A215&gt;1)),IF(入力!$B$14="有効",MIN(IF(E215=0,ROUND(C215/MAX(1,S214-A215+1),0),ROUND(-PMT(E215/12,MAX(1,S214-A215+1),C215),0)),ROUND(G214*1.25,0)),IF(E215=0,ROUND(C215/MAX(1,S214-A215+1),0),ROUND(-PMT(E215/12,MAX(1,S214-A215+1),C215),0))),G214)),0)</f>
        <v>116934</v>
      </c>
    </row>
    <row r="216" spans="1:27">
      <c r="A216" s="30">
        <f>211</f>
        <v>211</v>
      </c>
      <c r="B216" s="31">
        <f>EDATE(入力!$B$6,A216-1)</f>
        <v>52628</v>
      </c>
      <c r="C216" s="32">
        <f t="shared" si="53"/>
        <v>15050663</v>
      </c>
      <c r="D216" s="32">
        <f t="shared" si="54"/>
        <v>0</v>
      </c>
      <c r="E216" s="33">
        <f>IF(AND(T215="",A216&lt;=S215),IF(A216&lt;入力!$B$11,入力!$B$10,入力!$B$12),0)</f>
        <v>2.5000000000000001E-2</v>
      </c>
      <c r="F216" s="32">
        <f t="shared" si="55"/>
        <v>31356</v>
      </c>
      <c r="G216" s="32">
        <f>ROUND(IF(NOT(AND(T215="",A216&lt;=S215)),0,IF(A216=入力!$B$15+1,IF(E216=0,ROUND(C216/入力!$B$19,0),ROUND(-PMT(E216/12,入力!$B$19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),0)</f>
        <v>116934</v>
      </c>
      <c r="H216" s="32">
        <f t="shared" si="56"/>
        <v>116934</v>
      </c>
      <c r="I216" s="32">
        <f t="shared" si="57"/>
        <v>31356</v>
      </c>
      <c r="J216" s="32">
        <f t="shared" si="58"/>
        <v>0</v>
      </c>
      <c r="K216" s="32">
        <f t="shared" si="59"/>
        <v>0</v>
      </c>
      <c r="L216" s="32">
        <f t="shared" si="60"/>
        <v>85578</v>
      </c>
      <c r="M216" s="32">
        <f>IF(AND(AND(T215="",A216&lt;=S215),A216=入力!$B$15),ROUND(MIN(入力!$B$16,MAX(0,C216-L216)),0),0)</f>
        <v>0</v>
      </c>
      <c r="N216" s="32">
        <f t="shared" si="61"/>
        <v>14965085</v>
      </c>
      <c r="O216" s="32">
        <f t="shared" si="62"/>
        <v>8293739</v>
      </c>
      <c r="P216" s="34" t="str">
        <f>IF(NOT(AND(T215="",A216&lt;=S215)),"",IF(A216=入力!$B$15+1,"繰上返済後再計算","")&amp;IF(AND(入力!$B$13="有効",A216&gt;1,MOD(A216-1,60)=0),IF(A216=入力!$B$15+1,"・","")&amp;"5年見直し","")&amp;IF(AND(A216=入力!$B$11,A216&gt;1),IF(OR(A216=入力!$B$15+1,AND(入力!$B$13="有効",A216&gt;1,MOD(A216-1,60)=0)),"・","")&amp;"金利変更","")&amp;IF(AND(OR(AND(入力!$B$13="有効",A216&gt;1,MOD(A216-1,60)=0),AND(A216=入力!$B$11,A216&gt;1)),入力!$B$14="有効",IF(E216=0,ROUND(C216/MAX(1,S215-A216+1),0),ROUND(-PMT(E216/12,MAX(1,S215-A216+1),C216),0))&gt;ROUND(G215*1.25,0),NOT(A216=入力!$B$15+1)),"・上限適用",""))</f>
        <v/>
      </c>
      <c r="Q216" s="35" t="str">
        <f>IF(AND(T215="",A216&lt;=S215),入力!$B$13,"")</f>
        <v>有効</v>
      </c>
      <c r="R216" s="32" t="str">
        <f>IF(AND(AND(T215="",A216&lt;=S215),OR(AND(入力!$B$13="有効",A216&gt;1,MOD(A216-1,60)=0),AND(A216=入力!$B$11,A216&gt;1)),入力!$B$14="有効"),ROUND(G215*1.25,0),"")</f>
        <v/>
      </c>
      <c r="S216" s="36">
        <f>IF(A216=入力!$B$15,A216+入力!$B$19,S215)</f>
        <v>360</v>
      </c>
      <c r="T216" s="35" t="str">
        <f t="shared" si="63"/>
        <v/>
      </c>
      <c r="U216" s="3">
        <f t="shared" si="48"/>
        <v>0</v>
      </c>
      <c r="V216" s="3">
        <f t="shared" si="49"/>
        <v>0</v>
      </c>
      <c r="W216" s="3">
        <f t="shared" si="50"/>
        <v>0</v>
      </c>
      <c r="X216" s="3">
        <f t="shared" si="51"/>
        <v>0</v>
      </c>
      <c r="Y216" s="3">
        <f>IF(A216&lt;入力!$B$15,ABS(G216-何もしない_月次!G216),0)</f>
        <v>0</v>
      </c>
      <c r="Z216" s="3">
        <f t="shared" si="52"/>
        <v>0</v>
      </c>
      <c r="AA216">
        <f>ROUND(IF(A216=入力!$B$15+1,IF(E216=0,ROUND(C216/入力!$B$19,0),ROUND(-PMT(E216/12,入力!$B$19,C216),0)),IF(OR(AND(入力!$B$13="有効",A216&gt;1,MOD(A216-1,60)=0),AND(A216=入力!$B$11,A216&gt;1)),IF(入力!$B$14="有効",MIN(IF(E216=0,ROUND(C216/MAX(1,S215-A216+1),0),ROUND(-PMT(E216/12,MAX(1,S215-A216+1),C216),0)),ROUND(G215*1.25,0)),IF(E216=0,ROUND(C216/MAX(1,S215-A216+1),0),ROUND(-PMT(E216/12,MAX(1,S215-A216+1),C216),0))),G215)),0)</f>
        <v>116934</v>
      </c>
    </row>
    <row r="217" spans="1:27">
      <c r="A217" s="30">
        <f>212</f>
        <v>212</v>
      </c>
      <c r="B217" s="31">
        <f>EDATE(入力!$B$6,A217-1)</f>
        <v>52657</v>
      </c>
      <c r="C217" s="32">
        <f t="shared" si="53"/>
        <v>14965085</v>
      </c>
      <c r="D217" s="32">
        <f t="shared" si="54"/>
        <v>0</v>
      </c>
      <c r="E217" s="33">
        <f>IF(AND(T216="",A217&lt;=S216),IF(A217&lt;入力!$B$11,入力!$B$10,入力!$B$12),0)</f>
        <v>2.5000000000000001E-2</v>
      </c>
      <c r="F217" s="32">
        <f t="shared" si="55"/>
        <v>31177</v>
      </c>
      <c r="G217" s="32">
        <f>ROUND(IF(NOT(AND(T216="",A217&lt;=S216)),0,IF(A217=入力!$B$15+1,IF(E217=0,ROUND(C217/入力!$B$19,0),ROUND(-PMT(E217/12,入力!$B$19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),0)</f>
        <v>116934</v>
      </c>
      <c r="H217" s="32">
        <f t="shared" si="56"/>
        <v>116934</v>
      </c>
      <c r="I217" s="32">
        <f t="shared" si="57"/>
        <v>31177</v>
      </c>
      <c r="J217" s="32">
        <f t="shared" si="58"/>
        <v>0</v>
      </c>
      <c r="K217" s="32">
        <f t="shared" si="59"/>
        <v>0</v>
      </c>
      <c r="L217" s="32">
        <f t="shared" si="60"/>
        <v>85757</v>
      </c>
      <c r="M217" s="32">
        <f>IF(AND(AND(T216="",A217&lt;=S216),A217=入力!$B$15),ROUND(MIN(入力!$B$16,MAX(0,C217-L217)),0),0)</f>
        <v>0</v>
      </c>
      <c r="N217" s="32">
        <f t="shared" si="61"/>
        <v>14879328</v>
      </c>
      <c r="O217" s="32">
        <f t="shared" si="62"/>
        <v>8324916</v>
      </c>
      <c r="P217" s="34" t="str">
        <f>IF(NOT(AND(T216="",A217&lt;=S216)),"",IF(A217=入力!$B$15+1,"繰上返済後再計算","")&amp;IF(AND(入力!$B$13="有効",A217&gt;1,MOD(A217-1,60)=0),IF(A217=入力!$B$15+1,"・","")&amp;"5年見直し","")&amp;IF(AND(A217=入力!$B$11,A217&gt;1),IF(OR(A217=入力!$B$15+1,AND(入力!$B$13="有効",A217&gt;1,MOD(A217-1,60)=0)),"・","")&amp;"金利変更","")&amp;IF(AND(OR(AND(入力!$B$13="有効",A217&gt;1,MOD(A217-1,60)=0),AND(A217=入力!$B$11,A217&gt;1)),入力!$B$14="有効",IF(E217=0,ROUND(C217/MAX(1,S216-A217+1),0),ROUND(-PMT(E217/12,MAX(1,S216-A217+1),C217),0))&gt;ROUND(G216*1.25,0),NOT(A217=入力!$B$15+1)),"・上限適用",""))</f>
        <v/>
      </c>
      <c r="Q217" s="35" t="str">
        <f>IF(AND(T216="",A217&lt;=S216),入力!$B$13,"")</f>
        <v>有効</v>
      </c>
      <c r="R217" s="32" t="str">
        <f>IF(AND(AND(T216="",A217&lt;=S216),OR(AND(入力!$B$13="有効",A217&gt;1,MOD(A217-1,60)=0),AND(A217=入力!$B$11,A217&gt;1)),入力!$B$14="有効"),ROUND(G216*1.25,0),"")</f>
        <v/>
      </c>
      <c r="S217" s="36">
        <f>IF(A217=入力!$B$15,A217+入力!$B$19,S216)</f>
        <v>360</v>
      </c>
      <c r="T217" s="35" t="str">
        <f t="shared" si="63"/>
        <v/>
      </c>
      <c r="U217" s="3">
        <f t="shared" si="48"/>
        <v>0</v>
      </c>
      <c r="V217" s="3">
        <f t="shared" si="49"/>
        <v>0</v>
      </c>
      <c r="W217" s="3">
        <f t="shared" si="50"/>
        <v>0</v>
      </c>
      <c r="X217" s="3">
        <f t="shared" si="51"/>
        <v>0</v>
      </c>
      <c r="Y217" s="3">
        <f>IF(A217&lt;入力!$B$15,ABS(G217-何もしない_月次!G217),0)</f>
        <v>0</v>
      </c>
      <c r="Z217" s="3">
        <f t="shared" si="52"/>
        <v>0</v>
      </c>
      <c r="AA217">
        <f>ROUND(IF(A217=入力!$B$15+1,IF(E217=0,ROUND(C217/入力!$B$19,0),ROUND(-PMT(E217/12,入力!$B$19,C217),0)),IF(OR(AND(入力!$B$13="有効",A217&gt;1,MOD(A217-1,60)=0),AND(A217=入力!$B$11,A217&gt;1)),IF(入力!$B$14="有効",MIN(IF(E217=0,ROUND(C217/MAX(1,S216-A217+1),0),ROUND(-PMT(E217/12,MAX(1,S216-A217+1),C217),0)),ROUND(G216*1.25,0)),IF(E217=0,ROUND(C217/MAX(1,S216-A217+1),0),ROUND(-PMT(E217/12,MAX(1,S216-A217+1),C217),0))),G216)),0)</f>
        <v>116934</v>
      </c>
    </row>
    <row r="218" spans="1:27">
      <c r="A218" s="30">
        <f>213</f>
        <v>213</v>
      </c>
      <c r="B218" s="31">
        <f>EDATE(入力!$B$6,A218-1)</f>
        <v>52688</v>
      </c>
      <c r="C218" s="32">
        <f t="shared" si="53"/>
        <v>14879328</v>
      </c>
      <c r="D218" s="32">
        <f t="shared" si="54"/>
        <v>0</v>
      </c>
      <c r="E218" s="33">
        <f>IF(AND(T217="",A218&lt;=S217),IF(A218&lt;入力!$B$11,入力!$B$10,入力!$B$12),0)</f>
        <v>2.5000000000000001E-2</v>
      </c>
      <c r="F218" s="32">
        <f t="shared" si="55"/>
        <v>30999</v>
      </c>
      <c r="G218" s="32">
        <f>ROUND(IF(NOT(AND(T217="",A218&lt;=S217)),0,IF(A218=入力!$B$15+1,IF(E218=0,ROUND(C218/入力!$B$19,0),ROUND(-PMT(E218/12,入力!$B$19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),0)</f>
        <v>116934</v>
      </c>
      <c r="H218" s="32">
        <f t="shared" si="56"/>
        <v>116934</v>
      </c>
      <c r="I218" s="32">
        <f t="shared" si="57"/>
        <v>30999</v>
      </c>
      <c r="J218" s="32">
        <f t="shared" si="58"/>
        <v>0</v>
      </c>
      <c r="K218" s="32">
        <f t="shared" si="59"/>
        <v>0</v>
      </c>
      <c r="L218" s="32">
        <f t="shared" si="60"/>
        <v>85935</v>
      </c>
      <c r="M218" s="32">
        <f>IF(AND(AND(T217="",A218&lt;=S217),A218=入力!$B$15),ROUND(MIN(入力!$B$16,MAX(0,C218-L218)),0),0)</f>
        <v>0</v>
      </c>
      <c r="N218" s="32">
        <f t="shared" si="61"/>
        <v>14793393</v>
      </c>
      <c r="O218" s="32">
        <f t="shared" si="62"/>
        <v>8355915</v>
      </c>
      <c r="P218" s="34" t="str">
        <f>IF(NOT(AND(T217="",A218&lt;=S217)),"",IF(A218=入力!$B$15+1,"繰上返済後再計算","")&amp;IF(AND(入力!$B$13="有効",A218&gt;1,MOD(A218-1,60)=0),IF(A218=入力!$B$15+1,"・","")&amp;"5年見直し","")&amp;IF(AND(A218=入力!$B$11,A218&gt;1),IF(OR(A218=入力!$B$15+1,AND(入力!$B$13="有効",A218&gt;1,MOD(A218-1,60)=0)),"・","")&amp;"金利変更","")&amp;IF(AND(OR(AND(入力!$B$13="有効",A218&gt;1,MOD(A218-1,60)=0),AND(A218=入力!$B$11,A218&gt;1)),入力!$B$14="有効",IF(E218=0,ROUND(C218/MAX(1,S217-A218+1),0),ROUND(-PMT(E218/12,MAX(1,S217-A218+1),C218),0))&gt;ROUND(G217*1.25,0),NOT(A218=入力!$B$15+1)),"・上限適用",""))</f>
        <v/>
      </c>
      <c r="Q218" s="35" t="str">
        <f>IF(AND(T217="",A218&lt;=S217),入力!$B$13,"")</f>
        <v>有効</v>
      </c>
      <c r="R218" s="32" t="str">
        <f>IF(AND(AND(T217="",A218&lt;=S217),OR(AND(入力!$B$13="有効",A218&gt;1,MOD(A218-1,60)=0),AND(A218=入力!$B$11,A218&gt;1)),入力!$B$14="有効"),ROUND(G217*1.25,0),"")</f>
        <v/>
      </c>
      <c r="S218" s="36">
        <f>IF(A218=入力!$B$15,A218+入力!$B$19,S217)</f>
        <v>360</v>
      </c>
      <c r="T218" s="35" t="str">
        <f t="shared" si="63"/>
        <v/>
      </c>
      <c r="U218" s="3">
        <f t="shared" si="48"/>
        <v>0</v>
      </c>
      <c r="V218" s="3">
        <f t="shared" si="49"/>
        <v>0</v>
      </c>
      <c r="W218" s="3">
        <f t="shared" si="50"/>
        <v>0</v>
      </c>
      <c r="X218" s="3">
        <f t="shared" si="51"/>
        <v>0</v>
      </c>
      <c r="Y218" s="3">
        <f>IF(A218&lt;入力!$B$15,ABS(G218-何もしない_月次!G218),0)</f>
        <v>0</v>
      </c>
      <c r="Z218" s="3">
        <f t="shared" si="52"/>
        <v>0</v>
      </c>
      <c r="AA218">
        <f>ROUND(IF(A218=入力!$B$15+1,IF(E218=0,ROUND(C218/入力!$B$19,0),ROUND(-PMT(E218/12,入力!$B$19,C218),0)),IF(OR(AND(入力!$B$13="有効",A218&gt;1,MOD(A218-1,60)=0),AND(A218=入力!$B$11,A218&gt;1)),IF(入力!$B$14="有効",MIN(IF(E218=0,ROUND(C218/MAX(1,S217-A218+1),0),ROUND(-PMT(E218/12,MAX(1,S217-A218+1),C218),0)),ROUND(G217*1.25,0)),IF(E218=0,ROUND(C218/MAX(1,S217-A218+1),0),ROUND(-PMT(E218/12,MAX(1,S217-A218+1),C218),0))),G217)),0)</f>
        <v>116934</v>
      </c>
    </row>
    <row r="219" spans="1:27">
      <c r="A219" s="30">
        <f>214</f>
        <v>214</v>
      </c>
      <c r="B219" s="31">
        <f>EDATE(入力!$B$6,A219-1)</f>
        <v>52718</v>
      </c>
      <c r="C219" s="32">
        <f t="shared" si="53"/>
        <v>14793393</v>
      </c>
      <c r="D219" s="32">
        <f t="shared" si="54"/>
        <v>0</v>
      </c>
      <c r="E219" s="33">
        <f>IF(AND(T218="",A219&lt;=S218),IF(A219&lt;入力!$B$11,入力!$B$10,入力!$B$12),0)</f>
        <v>2.5000000000000001E-2</v>
      </c>
      <c r="F219" s="32">
        <f t="shared" si="55"/>
        <v>30820</v>
      </c>
      <c r="G219" s="32">
        <f>ROUND(IF(NOT(AND(T218="",A219&lt;=S218)),0,IF(A219=入力!$B$15+1,IF(E219=0,ROUND(C219/入力!$B$19,0),ROUND(-PMT(E219/12,入力!$B$19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),0)</f>
        <v>116934</v>
      </c>
      <c r="H219" s="32">
        <f t="shared" si="56"/>
        <v>116934</v>
      </c>
      <c r="I219" s="32">
        <f t="shared" si="57"/>
        <v>30820</v>
      </c>
      <c r="J219" s="32">
        <f t="shared" si="58"/>
        <v>0</v>
      </c>
      <c r="K219" s="32">
        <f t="shared" si="59"/>
        <v>0</v>
      </c>
      <c r="L219" s="32">
        <f t="shared" si="60"/>
        <v>86114</v>
      </c>
      <c r="M219" s="32">
        <f>IF(AND(AND(T218="",A219&lt;=S218),A219=入力!$B$15),ROUND(MIN(入力!$B$16,MAX(0,C219-L219)),0),0)</f>
        <v>0</v>
      </c>
      <c r="N219" s="32">
        <f t="shared" si="61"/>
        <v>14707279</v>
      </c>
      <c r="O219" s="32">
        <f t="shared" si="62"/>
        <v>8386735</v>
      </c>
      <c r="P219" s="34" t="str">
        <f>IF(NOT(AND(T218="",A219&lt;=S218)),"",IF(A219=入力!$B$15+1,"繰上返済後再計算","")&amp;IF(AND(入力!$B$13="有効",A219&gt;1,MOD(A219-1,60)=0),IF(A219=入力!$B$15+1,"・","")&amp;"5年見直し","")&amp;IF(AND(A219=入力!$B$11,A219&gt;1),IF(OR(A219=入力!$B$15+1,AND(入力!$B$13="有効",A219&gt;1,MOD(A219-1,60)=0)),"・","")&amp;"金利変更","")&amp;IF(AND(OR(AND(入力!$B$13="有効",A219&gt;1,MOD(A219-1,60)=0),AND(A219=入力!$B$11,A219&gt;1)),入力!$B$14="有効",IF(E219=0,ROUND(C219/MAX(1,S218-A219+1),0),ROUND(-PMT(E219/12,MAX(1,S218-A219+1),C219),0))&gt;ROUND(G218*1.25,0),NOT(A219=入力!$B$15+1)),"・上限適用",""))</f>
        <v/>
      </c>
      <c r="Q219" s="35" t="str">
        <f>IF(AND(T218="",A219&lt;=S218),入力!$B$13,"")</f>
        <v>有効</v>
      </c>
      <c r="R219" s="32" t="str">
        <f>IF(AND(AND(T218="",A219&lt;=S218),OR(AND(入力!$B$13="有効",A219&gt;1,MOD(A219-1,60)=0),AND(A219=入力!$B$11,A219&gt;1)),入力!$B$14="有効"),ROUND(G218*1.25,0),"")</f>
        <v/>
      </c>
      <c r="S219" s="36">
        <f>IF(A219=入力!$B$15,A219+入力!$B$19,S218)</f>
        <v>360</v>
      </c>
      <c r="T219" s="35" t="str">
        <f t="shared" si="63"/>
        <v/>
      </c>
      <c r="U219" s="3">
        <f t="shared" si="48"/>
        <v>0</v>
      </c>
      <c r="V219" s="3">
        <f t="shared" si="49"/>
        <v>0</v>
      </c>
      <c r="W219" s="3">
        <f t="shared" si="50"/>
        <v>0</v>
      </c>
      <c r="X219" s="3">
        <f t="shared" si="51"/>
        <v>0</v>
      </c>
      <c r="Y219" s="3">
        <f>IF(A219&lt;入力!$B$15,ABS(G219-何もしない_月次!G219),0)</f>
        <v>0</v>
      </c>
      <c r="Z219" s="3">
        <f t="shared" si="52"/>
        <v>0</v>
      </c>
      <c r="AA219">
        <f>ROUND(IF(A219=入力!$B$15+1,IF(E219=0,ROUND(C219/入力!$B$19,0),ROUND(-PMT(E219/12,入力!$B$19,C219),0)),IF(OR(AND(入力!$B$13="有効",A219&gt;1,MOD(A219-1,60)=0),AND(A219=入力!$B$11,A219&gt;1)),IF(入力!$B$14="有効",MIN(IF(E219=0,ROUND(C219/MAX(1,S218-A219+1),0),ROUND(-PMT(E219/12,MAX(1,S218-A219+1),C219),0)),ROUND(G218*1.25,0)),IF(E219=0,ROUND(C219/MAX(1,S218-A219+1),0),ROUND(-PMT(E219/12,MAX(1,S218-A219+1),C219),0))),G218)),0)</f>
        <v>116934</v>
      </c>
    </row>
    <row r="220" spans="1:27">
      <c r="A220" s="30">
        <f>215</f>
        <v>215</v>
      </c>
      <c r="B220" s="31">
        <f>EDATE(入力!$B$6,A220-1)</f>
        <v>52749</v>
      </c>
      <c r="C220" s="32">
        <f t="shared" si="53"/>
        <v>14707279</v>
      </c>
      <c r="D220" s="32">
        <f t="shared" si="54"/>
        <v>0</v>
      </c>
      <c r="E220" s="33">
        <f>IF(AND(T219="",A220&lt;=S219),IF(A220&lt;入力!$B$11,入力!$B$10,入力!$B$12),0)</f>
        <v>2.5000000000000001E-2</v>
      </c>
      <c r="F220" s="32">
        <f t="shared" si="55"/>
        <v>30640</v>
      </c>
      <c r="G220" s="32">
        <f>ROUND(IF(NOT(AND(T219="",A220&lt;=S219)),0,IF(A220=入力!$B$15+1,IF(E220=0,ROUND(C220/入力!$B$19,0),ROUND(-PMT(E220/12,入力!$B$19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),0)</f>
        <v>116934</v>
      </c>
      <c r="H220" s="32">
        <f t="shared" si="56"/>
        <v>116934</v>
      </c>
      <c r="I220" s="32">
        <f t="shared" si="57"/>
        <v>30640</v>
      </c>
      <c r="J220" s="32">
        <f t="shared" si="58"/>
        <v>0</v>
      </c>
      <c r="K220" s="32">
        <f t="shared" si="59"/>
        <v>0</v>
      </c>
      <c r="L220" s="32">
        <f t="shared" si="60"/>
        <v>86294</v>
      </c>
      <c r="M220" s="32">
        <f>IF(AND(AND(T219="",A220&lt;=S219),A220=入力!$B$15),ROUND(MIN(入力!$B$16,MAX(0,C220-L220)),0),0)</f>
        <v>0</v>
      </c>
      <c r="N220" s="32">
        <f t="shared" si="61"/>
        <v>14620985</v>
      </c>
      <c r="O220" s="32">
        <f t="shared" si="62"/>
        <v>8417375</v>
      </c>
      <c r="P220" s="34" t="str">
        <f>IF(NOT(AND(T219="",A220&lt;=S219)),"",IF(A220=入力!$B$15+1,"繰上返済後再計算","")&amp;IF(AND(入力!$B$13="有効",A220&gt;1,MOD(A220-1,60)=0),IF(A220=入力!$B$15+1,"・","")&amp;"5年見直し","")&amp;IF(AND(A220=入力!$B$11,A220&gt;1),IF(OR(A220=入力!$B$15+1,AND(入力!$B$13="有効",A220&gt;1,MOD(A220-1,60)=0)),"・","")&amp;"金利変更","")&amp;IF(AND(OR(AND(入力!$B$13="有効",A220&gt;1,MOD(A220-1,60)=0),AND(A220=入力!$B$11,A220&gt;1)),入力!$B$14="有効",IF(E220=0,ROUND(C220/MAX(1,S219-A220+1),0),ROUND(-PMT(E220/12,MAX(1,S219-A220+1),C220),0))&gt;ROUND(G219*1.25,0),NOT(A220=入力!$B$15+1)),"・上限適用",""))</f>
        <v/>
      </c>
      <c r="Q220" s="35" t="str">
        <f>IF(AND(T219="",A220&lt;=S219),入力!$B$13,"")</f>
        <v>有効</v>
      </c>
      <c r="R220" s="32" t="str">
        <f>IF(AND(AND(T219="",A220&lt;=S219),OR(AND(入力!$B$13="有効",A220&gt;1,MOD(A220-1,60)=0),AND(A220=入力!$B$11,A220&gt;1)),入力!$B$14="有効"),ROUND(G219*1.25,0),"")</f>
        <v/>
      </c>
      <c r="S220" s="36">
        <f>IF(A220=入力!$B$15,A220+入力!$B$19,S219)</f>
        <v>360</v>
      </c>
      <c r="T220" s="35" t="str">
        <f t="shared" si="63"/>
        <v/>
      </c>
      <c r="U220" s="3">
        <f t="shared" si="48"/>
        <v>0</v>
      </c>
      <c r="V220" s="3">
        <f t="shared" si="49"/>
        <v>0</v>
      </c>
      <c r="W220" s="3">
        <f t="shared" si="50"/>
        <v>0</v>
      </c>
      <c r="X220" s="3">
        <f t="shared" si="51"/>
        <v>0</v>
      </c>
      <c r="Y220" s="3">
        <f>IF(A220&lt;入力!$B$15,ABS(G220-何もしない_月次!G220),0)</f>
        <v>0</v>
      </c>
      <c r="Z220" s="3">
        <f t="shared" si="52"/>
        <v>0</v>
      </c>
      <c r="AA220">
        <f>ROUND(IF(A220=入力!$B$15+1,IF(E220=0,ROUND(C220/入力!$B$19,0),ROUND(-PMT(E220/12,入力!$B$19,C220),0)),IF(OR(AND(入力!$B$13="有効",A220&gt;1,MOD(A220-1,60)=0),AND(A220=入力!$B$11,A220&gt;1)),IF(入力!$B$14="有効",MIN(IF(E220=0,ROUND(C220/MAX(1,S219-A220+1),0),ROUND(-PMT(E220/12,MAX(1,S219-A220+1),C220),0)),ROUND(G219*1.25,0)),IF(E220=0,ROUND(C220/MAX(1,S219-A220+1),0),ROUND(-PMT(E220/12,MAX(1,S219-A220+1),C220),0))),G219)),0)</f>
        <v>116934</v>
      </c>
    </row>
    <row r="221" spans="1:27">
      <c r="A221" s="30">
        <f>216</f>
        <v>216</v>
      </c>
      <c r="B221" s="31">
        <f>EDATE(入力!$B$6,A221-1)</f>
        <v>52779</v>
      </c>
      <c r="C221" s="32">
        <f t="shared" si="53"/>
        <v>14620985</v>
      </c>
      <c r="D221" s="32">
        <f t="shared" si="54"/>
        <v>0</v>
      </c>
      <c r="E221" s="33">
        <f>IF(AND(T220="",A221&lt;=S220),IF(A221&lt;入力!$B$11,入力!$B$10,入力!$B$12),0)</f>
        <v>2.5000000000000001E-2</v>
      </c>
      <c r="F221" s="32">
        <f t="shared" si="55"/>
        <v>30460</v>
      </c>
      <c r="G221" s="32">
        <f>ROUND(IF(NOT(AND(T220="",A221&lt;=S220)),0,IF(A221=入力!$B$15+1,IF(E221=0,ROUND(C221/入力!$B$19,0),ROUND(-PMT(E221/12,入力!$B$19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),0)</f>
        <v>116934</v>
      </c>
      <c r="H221" s="32">
        <f t="shared" si="56"/>
        <v>116934</v>
      </c>
      <c r="I221" s="32">
        <f t="shared" si="57"/>
        <v>30460</v>
      </c>
      <c r="J221" s="32">
        <f t="shared" si="58"/>
        <v>0</v>
      </c>
      <c r="K221" s="32">
        <f t="shared" si="59"/>
        <v>0</v>
      </c>
      <c r="L221" s="32">
        <f t="shared" si="60"/>
        <v>86474</v>
      </c>
      <c r="M221" s="32">
        <f>IF(AND(AND(T220="",A221&lt;=S220),A221=入力!$B$15),ROUND(MIN(入力!$B$16,MAX(0,C221-L221)),0),0)</f>
        <v>0</v>
      </c>
      <c r="N221" s="32">
        <f t="shared" si="61"/>
        <v>14534511</v>
      </c>
      <c r="O221" s="32">
        <f t="shared" si="62"/>
        <v>8447835</v>
      </c>
      <c r="P221" s="34" t="str">
        <f>IF(NOT(AND(T220="",A221&lt;=S220)),"",IF(A221=入力!$B$15+1,"繰上返済後再計算","")&amp;IF(AND(入力!$B$13="有効",A221&gt;1,MOD(A221-1,60)=0),IF(A221=入力!$B$15+1,"・","")&amp;"5年見直し","")&amp;IF(AND(A221=入力!$B$11,A221&gt;1),IF(OR(A221=入力!$B$15+1,AND(入力!$B$13="有効",A221&gt;1,MOD(A221-1,60)=0)),"・","")&amp;"金利変更","")&amp;IF(AND(OR(AND(入力!$B$13="有効",A221&gt;1,MOD(A221-1,60)=0),AND(A221=入力!$B$11,A221&gt;1)),入力!$B$14="有効",IF(E221=0,ROUND(C221/MAX(1,S220-A221+1),0),ROUND(-PMT(E221/12,MAX(1,S220-A221+1),C221),0))&gt;ROUND(G220*1.25,0),NOT(A221=入力!$B$15+1)),"・上限適用",""))</f>
        <v/>
      </c>
      <c r="Q221" s="35" t="str">
        <f>IF(AND(T220="",A221&lt;=S220),入力!$B$13,"")</f>
        <v>有効</v>
      </c>
      <c r="R221" s="32" t="str">
        <f>IF(AND(AND(T220="",A221&lt;=S220),OR(AND(入力!$B$13="有効",A221&gt;1,MOD(A221-1,60)=0),AND(A221=入力!$B$11,A221&gt;1)),入力!$B$14="有効"),ROUND(G220*1.25,0),"")</f>
        <v/>
      </c>
      <c r="S221" s="36">
        <f>IF(A221=入力!$B$15,A221+入力!$B$19,S220)</f>
        <v>360</v>
      </c>
      <c r="T221" s="35" t="str">
        <f t="shared" si="63"/>
        <v/>
      </c>
      <c r="U221" s="3">
        <f t="shared" si="48"/>
        <v>0</v>
      </c>
      <c r="V221" s="3">
        <f t="shared" si="49"/>
        <v>0</v>
      </c>
      <c r="W221" s="3">
        <f t="shared" si="50"/>
        <v>0</v>
      </c>
      <c r="X221" s="3">
        <f t="shared" si="51"/>
        <v>0</v>
      </c>
      <c r="Y221" s="3">
        <f>IF(A221&lt;入力!$B$15,ABS(G221-何もしない_月次!G221),0)</f>
        <v>0</v>
      </c>
      <c r="Z221" s="3">
        <f t="shared" si="52"/>
        <v>0</v>
      </c>
      <c r="AA221">
        <f>ROUND(IF(A221=入力!$B$15+1,IF(E221=0,ROUND(C221/入力!$B$19,0),ROUND(-PMT(E221/12,入力!$B$19,C221),0)),IF(OR(AND(入力!$B$13="有効",A221&gt;1,MOD(A221-1,60)=0),AND(A221=入力!$B$11,A221&gt;1)),IF(入力!$B$14="有効",MIN(IF(E221=0,ROUND(C221/MAX(1,S220-A221+1),0),ROUND(-PMT(E221/12,MAX(1,S220-A221+1),C221),0)),ROUND(G220*1.25,0)),IF(E221=0,ROUND(C221/MAX(1,S220-A221+1),0),ROUND(-PMT(E221/12,MAX(1,S220-A221+1),C221),0))),G220)),0)</f>
        <v>116934</v>
      </c>
    </row>
    <row r="222" spans="1:27">
      <c r="A222" s="30">
        <f>217</f>
        <v>217</v>
      </c>
      <c r="B222" s="31">
        <f>EDATE(入力!$B$6,A222-1)</f>
        <v>52810</v>
      </c>
      <c r="C222" s="32">
        <f t="shared" si="53"/>
        <v>14534511</v>
      </c>
      <c r="D222" s="32">
        <f t="shared" si="54"/>
        <v>0</v>
      </c>
      <c r="E222" s="33">
        <f>IF(AND(T221="",A222&lt;=S221),IF(A222&lt;入力!$B$11,入力!$B$10,入力!$B$12),0)</f>
        <v>2.5000000000000001E-2</v>
      </c>
      <c r="F222" s="32">
        <f t="shared" si="55"/>
        <v>30280</v>
      </c>
      <c r="G222" s="32">
        <f>ROUND(IF(NOT(AND(T221="",A222&lt;=S221)),0,IF(A222=入力!$B$15+1,IF(E222=0,ROUND(C222/入力!$B$19,0),ROUND(-PMT(E222/12,入力!$B$19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),0)</f>
        <v>116934</v>
      </c>
      <c r="H222" s="32">
        <f t="shared" si="56"/>
        <v>116934</v>
      </c>
      <c r="I222" s="32">
        <f t="shared" si="57"/>
        <v>30280</v>
      </c>
      <c r="J222" s="32">
        <f t="shared" si="58"/>
        <v>0</v>
      </c>
      <c r="K222" s="32">
        <f t="shared" si="59"/>
        <v>0</v>
      </c>
      <c r="L222" s="32">
        <f t="shared" si="60"/>
        <v>86654</v>
      </c>
      <c r="M222" s="32">
        <f>IF(AND(AND(T221="",A222&lt;=S221),A222=入力!$B$15),ROUND(MIN(入力!$B$16,MAX(0,C222-L222)),0),0)</f>
        <v>0</v>
      </c>
      <c r="N222" s="32">
        <f t="shared" si="61"/>
        <v>14447857</v>
      </c>
      <c r="O222" s="32">
        <f t="shared" si="62"/>
        <v>8478115</v>
      </c>
      <c r="P222" s="34" t="str">
        <f>IF(NOT(AND(T221="",A222&lt;=S221)),"",IF(A222=入力!$B$15+1,"繰上返済後再計算","")&amp;IF(AND(入力!$B$13="有効",A222&gt;1,MOD(A222-1,60)=0),IF(A222=入力!$B$15+1,"・","")&amp;"5年見直し","")&amp;IF(AND(A222=入力!$B$11,A222&gt;1),IF(OR(A222=入力!$B$15+1,AND(入力!$B$13="有効",A222&gt;1,MOD(A222-1,60)=0)),"・","")&amp;"金利変更","")&amp;IF(AND(OR(AND(入力!$B$13="有効",A222&gt;1,MOD(A222-1,60)=0),AND(A222=入力!$B$11,A222&gt;1)),入力!$B$14="有効",IF(E222=0,ROUND(C222/MAX(1,S221-A222+1),0),ROUND(-PMT(E222/12,MAX(1,S221-A222+1),C222),0))&gt;ROUND(G221*1.25,0),NOT(A222=入力!$B$15+1)),"・上限適用",""))</f>
        <v/>
      </c>
      <c r="Q222" s="35" t="str">
        <f>IF(AND(T221="",A222&lt;=S221),入力!$B$13,"")</f>
        <v>有効</v>
      </c>
      <c r="R222" s="32" t="str">
        <f>IF(AND(AND(T221="",A222&lt;=S221),OR(AND(入力!$B$13="有効",A222&gt;1,MOD(A222-1,60)=0),AND(A222=入力!$B$11,A222&gt;1)),入力!$B$14="有効"),ROUND(G221*1.25,0),"")</f>
        <v/>
      </c>
      <c r="S222" s="36">
        <f>IF(A222=入力!$B$15,A222+入力!$B$19,S221)</f>
        <v>360</v>
      </c>
      <c r="T222" s="35" t="str">
        <f t="shared" si="63"/>
        <v/>
      </c>
      <c r="U222" s="3">
        <f t="shared" si="48"/>
        <v>0</v>
      </c>
      <c r="V222" s="3">
        <f t="shared" si="49"/>
        <v>0</v>
      </c>
      <c r="W222" s="3">
        <f t="shared" si="50"/>
        <v>0</v>
      </c>
      <c r="X222" s="3">
        <f t="shared" si="51"/>
        <v>0</v>
      </c>
      <c r="Y222" s="3">
        <f>IF(A222&lt;入力!$B$15,ABS(G222-何もしない_月次!G222),0)</f>
        <v>0</v>
      </c>
      <c r="Z222" s="3">
        <f t="shared" si="52"/>
        <v>0</v>
      </c>
      <c r="AA222">
        <f>ROUND(IF(A222=入力!$B$15+1,IF(E222=0,ROUND(C222/入力!$B$19,0),ROUND(-PMT(E222/12,入力!$B$19,C222),0)),IF(OR(AND(入力!$B$13="有効",A222&gt;1,MOD(A222-1,60)=0),AND(A222=入力!$B$11,A222&gt;1)),IF(入力!$B$14="有効",MIN(IF(E222=0,ROUND(C222/MAX(1,S221-A222+1),0),ROUND(-PMT(E222/12,MAX(1,S221-A222+1),C222),0)),ROUND(G221*1.25,0)),IF(E222=0,ROUND(C222/MAX(1,S221-A222+1),0),ROUND(-PMT(E222/12,MAX(1,S221-A222+1),C222),0))),G221)),0)</f>
        <v>116934</v>
      </c>
    </row>
    <row r="223" spans="1:27">
      <c r="A223" s="30">
        <f>218</f>
        <v>218</v>
      </c>
      <c r="B223" s="31">
        <f>EDATE(入力!$B$6,A223-1)</f>
        <v>52841</v>
      </c>
      <c r="C223" s="32">
        <f t="shared" si="53"/>
        <v>14447857</v>
      </c>
      <c r="D223" s="32">
        <f t="shared" si="54"/>
        <v>0</v>
      </c>
      <c r="E223" s="33">
        <f>IF(AND(T222="",A223&lt;=S222),IF(A223&lt;入力!$B$11,入力!$B$10,入力!$B$12),0)</f>
        <v>2.5000000000000001E-2</v>
      </c>
      <c r="F223" s="32">
        <f t="shared" si="55"/>
        <v>30100</v>
      </c>
      <c r="G223" s="32">
        <f>ROUND(IF(NOT(AND(T222="",A223&lt;=S222)),0,IF(A223=入力!$B$15+1,IF(E223=0,ROUND(C223/入力!$B$19,0),ROUND(-PMT(E223/12,入力!$B$19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),0)</f>
        <v>116934</v>
      </c>
      <c r="H223" s="32">
        <f t="shared" si="56"/>
        <v>116934</v>
      </c>
      <c r="I223" s="32">
        <f t="shared" si="57"/>
        <v>30100</v>
      </c>
      <c r="J223" s="32">
        <f t="shared" si="58"/>
        <v>0</v>
      </c>
      <c r="K223" s="32">
        <f t="shared" si="59"/>
        <v>0</v>
      </c>
      <c r="L223" s="32">
        <f t="shared" si="60"/>
        <v>86834</v>
      </c>
      <c r="M223" s="32">
        <f>IF(AND(AND(T222="",A223&lt;=S222),A223=入力!$B$15),ROUND(MIN(入力!$B$16,MAX(0,C223-L223)),0),0)</f>
        <v>0</v>
      </c>
      <c r="N223" s="32">
        <f t="shared" si="61"/>
        <v>14361023</v>
      </c>
      <c r="O223" s="32">
        <f t="shared" si="62"/>
        <v>8508215</v>
      </c>
      <c r="P223" s="34" t="str">
        <f>IF(NOT(AND(T222="",A223&lt;=S222)),"",IF(A223=入力!$B$15+1,"繰上返済後再計算","")&amp;IF(AND(入力!$B$13="有効",A223&gt;1,MOD(A223-1,60)=0),IF(A223=入力!$B$15+1,"・","")&amp;"5年見直し","")&amp;IF(AND(A223=入力!$B$11,A223&gt;1),IF(OR(A223=入力!$B$15+1,AND(入力!$B$13="有効",A223&gt;1,MOD(A223-1,60)=0)),"・","")&amp;"金利変更","")&amp;IF(AND(OR(AND(入力!$B$13="有効",A223&gt;1,MOD(A223-1,60)=0),AND(A223=入力!$B$11,A223&gt;1)),入力!$B$14="有効",IF(E223=0,ROUND(C223/MAX(1,S222-A223+1),0),ROUND(-PMT(E223/12,MAX(1,S222-A223+1),C223),0))&gt;ROUND(G222*1.25,0),NOT(A223=入力!$B$15+1)),"・上限適用",""))</f>
        <v/>
      </c>
      <c r="Q223" s="35" t="str">
        <f>IF(AND(T222="",A223&lt;=S222),入力!$B$13,"")</f>
        <v>有効</v>
      </c>
      <c r="R223" s="32" t="str">
        <f>IF(AND(AND(T222="",A223&lt;=S222),OR(AND(入力!$B$13="有効",A223&gt;1,MOD(A223-1,60)=0),AND(A223=入力!$B$11,A223&gt;1)),入力!$B$14="有効"),ROUND(G222*1.25,0),"")</f>
        <v/>
      </c>
      <c r="S223" s="36">
        <f>IF(A223=入力!$B$15,A223+入力!$B$19,S222)</f>
        <v>360</v>
      </c>
      <c r="T223" s="35" t="str">
        <f t="shared" si="63"/>
        <v/>
      </c>
      <c r="U223" s="3">
        <f t="shared" si="48"/>
        <v>0</v>
      </c>
      <c r="V223" s="3">
        <f t="shared" si="49"/>
        <v>0</v>
      </c>
      <c r="W223" s="3">
        <f t="shared" si="50"/>
        <v>0</v>
      </c>
      <c r="X223" s="3">
        <f t="shared" si="51"/>
        <v>0</v>
      </c>
      <c r="Y223" s="3">
        <f>IF(A223&lt;入力!$B$15,ABS(G223-何もしない_月次!G223),0)</f>
        <v>0</v>
      </c>
      <c r="Z223" s="3">
        <f t="shared" si="52"/>
        <v>0</v>
      </c>
      <c r="AA223">
        <f>ROUND(IF(A223=入力!$B$15+1,IF(E223=0,ROUND(C223/入力!$B$19,0),ROUND(-PMT(E223/12,入力!$B$19,C223),0)),IF(OR(AND(入力!$B$13="有効",A223&gt;1,MOD(A223-1,60)=0),AND(A223=入力!$B$11,A223&gt;1)),IF(入力!$B$14="有効",MIN(IF(E223=0,ROUND(C223/MAX(1,S222-A223+1),0),ROUND(-PMT(E223/12,MAX(1,S222-A223+1),C223),0)),ROUND(G222*1.25,0)),IF(E223=0,ROUND(C223/MAX(1,S222-A223+1),0),ROUND(-PMT(E223/12,MAX(1,S222-A223+1),C223),0))),G222)),0)</f>
        <v>116934</v>
      </c>
    </row>
    <row r="224" spans="1:27">
      <c r="A224" s="30">
        <f>219</f>
        <v>219</v>
      </c>
      <c r="B224" s="31">
        <f>EDATE(入力!$B$6,A224-1)</f>
        <v>52871</v>
      </c>
      <c r="C224" s="32">
        <f t="shared" si="53"/>
        <v>14361023</v>
      </c>
      <c r="D224" s="32">
        <f t="shared" si="54"/>
        <v>0</v>
      </c>
      <c r="E224" s="33">
        <f>IF(AND(T223="",A224&lt;=S223),IF(A224&lt;入力!$B$11,入力!$B$10,入力!$B$12),0)</f>
        <v>2.5000000000000001E-2</v>
      </c>
      <c r="F224" s="32">
        <f t="shared" si="55"/>
        <v>29919</v>
      </c>
      <c r="G224" s="32">
        <f>ROUND(IF(NOT(AND(T223="",A224&lt;=S223)),0,IF(A224=入力!$B$15+1,IF(E224=0,ROUND(C224/入力!$B$19,0),ROUND(-PMT(E224/12,入力!$B$19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),0)</f>
        <v>116934</v>
      </c>
      <c r="H224" s="32">
        <f t="shared" si="56"/>
        <v>116934</v>
      </c>
      <c r="I224" s="32">
        <f t="shared" si="57"/>
        <v>29919</v>
      </c>
      <c r="J224" s="32">
        <f t="shared" si="58"/>
        <v>0</v>
      </c>
      <c r="K224" s="32">
        <f t="shared" si="59"/>
        <v>0</v>
      </c>
      <c r="L224" s="32">
        <f t="shared" si="60"/>
        <v>87015</v>
      </c>
      <c r="M224" s="32">
        <f>IF(AND(AND(T223="",A224&lt;=S223),A224=入力!$B$15),ROUND(MIN(入力!$B$16,MAX(0,C224-L224)),0),0)</f>
        <v>0</v>
      </c>
      <c r="N224" s="32">
        <f t="shared" si="61"/>
        <v>14274008</v>
      </c>
      <c r="O224" s="32">
        <f t="shared" si="62"/>
        <v>8538134</v>
      </c>
      <c r="P224" s="34" t="str">
        <f>IF(NOT(AND(T223="",A224&lt;=S223)),"",IF(A224=入力!$B$15+1,"繰上返済後再計算","")&amp;IF(AND(入力!$B$13="有効",A224&gt;1,MOD(A224-1,60)=0),IF(A224=入力!$B$15+1,"・","")&amp;"5年見直し","")&amp;IF(AND(A224=入力!$B$11,A224&gt;1),IF(OR(A224=入力!$B$15+1,AND(入力!$B$13="有効",A224&gt;1,MOD(A224-1,60)=0)),"・","")&amp;"金利変更","")&amp;IF(AND(OR(AND(入力!$B$13="有効",A224&gt;1,MOD(A224-1,60)=0),AND(A224=入力!$B$11,A224&gt;1)),入力!$B$14="有効",IF(E224=0,ROUND(C224/MAX(1,S223-A224+1),0),ROUND(-PMT(E224/12,MAX(1,S223-A224+1),C224),0))&gt;ROUND(G223*1.25,0),NOT(A224=入力!$B$15+1)),"・上限適用",""))</f>
        <v/>
      </c>
      <c r="Q224" s="35" t="str">
        <f>IF(AND(T223="",A224&lt;=S223),入力!$B$13,"")</f>
        <v>有効</v>
      </c>
      <c r="R224" s="32" t="str">
        <f>IF(AND(AND(T223="",A224&lt;=S223),OR(AND(入力!$B$13="有効",A224&gt;1,MOD(A224-1,60)=0),AND(A224=入力!$B$11,A224&gt;1)),入力!$B$14="有効"),ROUND(G223*1.25,0),"")</f>
        <v/>
      </c>
      <c r="S224" s="36">
        <f>IF(A224=入力!$B$15,A224+入力!$B$19,S223)</f>
        <v>360</v>
      </c>
      <c r="T224" s="35" t="str">
        <f t="shared" si="63"/>
        <v/>
      </c>
      <c r="U224" s="3">
        <f t="shared" si="48"/>
        <v>0</v>
      </c>
      <c r="V224" s="3">
        <f t="shared" si="49"/>
        <v>0</v>
      </c>
      <c r="W224" s="3">
        <f t="shared" si="50"/>
        <v>0</v>
      </c>
      <c r="X224" s="3">
        <f t="shared" si="51"/>
        <v>0</v>
      </c>
      <c r="Y224" s="3">
        <f>IF(A224&lt;入力!$B$15,ABS(G224-何もしない_月次!G224),0)</f>
        <v>0</v>
      </c>
      <c r="Z224" s="3">
        <f t="shared" si="52"/>
        <v>0</v>
      </c>
      <c r="AA224">
        <f>ROUND(IF(A224=入力!$B$15+1,IF(E224=0,ROUND(C224/入力!$B$19,0),ROUND(-PMT(E224/12,入力!$B$19,C224),0)),IF(OR(AND(入力!$B$13="有効",A224&gt;1,MOD(A224-1,60)=0),AND(A224=入力!$B$11,A224&gt;1)),IF(入力!$B$14="有効",MIN(IF(E224=0,ROUND(C224/MAX(1,S223-A224+1),0),ROUND(-PMT(E224/12,MAX(1,S223-A224+1),C224),0)),ROUND(G223*1.25,0)),IF(E224=0,ROUND(C224/MAX(1,S223-A224+1),0),ROUND(-PMT(E224/12,MAX(1,S223-A224+1),C224),0))),G223)),0)</f>
        <v>116934</v>
      </c>
    </row>
    <row r="225" spans="1:27">
      <c r="A225" s="30">
        <f>220</f>
        <v>220</v>
      </c>
      <c r="B225" s="31">
        <f>EDATE(入力!$B$6,A225-1)</f>
        <v>52902</v>
      </c>
      <c r="C225" s="32">
        <f t="shared" si="53"/>
        <v>14274008</v>
      </c>
      <c r="D225" s="32">
        <f t="shared" si="54"/>
        <v>0</v>
      </c>
      <c r="E225" s="33">
        <f>IF(AND(T224="",A225&lt;=S224),IF(A225&lt;入力!$B$11,入力!$B$10,入力!$B$12),0)</f>
        <v>2.5000000000000001E-2</v>
      </c>
      <c r="F225" s="32">
        <f t="shared" si="55"/>
        <v>29738</v>
      </c>
      <c r="G225" s="32">
        <f>ROUND(IF(NOT(AND(T224="",A225&lt;=S224)),0,IF(A225=入力!$B$15+1,IF(E225=0,ROUND(C225/入力!$B$19,0),ROUND(-PMT(E225/12,入力!$B$19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),0)</f>
        <v>116934</v>
      </c>
      <c r="H225" s="32">
        <f t="shared" si="56"/>
        <v>116934</v>
      </c>
      <c r="I225" s="32">
        <f t="shared" si="57"/>
        <v>29738</v>
      </c>
      <c r="J225" s="32">
        <f t="shared" si="58"/>
        <v>0</v>
      </c>
      <c r="K225" s="32">
        <f t="shared" si="59"/>
        <v>0</v>
      </c>
      <c r="L225" s="32">
        <f t="shared" si="60"/>
        <v>87196</v>
      </c>
      <c r="M225" s="32">
        <f>IF(AND(AND(T224="",A225&lt;=S224),A225=入力!$B$15),ROUND(MIN(入力!$B$16,MAX(0,C225-L225)),0),0)</f>
        <v>0</v>
      </c>
      <c r="N225" s="32">
        <f t="shared" si="61"/>
        <v>14186812</v>
      </c>
      <c r="O225" s="32">
        <f t="shared" si="62"/>
        <v>8567872</v>
      </c>
      <c r="P225" s="34" t="str">
        <f>IF(NOT(AND(T224="",A225&lt;=S224)),"",IF(A225=入力!$B$15+1,"繰上返済後再計算","")&amp;IF(AND(入力!$B$13="有効",A225&gt;1,MOD(A225-1,60)=0),IF(A225=入力!$B$15+1,"・","")&amp;"5年見直し","")&amp;IF(AND(A225=入力!$B$11,A225&gt;1),IF(OR(A225=入力!$B$15+1,AND(入力!$B$13="有効",A225&gt;1,MOD(A225-1,60)=0)),"・","")&amp;"金利変更","")&amp;IF(AND(OR(AND(入力!$B$13="有効",A225&gt;1,MOD(A225-1,60)=0),AND(A225=入力!$B$11,A225&gt;1)),入力!$B$14="有効",IF(E225=0,ROUND(C225/MAX(1,S224-A225+1),0),ROUND(-PMT(E225/12,MAX(1,S224-A225+1),C225),0))&gt;ROUND(G224*1.25,0),NOT(A225=入力!$B$15+1)),"・上限適用",""))</f>
        <v/>
      </c>
      <c r="Q225" s="35" t="str">
        <f>IF(AND(T224="",A225&lt;=S224),入力!$B$13,"")</f>
        <v>有効</v>
      </c>
      <c r="R225" s="32" t="str">
        <f>IF(AND(AND(T224="",A225&lt;=S224),OR(AND(入力!$B$13="有効",A225&gt;1,MOD(A225-1,60)=0),AND(A225=入力!$B$11,A225&gt;1)),入力!$B$14="有効"),ROUND(G224*1.25,0),"")</f>
        <v/>
      </c>
      <c r="S225" s="36">
        <f>IF(A225=入力!$B$15,A225+入力!$B$19,S224)</f>
        <v>360</v>
      </c>
      <c r="T225" s="35" t="str">
        <f t="shared" si="63"/>
        <v/>
      </c>
      <c r="U225" s="3">
        <f t="shared" si="48"/>
        <v>0</v>
      </c>
      <c r="V225" s="3">
        <f t="shared" si="49"/>
        <v>0</v>
      </c>
      <c r="W225" s="3">
        <f t="shared" si="50"/>
        <v>0</v>
      </c>
      <c r="X225" s="3">
        <f t="shared" si="51"/>
        <v>0</v>
      </c>
      <c r="Y225" s="3">
        <f>IF(A225&lt;入力!$B$15,ABS(G225-何もしない_月次!G225),0)</f>
        <v>0</v>
      </c>
      <c r="Z225" s="3">
        <f t="shared" si="52"/>
        <v>0</v>
      </c>
      <c r="AA225">
        <f>ROUND(IF(A225=入力!$B$15+1,IF(E225=0,ROUND(C225/入力!$B$19,0),ROUND(-PMT(E225/12,入力!$B$19,C225),0)),IF(OR(AND(入力!$B$13="有効",A225&gt;1,MOD(A225-1,60)=0),AND(A225=入力!$B$11,A225&gt;1)),IF(入力!$B$14="有効",MIN(IF(E225=0,ROUND(C225/MAX(1,S224-A225+1),0),ROUND(-PMT(E225/12,MAX(1,S224-A225+1),C225),0)),ROUND(G224*1.25,0)),IF(E225=0,ROUND(C225/MAX(1,S224-A225+1),0),ROUND(-PMT(E225/12,MAX(1,S224-A225+1),C225),0))),G224)),0)</f>
        <v>116934</v>
      </c>
    </row>
    <row r="226" spans="1:27">
      <c r="A226" s="30">
        <f>221</f>
        <v>221</v>
      </c>
      <c r="B226" s="31">
        <f>EDATE(入力!$B$6,A226-1)</f>
        <v>52932</v>
      </c>
      <c r="C226" s="32">
        <f t="shared" si="53"/>
        <v>14186812</v>
      </c>
      <c r="D226" s="32">
        <f t="shared" si="54"/>
        <v>0</v>
      </c>
      <c r="E226" s="33">
        <f>IF(AND(T225="",A226&lt;=S225),IF(A226&lt;入力!$B$11,入力!$B$10,入力!$B$12),0)</f>
        <v>2.5000000000000001E-2</v>
      </c>
      <c r="F226" s="32">
        <f t="shared" si="55"/>
        <v>29556</v>
      </c>
      <c r="G226" s="32">
        <f>ROUND(IF(NOT(AND(T225="",A226&lt;=S225)),0,IF(A226=入力!$B$15+1,IF(E226=0,ROUND(C226/入力!$B$19,0),ROUND(-PMT(E226/12,入力!$B$19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),0)</f>
        <v>116934</v>
      </c>
      <c r="H226" s="32">
        <f t="shared" si="56"/>
        <v>116934</v>
      </c>
      <c r="I226" s="32">
        <f t="shared" si="57"/>
        <v>29556</v>
      </c>
      <c r="J226" s="32">
        <f t="shared" si="58"/>
        <v>0</v>
      </c>
      <c r="K226" s="32">
        <f t="shared" si="59"/>
        <v>0</v>
      </c>
      <c r="L226" s="32">
        <f t="shared" si="60"/>
        <v>87378</v>
      </c>
      <c r="M226" s="32">
        <f>IF(AND(AND(T225="",A226&lt;=S225),A226=入力!$B$15),ROUND(MIN(入力!$B$16,MAX(0,C226-L226)),0),0)</f>
        <v>0</v>
      </c>
      <c r="N226" s="32">
        <f t="shared" si="61"/>
        <v>14099434</v>
      </c>
      <c r="O226" s="32">
        <f t="shared" si="62"/>
        <v>8597428</v>
      </c>
      <c r="P226" s="34" t="str">
        <f>IF(NOT(AND(T225="",A226&lt;=S225)),"",IF(A226=入力!$B$15+1,"繰上返済後再計算","")&amp;IF(AND(入力!$B$13="有効",A226&gt;1,MOD(A226-1,60)=0),IF(A226=入力!$B$15+1,"・","")&amp;"5年見直し","")&amp;IF(AND(A226=入力!$B$11,A226&gt;1),IF(OR(A226=入力!$B$15+1,AND(入力!$B$13="有効",A226&gt;1,MOD(A226-1,60)=0)),"・","")&amp;"金利変更","")&amp;IF(AND(OR(AND(入力!$B$13="有効",A226&gt;1,MOD(A226-1,60)=0),AND(A226=入力!$B$11,A226&gt;1)),入力!$B$14="有効",IF(E226=0,ROUND(C226/MAX(1,S225-A226+1),0),ROUND(-PMT(E226/12,MAX(1,S225-A226+1),C226),0))&gt;ROUND(G225*1.25,0),NOT(A226=入力!$B$15+1)),"・上限適用",""))</f>
        <v/>
      </c>
      <c r="Q226" s="35" t="str">
        <f>IF(AND(T225="",A226&lt;=S225),入力!$B$13,"")</f>
        <v>有効</v>
      </c>
      <c r="R226" s="32" t="str">
        <f>IF(AND(AND(T225="",A226&lt;=S225),OR(AND(入力!$B$13="有効",A226&gt;1,MOD(A226-1,60)=0),AND(A226=入力!$B$11,A226&gt;1)),入力!$B$14="有効"),ROUND(G225*1.25,0),"")</f>
        <v/>
      </c>
      <c r="S226" s="36">
        <f>IF(A226=入力!$B$15,A226+入力!$B$19,S225)</f>
        <v>360</v>
      </c>
      <c r="T226" s="35" t="str">
        <f t="shared" si="63"/>
        <v/>
      </c>
      <c r="U226" s="3">
        <f t="shared" si="48"/>
        <v>0</v>
      </c>
      <c r="V226" s="3">
        <f t="shared" si="49"/>
        <v>0</v>
      </c>
      <c r="W226" s="3">
        <f t="shared" si="50"/>
        <v>0</v>
      </c>
      <c r="X226" s="3">
        <f t="shared" si="51"/>
        <v>0</v>
      </c>
      <c r="Y226" s="3">
        <f>IF(A226&lt;入力!$B$15,ABS(G226-何もしない_月次!G226),0)</f>
        <v>0</v>
      </c>
      <c r="Z226" s="3">
        <f t="shared" si="52"/>
        <v>0</v>
      </c>
      <c r="AA226">
        <f>ROUND(IF(A226=入力!$B$15+1,IF(E226=0,ROUND(C226/入力!$B$19,0),ROUND(-PMT(E226/12,入力!$B$19,C226),0)),IF(OR(AND(入力!$B$13="有効",A226&gt;1,MOD(A226-1,60)=0),AND(A226=入力!$B$11,A226&gt;1)),IF(入力!$B$14="有効",MIN(IF(E226=0,ROUND(C226/MAX(1,S225-A226+1),0),ROUND(-PMT(E226/12,MAX(1,S225-A226+1),C226),0)),ROUND(G225*1.25,0)),IF(E226=0,ROUND(C226/MAX(1,S225-A226+1),0),ROUND(-PMT(E226/12,MAX(1,S225-A226+1),C226),0))),G225)),0)</f>
        <v>116934</v>
      </c>
    </row>
    <row r="227" spans="1:27">
      <c r="A227" s="30">
        <f>222</f>
        <v>222</v>
      </c>
      <c r="B227" s="31">
        <f>EDATE(入力!$B$6,A227-1)</f>
        <v>52963</v>
      </c>
      <c r="C227" s="32">
        <f t="shared" si="53"/>
        <v>14099434</v>
      </c>
      <c r="D227" s="32">
        <f t="shared" si="54"/>
        <v>0</v>
      </c>
      <c r="E227" s="33">
        <f>IF(AND(T226="",A227&lt;=S226),IF(A227&lt;入力!$B$11,入力!$B$10,入力!$B$12),0)</f>
        <v>2.5000000000000001E-2</v>
      </c>
      <c r="F227" s="32">
        <f t="shared" si="55"/>
        <v>29374</v>
      </c>
      <c r="G227" s="32">
        <f>ROUND(IF(NOT(AND(T226="",A227&lt;=S226)),0,IF(A227=入力!$B$15+1,IF(E227=0,ROUND(C227/入力!$B$19,0),ROUND(-PMT(E227/12,入力!$B$19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),0)</f>
        <v>116934</v>
      </c>
      <c r="H227" s="32">
        <f t="shared" si="56"/>
        <v>116934</v>
      </c>
      <c r="I227" s="32">
        <f t="shared" si="57"/>
        <v>29374</v>
      </c>
      <c r="J227" s="32">
        <f t="shared" si="58"/>
        <v>0</v>
      </c>
      <c r="K227" s="32">
        <f t="shared" si="59"/>
        <v>0</v>
      </c>
      <c r="L227" s="32">
        <f t="shared" si="60"/>
        <v>87560</v>
      </c>
      <c r="M227" s="32">
        <f>IF(AND(AND(T226="",A227&lt;=S226),A227=入力!$B$15),ROUND(MIN(入力!$B$16,MAX(0,C227-L227)),0),0)</f>
        <v>0</v>
      </c>
      <c r="N227" s="32">
        <f t="shared" si="61"/>
        <v>14011874</v>
      </c>
      <c r="O227" s="32">
        <f t="shared" si="62"/>
        <v>8626802</v>
      </c>
      <c r="P227" s="34" t="str">
        <f>IF(NOT(AND(T226="",A227&lt;=S226)),"",IF(A227=入力!$B$15+1,"繰上返済後再計算","")&amp;IF(AND(入力!$B$13="有効",A227&gt;1,MOD(A227-1,60)=0),IF(A227=入力!$B$15+1,"・","")&amp;"5年見直し","")&amp;IF(AND(A227=入力!$B$11,A227&gt;1),IF(OR(A227=入力!$B$15+1,AND(入力!$B$13="有効",A227&gt;1,MOD(A227-1,60)=0)),"・","")&amp;"金利変更","")&amp;IF(AND(OR(AND(入力!$B$13="有効",A227&gt;1,MOD(A227-1,60)=0),AND(A227=入力!$B$11,A227&gt;1)),入力!$B$14="有効",IF(E227=0,ROUND(C227/MAX(1,S226-A227+1),0),ROUND(-PMT(E227/12,MAX(1,S226-A227+1),C227),0))&gt;ROUND(G226*1.25,0),NOT(A227=入力!$B$15+1)),"・上限適用",""))</f>
        <v/>
      </c>
      <c r="Q227" s="35" t="str">
        <f>IF(AND(T226="",A227&lt;=S226),入力!$B$13,"")</f>
        <v>有効</v>
      </c>
      <c r="R227" s="32" t="str">
        <f>IF(AND(AND(T226="",A227&lt;=S226),OR(AND(入力!$B$13="有効",A227&gt;1,MOD(A227-1,60)=0),AND(A227=入力!$B$11,A227&gt;1)),入力!$B$14="有効"),ROUND(G226*1.25,0),"")</f>
        <v/>
      </c>
      <c r="S227" s="36">
        <f>IF(A227=入力!$B$15,A227+入力!$B$19,S226)</f>
        <v>360</v>
      </c>
      <c r="T227" s="35" t="str">
        <f t="shared" si="63"/>
        <v/>
      </c>
      <c r="U227" s="3">
        <f t="shared" si="48"/>
        <v>0</v>
      </c>
      <c r="V227" s="3">
        <f t="shared" si="49"/>
        <v>0</v>
      </c>
      <c r="W227" s="3">
        <f t="shared" si="50"/>
        <v>0</v>
      </c>
      <c r="X227" s="3">
        <f t="shared" si="51"/>
        <v>0</v>
      </c>
      <c r="Y227" s="3">
        <f>IF(A227&lt;入力!$B$15,ABS(G227-何もしない_月次!G227),0)</f>
        <v>0</v>
      </c>
      <c r="Z227" s="3">
        <f t="shared" si="52"/>
        <v>0</v>
      </c>
      <c r="AA227">
        <f>ROUND(IF(A227=入力!$B$15+1,IF(E227=0,ROUND(C227/入力!$B$19,0),ROUND(-PMT(E227/12,入力!$B$19,C227),0)),IF(OR(AND(入力!$B$13="有効",A227&gt;1,MOD(A227-1,60)=0),AND(A227=入力!$B$11,A227&gt;1)),IF(入力!$B$14="有効",MIN(IF(E227=0,ROUND(C227/MAX(1,S226-A227+1),0),ROUND(-PMT(E227/12,MAX(1,S226-A227+1),C227),0)),ROUND(G226*1.25,0)),IF(E227=0,ROUND(C227/MAX(1,S226-A227+1),0),ROUND(-PMT(E227/12,MAX(1,S226-A227+1),C227),0))),G226)),0)</f>
        <v>116934</v>
      </c>
    </row>
    <row r="228" spans="1:27">
      <c r="A228" s="30">
        <f>223</f>
        <v>223</v>
      </c>
      <c r="B228" s="31">
        <f>EDATE(入力!$B$6,A228-1)</f>
        <v>52994</v>
      </c>
      <c r="C228" s="32">
        <f t="shared" si="53"/>
        <v>14011874</v>
      </c>
      <c r="D228" s="32">
        <f t="shared" si="54"/>
        <v>0</v>
      </c>
      <c r="E228" s="33">
        <f>IF(AND(T227="",A228&lt;=S227),IF(A228&lt;入力!$B$11,入力!$B$10,入力!$B$12),0)</f>
        <v>2.5000000000000001E-2</v>
      </c>
      <c r="F228" s="32">
        <f t="shared" si="55"/>
        <v>29191</v>
      </c>
      <c r="G228" s="32">
        <f>ROUND(IF(NOT(AND(T227="",A228&lt;=S227)),0,IF(A228=入力!$B$15+1,IF(E228=0,ROUND(C228/入力!$B$19,0),ROUND(-PMT(E228/12,入力!$B$19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),0)</f>
        <v>116934</v>
      </c>
      <c r="H228" s="32">
        <f t="shared" si="56"/>
        <v>116934</v>
      </c>
      <c r="I228" s="32">
        <f t="shared" si="57"/>
        <v>29191</v>
      </c>
      <c r="J228" s="32">
        <f t="shared" si="58"/>
        <v>0</v>
      </c>
      <c r="K228" s="32">
        <f t="shared" si="59"/>
        <v>0</v>
      </c>
      <c r="L228" s="32">
        <f t="shared" si="60"/>
        <v>87743</v>
      </c>
      <c r="M228" s="32">
        <f>IF(AND(AND(T227="",A228&lt;=S227),A228=入力!$B$15),ROUND(MIN(入力!$B$16,MAX(0,C228-L228)),0),0)</f>
        <v>0</v>
      </c>
      <c r="N228" s="32">
        <f t="shared" si="61"/>
        <v>13924131</v>
      </c>
      <c r="O228" s="32">
        <f t="shared" si="62"/>
        <v>8655993</v>
      </c>
      <c r="P228" s="34" t="str">
        <f>IF(NOT(AND(T227="",A228&lt;=S227)),"",IF(A228=入力!$B$15+1,"繰上返済後再計算","")&amp;IF(AND(入力!$B$13="有効",A228&gt;1,MOD(A228-1,60)=0),IF(A228=入力!$B$15+1,"・","")&amp;"5年見直し","")&amp;IF(AND(A228=入力!$B$11,A228&gt;1),IF(OR(A228=入力!$B$15+1,AND(入力!$B$13="有効",A228&gt;1,MOD(A228-1,60)=0)),"・","")&amp;"金利変更","")&amp;IF(AND(OR(AND(入力!$B$13="有効",A228&gt;1,MOD(A228-1,60)=0),AND(A228=入力!$B$11,A228&gt;1)),入力!$B$14="有効",IF(E228=0,ROUND(C228/MAX(1,S227-A228+1),0),ROUND(-PMT(E228/12,MAX(1,S227-A228+1),C228),0))&gt;ROUND(G227*1.25,0),NOT(A228=入力!$B$15+1)),"・上限適用",""))</f>
        <v/>
      </c>
      <c r="Q228" s="35" t="str">
        <f>IF(AND(T227="",A228&lt;=S227),入力!$B$13,"")</f>
        <v>有効</v>
      </c>
      <c r="R228" s="32" t="str">
        <f>IF(AND(AND(T227="",A228&lt;=S227),OR(AND(入力!$B$13="有効",A228&gt;1,MOD(A228-1,60)=0),AND(A228=入力!$B$11,A228&gt;1)),入力!$B$14="有効"),ROUND(G227*1.25,0),"")</f>
        <v/>
      </c>
      <c r="S228" s="36">
        <f>IF(A228=入力!$B$15,A228+入力!$B$19,S227)</f>
        <v>360</v>
      </c>
      <c r="T228" s="35" t="str">
        <f t="shared" si="63"/>
        <v/>
      </c>
      <c r="U228" s="3">
        <f t="shared" si="48"/>
        <v>0</v>
      </c>
      <c r="V228" s="3">
        <f t="shared" si="49"/>
        <v>0</v>
      </c>
      <c r="W228" s="3">
        <f t="shared" si="50"/>
        <v>0</v>
      </c>
      <c r="X228" s="3">
        <f t="shared" si="51"/>
        <v>0</v>
      </c>
      <c r="Y228" s="3">
        <f>IF(A228&lt;入力!$B$15,ABS(G228-何もしない_月次!G228),0)</f>
        <v>0</v>
      </c>
      <c r="Z228" s="3">
        <f t="shared" si="52"/>
        <v>0</v>
      </c>
      <c r="AA228">
        <f>ROUND(IF(A228=入力!$B$15+1,IF(E228=0,ROUND(C228/入力!$B$19,0),ROUND(-PMT(E228/12,入力!$B$19,C228),0)),IF(OR(AND(入力!$B$13="有効",A228&gt;1,MOD(A228-1,60)=0),AND(A228=入力!$B$11,A228&gt;1)),IF(入力!$B$14="有効",MIN(IF(E228=0,ROUND(C228/MAX(1,S227-A228+1),0),ROUND(-PMT(E228/12,MAX(1,S227-A228+1),C228),0)),ROUND(G227*1.25,0)),IF(E228=0,ROUND(C228/MAX(1,S227-A228+1),0),ROUND(-PMT(E228/12,MAX(1,S227-A228+1),C228),0))),G227)),0)</f>
        <v>116934</v>
      </c>
    </row>
    <row r="229" spans="1:27">
      <c r="A229" s="30">
        <f>224</f>
        <v>224</v>
      </c>
      <c r="B229" s="31">
        <f>EDATE(入力!$B$6,A229-1)</f>
        <v>53022</v>
      </c>
      <c r="C229" s="32">
        <f t="shared" si="53"/>
        <v>13924131</v>
      </c>
      <c r="D229" s="32">
        <f t="shared" si="54"/>
        <v>0</v>
      </c>
      <c r="E229" s="33">
        <f>IF(AND(T228="",A229&lt;=S228),IF(A229&lt;入力!$B$11,入力!$B$10,入力!$B$12),0)</f>
        <v>2.5000000000000001E-2</v>
      </c>
      <c r="F229" s="32">
        <f t="shared" si="55"/>
        <v>29009</v>
      </c>
      <c r="G229" s="32">
        <f>ROUND(IF(NOT(AND(T228="",A229&lt;=S228)),0,IF(A229=入力!$B$15+1,IF(E229=0,ROUND(C229/入力!$B$19,0),ROUND(-PMT(E229/12,入力!$B$19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),0)</f>
        <v>116934</v>
      </c>
      <c r="H229" s="32">
        <f t="shared" si="56"/>
        <v>116934</v>
      </c>
      <c r="I229" s="32">
        <f t="shared" si="57"/>
        <v>29009</v>
      </c>
      <c r="J229" s="32">
        <f t="shared" si="58"/>
        <v>0</v>
      </c>
      <c r="K229" s="32">
        <f t="shared" si="59"/>
        <v>0</v>
      </c>
      <c r="L229" s="32">
        <f t="shared" si="60"/>
        <v>87925</v>
      </c>
      <c r="M229" s="32">
        <f>IF(AND(AND(T228="",A229&lt;=S228),A229=入力!$B$15),ROUND(MIN(入力!$B$16,MAX(0,C229-L229)),0),0)</f>
        <v>0</v>
      </c>
      <c r="N229" s="32">
        <f t="shared" si="61"/>
        <v>13836206</v>
      </c>
      <c r="O229" s="32">
        <f t="shared" si="62"/>
        <v>8685002</v>
      </c>
      <c r="P229" s="34" t="str">
        <f>IF(NOT(AND(T228="",A229&lt;=S228)),"",IF(A229=入力!$B$15+1,"繰上返済後再計算","")&amp;IF(AND(入力!$B$13="有効",A229&gt;1,MOD(A229-1,60)=0),IF(A229=入力!$B$15+1,"・","")&amp;"5年見直し","")&amp;IF(AND(A229=入力!$B$11,A229&gt;1),IF(OR(A229=入力!$B$15+1,AND(入力!$B$13="有効",A229&gt;1,MOD(A229-1,60)=0)),"・","")&amp;"金利変更","")&amp;IF(AND(OR(AND(入力!$B$13="有効",A229&gt;1,MOD(A229-1,60)=0),AND(A229=入力!$B$11,A229&gt;1)),入力!$B$14="有効",IF(E229=0,ROUND(C229/MAX(1,S228-A229+1),0),ROUND(-PMT(E229/12,MAX(1,S228-A229+1),C229),0))&gt;ROUND(G228*1.25,0),NOT(A229=入力!$B$15+1)),"・上限適用",""))</f>
        <v/>
      </c>
      <c r="Q229" s="35" t="str">
        <f>IF(AND(T228="",A229&lt;=S228),入力!$B$13,"")</f>
        <v>有効</v>
      </c>
      <c r="R229" s="32" t="str">
        <f>IF(AND(AND(T228="",A229&lt;=S228),OR(AND(入力!$B$13="有効",A229&gt;1,MOD(A229-1,60)=0),AND(A229=入力!$B$11,A229&gt;1)),入力!$B$14="有効"),ROUND(G228*1.25,0),"")</f>
        <v/>
      </c>
      <c r="S229" s="36">
        <f>IF(A229=入力!$B$15,A229+入力!$B$19,S228)</f>
        <v>360</v>
      </c>
      <c r="T229" s="35" t="str">
        <f t="shared" si="63"/>
        <v/>
      </c>
      <c r="U229" s="3">
        <f t="shared" si="48"/>
        <v>0</v>
      </c>
      <c r="V229" s="3">
        <f t="shared" si="49"/>
        <v>0</v>
      </c>
      <c r="W229" s="3">
        <f t="shared" si="50"/>
        <v>0</v>
      </c>
      <c r="X229" s="3">
        <f t="shared" si="51"/>
        <v>0</v>
      </c>
      <c r="Y229" s="3">
        <f>IF(A229&lt;入力!$B$15,ABS(G229-何もしない_月次!G229),0)</f>
        <v>0</v>
      </c>
      <c r="Z229" s="3">
        <f t="shared" si="52"/>
        <v>0</v>
      </c>
      <c r="AA229">
        <f>ROUND(IF(A229=入力!$B$15+1,IF(E229=0,ROUND(C229/入力!$B$19,0),ROUND(-PMT(E229/12,入力!$B$19,C229),0)),IF(OR(AND(入力!$B$13="有効",A229&gt;1,MOD(A229-1,60)=0),AND(A229=入力!$B$11,A229&gt;1)),IF(入力!$B$14="有効",MIN(IF(E229=0,ROUND(C229/MAX(1,S228-A229+1),0),ROUND(-PMT(E229/12,MAX(1,S228-A229+1),C229),0)),ROUND(G228*1.25,0)),IF(E229=0,ROUND(C229/MAX(1,S228-A229+1),0),ROUND(-PMT(E229/12,MAX(1,S228-A229+1),C229),0))),G228)),0)</f>
        <v>116934</v>
      </c>
    </row>
    <row r="230" spans="1:27">
      <c r="A230" s="30">
        <f>225</f>
        <v>225</v>
      </c>
      <c r="B230" s="31">
        <f>EDATE(入力!$B$6,A230-1)</f>
        <v>53053</v>
      </c>
      <c r="C230" s="32">
        <f t="shared" si="53"/>
        <v>13836206</v>
      </c>
      <c r="D230" s="32">
        <f t="shared" si="54"/>
        <v>0</v>
      </c>
      <c r="E230" s="33">
        <f>IF(AND(T229="",A230&lt;=S229),IF(A230&lt;入力!$B$11,入力!$B$10,入力!$B$12),0)</f>
        <v>2.5000000000000001E-2</v>
      </c>
      <c r="F230" s="32">
        <f t="shared" si="55"/>
        <v>28825</v>
      </c>
      <c r="G230" s="32">
        <f>ROUND(IF(NOT(AND(T229="",A230&lt;=S229)),0,IF(A230=入力!$B$15+1,IF(E230=0,ROUND(C230/入力!$B$19,0),ROUND(-PMT(E230/12,入力!$B$19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),0)</f>
        <v>116934</v>
      </c>
      <c r="H230" s="32">
        <f t="shared" si="56"/>
        <v>116934</v>
      </c>
      <c r="I230" s="32">
        <f t="shared" si="57"/>
        <v>28825</v>
      </c>
      <c r="J230" s="32">
        <f t="shared" si="58"/>
        <v>0</v>
      </c>
      <c r="K230" s="32">
        <f t="shared" si="59"/>
        <v>0</v>
      </c>
      <c r="L230" s="32">
        <f t="shared" si="60"/>
        <v>88109</v>
      </c>
      <c r="M230" s="32">
        <f>IF(AND(AND(T229="",A230&lt;=S229),A230=入力!$B$15),ROUND(MIN(入力!$B$16,MAX(0,C230-L230)),0),0)</f>
        <v>0</v>
      </c>
      <c r="N230" s="32">
        <f t="shared" si="61"/>
        <v>13748097</v>
      </c>
      <c r="O230" s="32">
        <f t="shared" si="62"/>
        <v>8713827</v>
      </c>
      <c r="P230" s="34" t="str">
        <f>IF(NOT(AND(T229="",A230&lt;=S229)),"",IF(A230=入力!$B$15+1,"繰上返済後再計算","")&amp;IF(AND(入力!$B$13="有効",A230&gt;1,MOD(A230-1,60)=0),IF(A230=入力!$B$15+1,"・","")&amp;"5年見直し","")&amp;IF(AND(A230=入力!$B$11,A230&gt;1),IF(OR(A230=入力!$B$15+1,AND(入力!$B$13="有効",A230&gt;1,MOD(A230-1,60)=0)),"・","")&amp;"金利変更","")&amp;IF(AND(OR(AND(入力!$B$13="有効",A230&gt;1,MOD(A230-1,60)=0),AND(A230=入力!$B$11,A230&gt;1)),入力!$B$14="有効",IF(E230=0,ROUND(C230/MAX(1,S229-A230+1),0),ROUND(-PMT(E230/12,MAX(1,S229-A230+1),C230),0))&gt;ROUND(G229*1.25,0),NOT(A230=入力!$B$15+1)),"・上限適用",""))</f>
        <v/>
      </c>
      <c r="Q230" s="35" t="str">
        <f>IF(AND(T229="",A230&lt;=S229),入力!$B$13,"")</f>
        <v>有効</v>
      </c>
      <c r="R230" s="32" t="str">
        <f>IF(AND(AND(T229="",A230&lt;=S229),OR(AND(入力!$B$13="有効",A230&gt;1,MOD(A230-1,60)=0),AND(A230=入力!$B$11,A230&gt;1)),入力!$B$14="有効"),ROUND(G229*1.25,0),"")</f>
        <v/>
      </c>
      <c r="S230" s="36">
        <f>IF(A230=入力!$B$15,A230+入力!$B$19,S229)</f>
        <v>360</v>
      </c>
      <c r="T230" s="35" t="str">
        <f t="shared" si="63"/>
        <v/>
      </c>
      <c r="U230" s="3">
        <f t="shared" si="48"/>
        <v>0</v>
      </c>
      <c r="V230" s="3">
        <f t="shared" si="49"/>
        <v>0</v>
      </c>
      <c r="W230" s="3">
        <f t="shared" si="50"/>
        <v>0</v>
      </c>
      <c r="X230" s="3">
        <f t="shared" si="51"/>
        <v>0</v>
      </c>
      <c r="Y230" s="3">
        <f>IF(A230&lt;入力!$B$15,ABS(G230-何もしない_月次!G230),0)</f>
        <v>0</v>
      </c>
      <c r="Z230" s="3">
        <f t="shared" si="52"/>
        <v>0</v>
      </c>
      <c r="AA230">
        <f>ROUND(IF(A230=入力!$B$15+1,IF(E230=0,ROUND(C230/入力!$B$19,0),ROUND(-PMT(E230/12,入力!$B$19,C230),0)),IF(OR(AND(入力!$B$13="有効",A230&gt;1,MOD(A230-1,60)=0),AND(A230=入力!$B$11,A230&gt;1)),IF(入力!$B$14="有効",MIN(IF(E230=0,ROUND(C230/MAX(1,S229-A230+1),0),ROUND(-PMT(E230/12,MAX(1,S229-A230+1),C230),0)),ROUND(G229*1.25,0)),IF(E230=0,ROUND(C230/MAX(1,S229-A230+1),0),ROUND(-PMT(E230/12,MAX(1,S229-A230+1),C230),0))),G229)),0)</f>
        <v>116934</v>
      </c>
    </row>
    <row r="231" spans="1:27">
      <c r="A231" s="30">
        <f>226</f>
        <v>226</v>
      </c>
      <c r="B231" s="31">
        <f>EDATE(入力!$B$6,A231-1)</f>
        <v>53083</v>
      </c>
      <c r="C231" s="32">
        <f t="shared" si="53"/>
        <v>13748097</v>
      </c>
      <c r="D231" s="32">
        <f t="shared" si="54"/>
        <v>0</v>
      </c>
      <c r="E231" s="33">
        <f>IF(AND(T230="",A231&lt;=S230),IF(A231&lt;入力!$B$11,入力!$B$10,入力!$B$12),0)</f>
        <v>2.5000000000000001E-2</v>
      </c>
      <c r="F231" s="32">
        <f t="shared" si="55"/>
        <v>28642</v>
      </c>
      <c r="G231" s="32">
        <f>ROUND(IF(NOT(AND(T230="",A231&lt;=S230)),0,IF(A231=入力!$B$15+1,IF(E231=0,ROUND(C231/入力!$B$19,0),ROUND(-PMT(E231/12,入力!$B$19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),0)</f>
        <v>116934</v>
      </c>
      <c r="H231" s="32">
        <f t="shared" si="56"/>
        <v>116934</v>
      </c>
      <c r="I231" s="32">
        <f t="shared" si="57"/>
        <v>28642</v>
      </c>
      <c r="J231" s="32">
        <f t="shared" si="58"/>
        <v>0</v>
      </c>
      <c r="K231" s="32">
        <f t="shared" si="59"/>
        <v>0</v>
      </c>
      <c r="L231" s="32">
        <f t="shared" si="60"/>
        <v>88292</v>
      </c>
      <c r="M231" s="32">
        <f>IF(AND(AND(T230="",A231&lt;=S230),A231=入力!$B$15),ROUND(MIN(入力!$B$16,MAX(0,C231-L231)),0),0)</f>
        <v>0</v>
      </c>
      <c r="N231" s="32">
        <f t="shared" si="61"/>
        <v>13659805</v>
      </c>
      <c r="O231" s="32">
        <f t="shared" si="62"/>
        <v>8742469</v>
      </c>
      <c r="P231" s="34" t="str">
        <f>IF(NOT(AND(T230="",A231&lt;=S230)),"",IF(A231=入力!$B$15+1,"繰上返済後再計算","")&amp;IF(AND(入力!$B$13="有効",A231&gt;1,MOD(A231-1,60)=0),IF(A231=入力!$B$15+1,"・","")&amp;"5年見直し","")&amp;IF(AND(A231=入力!$B$11,A231&gt;1),IF(OR(A231=入力!$B$15+1,AND(入力!$B$13="有効",A231&gt;1,MOD(A231-1,60)=0)),"・","")&amp;"金利変更","")&amp;IF(AND(OR(AND(入力!$B$13="有効",A231&gt;1,MOD(A231-1,60)=0),AND(A231=入力!$B$11,A231&gt;1)),入力!$B$14="有効",IF(E231=0,ROUND(C231/MAX(1,S230-A231+1),0),ROUND(-PMT(E231/12,MAX(1,S230-A231+1),C231),0))&gt;ROUND(G230*1.25,0),NOT(A231=入力!$B$15+1)),"・上限適用",""))</f>
        <v/>
      </c>
      <c r="Q231" s="35" t="str">
        <f>IF(AND(T230="",A231&lt;=S230),入力!$B$13,"")</f>
        <v>有効</v>
      </c>
      <c r="R231" s="32" t="str">
        <f>IF(AND(AND(T230="",A231&lt;=S230),OR(AND(入力!$B$13="有効",A231&gt;1,MOD(A231-1,60)=0),AND(A231=入力!$B$11,A231&gt;1)),入力!$B$14="有効"),ROUND(G230*1.25,0),"")</f>
        <v/>
      </c>
      <c r="S231" s="36">
        <f>IF(A231=入力!$B$15,A231+入力!$B$19,S230)</f>
        <v>360</v>
      </c>
      <c r="T231" s="35" t="str">
        <f t="shared" si="63"/>
        <v/>
      </c>
      <c r="U231" s="3">
        <f t="shared" si="48"/>
        <v>0</v>
      </c>
      <c r="V231" s="3">
        <f t="shared" si="49"/>
        <v>0</v>
      </c>
      <c r="W231" s="3">
        <f t="shared" si="50"/>
        <v>0</v>
      </c>
      <c r="X231" s="3">
        <f t="shared" si="51"/>
        <v>0</v>
      </c>
      <c r="Y231" s="3">
        <f>IF(A231&lt;入力!$B$15,ABS(G231-何もしない_月次!G231),0)</f>
        <v>0</v>
      </c>
      <c r="Z231" s="3">
        <f t="shared" si="52"/>
        <v>0</v>
      </c>
      <c r="AA231">
        <f>ROUND(IF(A231=入力!$B$15+1,IF(E231=0,ROUND(C231/入力!$B$19,0),ROUND(-PMT(E231/12,入力!$B$19,C231),0)),IF(OR(AND(入力!$B$13="有効",A231&gt;1,MOD(A231-1,60)=0),AND(A231=入力!$B$11,A231&gt;1)),IF(入力!$B$14="有効",MIN(IF(E231=0,ROUND(C231/MAX(1,S230-A231+1),0),ROUND(-PMT(E231/12,MAX(1,S230-A231+1),C231),0)),ROUND(G230*1.25,0)),IF(E231=0,ROUND(C231/MAX(1,S230-A231+1),0),ROUND(-PMT(E231/12,MAX(1,S230-A231+1),C231),0))),G230)),0)</f>
        <v>116934</v>
      </c>
    </row>
    <row r="232" spans="1:27">
      <c r="A232" s="30">
        <f>227</f>
        <v>227</v>
      </c>
      <c r="B232" s="31">
        <f>EDATE(入力!$B$6,A232-1)</f>
        <v>53114</v>
      </c>
      <c r="C232" s="32">
        <f t="shared" si="53"/>
        <v>13659805</v>
      </c>
      <c r="D232" s="32">
        <f t="shared" si="54"/>
        <v>0</v>
      </c>
      <c r="E232" s="33">
        <f>IF(AND(T231="",A232&lt;=S231),IF(A232&lt;入力!$B$11,入力!$B$10,入力!$B$12),0)</f>
        <v>2.5000000000000001E-2</v>
      </c>
      <c r="F232" s="32">
        <f t="shared" si="55"/>
        <v>28458</v>
      </c>
      <c r="G232" s="32">
        <f>ROUND(IF(NOT(AND(T231="",A232&lt;=S231)),0,IF(A232=入力!$B$15+1,IF(E232=0,ROUND(C232/入力!$B$19,0),ROUND(-PMT(E232/12,入力!$B$19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),0)</f>
        <v>116934</v>
      </c>
      <c r="H232" s="32">
        <f t="shared" si="56"/>
        <v>116934</v>
      </c>
      <c r="I232" s="32">
        <f t="shared" si="57"/>
        <v>28458</v>
      </c>
      <c r="J232" s="32">
        <f t="shared" si="58"/>
        <v>0</v>
      </c>
      <c r="K232" s="32">
        <f t="shared" si="59"/>
        <v>0</v>
      </c>
      <c r="L232" s="32">
        <f t="shared" si="60"/>
        <v>88476</v>
      </c>
      <c r="M232" s="32">
        <f>IF(AND(AND(T231="",A232&lt;=S231),A232=入力!$B$15),ROUND(MIN(入力!$B$16,MAX(0,C232-L232)),0),0)</f>
        <v>0</v>
      </c>
      <c r="N232" s="32">
        <f t="shared" si="61"/>
        <v>13571329</v>
      </c>
      <c r="O232" s="32">
        <f t="shared" si="62"/>
        <v>8770927</v>
      </c>
      <c r="P232" s="34" t="str">
        <f>IF(NOT(AND(T231="",A232&lt;=S231)),"",IF(A232=入力!$B$15+1,"繰上返済後再計算","")&amp;IF(AND(入力!$B$13="有効",A232&gt;1,MOD(A232-1,60)=0),IF(A232=入力!$B$15+1,"・","")&amp;"5年見直し","")&amp;IF(AND(A232=入力!$B$11,A232&gt;1),IF(OR(A232=入力!$B$15+1,AND(入力!$B$13="有効",A232&gt;1,MOD(A232-1,60)=0)),"・","")&amp;"金利変更","")&amp;IF(AND(OR(AND(入力!$B$13="有効",A232&gt;1,MOD(A232-1,60)=0),AND(A232=入力!$B$11,A232&gt;1)),入力!$B$14="有効",IF(E232=0,ROUND(C232/MAX(1,S231-A232+1),0),ROUND(-PMT(E232/12,MAX(1,S231-A232+1),C232),0))&gt;ROUND(G231*1.25,0),NOT(A232=入力!$B$15+1)),"・上限適用",""))</f>
        <v/>
      </c>
      <c r="Q232" s="35" t="str">
        <f>IF(AND(T231="",A232&lt;=S231),入力!$B$13,"")</f>
        <v>有効</v>
      </c>
      <c r="R232" s="32" t="str">
        <f>IF(AND(AND(T231="",A232&lt;=S231),OR(AND(入力!$B$13="有効",A232&gt;1,MOD(A232-1,60)=0),AND(A232=入力!$B$11,A232&gt;1)),入力!$B$14="有効"),ROUND(G231*1.25,0),"")</f>
        <v/>
      </c>
      <c r="S232" s="36">
        <f>IF(A232=入力!$B$15,A232+入力!$B$19,S231)</f>
        <v>360</v>
      </c>
      <c r="T232" s="35" t="str">
        <f t="shared" si="63"/>
        <v/>
      </c>
      <c r="U232" s="3">
        <f t="shared" si="48"/>
        <v>0</v>
      </c>
      <c r="V232" s="3">
        <f t="shared" si="49"/>
        <v>0</v>
      </c>
      <c r="W232" s="3">
        <f t="shared" si="50"/>
        <v>0</v>
      </c>
      <c r="X232" s="3">
        <f t="shared" si="51"/>
        <v>0</v>
      </c>
      <c r="Y232" s="3">
        <f>IF(A232&lt;入力!$B$15,ABS(G232-何もしない_月次!G232),0)</f>
        <v>0</v>
      </c>
      <c r="Z232" s="3">
        <f t="shared" si="52"/>
        <v>0</v>
      </c>
      <c r="AA232">
        <f>ROUND(IF(A232=入力!$B$15+1,IF(E232=0,ROUND(C232/入力!$B$19,0),ROUND(-PMT(E232/12,入力!$B$19,C232),0)),IF(OR(AND(入力!$B$13="有効",A232&gt;1,MOD(A232-1,60)=0),AND(A232=入力!$B$11,A232&gt;1)),IF(入力!$B$14="有効",MIN(IF(E232=0,ROUND(C232/MAX(1,S231-A232+1),0),ROUND(-PMT(E232/12,MAX(1,S231-A232+1),C232),0)),ROUND(G231*1.25,0)),IF(E232=0,ROUND(C232/MAX(1,S231-A232+1),0),ROUND(-PMT(E232/12,MAX(1,S231-A232+1),C232),0))),G231)),0)</f>
        <v>116934</v>
      </c>
    </row>
    <row r="233" spans="1:27">
      <c r="A233" s="30">
        <f>228</f>
        <v>228</v>
      </c>
      <c r="B233" s="31">
        <f>EDATE(入力!$B$6,A233-1)</f>
        <v>53144</v>
      </c>
      <c r="C233" s="32">
        <f t="shared" si="53"/>
        <v>13571329</v>
      </c>
      <c r="D233" s="32">
        <f t="shared" si="54"/>
        <v>0</v>
      </c>
      <c r="E233" s="33">
        <f>IF(AND(T232="",A233&lt;=S232),IF(A233&lt;入力!$B$11,入力!$B$10,入力!$B$12),0)</f>
        <v>2.5000000000000001E-2</v>
      </c>
      <c r="F233" s="32">
        <f t="shared" si="55"/>
        <v>28274</v>
      </c>
      <c r="G233" s="32">
        <f>ROUND(IF(NOT(AND(T232="",A233&lt;=S232)),0,IF(A233=入力!$B$15+1,IF(E233=0,ROUND(C233/入力!$B$19,0),ROUND(-PMT(E233/12,入力!$B$19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),0)</f>
        <v>116934</v>
      </c>
      <c r="H233" s="32">
        <f t="shared" si="56"/>
        <v>116934</v>
      </c>
      <c r="I233" s="32">
        <f t="shared" si="57"/>
        <v>28274</v>
      </c>
      <c r="J233" s="32">
        <f t="shared" si="58"/>
        <v>0</v>
      </c>
      <c r="K233" s="32">
        <f t="shared" si="59"/>
        <v>0</v>
      </c>
      <c r="L233" s="32">
        <f t="shared" si="60"/>
        <v>88660</v>
      </c>
      <c r="M233" s="32">
        <f>IF(AND(AND(T232="",A233&lt;=S232),A233=入力!$B$15),ROUND(MIN(入力!$B$16,MAX(0,C233-L233)),0),0)</f>
        <v>0</v>
      </c>
      <c r="N233" s="32">
        <f t="shared" si="61"/>
        <v>13482669</v>
      </c>
      <c r="O233" s="32">
        <f t="shared" si="62"/>
        <v>8799201</v>
      </c>
      <c r="P233" s="34" t="str">
        <f>IF(NOT(AND(T232="",A233&lt;=S232)),"",IF(A233=入力!$B$15+1,"繰上返済後再計算","")&amp;IF(AND(入力!$B$13="有効",A233&gt;1,MOD(A233-1,60)=0),IF(A233=入力!$B$15+1,"・","")&amp;"5年見直し","")&amp;IF(AND(A233=入力!$B$11,A233&gt;1),IF(OR(A233=入力!$B$15+1,AND(入力!$B$13="有効",A233&gt;1,MOD(A233-1,60)=0)),"・","")&amp;"金利変更","")&amp;IF(AND(OR(AND(入力!$B$13="有効",A233&gt;1,MOD(A233-1,60)=0),AND(A233=入力!$B$11,A233&gt;1)),入力!$B$14="有効",IF(E233=0,ROUND(C233/MAX(1,S232-A233+1),0),ROUND(-PMT(E233/12,MAX(1,S232-A233+1),C233),0))&gt;ROUND(G232*1.25,0),NOT(A233=入力!$B$15+1)),"・上限適用",""))</f>
        <v/>
      </c>
      <c r="Q233" s="35" t="str">
        <f>IF(AND(T232="",A233&lt;=S232),入力!$B$13,"")</f>
        <v>有効</v>
      </c>
      <c r="R233" s="32" t="str">
        <f>IF(AND(AND(T232="",A233&lt;=S232),OR(AND(入力!$B$13="有効",A233&gt;1,MOD(A233-1,60)=0),AND(A233=入力!$B$11,A233&gt;1)),入力!$B$14="有効"),ROUND(G232*1.25,0),"")</f>
        <v/>
      </c>
      <c r="S233" s="36">
        <f>IF(A233=入力!$B$15,A233+入力!$B$19,S232)</f>
        <v>360</v>
      </c>
      <c r="T233" s="35" t="str">
        <f t="shared" si="63"/>
        <v/>
      </c>
      <c r="U233" s="3">
        <f t="shared" si="48"/>
        <v>0</v>
      </c>
      <c r="V233" s="3">
        <f t="shared" si="49"/>
        <v>0</v>
      </c>
      <c r="W233" s="3">
        <f t="shared" si="50"/>
        <v>0</v>
      </c>
      <c r="X233" s="3">
        <f t="shared" si="51"/>
        <v>0</v>
      </c>
      <c r="Y233" s="3">
        <f>IF(A233&lt;入力!$B$15,ABS(G233-何もしない_月次!G233),0)</f>
        <v>0</v>
      </c>
      <c r="Z233" s="3">
        <f t="shared" si="52"/>
        <v>0</v>
      </c>
      <c r="AA233">
        <f>ROUND(IF(A233=入力!$B$15+1,IF(E233=0,ROUND(C233/入力!$B$19,0),ROUND(-PMT(E233/12,入力!$B$19,C233),0)),IF(OR(AND(入力!$B$13="有効",A233&gt;1,MOD(A233-1,60)=0),AND(A233=入力!$B$11,A233&gt;1)),IF(入力!$B$14="有効",MIN(IF(E233=0,ROUND(C233/MAX(1,S232-A233+1),0),ROUND(-PMT(E233/12,MAX(1,S232-A233+1),C233),0)),ROUND(G232*1.25,0)),IF(E233=0,ROUND(C233/MAX(1,S232-A233+1),0),ROUND(-PMT(E233/12,MAX(1,S232-A233+1),C233),0))),G232)),0)</f>
        <v>116934</v>
      </c>
    </row>
    <row r="234" spans="1:27">
      <c r="A234" s="30">
        <f>229</f>
        <v>229</v>
      </c>
      <c r="B234" s="31">
        <f>EDATE(入力!$B$6,A234-1)</f>
        <v>53175</v>
      </c>
      <c r="C234" s="32">
        <f t="shared" si="53"/>
        <v>13482669</v>
      </c>
      <c r="D234" s="32">
        <f t="shared" si="54"/>
        <v>0</v>
      </c>
      <c r="E234" s="33">
        <f>IF(AND(T233="",A234&lt;=S233),IF(A234&lt;入力!$B$11,入力!$B$10,入力!$B$12),0)</f>
        <v>2.5000000000000001E-2</v>
      </c>
      <c r="F234" s="32">
        <f t="shared" si="55"/>
        <v>28089</v>
      </c>
      <c r="G234" s="32">
        <f>ROUND(IF(NOT(AND(T233="",A234&lt;=S233)),0,IF(A234=入力!$B$15+1,IF(E234=0,ROUND(C234/入力!$B$19,0),ROUND(-PMT(E234/12,入力!$B$19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),0)</f>
        <v>116934</v>
      </c>
      <c r="H234" s="32">
        <f t="shared" si="56"/>
        <v>116934</v>
      </c>
      <c r="I234" s="32">
        <f t="shared" si="57"/>
        <v>28089</v>
      </c>
      <c r="J234" s="32">
        <f t="shared" si="58"/>
        <v>0</v>
      </c>
      <c r="K234" s="32">
        <f t="shared" si="59"/>
        <v>0</v>
      </c>
      <c r="L234" s="32">
        <f t="shared" si="60"/>
        <v>88845</v>
      </c>
      <c r="M234" s="32">
        <f>IF(AND(AND(T233="",A234&lt;=S233),A234=入力!$B$15),ROUND(MIN(入力!$B$16,MAX(0,C234-L234)),0),0)</f>
        <v>0</v>
      </c>
      <c r="N234" s="32">
        <f t="shared" si="61"/>
        <v>13393824</v>
      </c>
      <c r="O234" s="32">
        <f t="shared" si="62"/>
        <v>8827290</v>
      </c>
      <c r="P234" s="34" t="str">
        <f>IF(NOT(AND(T233="",A234&lt;=S233)),"",IF(A234=入力!$B$15+1,"繰上返済後再計算","")&amp;IF(AND(入力!$B$13="有効",A234&gt;1,MOD(A234-1,60)=0),IF(A234=入力!$B$15+1,"・","")&amp;"5年見直し","")&amp;IF(AND(A234=入力!$B$11,A234&gt;1),IF(OR(A234=入力!$B$15+1,AND(入力!$B$13="有効",A234&gt;1,MOD(A234-1,60)=0)),"・","")&amp;"金利変更","")&amp;IF(AND(OR(AND(入力!$B$13="有効",A234&gt;1,MOD(A234-1,60)=0),AND(A234=入力!$B$11,A234&gt;1)),入力!$B$14="有効",IF(E234=0,ROUND(C234/MAX(1,S233-A234+1),0),ROUND(-PMT(E234/12,MAX(1,S233-A234+1),C234),0))&gt;ROUND(G233*1.25,0),NOT(A234=入力!$B$15+1)),"・上限適用",""))</f>
        <v/>
      </c>
      <c r="Q234" s="35" t="str">
        <f>IF(AND(T233="",A234&lt;=S233),入力!$B$13,"")</f>
        <v>有効</v>
      </c>
      <c r="R234" s="32" t="str">
        <f>IF(AND(AND(T233="",A234&lt;=S233),OR(AND(入力!$B$13="有効",A234&gt;1,MOD(A234-1,60)=0),AND(A234=入力!$B$11,A234&gt;1)),入力!$B$14="有効"),ROUND(G233*1.25,0),"")</f>
        <v/>
      </c>
      <c r="S234" s="36">
        <f>IF(A234=入力!$B$15,A234+入力!$B$19,S233)</f>
        <v>360</v>
      </c>
      <c r="T234" s="35" t="str">
        <f t="shared" si="63"/>
        <v/>
      </c>
      <c r="U234" s="3">
        <f t="shared" si="48"/>
        <v>0</v>
      </c>
      <c r="V234" s="3">
        <f t="shared" si="49"/>
        <v>0</v>
      </c>
      <c r="W234" s="3">
        <f t="shared" si="50"/>
        <v>0</v>
      </c>
      <c r="X234" s="3">
        <f t="shared" si="51"/>
        <v>0</v>
      </c>
      <c r="Y234" s="3">
        <f>IF(A234&lt;入力!$B$15,ABS(G234-何もしない_月次!G234),0)</f>
        <v>0</v>
      </c>
      <c r="Z234" s="3">
        <f t="shared" si="52"/>
        <v>0</v>
      </c>
      <c r="AA234">
        <f>ROUND(IF(A234=入力!$B$15+1,IF(E234=0,ROUND(C234/入力!$B$19,0),ROUND(-PMT(E234/12,入力!$B$19,C234),0)),IF(OR(AND(入力!$B$13="有効",A234&gt;1,MOD(A234-1,60)=0),AND(A234=入力!$B$11,A234&gt;1)),IF(入力!$B$14="有効",MIN(IF(E234=0,ROUND(C234/MAX(1,S233-A234+1),0),ROUND(-PMT(E234/12,MAX(1,S233-A234+1),C234),0)),ROUND(G233*1.25,0)),IF(E234=0,ROUND(C234/MAX(1,S233-A234+1),0),ROUND(-PMT(E234/12,MAX(1,S233-A234+1),C234),0))),G233)),0)</f>
        <v>116934</v>
      </c>
    </row>
    <row r="235" spans="1:27">
      <c r="A235" s="30">
        <f>230</f>
        <v>230</v>
      </c>
      <c r="B235" s="31">
        <f>EDATE(入力!$B$6,A235-1)</f>
        <v>53206</v>
      </c>
      <c r="C235" s="32">
        <f t="shared" si="53"/>
        <v>13393824</v>
      </c>
      <c r="D235" s="32">
        <f t="shared" si="54"/>
        <v>0</v>
      </c>
      <c r="E235" s="33">
        <f>IF(AND(T234="",A235&lt;=S234),IF(A235&lt;入力!$B$11,入力!$B$10,入力!$B$12),0)</f>
        <v>2.5000000000000001E-2</v>
      </c>
      <c r="F235" s="32">
        <f t="shared" si="55"/>
        <v>27904</v>
      </c>
      <c r="G235" s="32">
        <f>ROUND(IF(NOT(AND(T234="",A235&lt;=S234)),0,IF(A235=入力!$B$15+1,IF(E235=0,ROUND(C235/入力!$B$19,0),ROUND(-PMT(E235/12,入力!$B$19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),0)</f>
        <v>116934</v>
      </c>
      <c r="H235" s="32">
        <f t="shared" si="56"/>
        <v>116934</v>
      </c>
      <c r="I235" s="32">
        <f t="shared" si="57"/>
        <v>27904</v>
      </c>
      <c r="J235" s="32">
        <f t="shared" si="58"/>
        <v>0</v>
      </c>
      <c r="K235" s="32">
        <f t="shared" si="59"/>
        <v>0</v>
      </c>
      <c r="L235" s="32">
        <f t="shared" si="60"/>
        <v>89030</v>
      </c>
      <c r="M235" s="32">
        <f>IF(AND(AND(T234="",A235&lt;=S234),A235=入力!$B$15),ROUND(MIN(入力!$B$16,MAX(0,C235-L235)),0),0)</f>
        <v>0</v>
      </c>
      <c r="N235" s="32">
        <f t="shared" si="61"/>
        <v>13304794</v>
      </c>
      <c r="O235" s="32">
        <f t="shared" si="62"/>
        <v>8855194</v>
      </c>
      <c r="P235" s="34" t="str">
        <f>IF(NOT(AND(T234="",A235&lt;=S234)),"",IF(A235=入力!$B$15+1,"繰上返済後再計算","")&amp;IF(AND(入力!$B$13="有効",A235&gt;1,MOD(A235-1,60)=0),IF(A235=入力!$B$15+1,"・","")&amp;"5年見直し","")&amp;IF(AND(A235=入力!$B$11,A235&gt;1),IF(OR(A235=入力!$B$15+1,AND(入力!$B$13="有効",A235&gt;1,MOD(A235-1,60)=0)),"・","")&amp;"金利変更","")&amp;IF(AND(OR(AND(入力!$B$13="有効",A235&gt;1,MOD(A235-1,60)=0),AND(A235=入力!$B$11,A235&gt;1)),入力!$B$14="有効",IF(E235=0,ROUND(C235/MAX(1,S234-A235+1),0),ROUND(-PMT(E235/12,MAX(1,S234-A235+1),C235),0))&gt;ROUND(G234*1.25,0),NOT(A235=入力!$B$15+1)),"・上限適用",""))</f>
        <v/>
      </c>
      <c r="Q235" s="35" t="str">
        <f>IF(AND(T234="",A235&lt;=S234),入力!$B$13,"")</f>
        <v>有効</v>
      </c>
      <c r="R235" s="32" t="str">
        <f>IF(AND(AND(T234="",A235&lt;=S234),OR(AND(入力!$B$13="有効",A235&gt;1,MOD(A235-1,60)=0),AND(A235=入力!$B$11,A235&gt;1)),入力!$B$14="有効"),ROUND(G234*1.25,0),"")</f>
        <v/>
      </c>
      <c r="S235" s="36">
        <f>IF(A235=入力!$B$15,A235+入力!$B$19,S234)</f>
        <v>360</v>
      </c>
      <c r="T235" s="35" t="str">
        <f t="shared" si="63"/>
        <v/>
      </c>
      <c r="U235" s="3">
        <f t="shared" si="48"/>
        <v>0</v>
      </c>
      <c r="V235" s="3">
        <f t="shared" si="49"/>
        <v>0</v>
      </c>
      <c r="W235" s="3">
        <f t="shared" si="50"/>
        <v>0</v>
      </c>
      <c r="X235" s="3">
        <f t="shared" si="51"/>
        <v>0</v>
      </c>
      <c r="Y235" s="3">
        <f>IF(A235&lt;入力!$B$15,ABS(G235-何もしない_月次!G235),0)</f>
        <v>0</v>
      </c>
      <c r="Z235" s="3">
        <f t="shared" si="52"/>
        <v>0</v>
      </c>
      <c r="AA235">
        <f>ROUND(IF(A235=入力!$B$15+1,IF(E235=0,ROUND(C235/入力!$B$19,0),ROUND(-PMT(E235/12,入力!$B$19,C235),0)),IF(OR(AND(入力!$B$13="有効",A235&gt;1,MOD(A235-1,60)=0),AND(A235=入力!$B$11,A235&gt;1)),IF(入力!$B$14="有効",MIN(IF(E235=0,ROUND(C235/MAX(1,S234-A235+1),0),ROUND(-PMT(E235/12,MAX(1,S234-A235+1),C235),0)),ROUND(G234*1.25,0)),IF(E235=0,ROUND(C235/MAX(1,S234-A235+1),0),ROUND(-PMT(E235/12,MAX(1,S234-A235+1),C235),0))),G234)),0)</f>
        <v>116934</v>
      </c>
    </row>
    <row r="236" spans="1:27">
      <c r="A236" s="30">
        <f>231</f>
        <v>231</v>
      </c>
      <c r="B236" s="31">
        <f>EDATE(入力!$B$6,A236-1)</f>
        <v>53236</v>
      </c>
      <c r="C236" s="32">
        <f t="shared" si="53"/>
        <v>13304794</v>
      </c>
      <c r="D236" s="32">
        <f t="shared" si="54"/>
        <v>0</v>
      </c>
      <c r="E236" s="33">
        <f>IF(AND(T235="",A236&lt;=S235),IF(A236&lt;入力!$B$11,入力!$B$10,入力!$B$12),0)</f>
        <v>2.5000000000000001E-2</v>
      </c>
      <c r="F236" s="32">
        <f t="shared" si="55"/>
        <v>27718</v>
      </c>
      <c r="G236" s="32">
        <f>ROUND(IF(NOT(AND(T235="",A236&lt;=S235)),0,IF(A236=入力!$B$15+1,IF(E236=0,ROUND(C236/入力!$B$19,0),ROUND(-PMT(E236/12,入力!$B$19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),0)</f>
        <v>116934</v>
      </c>
      <c r="H236" s="32">
        <f t="shared" si="56"/>
        <v>116934</v>
      </c>
      <c r="I236" s="32">
        <f t="shared" si="57"/>
        <v>27718</v>
      </c>
      <c r="J236" s="32">
        <f t="shared" si="58"/>
        <v>0</v>
      </c>
      <c r="K236" s="32">
        <f t="shared" si="59"/>
        <v>0</v>
      </c>
      <c r="L236" s="32">
        <f t="shared" si="60"/>
        <v>89216</v>
      </c>
      <c r="M236" s="32">
        <f>IF(AND(AND(T235="",A236&lt;=S235),A236=入力!$B$15),ROUND(MIN(入力!$B$16,MAX(0,C236-L236)),0),0)</f>
        <v>0</v>
      </c>
      <c r="N236" s="32">
        <f t="shared" si="61"/>
        <v>13215578</v>
      </c>
      <c r="O236" s="32">
        <f t="shared" si="62"/>
        <v>8882912</v>
      </c>
      <c r="P236" s="34" t="str">
        <f>IF(NOT(AND(T235="",A236&lt;=S235)),"",IF(A236=入力!$B$15+1,"繰上返済後再計算","")&amp;IF(AND(入力!$B$13="有効",A236&gt;1,MOD(A236-1,60)=0),IF(A236=入力!$B$15+1,"・","")&amp;"5年見直し","")&amp;IF(AND(A236=入力!$B$11,A236&gt;1),IF(OR(A236=入力!$B$15+1,AND(入力!$B$13="有効",A236&gt;1,MOD(A236-1,60)=0)),"・","")&amp;"金利変更","")&amp;IF(AND(OR(AND(入力!$B$13="有効",A236&gt;1,MOD(A236-1,60)=0),AND(A236=入力!$B$11,A236&gt;1)),入力!$B$14="有効",IF(E236=0,ROUND(C236/MAX(1,S235-A236+1),0),ROUND(-PMT(E236/12,MAX(1,S235-A236+1),C236),0))&gt;ROUND(G235*1.25,0),NOT(A236=入力!$B$15+1)),"・上限適用",""))</f>
        <v/>
      </c>
      <c r="Q236" s="35" t="str">
        <f>IF(AND(T235="",A236&lt;=S235),入力!$B$13,"")</f>
        <v>有効</v>
      </c>
      <c r="R236" s="32" t="str">
        <f>IF(AND(AND(T235="",A236&lt;=S235),OR(AND(入力!$B$13="有効",A236&gt;1,MOD(A236-1,60)=0),AND(A236=入力!$B$11,A236&gt;1)),入力!$B$14="有効"),ROUND(G235*1.25,0),"")</f>
        <v/>
      </c>
      <c r="S236" s="36">
        <f>IF(A236=入力!$B$15,A236+入力!$B$19,S235)</f>
        <v>360</v>
      </c>
      <c r="T236" s="35" t="str">
        <f t="shared" si="63"/>
        <v/>
      </c>
      <c r="U236" s="3">
        <f t="shared" si="48"/>
        <v>0</v>
      </c>
      <c r="V236" s="3">
        <f t="shared" si="49"/>
        <v>0</v>
      </c>
      <c r="W236" s="3">
        <f t="shared" si="50"/>
        <v>0</v>
      </c>
      <c r="X236" s="3">
        <f t="shared" si="51"/>
        <v>0</v>
      </c>
      <c r="Y236" s="3">
        <f>IF(A236&lt;入力!$B$15,ABS(G236-何もしない_月次!G236),0)</f>
        <v>0</v>
      </c>
      <c r="Z236" s="3">
        <f t="shared" si="52"/>
        <v>0</v>
      </c>
      <c r="AA236">
        <f>ROUND(IF(A236=入力!$B$15+1,IF(E236=0,ROUND(C236/入力!$B$19,0),ROUND(-PMT(E236/12,入力!$B$19,C236),0)),IF(OR(AND(入力!$B$13="有効",A236&gt;1,MOD(A236-1,60)=0),AND(A236=入力!$B$11,A236&gt;1)),IF(入力!$B$14="有効",MIN(IF(E236=0,ROUND(C236/MAX(1,S235-A236+1),0),ROUND(-PMT(E236/12,MAX(1,S235-A236+1),C236),0)),ROUND(G235*1.25,0)),IF(E236=0,ROUND(C236/MAX(1,S235-A236+1),0),ROUND(-PMT(E236/12,MAX(1,S235-A236+1),C236),0))),G235)),0)</f>
        <v>116934</v>
      </c>
    </row>
    <row r="237" spans="1:27">
      <c r="A237" s="30">
        <f>232</f>
        <v>232</v>
      </c>
      <c r="B237" s="31">
        <f>EDATE(入力!$B$6,A237-1)</f>
        <v>53267</v>
      </c>
      <c r="C237" s="32">
        <f t="shared" si="53"/>
        <v>13215578</v>
      </c>
      <c r="D237" s="32">
        <f t="shared" si="54"/>
        <v>0</v>
      </c>
      <c r="E237" s="33">
        <f>IF(AND(T236="",A237&lt;=S236),IF(A237&lt;入力!$B$11,入力!$B$10,入力!$B$12),0)</f>
        <v>2.5000000000000001E-2</v>
      </c>
      <c r="F237" s="32">
        <f t="shared" si="55"/>
        <v>27532</v>
      </c>
      <c r="G237" s="32">
        <f>ROUND(IF(NOT(AND(T236="",A237&lt;=S236)),0,IF(A237=入力!$B$15+1,IF(E237=0,ROUND(C237/入力!$B$19,0),ROUND(-PMT(E237/12,入力!$B$19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),0)</f>
        <v>116934</v>
      </c>
      <c r="H237" s="32">
        <f t="shared" si="56"/>
        <v>116934</v>
      </c>
      <c r="I237" s="32">
        <f t="shared" si="57"/>
        <v>27532</v>
      </c>
      <c r="J237" s="32">
        <f t="shared" si="58"/>
        <v>0</v>
      </c>
      <c r="K237" s="32">
        <f t="shared" si="59"/>
        <v>0</v>
      </c>
      <c r="L237" s="32">
        <f t="shared" si="60"/>
        <v>89402</v>
      </c>
      <c r="M237" s="32">
        <f>IF(AND(AND(T236="",A237&lt;=S236),A237=入力!$B$15),ROUND(MIN(入力!$B$16,MAX(0,C237-L237)),0),0)</f>
        <v>0</v>
      </c>
      <c r="N237" s="32">
        <f t="shared" si="61"/>
        <v>13126176</v>
      </c>
      <c r="O237" s="32">
        <f t="shared" si="62"/>
        <v>8910444</v>
      </c>
      <c r="P237" s="34" t="str">
        <f>IF(NOT(AND(T236="",A237&lt;=S236)),"",IF(A237=入力!$B$15+1,"繰上返済後再計算","")&amp;IF(AND(入力!$B$13="有効",A237&gt;1,MOD(A237-1,60)=0),IF(A237=入力!$B$15+1,"・","")&amp;"5年見直し","")&amp;IF(AND(A237=入力!$B$11,A237&gt;1),IF(OR(A237=入力!$B$15+1,AND(入力!$B$13="有効",A237&gt;1,MOD(A237-1,60)=0)),"・","")&amp;"金利変更","")&amp;IF(AND(OR(AND(入力!$B$13="有効",A237&gt;1,MOD(A237-1,60)=0),AND(A237=入力!$B$11,A237&gt;1)),入力!$B$14="有効",IF(E237=0,ROUND(C237/MAX(1,S236-A237+1),0),ROUND(-PMT(E237/12,MAX(1,S236-A237+1),C237),0))&gt;ROUND(G236*1.25,0),NOT(A237=入力!$B$15+1)),"・上限適用",""))</f>
        <v/>
      </c>
      <c r="Q237" s="35" t="str">
        <f>IF(AND(T236="",A237&lt;=S236),入力!$B$13,"")</f>
        <v>有効</v>
      </c>
      <c r="R237" s="32" t="str">
        <f>IF(AND(AND(T236="",A237&lt;=S236),OR(AND(入力!$B$13="有効",A237&gt;1,MOD(A237-1,60)=0),AND(A237=入力!$B$11,A237&gt;1)),入力!$B$14="有効"),ROUND(G236*1.25,0),"")</f>
        <v/>
      </c>
      <c r="S237" s="36">
        <f>IF(A237=入力!$B$15,A237+入力!$B$19,S236)</f>
        <v>360</v>
      </c>
      <c r="T237" s="35" t="str">
        <f t="shared" si="63"/>
        <v/>
      </c>
      <c r="U237" s="3">
        <f t="shared" si="48"/>
        <v>0</v>
      </c>
      <c r="V237" s="3">
        <f t="shared" si="49"/>
        <v>0</v>
      </c>
      <c r="W237" s="3">
        <f t="shared" si="50"/>
        <v>0</v>
      </c>
      <c r="X237" s="3">
        <f t="shared" si="51"/>
        <v>0</v>
      </c>
      <c r="Y237" s="3">
        <f>IF(A237&lt;入力!$B$15,ABS(G237-何もしない_月次!G237),0)</f>
        <v>0</v>
      </c>
      <c r="Z237" s="3">
        <f t="shared" si="52"/>
        <v>0</v>
      </c>
      <c r="AA237">
        <f>ROUND(IF(A237=入力!$B$15+1,IF(E237=0,ROUND(C237/入力!$B$19,0),ROUND(-PMT(E237/12,入力!$B$19,C237),0)),IF(OR(AND(入力!$B$13="有効",A237&gt;1,MOD(A237-1,60)=0),AND(A237=入力!$B$11,A237&gt;1)),IF(入力!$B$14="有効",MIN(IF(E237=0,ROUND(C237/MAX(1,S236-A237+1),0),ROUND(-PMT(E237/12,MAX(1,S236-A237+1),C237),0)),ROUND(G236*1.25,0)),IF(E237=0,ROUND(C237/MAX(1,S236-A237+1),0),ROUND(-PMT(E237/12,MAX(1,S236-A237+1),C237),0))),G236)),0)</f>
        <v>116934</v>
      </c>
    </row>
    <row r="238" spans="1:27">
      <c r="A238" s="30">
        <f>233</f>
        <v>233</v>
      </c>
      <c r="B238" s="31">
        <f>EDATE(入力!$B$6,A238-1)</f>
        <v>53297</v>
      </c>
      <c r="C238" s="32">
        <f t="shared" si="53"/>
        <v>13126176</v>
      </c>
      <c r="D238" s="32">
        <f t="shared" si="54"/>
        <v>0</v>
      </c>
      <c r="E238" s="33">
        <f>IF(AND(T237="",A238&lt;=S237),IF(A238&lt;入力!$B$11,入力!$B$10,入力!$B$12),0)</f>
        <v>2.5000000000000001E-2</v>
      </c>
      <c r="F238" s="32">
        <f t="shared" si="55"/>
        <v>27346</v>
      </c>
      <c r="G238" s="32">
        <f>ROUND(IF(NOT(AND(T237="",A238&lt;=S237)),0,IF(A238=入力!$B$15+1,IF(E238=0,ROUND(C238/入力!$B$19,0),ROUND(-PMT(E238/12,入力!$B$19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),0)</f>
        <v>116934</v>
      </c>
      <c r="H238" s="32">
        <f t="shared" si="56"/>
        <v>116934</v>
      </c>
      <c r="I238" s="32">
        <f t="shared" si="57"/>
        <v>27346</v>
      </c>
      <c r="J238" s="32">
        <f t="shared" si="58"/>
        <v>0</v>
      </c>
      <c r="K238" s="32">
        <f t="shared" si="59"/>
        <v>0</v>
      </c>
      <c r="L238" s="32">
        <f t="shared" si="60"/>
        <v>89588</v>
      </c>
      <c r="M238" s="32">
        <f>IF(AND(AND(T237="",A238&lt;=S237),A238=入力!$B$15),ROUND(MIN(入力!$B$16,MAX(0,C238-L238)),0),0)</f>
        <v>0</v>
      </c>
      <c r="N238" s="32">
        <f t="shared" si="61"/>
        <v>13036588</v>
      </c>
      <c r="O238" s="32">
        <f t="shared" si="62"/>
        <v>8937790</v>
      </c>
      <c r="P238" s="34" t="str">
        <f>IF(NOT(AND(T237="",A238&lt;=S237)),"",IF(A238=入力!$B$15+1,"繰上返済後再計算","")&amp;IF(AND(入力!$B$13="有効",A238&gt;1,MOD(A238-1,60)=0),IF(A238=入力!$B$15+1,"・","")&amp;"5年見直し","")&amp;IF(AND(A238=入力!$B$11,A238&gt;1),IF(OR(A238=入力!$B$15+1,AND(入力!$B$13="有効",A238&gt;1,MOD(A238-1,60)=0)),"・","")&amp;"金利変更","")&amp;IF(AND(OR(AND(入力!$B$13="有効",A238&gt;1,MOD(A238-1,60)=0),AND(A238=入力!$B$11,A238&gt;1)),入力!$B$14="有効",IF(E238=0,ROUND(C238/MAX(1,S237-A238+1),0),ROUND(-PMT(E238/12,MAX(1,S237-A238+1),C238),0))&gt;ROUND(G237*1.25,0),NOT(A238=入力!$B$15+1)),"・上限適用",""))</f>
        <v/>
      </c>
      <c r="Q238" s="35" t="str">
        <f>IF(AND(T237="",A238&lt;=S237),入力!$B$13,"")</f>
        <v>有効</v>
      </c>
      <c r="R238" s="32" t="str">
        <f>IF(AND(AND(T237="",A238&lt;=S237),OR(AND(入力!$B$13="有効",A238&gt;1,MOD(A238-1,60)=0),AND(A238=入力!$B$11,A238&gt;1)),入力!$B$14="有効"),ROUND(G237*1.25,0),"")</f>
        <v/>
      </c>
      <c r="S238" s="36">
        <f>IF(A238=入力!$B$15,A238+入力!$B$19,S237)</f>
        <v>360</v>
      </c>
      <c r="T238" s="35" t="str">
        <f t="shared" si="63"/>
        <v/>
      </c>
      <c r="U238" s="3">
        <f t="shared" si="48"/>
        <v>0</v>
      </c>
      <c r="V238" s="3">
        <f t="shared" si="49"/>
        <v>0</v>
      </c>
      <c r="W238" s="3">
        <f t="shared" si="50"/>
        <v>0</v>
      </c>
      <c r="X238" s="3">
        <f t="shared" si="51"/>
        <v>0</v>
      </c>
      <c r="Y238" s="3">
        <f>IF(A238&lt;入力!$B$15,ABS(G238-何もしない_月次!G238),0)</f>
        <v>0</v>
      </c>
      <c r="Z238" s="3">
        <f t="shared" si="52"/>
        <v>0</v>
      </c>
      <c r="AA238">
        <f>ROUND(IF(A238=入力!$B$15+1,IF(E238=0,ROUND(C238/入力!$B$19,0),ROUND(-PMT(E238/12,入力!$B$19,C238),0)),IF(OR(AND(入力!$B$13="有効",A238&gt;1,MOD(A238-1,60)=0),AND(A238=入力!$B$11,A238&gt;1)),IF(入力!$B$14="有効",MIN(IF(E238=0,ROUND(C238/MAX(1,S237-A238+1),0),ROUND(-PMT(E238/12,MAX(1,S237-A238+1),C238),0)),ROUND(G237*1.25,0)),IF(E238=0,ROUND(C238/MAX(1,S237-A238+1),0),ROUND(-PMT(E238/12,MAX(1,S237-A238+1),C238),0))),G237)),0)</f>
        <v>116934</v>
      </c>
    </row>
    <row r="239" spans="1:27">
      <c r="A239" s="30">
        <f>234</f>
        <v>234</v>
      </c>
      <c r="B239" s="31">
        <f>EDATE(入力!$B$6,A239-1)</f>
        <v>53328</v>
      </c>
      <c r="C239" s="32">
        <f t="shared" si="53"/>
        <v>13036588</v>
      </c>
      <c r="D239" s="32">
        <f t="shared" si="54"/>
        <v>0</v>
      </c>
      <c r="E239" s="33">
        <f>IF(AND(T238="",A239&lt;=S238),IF(A239&lt;入力!$B$11,入力!$B$10,入力!$B$12),0)</f>
        <v>2.5000000000000001E-2</v>
      </c>
      <c r="F239" s="32">
        <f t="shared" si="55"/>
        <v>27160</v>
      </c>
      <c r="G239" s="32">
        <f>ROUND(IF(NOT(AND(T238="",A239&lt;=S238)),0,IF(A239=入力!$B$15+1,IF(E239=0,ROUND(C239/入力!$B$19,0),ROUND(-PMT(E239/12,入力!$B$19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),0)</f>
        <v>116934</v>
      </c>
      <c r="H239" s="32">
        <f t="shared" si="56"/>
        <v>116934</v>
      </c>
      <c r="I239" s="32">
        <f t="shared" si="57"/>
        <v>27160</v>
      </c>
      <c r="J239" s="32">
        <f t="shared" si="58"/>
        <v>0</v>
      </c>
      <c r="K239" s="32">
        <f t="shared" si="59"/>
        <v>0</v>
      </c>
      <c r="L239" s="32">
        <f t="shared" si="60"/>
        <v>89774</v>
      </c>
      <c r="M239" s="32">
        <f>IF(AND(AND(T238="",A239&lt;=S238),A239=入力!$B$15),ROUND(MIN(入力!$B$16,MAX(0,C239-L239)),0),0)</f>
        <v>0</v>
      </c>
      <c r="N239" s="32">
        <f t="shared" si="61"/>
        <v>12946814</v>
      </c>
      <c r="O239" s="32">
        <f t="shared" si="62"/>
        <v>8964950</v>
      </c>
      <c r="P239" s="34" t="str">
        <f>IF(NOT(AND(T238="",A239&lt;=S238)),"",IF(A239=入力!$B$15+1,"繰上返済後再計算","")&amp;IF(AND(入力!$B$13="有効",A239&gt;1,MOD(A239-1,60)=0),IF(A239=入力!$B$15+1,"・","")&amp;"5年見直し","")&amp;IF(AND(A239=入力!$B$11,A239&gt;1),IF(OR(A239=入力!$B$15+1,AND(入力!$B$13="有効",A239&gt;1,MOD(A239-1,60)=0)),"・","")&amp;"金利変更","")&amp;IF(AND(OR(AND(入力!$B$13="有効",A239&gt;1,MOD(A239-1,60)=0),AND(A239=入力!$B$11,A239&gt;1)),入力!$B$14="有効",IF(E239=0,ROUND(C239/MAX(1,S238-A239+1),0),ROUND(-PMT(E239/12,MAX(1,S238-A239+1),C239),0))&gt;ROUND(G238*1.25,0),NOT(A239=入力!$B$15+1)),"・上限適用",""))</f>
        <v/>
      </c>
      <c r="Q239" s="35" t="str">
        <f>IF(AND(T238="",A239&lt;=S238),入力!$B$13,"")</f>
        <v>有効</v>
      </c>
      <c r="R239" s="32" t="str">
        <f>IF(AND(AND(T238="",A239&lt;=S238),OR(AND(入力!$B$13="有効",A239&gt;1,MOD(A239-1,60)=0),AND(A239=入力!$B$11,A239&gt;1)),入力!$B$14="有効"),ROUND(G238*1.25,0),"")</f>
        <v/>
      </c>
      <c r="S239" s="36">
        <f>IF(A239=入力!$B$15,A239+入力!$B$19,S238)</f>
        <v>360</v>
      </c>
      <c r="T239" s="35" t="str">
        <f t="shared" si="63"/>
        <v/>
      </c>
      <c r="U239" s="3">
        <f t="shared" si="48"/>
        <v>0</v>
      </c>
      <c r="V239" s="3">
        <f t="shared" si="49"/>
        <v>0</v>
      </c>
      <c r="W239" s="3">
        <f t="shared" si="50"/>
        <v>0</v>
      </c>
      <c r="X239" s="3">
        <f t="shared" si="51"/>
        <v>0</v>
      </c>
      <c r="Y239" s="3">
        <f>IF(A239&lt;入力!$B$15,ABS(G239-何もしない_月次!G239),0)</f>
        <v>0</v>
      </c>
      <c r="Z239" s="3">
        <f t="shared" si="52"/>
        <v>0</v>
      </c>
      <c r="AA239">
        <f>ROUND(IF(A239=入力!$B$15+1,IF(E239=0,ROUND(C239/入力!$B$19,0),ROUND(-PMT(E239/12,入力!$B$19,C239),0)),IF(OR(AND(入力!$B$13="有効",A239&gt;1,MOD(A239-1,60)=0),AND(A239=入力!$B$11,A239&gt;1)),IF(入力!$B$14="有効",MIN(IF(E239=0,ROUND(C239/MAX(1,S238-A239+1),0),ROUND(-PMT(E239/12,MAX(1,S238-A239+1),C239),0)),ROUND(G238*1.25,0)),IF(E239=0,ROUND(C239/MAX(1,S238-A239+1),0),ROUND(-PMT(E239/12,MAX(1,S238-A239+1),C239),0))),G238)),0)</f>
        <v>116934</v>
      </c>
    </row>
    <row r="240" spans="1:27">
      <c r="A240" s="30">
        <f>235</f>
        <v>235</v>
      </c>
      <c r="B240" s="31">
        <f>EDATE(入力!$B$6,A240-1)</f>
        <v>53359</v>
      </c>
      <c r="C240" s="32">
        <f t="shared" si="53"/>
        <v>12946814</v>
      </c>
      <c r="D240" s="32">
        <f t="shared" si="54"/>
        <v>0</v>
      </c>
      <c r="E240" s="33">
        <f>IF(AND(T239="",A240&lt;=S239),IF(A240&lt;入力!$B$11,入力!$B$10,入力!$B$12),0)</f>
        <v>2.5000000000000001E-2</v>
      </c>
      <c r="F240" s="32">
        <f t="shared" si="55"/>
        <v>26973</v>
      </c>
      <c r="G240" s="32">
        <f>ROUND(IF(NOT(AND(T239="",A240&lt;=S239)),0,IF(A240=入力!$B$15+1,IF(E240=0,ROUND(C240/入力!$B$19,0),ROUND(-PMT(E240/12,入力!$B$19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),0)</f>
        <v>116934</v>
      </c>
      <c r="H240" s="32">
        <f t="shared" si="56"/>
        <v>116934</v>
      </c>
      <c r="I240" s="32">
        <f t="shared" si="57"/>
        <v>26973</v>
      </c>
      <c r="J240" s="32">
        <f t="shared" si="58"/>
        <v>0</v>
      </c>
      <c r="K240" s="32">
        <f t="shared" si="59"/>
        <v>0</v>
      </c>
      <c r="L240" s="32">
        <f t="shared" si="60"/>
        <v>89961</v>
      </c>
      <c r="M240" s="32">
        <f>IF(AND(AND(T239="",A240&lt;=S239),A240=入力!$B$15),ROUND(MIN(入力!$B$16,MAX(0,C240-L240)),0),0)</f>
        <v>0</v>
      </c>
      <c r="N240" s="32">
        <f t="shared" si="61"/>
        <v>12856853</v>
      </c>
      <c r="O240" s="32">
        <f t="shared" si="62"/>
        <v>8991923</v>
      </c>
      <c r="P240" s="34" t="str">
        <f>IF(NOT(AND(T239="",A240&lt;=S239)),"",IF(A240=入力!$B$15+1,"繰上返済後再計算","")&amp;IF(AND(入力!$B$13="有効",A240&gt;1,MOD(A240-1,60)=0),IF(A240=入力!$B$15+1,"・","")&amp;"5年見直し","")&amp;IF(AND(A240=入力!$B$11,A240&gt;1),IF(OR(A240=入力!$B$15+1,AND(入力!$B$13="有効",A240&gt;1,MOD(A240-1,60)=0)),"・","")&amp;"金利変更","")&amp;IF(AND(OR(AND(入力!$B$13="有効",A240&gt;1,MOD(A240-1,60)=0),AND(A240=入力!$B$11,A240&gt;1)),入力!$B$14="有効",IF(E240=0,ROUND(C240/MAX(1,S239-A240+1),0),ROUND(-PMT(E240/12,MAX(1,S239-A240+1),C240),0))&gt;ROUND(G239*1.25,0),NOT(A240=入力!$B$15+1)),"・上限適用",""))</f>
        <v/>
      </c>
      <c r="Q240" s="35" t="str">
        <f>IF(AND(T239="",A240&lt;=S239),入力!$B$13,"")</f>
        <v>有効</v>
      </c>
      <c r="R240" s="32" t="str">
        <f>IF(AND(AND(T239="",A240&lt;=S239),OR(AND(入力!$B$13="有効",A240&gt;1,MOD(A240-1,60)=0),AND(A240=入力!$B$11,A240&gt;1)),入力!$B$14="有効"),ROUND(G239*1.25,0),"")</f>
        <v/>
      </c>
      <c r="S240" s="36">
        <f>IF(A240=入力!$B$15,A240+入力!$B$19,S239)</f>
        <v>360</v>
      </c>
      <c r="T240" s="35" t="str">
        <f t="shared" si="63"/>
        <v/>
      </c>
      <c r="U240" s="3">
        <f t="shared" si="48"/>
        <v>0</v>
      </c>
      <c r="V240" s="3">
        <f t="shared" si="49"/>
        <v>0</v>
      </c>
      <c r="W240" s="3">
        <f t="shared" si="50"/>
        <v>0</v>
      </c>
      <c r="X240" s="3">
        <f t="shared" si="51"/>
        <v>0</v>
      </c>
      <c r="Y240" s="3">
        <f>IF(A240&lt;入力!$B$15,ABS(G240-何もしない_月次!G240),0)</f>
        <v>0</v>
      </c>
      <c r="Z240" s="3">
        <f t="shared" si="52"/>
        <v>0</v>
      </c>
      <c r="AA240">
        <f>ROUND(IF(A240=入力!$B$15+1,IF(E240=0,ROUND(C240/入力!$B$19,0),ROUND(-PMT(E240/12,入力!$B$19,C240),0)),IF(OR(AND(入力!$B$13="有効",A240&gt;1,MOD(A240-1,60)=0),AND(A240=入力!$B$11,A240&gt;1)),IF(入力!$B$14="有効",MIN(IF(E240=0,ROUND(C240/MAX(1,S239-A240+1),0),ROUND(-PMT(E240/12,MAX(1,S239-A240+1),C240),0)),ROUND(G239*1.25,0)),IF(E240=0,ROUND(C240/MAX(1,S239-A240+1),0),ROUND(-PMT(E240/12,MAX(1,S239-A240+1),C240),0))),G239)),0)</f>
        <v>116934</v>
      </c>
    </row>
    <row r="241" spans="1:27">
      <c r="A241" s="30">
        <f>236</f>
        <v>236</v>
      </c>
      <c r="B241" s="31">
        <f>EDATE(入力!$B$6,A241-1)</f>
        <v>53387</v>
      </c>
      <c r="C241" s="32">
        <f t="shared" si="53"/>
        <v>12856853</v>
      </c>
      <c r="D241" s="32">
        <f t="shared" si="54"/>
        <v>0</v>
      </c>
      <c r="E241" s="33">
        <f>IF(AND(T240="",A241&lt;=S240),IF(A241&lt;入力!$B$11,入力!$B$10,入力!$B$12),0)</f>
        <v>2.5000000000000001E-2</v>
      </c>
      <c r="F241" s="32">
        <f t="shared" si="55"/>
        <v>26785</v>
      </c>
      <c r="G241" s="32">
        <f>ROUND(IF(NOT(AND(T240="",A241&lt;=S240)),0,IF(A241=入力!$B$15+1,IF(E241=0,ROUND(C241/入力!$B$19,0),ROUND(-PMT(E241/12,入力!$B$19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),0)</f>
        <v>116934</v>
      </c>
      <c r="H241" s="32">
        <f t="shared" si="56"/>
        <v>116934</v>
      </c>
      <c r="I241" s="32">
        <f t="shared" si="57"/>
        <v>26785</v>
      </c>
      <c r="J241" s="32">
        <f t="shared" si="58"/>
        <v>0</v>
      </c>
      <c r="K241" s="32">
        <f t="shared" si="59"/>
        <v>0</v>
      </c>
      <c r="L241" s="32">
        <f t="shared" si="60"/>
        <v>90149</v>
      </c>
      <c r="M241" s="32">
        <f>IF(AND(AND(T240="",A241&lt;=S240),A241=入力!$B$15),ROUND(MIN(入力!$B$16,MAX(0,C241-L241)),0),0)</f>
        <v>0</v>
      </c>
      <c r="N241" s="32">
        <f t="shared" si="61"/>
        <v>12766704</v>
      </c>
      <c r="O241" s="32">
        <f t="shared" si="62"/>
        <v>9018708</v>
      </c>
      <c r="P241" s="34" t="str">
        <f>IF(NOT(AND(T240="",A241&lt;=S240)),"",IF(A241=入力!$B$15+1,"繰上返済後再計算","")&amp;IF(AND(入力!$B$13="有効",A241&gt;1,MOD(A241-1,60)=0),IF(A241=入力!$B$15+1,"・","")&amp;"5年見直し","")&amp;IF(AND(A241=入力!$B$11,A241&gt;1),IF(OR(A241=入力!$B$15+1,AND(入力!$B$13="有効",A241&gt;1,MOD(A241-1,60)=0)),"・","")&amp;"金利変更","")&amp;IF(AND(OR(AND(入力!$B$13="有効",A241&gt;1,MOD(A241-1,60)=0),AND(A241=入力!$B$11,A241&gt;1)),入力!$B$14="有効",IF(E241=0,ROUND(C241/MAX(1,S240-A241+1),0),ROUND(-PMT(E241/12,MAX(1,S240-A241+1),C241),0))&gt;ROUND(G240*1.25,0),NOT(A241=入力!$B$15+1)),"・上限適用",""))</f>
        <v/>
      </c>
      <c r="Q241" s="35" t="str">
        <f>IF(AND(T240="",A241&lt;=S240),入力!$B$13,"")</f>
        <v>有効</v>
      </c>
      <c r="R241" s="32" t="str">
        <f>IF(AND(AND(T240="",A241&lt;=S240),OR(AND(入力!$B$13="有効",A241&gt;1,MOD(A241-1,60)=0),AND(A241=入力!$B$11,A241&gt;1)),入力!$B$14="有効"),ROUND(G240*1.25,0),"")</f>
        <v/>
      </c>
      <c r="S241" s="36">
        <f>IF(A241=入力!$B$15,A241+入力!$B$19,S240)</f>
        <v>360</v>
      </c>
      <c r="T241" s="35" t="str">
        <f t="shared" si="63"/>
        <v/>
      </c>
      <c r="U241" s="3">
        <f t="shared" si="48"/>
        <v>0</v>
      </c>
      <c r="V241" s="3">
        <f t="shared" si="49"/>
        <v>0</v>
      </c>
      <c r="W241" s="3">
        <f t="shared" si="50"/>
        <v>0</v>
      </c>
      <c r="X241" s="3">
        <f t="shared" si="51"/>
        <v>0</v>
      </c>
      <c r="Y241" s="3">
        <f>IF(A241&lt;入力!$B$15,ABS(G241-何もしない_月次!G241),0)</f>
        <v>0</v>
      </c>
      <c r="Z241" s="3">
        <f t="shared" si="52"/>
        <v>0</v>
      </c>
      <c r="AA241">
        <f>ROUND(IF(A241=入力!$B$15+1,IF(E241=0,ROUND(C241/入力!$B$19,0),ROUND(-PMT(E241/12,入力!$B$19,C241),0)),IF(OR(AND(入力!$B$13="有効",A241&gt;1,MOD(A241-1,60)=0),AND(A241=入力!$B$11,A241&gt;1)),IF(入力!$B$14="有効",MIN(IF(E241=0,ROUND(C241/MAX(1,S240-A241+1),0),ROUND(-PMT(E241/12,MAX(1,S240-A241+1),C241),0)),ROUND(G240*1.25,0)),IF(E241=0,ROUND(C241/MAX(1,S240-A241+1),0),ROUND(-PMT(E241/12,MAX(1,S240-A241+1),C241),0))),G240)),0)</f>
        <v>116934</v>
      </c>
    </row>
    <row r="242" spans="1:27">
      <c r="A242" s="30">
        <f>237</f>
        <v>237</v>
      </c>
      <c r="B242" s="31">
        <f>EDATE(入力!$B$6,A242-1)</f>
        <v>53418</v>
      </c>
      <c r="C242" s="32">
        <f t="shared" si="53"/>
        <v>12766704</v>
      </c>
      <c r="D242" s="32">
        <f t="shared" si="54"/>
        <v>0</v>
      </c>
      <c r="E242" s="33">
        <f>IF(AND(T241="",A242&lt;=S241),IF(A242&lt;入力!$B$11,入力!$B$10,入力!$B$12),0)</f>
        <v>2.5000000000000001E-2</v>
      </c>
      <c r="F242" s="32">
        <f t="shared" si="55"/>
        <v>26597</v>
      </c>
      <c r="G242" s="32">
        <f>ROUND(IF(NOT(AND(T241="",A242&lt;=S241)),0,IF(A242=入力!$B$15+1,IF(E242=0,ROUND(C242/入力!$B$19,0),ROUND(-PMT(E242/12,入力!$B$19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),0)</f>
        <v>116934</v>
      </c>
      <c r="H242" s="32">
        <f t="shared" si="56"/>
        <v>116934</v>
      </c>
      <c r="I242" s="32">
        <f t="shared" si="57"/>
        <v>26597</v>
      </c>
      <c r="J242" s="32">
        <f t="shared" si="58"/>
        <v>0</v>
      </c>
      <c r="K242" s="32">
        <f t="shared" si="59"/>
        <v>0</v>
      </c>
      <c r="L242" s="32">
        <f t="shared" si="60"/>
        <v>90337</v>
      </c>
      <c r="M242" s="32">
        <f>IF(AND(AND(T241="",A242&lt;=S241),A242=入力!$B$15),ROUND(MIN(入力!$B$16,MAX(0,C242-L242)),0),0)</f>
        <v>0</v>
      </c>
      <c r="N242" s="32">
        <f t="shared" si="61"/>
        <v>12676367</v>
      </c>
      <c r="O242" s="32">
        <f t="shared" si="62"/>
        <v>9045305</v>
      </c>
      <c r="P242" s="34" t="str">
        <f>IF(NOT(AND(T241="",A242&lt;=S241)),"",IF(A242=入力!$B$15+1,"繰上返済後再計算","")&amp;IF(AND(入力!$B$13="有効",A242&gt;1,MOD(A242-1,60)=0),IF(A242=入力!$B$15+1,"・","")&amp;"5年見直し","")&amp;IF(AND(A242=入力!$B$11,A242&gt;1),IF(OR(A242=入力!$B$15+1,AND(入力!$B$13="有効",A242&gt;1,MOD(A242-1,60)=0)),"・","")&amp;"金利変更","")&amp;IF(AND(OR(AND(入力!$B$13="有効",A242&gt;1,MOD(A242-1,60)=0),AND(A242=入力!$B$11,A242&gt;1)),入力!$B$14="有効",IF(E242=0,ROUND(C242/MAX(1,S241-A242+1),0),ROUND(-PMT(E242/12,MAX(1,S241-A242+1),C242),0))&gt;ROUND(G241*1.25,0),NOT(A242=入力!$B$15+1)),"・上限適用",""))</f>
        <v/>
      </c>
      <c r="Q242" s="35" t="str">
        <f>IF(AND(T241="",A242&lt;=S241),入力!$B$13,"")</f>
        <v>有効</v>
      </c>
      <c r="R242" s="32" t="str">
        <f>IF(AND(AND(T241="",A242&lt;=S241),OR(AND(入力!$B$13="有効",A242&gt;1,MOD(A242-1,60)=0),AND(A242=入力!$B$11,A242&gt;1)),入力!$B$14="有効"),ROUND(G241*1.25,0),"")</f>
        <v/>
      </c>
      <c r="S242" s="36">
        <f>IF(A242=入力!$B$15,A242+入力!$B$19,S241)</f>
        <v>360</v>
      </c>
      <c r="T242" s="35" t="str">
        <f t="shared" si="63"/>
        <v/>
      </c>
      <c r="U242" s="3">
        <f t="shared" si="48"/>
        <v>0</v>
      </c>
      <c r="V242" s="3">
        <f t="shared" si="49"/>
        <v>0</v>
      </c>
      <c r="W242" s="3">
        <f t="shared" si="50"/>
        <v>0</v>
      </c>
      <c r="X242" s="3">
        <f t="shared" si="51"/>
        <v>0</v>
      </c>
      <c r="Y242" s="3">
        <f>IF(A242&lt;入力!$B$15,ABS(G242-何もしない_月次!G242),0)</f>
        <v>0</v>
      </c>
      <c r="Z242" s="3">
        <f t="shared" si="52"/>
        <v>0</v>
      </c>
      <c r="AA242">
        <f>ROUND(IF(A242=入力!$B$15+1,IF(E242=0,ROUND(C242/入力!$B$19,0),ROUND(-PMT(E242/12,入力!$B$19,C242),0)),IF(OR(AND(入力!$B$13="有効",A242&gt;1,MOD(A242-1,60)=0),AND(A242=入力!$B$11,A242&gt;1)),IF(入力!$B$14="有効",MIN(IF(E242=0,ROUND(C242/MAX(1,S241-A242+1),0),ROUND(-PMT(E242/12,MAX(1,S241-A242+1),C242),0)),ROUND(G241*1.25,0)),IF(E242=0,ROUND(C242/MAX(1,S241-A242+1),0),ROUND(-PMT(E242/12,MAX(1,S241-A242+1),C242),0))),G241)),0)</f>
        <v>116934</v>
      </c>
    </row>
    <row r="243" spans="1:27">
      <c r="A243" s="30">
        <f>238</f>
        <v>238</v>
      </c>
      <c r="B243" s="31">
        <f>EDATE(入力!$B$6,A243-1)</f>
        <v>53448</v>
      </c>
      <c r="C243" s="32">
        <f t="shared" si="53"/>
        <v>12676367</v>
      </c>
      <c r="D243" s="32">
        <f t="shared" si="54"/>
        <v>0</v>
      </c>
      <c r="E243" s="33">
        <f>IF(AND(T242="",A243&lt;=S242),IF(A243&lt;入力!$B$11,入力!$B$10,入力!$B$12),0)</f>
        <v>2.5000000000000001E-2</v>
      </c>
      <c r="F243" s="32">
        <f t="shared" si="55"/>
        <v>26409</v>
      </c>
      <c r="G243" s="32">
        <f>ROUND(IF(NOT(AND(T242="",A243&lt;=S242)),0,IF(A243=入力!$B$15+1,IF(E243=0,ROUND(C243/入力!$B$19,0),ROUND(-PMT(E243/12,入力!$B$19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),0)</f>
        <v>116934</v>
      </c>
      <c r="H243" s="32">
        <f t="shared" si="56"/>
        <v>116934</v>
      </c>
      <c r="I243" s="32">
        <f t="shared" si="57"/>
        <v>26409</v>
      </c>
      <c r="J243" s="32">
        <f t="shared" si="58"/>
        <v>0</v>
      </c>
      <c r="K243" s="32">
        <f t="shared" si="59"/>
        <v>0</v>
      </c>
      <c r="L243" s="32">
        <f t="shared" si="60"/>
        <v>90525</v>
      </c>
      <c r="M243" s="32">
        <f>IF(AND(AND(T242="",A243&lt;=S242),A243=入力!$B$15),ROUND(MIN(入力!$B$16,MAX(0,C243-L243)),0),0)</f>
        <v>0</v>
      </c>
      <c r="N243" s="32">
        <f t="shared" si="61"/>
        <v>12585842</v>
      </c>
      <c r="O243" s="32">
        <f t="shared" si="62"/>
        <v>9071714</v>
      </c>
      <c r="P243" s="34" t="str">
        <f>IF(NOT(AND(T242="",A243&lt;=S242)),"",IF(A243=入力!$B$15+1,"繰上返済後再計算","")&amp;IF(AND(入力!$B$13="有効",A243&gt;1,MOD(A243-1,60)=0),IF(A243=入力!$B$15+1,"・","")&amp;"5年見直し","")&amp;IF(AND(A243=入力!$B$11,A243&gt;1),IF(OR(A243=入力!$B$15+1,AND(入力!$B$13="有効",A243&gt;1,MOD(A243-1,60)=0)),"・","")&amp;"金利変更","")&amp;IF(AND(OR(AND(入力!$B$13="有効",A243&gt;1,MOD(A243-1,60)=0),AND(A243=入力!$B$11,A243&gt;1)),入力!$B$14="有効",IF(E243=0,ROUND(C243/MAX(1,S242-A243+1),0),ROUND(-PMT(E243/12,MAX(1,S242-A243+1),C243),0))&gt;ROUND(G242*1.25,0),NOT(A243=入力!$B$15+1)),"・上限適用",""))</f>
        <v/>
      </c>
      <c r="Q243" s="35" t="str">
        <f>IF(AND(T242="",A243&lt;=S242),入力!$B$13,"")</f>
        <v>有効</v>
      </c>
      <c r="R243" s="32" t="str">
        <f>IF(AND(AND(T242="",A243&lt;=S242),OR(AND(入力!$B$13="有効",A243&gt;1,MOD(A243-1,60)=0),AND(A243=入力!$B$11,A243&gt;1)),入力!$B$14="有効"),ROUND(G242*1.25,0),"")</f>
        <v/>
      </c>
      <c r="S243" s="36">
        <f>IF(A243=入力!$B$15,A243+入力!$B$19,S242)</f>
        <v>360</v>
      </c>
      <c r="T243" s="35" t="str">
        <f t="shared" si="63"/>
        <v/>
      </c>
      <c r="U243" s="3">
        <f t="shared" si="48"/>
        <v>0</v>
      </c>
      <c r="V243" s="3">
        <f t="shared" si="49"/>
        <v>0</v>
      </c>
      <c r="W243" s="3">
        <f t="shared" si="50"/>
        <v>0</v>
      </c>
      <c r="X243" s="3">
        <f t="shared" si="51"/>
        <v>0</v>
      </c>
      <c r="Y243" s="3">
        <f>IF(A243&lt;入力!$B$15,ABS(G243-何もしない_月次!G243),0)</f>
        <v>0</v>
      </c>
      <c r="Z243" s="3">
        <f t="shared" si="52"/>
        <v>0</v>
      </c>
      <c r="AA243">
        <f>ROUND(IF(A243=入力!$B$15+1,IF(E243=0,ROUND(C243/入力!$B$19,0),ROUND(-PMT(E243/12,入力!$B$19,C243),0)),IF(OR(AND(入力!$B$13="有効",A243&gt;1,MOD(A243-1,60)=0),AND(A243=入力!$B$11,A243&gt;1)),IF(入力!$B$14="有効",MIN(IF(E243=0,ROUND(C243/MAX(1,S242-A243+1),0),ROUND(-PMT(E243/12,MAX(1,S242-A243+1),C243),0)),ROUND(G242*1.25,0)),IF(E243=0,ROUND(C243/MAX(1,S242-A243+1),0),ROUND(-PMT(E243/12,MAX(1,S242-A243+1),C243),0))),G242)),0)</f>
        <v>116934</v>
      </c>
    </row>
    <row r="244" spans="1:27">
      <c r="A244" s="30">
        <f>239</f>
        <v>239</v>
      </c>
      <c r="B244" s="31">
        <f>EDATE(入力!$B$6,A244-1)</f>
        <v>53479</v>
      </c>
      <c r="C244" s="32">
        <f t="shared" si="53"/>
        <v>12585842</v>
      </c>
      <c r="D244" s="32">
        <f t="shared" si="54"/>
        <v>0</v>
      </c>
      <c r="E244" s="33">
        <f>IF(AND(T243="",A244&lt;=S243),IF(A244&lt;入力!$B$11,入力!$B$10,入力!$B$12),0)</f>
        <v>2.5000000000000001E-2</v>
      </c>
      <c r="F244" s="32">
        <f t="shared" si="55"/>
        <v>26221</v>
      </c>
      <c r="G244" s="32">
        <f>ROUND(IF(NOT(AND(T243="",A244&lt;=S243)),0,IF(A244=入力!$B$15+1,IF(E244=0,ROUND(C244/入力!$B$19,0),ROUND(-PMT(E244/12,入力!$B$19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),0)</f>
        <v>116934</v>
      </c>
      <c r="H244" s="32">
        <f t="shared" si="56"/>
        <v>116934</v>
      </c>
      <c r="I244" s="32">
        <f t="shared" si="57"/>
        <v>26221</v>
      </c>
      <c r="J244" s="32">
        <f t="shared" si="58"/>
        <v>0</v>
      </c>
      <c r="K244" s="32">
        <f t="shared" si="59"/>
        <v>0</v>
      </c>
      <c r="L244" s="32">
        <f t="shared" si="60"/>
        <v>90713</v>
      </c>
      <c r="M244" s="32">
        <f>IF(AND(AND(T243="",A244&lt;=S243),A244=入力!$B$15),ROUND(MIN(入力!$B$16,MAX(0,C244-L244)),0),0)</f>
        <v>0</v>
      </c>
      <c r="N244" s="32">
        <f t="shared" si="61"/>
        <v>12495129</v>
      </c>
      <c r="O244" s="32">
        <f t="shared" si="62"/>
        <v>9097935</v>
      </c>
      <c r="P244" s="34" t="str">
        <f>IF(NOT(AND(T243="",A244&lt;=S243)),"",IF(A244=入力!$B$15+1,"繰上返済後再計算","")&amp;IF(AND(入力!$B$13="有効",A244&gt;1,MOD(A244-1,60)=0),IF(A244=入力!$B$15+1,"・","")&amp;"5年見直し","")&amp;IF(AND(A244=入力!$B$11,A244&gt;1),IF(OR(A244=入力!$B$15+1,AND(入力!$B$13="有効",A244&gt;1,MOD(A244-1,60)=0)),"・","")&amp;"金利変更","")&amp;IF(AND(OR(AND(入力!$B$13="有効",A244&gt;1,MOD(A244-1,60)=0),AND(A244=入力!$B$11,A244&gt;1)),入力!$B$14="有効",IF(E244=0,ROUND(C244/MAX(1,S243-A244+1),0),ROUND(-PMT(E244/12,MAX(1,S243-A244+1),C244),0))&gt;ROUND(G243*1.25,0),NOT(A244=入力!$B$15+1)),"・上限適用",""))</f>
        <v/>
      </c>
      <c r="Q244" s="35" t="str">
        <f>IF(AND(T243="",A244&lt;=S243),入力!$B$13,"")</f>
        <v>有効</v>
      </c>
      <c r="R244" s="32" t="str">
        <f>IF(AND(AND(T243="",A244&lt;=S243),OR(AND(入力!$B$13="有効",A244&gt;1,MOD(A244-1,60)=0),AND(A244=入力!$B$11,A244&gt;1)),入力!$B$14="有効"),ROUND(G243*1.25,0),"")</f>
        <v/>
      </c>
      <c r="S244" s="36">
        <f>IF(A244=入力!$B$15,A244+入力!$B$19,S243)</f>
        <v>360</v>
      </c>
      <c r="T244" s="35" t="str">
        <f t="shared" si="63"/>
        <v/>
      </c>
      <c r="U244" s="3">
        <f t="shared" si="48"/>
        <v>0</v>
      </c>
      <c r="V244" s="3">
        <f t="shared" si="49"/>
        <v>0</v>
      </c>
      <c r="W244" s="3">
        <f t="shared" si="50"/>
        <v>0</v>
      </c>
      <c r="X244" s="3">
        <f t="shared" si="51"/>
        <v>0</v>
      </c>
      <c r="Y244" s="3">
        <f>IF(A244&lt;入力!$B$15,ABS(G244-何もしない_月次!G244),0)</f>
        <v>0</v>
      </c>
      <c r="Z244" s="3">
        <f t="shared" si="52"/>
        <v>0</v>
      </c>
      <c r="AA244">
        <f>ROUND(IF(A244=入力!$B$15+1,IF(E244=0,ROUND(C244/入力!$B$19,0),ROUND(-PMT(E244/12,入力!$B$19,C244),0)),IF(OR(AND(入力!$B$13="有効",A244&gt;1,MOD(A244-1,60)=0),AND(A244=入力!$B$11,A244&gt;1)),IF(入力!$B$14="有効",MIN(IF(E244=0,ROUND(C244/MAX(1,S243-A244+1),0),ROUND(-PMT(E244/12,MAX(1,S243-A244+1),C244),0)),ROUND(G243*1.25,0)),IF(E244=0,ROUND(C244/MAX(1,S243-A244+1),0),ROUND(-PMT(E244/12,MAX(1,S243-A244+1),C244),0))),G243)),0)</f>
        <v>116934</v>
      </c>
    </row>
    <row r="245" spans="1:27">
      <c r="A245" s="30">
        <f>240</f>
        <v>240</v>
      </c>
      <c r="B245" s="31">
        <f>EDATE(入力!$B$6,A245-1)</f>
        <v>53509</v>
      </c>
      <c r="C245" s="32">
        <f t="shared" si="53"/>
        <v>12495129</v>
      </c>
      <c r="D245" s="32">
        <f t="shared" si="54"/>
        <v>0</v>
      </c>
      <c r="E245" s="33">
        <f>IF(AND(T244="",A245&lt;=S244),IF(A245&lt;入力!$B$11,入力!$B$10,入力!$B$12),0)</f>
        <v>2.5000000000000001E-2</v>
      </c>
      <c r="F245" s="32">
        <f t="shared" si="55"/>
        <v>26032</v>
      </c>
      <c r="G245" s="32">
        <f>ROUND(IF(NOT(AND(T244="",A245&lt;=S244)),0,IF(A245=入力!$B$15+1,IF(E245=0,ROUND(C245/入力!$B$19,0),ROUND(-PMT(E245/12,入力!$B$19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),0)</f>
        <v>116934</v>
      </c>
      <c r="H245" s="32">
        <f t="shared" si="56"/>
        <v>116934</v>
      </c>
      <c r="I245" s="32">
        <f t="shared" si="57"/>
        <v>26032</v>
      </c>
      <c r="J245" s="32">
        <f t="shared" si="58"/>
        <v>0</v>
      </c>
      <c r="K245" s="32">
        <f t="shared" si="59"/>
        <v>0</v>
      </c>
      <c r="L245" s="32">
        <f t="shared" si="60"/>
        <v>90902</v>
      </c>
      <c r="M245" s="32">
        <f>IF(AND(AND(T244="",A245&lt;=S244),A245=入力!$B$15),ROUND(MIN(入力!$B$16,MAX(0,C245-L245)),0),0)</f>
        <v>0</v>
      </c>
      <c r="N245" s="32">
        <f t="shared" si="61"/>
        <v>12404227</v>
      </c>
      <c r="O245" s="32">
        <f t="shared" si="62"/>
        <v>9123967</v>
      </c>
      <c r="P245" s="34" t="str">
        <f>IF(NOT(AND(T244="",A245&lt;=S244)),"",IF(A245=入力!$B$15+1,"繰上返済後再計算","")&amp;IF(AND(入力!$B$13="有効",A245&gt;1,MOD(A245-1,60)=0),IF(A245=入力!$B$15+1,"・","")&amp;"5年見直し","")&amp;IF(AND(A245=入力!$B$11,A245&gt;1),IF(OR(A245=入力!$B$15+1,AND(入力!$B$13="有効",A245&gt;1,MOD(A245-1,60)=0)),"・","")&amp;"金利変更","")&amp;IF(AND(OR(AND(入力!$B$13="有効",A245&gt;1,MOD(A245-1,60)=0),AND(A245=入力!$B$11,A245&gt;1)),入力!$B$14="有効",IF(E245=0,ROUND(C245/MAX(1,S244-A245+1),0),ROUND(-PMT(E245/12,MAX(1,S244-A245+1),C245),0))&gt;ROUND(G244*1.25,0),NOT(A245=入力!$B$15+1)),"・上限適用",""))</f>
        <v/>
      </c>
      <c r="Q245" s="35" t="str">
        <f>IF(AND(T244="",A245&lt;=S244),入力!$B$13,"")</f>
        <v>有効</v>
      </c>
      <c r="R245" s="32" t="str">
        <f>IF(AND(AND(T244="",A245&lt;=S244),OR(AND(入力!$B$13="有効",A245&gt;1,MOD(A245-1,60)=0),AND(A245=入力!$B$11,A245&gt;1)),入力!$B$14="有効"),ROUND(G244*1.25,0),"")</f>
        <v/>
      </c>
      <c r="S245" s="36">
        <f>IF(A245=入力!$B$15,A245+入力!$B$19,S244)</f>
        <v>360</v>
      </c>
      <c r="T245" s="35" t="str">
        <f t="shared" si="63"/>
        <v/>
      </c>
      <c r="U245" s="3">
        <f t="shared" si="48"/>
        <v>0</v>
      </c>
      <c r="V245" s="3">
        <f t="shared" si="49"/>
        <v>0</v>
      </c>
      <c r="W245" s="3">
        <f t="shared" si="50"/>
        <v>0</v>
      </c>
      <c r="X245" s="3">
        <f t="shared" si="51"/>
        <v>0</v>
      </c>
      <c r="Y245" s="3">
        <f>IF(A245&lt;入力!$B$15,ABS(G245-何もしない_月次!G245),0)</f>
        <v>0</v>
      </c>
      <c r="Z245" s="3">
        <f t="shared" si="52"/>
        <v>0</v>
      </c>
      <c r="AA245">
        <f>ROUND(IF(A245=入力!$B$15+1,IF(E245=0,ROUND(C245/入力!$B$19,0),ROUND(-PMT(E245/12,入力!$B$19,C245),0)),IF(OR(AND(入力!$B$13="有効",A245&gt;1,MOD(A245-1,60)=0),AND(A245=入力!$B$11,A245&gt;1)),IF(入力!$B$14="有効",MIN(IF(E245=0,ROUND(C245/MAX(1,S244-A245+1),0),ROUND(-PMT(E245/12,MAX(1,S244-A245+1),C245),0)),ROUND(G244*1.25,0)),IF(E245=0,ROUND(C245/MAX(1,S244-A245+1),0),ROUND(-PMT(E245/12,MAX(1,S244-A245+1),C245),0))),G244)),0)</f>
        <v>116934</v>
      </c>
    </row>
    <row r="246" spans="1:27">
      <c r="A246" s="30">
        <f>241</f>
        <v>241</v>
      </c>
      <c r="B246" s="31">
        <f>EDATE(入力!$B$6,A246-1)</f>
        <v>53540</v>
      </c>
      <c r="C246" s="32">
        <f t="shared" si="53"/>
        <v>12404227</v>
      </c>
      <c r="D246" s="32">
        <f t="shared" si="54"/>
        <v>0</v>
      </c>
      <c r="E246" s="33">
        <f>IF(AND(T245="",A246&lt;=S245),IF(A246&lt;入力!$B$11,入力!$B$10,入力!$B$12),0)</f>
        <v>2.5000000000000001E-2</v>
      </c>
      <c r="F246" s="32">
        <f t="shared" si="55"/>
        <v>25842</v>
      </c>
      <c r="G246" s="32">
        <f>ROUND(IF(NOT(AND(T245="",A246&lt;=S245)),0,IF(A246=入力!$B$15+1,IF(E246=0,ROUND(C246/入力!$B$19,0),ROUND(-PMT(E246/12,入力!$B$19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),0)</f>
        <v>116935</v>
      </c>
      <c r="H246" s="32">
        <f t="shared" si="56"/>
        <v>116935</v>
      </c>
      <c r="I246" s="32">
        <f t="shared" si="57"/>
        <v>25842</v>
      </c>
      <c r="J246" s="32">
        <f t="shared" si="58"/>
        <v>0</v>
      </c>
      <c r="K246" s="32">
        <f t="shared" si="59"/>
        <v>0</v>
      </c>
      <c r="L246" s="32">
        <f t="shared" si="60"/>
        <v>91093</v>
      </c>
      <c r="M246" s="32">
        <f>IF(AND(AND(T245="",A246&lt;=S245),A246=入力!$B$15),ROUND(MIN(入力!$B$16,MAX(0,C246-L246)),0),0)</f>
        <v>0</v>
      </c>
      <c r="N246" s="32">
        <f t="shared" si="61"/>
        <v>12313134</v>
      </c>
      <c r="O246" s="32">
        <f t="shared" si="62"/>
        <v>9149809</v>
      </c>
      <c r="P246" s="34" t="str">
        <f>IF(NOT(AND(T245="",A246&lt;=S245)),"",IF(A246=入力!$B$15+1,"繰上返済後再計算","")&amp;IF(AND(入力!$B$13="有効",A246&gt;1,MOD(A246-1,60)=0),IF(A246=入力!$B$15+1,"・","")&amp;"5年見直し","")&amp;IF(AND(A246=入力!$B$11,A246&gt;1),IF(OR(A246=入力!$B$15+1,AND(入力!$B$13="有効",A246&gt;1,MOD(A246-1,60)=0)),"・","")&amp;"金利変更","")&amp;IF(AND(OR(AND(入力!$B$13="有効",A246&gt;1,MOD(A246-1,60)=0),AND(A246=入力!$B$11,A246&gt;1)),入力!$B$14="有効",IF(E246=0,ROUND(C246/MAX(1,S245-A246+1),0),ROUND(-PMT(E246/12,MAX(1,S245-A246+1),C246),0))&gt;ROUND(G245*1.25,0),NOT(A246=入力!$B$15+1)),"・上限適用",""))</f>
        <v>5年見直し</v>
      </c>
      <c r="Q246" s="35" t="str">
        <f>IF(AND(T245="",A246&lt;=S245),入力!$B$13,"")</f>
        <v>有効</v>
      </c>
      <c r="R246" s="32">
        <f>IF(AND(AND(T245="",A246&lt;=S245),OR(AND(入力!$B$13="有効",A246&gt;1,MOD(A246-1,60)=0),AND(A246=入力!$B$11,A246&gt;1)),入力!$B$14="有効"),ROUND(G245*1.25,0),"")</f>
        <v>146168</v>
      </c>
      <c r="S246" s="36">
        <f>IF(A246=入力!$B$15,A246+入力!$B$19,S245)</f>
        <v>360</v>
      </c>
      <c r="T246" s="35" t="str">
        <f t="shared" si="63"/>
        <v/>
      </c>
      <c r="U246" s="3">
        <f t="shared" si="48"/>
        <v>0</v>
      </c>
      <c r="V246" s="3">
        <f t="shared" si="49"/>
        <v>0</v>
      </c>
      <c r="W246" s="3">
        <f t="shared" si="50"/>
        <v>0</v>
      </c>
      <c r="X246" s="3">
        <f t="shared" si="51"/>
        <v>0</v>
      </c>
      <c r="Y246" s="3">
        <f>IF(A246&lt;入力!$B$15,ABS(G246-何もしない_月次!G246),0)</f>
        <v>0</v>
      </c>
      <c r="Z246" s="3">
        <f t="shared" si="52"/>
        <v>0</v>
      </c>
      <c r="AA246">
        <f>ROUND(IF(A246=入力!$B$15+1,IF(E246=0,ROUND(C246/入力!$B$19,0),ROUND(-PMT(E246/12,入力!$B$19,C246),0)),IF(OR(AND(入力!$B$13="有効",A246&gt;1,MOD(A246-1,60)=0),AND(A246=入力!$B$11,A246&gt;1)),IF(入力!$B$14="有効",MIN(IF(E246=0,ROUND(C246/MAX(1,S245-A246+1),0),ROUND(-PMT(E246/12,MAX(1,S245-A246+1),C246),0)),ROUND(G245*1.25,0)),IF(E246=0,ROUND(C246/MAX(1,S245-A246+1),0),ROUND(-PMT(E246/12,MAX(1,S245-A246+1),C246),0))),G245)),0)</f>
        <v>116935</v>
      </c>
    </row>
    <row r="247" spans="1:27">
      <c r="A247" s="30">
        <f>242</f>
        <v>242</v>
      </c>
      <c r="B247" s="31">
        <f>EDATE(入力!$B$6,A247-1)</f>
        <v>53571</v>
      </c>
      <c r="C247" s="32">
        <f t="shared" si="53"/>
        <v>12313134</v>
      </c>
      <c r="D247" s="32">
        <f t="shared" si="54"/>
        <v>0</v>
      </c>
      <c r="E247" s="33">
        <f>IF(AND(T246="",A247&lt;=S246),IF(A247&lt;入力!$B$11,入力!$B$10,入力!$B$12),0)</f>
        <v>2.5000000000000001E-2</v>
      </c>
      <c r="F247" s="32">
        <f t="shared" si="55"/>
        <v>25652</v>
      </c>
      <c r="G247" s="32">
        <f>ROUND(IF(NOT(AND(T246="",A247&lt;=S246)),0,IF(A247=入力!$B$15+1,IF(E247=0,ROUND(C247/入力!$B$19,0),ROUND(-PMT(E247/12,入力!$B$19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),0)</f>
        <v>116935</v>
      </c>
      <c r="H247" s="32">
        <f t="shared" si="56"/>
        <v>116935</v>
      </c>
      <c r="I247" s="32">
        <f t="shared" si="57"/>
        <v>25652</v>
      </c>
      <c r="J247" s="32">
        <f t="shared" si="58"/>
        <v>0</v>
      </c>
      <c r="K247" s="32">
        <f t="shared" si="59"/>
        <v>0</v>
      </c>
      <c r="L247" s="32">
        <f t="shared" si="60"/>
        <v>91283</v>
      </c>
      <c r="M247" s="32">
        <f>IF(AND(AND(T246="",A247&lt;=S246),A247=入力!$B$15),ROUND(MIN(入力!$B$16,MAX(0,C247-L247)),0),0)</f>
        <v>0</v>
      </c>
      <c r="N247" s="32">
        <f t="shared" si="61"/>
        <v>12221851</v>
      </c>
      <c r="O247" s="32">
        <f t="shared" si="62"/>
        <v>9175461</v>
      </c>
      <c r="P247" s="34" t="str">
        <f>IF(NOT(AND(T246="",A247&lt;=S246)),"",IF(A247=入力!$B$15+1,"繰上返済後再計算","")&amp;IF(AND(入力!$B$13="有効",A247&gt;1,MOD(A247-1,60)=0),IF(A247=入力!$B$15+1,"・","")&amp;"5年見直し","")&amp;IF(AND(A247=入力!$B$11,A247&gt;1),IF(OR(A247=入力!$B$15+1,AND(入力!$B$13="有効",A247&gt;1,MOD(A247-1,60)=0)),"・","")&amp;"金利変更","")&amp;IF(AND(OR(AND(入力!$B$13="有効",A247&gt;1,MOD(A247-1,60)=0),AND(A247=入力!$B$11,A247&gt;1)),入力!$B$14="有効",IF(E247=0,ROUND(C247/MAX(1,S246-A247+1),0),ROUND(-PMT(E247/12,MAX(1,S246-A247+1),C247),0))&gt;ROUND(G246*1.25,0),NOT(A247=入力!$B$15+1)),"・上限適用",""))</f>
        <v/>
      </c>
      <c r="Q247" s="35" t="str">
        <f>IF(AND(T246="",A247&lt;=S246),入力!$B$13,"")</f>
        <v>有効</v>
      </c>
      <c r="R247" s="32" t="str">
        <f>IF(AND(AND(T246="",A247&lt;=S246),OR(AND(入力!$B$13="有効",A247&gt;1,MOD(A247-1,60)=0),AND(A247=入力!$B$11,A247&gt;1)),入力!$B$14="有効"),ROUND(G246*1.25,0),"")</f>
        <v/>
      </c>
      <c r="S247" s="36">
        <f>IF(A247=入力!$B$15,A247+入力!$B$19,S246)</f>
        <v>360</v>
      </c>
      <c r="T247" s="35" t="str">
        <f t="shared" si="63"/>
        <v/>
      </c>
      <c r="U247" s="3">
        <f t="shared" si="48"/>
        <v>0</v>
      </c>
      <c r="V247" s="3">
        <f t="shared" si="49"/>
        <v>0</v>
      </c>
      <c r="W247" s="3">
        <f t="shared" si="50"/>
        <v>0</v>
      </c>
      <c r="X247" s="3">
        <f t="shared" si="51"/>
        <v>0</v>
      </c>
      <c r="Y247" s="3">
        <f>IF(A247&lt;入力!$B$15,ABS(G247-何もしない_月次!G247),0)</f>
        <v>0</v>
      </c>
      <c r="Z247" s="3">
        <f t="shared" si="52"/>
        <v>0</v>
      </c>
      <c r="AA247">
        <f>ROUND(IF(A247=入力!$B$15+1,IF(E247=0,ROUND(C247/入力!$B$19,0),ROUND(-PMT(E247/12,入力!$B$19,C247),0)),IF(OR(AND(入力!$B$13="有効",A247&gt;1,MOD(A247-1,60)=0),AND(A247=入力!$B$11,A247&gt;1)),IF(入力!$B$14="有効",MIN(IF(E247=0,ROUND(C247/MAX(1,S246-A247+1),0),ROUND(-PMT(E247/12,MAX(1,S246-A247+1),C247),0)),ROUND(G246*1.25,0)),IF(E247=0,ROUND(C247/MAX(1,S246-A247+1),0),ROUND(-PMT(E247/12,MAX(1,S246-A247+1),C247),0))),G246)),0)</f>
        <v>116935</v>
      </c>
    </row>
    <row r="248" spans="1:27">
      <c r="A248" s="30">
        <f>243</f>
        <v>243</v>
      </c>
      <c r="B248" s="31">
        <f>EDATE(入力!$B$6,A248-1)</f>
        <v>53601</v>
      </c>
      <c r="C248" s="32">
        <f t="shared" si="53"/>
        <v>12221851</v>
      </c>
      <c r="D248" s="32">
        <f t="shared" si="54"/>
        <v>0</v>
      </c>
      <c r="E248" s="33">
        <f>IF(AND(T247="",A248&lt;=S247),IF(A248&lt;入力!$B$11,入力!$B$10,入力!$B$12),0)</f>
        <v>2.5000000000000001E-2</v>
      </c>
      <c r="F248" s="32">
        <f t="shared" si="55"/>
        <v>25462</v>
      </c>
      <c r="G248" s="32">
        <f>ROUND(IF(NOT(AND(T247="",A248&lt;=S247)),0,IF(A248=入力!$B$15+1,IF(E248=0,ROUND(C248/入力!$B$19,0),ROUND(-PMT(E248/12,入力!$B$19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),0)</f>
        <v>116935</v>
      </c>
      <c r="H248" s="32">
        <f t="shared" si="56"/>
        <v>116935</v>
      </c>
      <c r="I248" s="32">
        <f t="shared" si="57"/>
        <v>25462</v>
      </c>
      <c r="J248" s="32">
        <f t="shared" si="58"/>
        <v>0</v>
      </c>
      <c r="K248" s="32">
        <f t="shared" si="59"/>
        <v>0</v>
      </c>
      <c r="L248" s="32">
        <f t="shared" si="60"/>
        <v>91473</v>
      </c>
      <c r="M248" s="32">
        <f>IF(AND(AND(T247="",A248&lt;=S247),A248=入力!$B$15),ROUND(MIN(入力!$B$16,MAX(0,C248-L248)),0),0)</f>
        <v>0</v>
      </c>
      <c r="N248" s="32">
        <f t="shared" si="61"/>
        <v>12130378</v>
      </c>
      <c r="O248" s="32">
        <f t="shared" si="62"/>
        <v>9200923</v>
      </c>
      <c r="P248" s="34" t="str">
        <f>IF(NOT(AND(T247="",A248&lt;=S247)),"",IF(A248=入力!$B$15+1,"繰上返済後再計算","")&amp;IF(AND(入力!$B$13="有効",A248&gt;1,MOD(A248-1,60)=0),IF(A248=入力!$B$15+1,"・","")&amp;"5年見直し","")&amp;IF(AND(A248=入力!$B$11,A248&gt;1),IF(OR(A248=入力!$B$15+1,AND(入力!$B$13="有効",A248&gt;1,MOD(A248-1,60)=0)),"・","")&amp;"金利変更","")&amp;IF(AND(OR(AND(入力!$B$13="有効",A248&gt;1,MOD(A248-1,60)=0),AND(A248=入力!$B$11,A248&gt;1)),入力!$B$14="有効",IF(E248=0,ROUND(C248/MAX(1,S247-A248+1),0),ROUND(-PMT(E248/12,MAX(1,S247-A248+1),C248),0))&gt;ROUND(G247*1.25,0),NOT(A248=入力!$B$15+1)),"・上限適用",""))</f>
        <v/>
      </c>
      <c r="Q248" s="35" t="str">
        <f>IF(AND(T247="",A248&lt;=S247),入力!$B$13,"")</f>
        <v>有効</v>
      </c>
      <c r="R248" s="32" t="str">
        <f>IF(AND(AND(T247="",A248&lt;=S247),OR(AND(入力!$B$13="有効",A248&gt;1,MOD(A248-1,60)=0),AND(A248=入力!$B$11,A248&gt;1)),入力!$B$14="有効"),ROUND(G247*1.25,0),"")</f>
        <v/>
      </c>
      <c r="S248" s="36">
        <f>IF(A248=入力!$B$15,A248+入力!$B$19,S247)</f>
        <v>360</v>
      </c>
      <c r="T248" s="35" t="str">
        <f t="shared" si="63"/>
        <v/>
      </c>
      <c r="U248" s="3">
        <f t="shared" si="48"/>
        <v>0</v>
      </c>
      <c r="V248" s="3">
        <f t="shared" si="49"/>
        <v>0</v>
      </c>
      <c r="W248" s="3">
        <f t="shared" si="50"/>
        <v>0</v>
      </c>
      <c r="X248" s="3">
        <f t="shared" si="51"/>
        <v>0</v>
      </c>
      <c r="Y248" s="3">
        <f>IF(A248&lt;入力!$B$15,ABS(G248-何もしない_月次!G248),0)</f>
        <v>0</v>
      </c>
      <c r="Z248" s="3">
        <f t="shared" si="52"/>
        <v>0</v>
      </c>
      <c r="AA248">
        <f>ROUND(IF(A248=入力!$B$15+1,IF(E248=0,ROUND(C248/入力!$B$19,0),ROUND(-PMT(E248/12,入力!$B$19,C248),0)),IF(OR(AND(入力!$B$13="有効",A248&gt;1,MOD(A248-1,60)=0),AND(A248=入力!$B$11,A248&gt;1)),IF(入力!$B$14="有効",MIN(IF(E248=0,ROUND(C248/MAX(1,S247-A248+1),0),ROUND(-PMT(E248/12,MAX(1,S247-A248+1),C248),0)),ROUND(G247*1.25,0)),IF(E248=0,ROUND(C248/MAX(1,S247-A248+1),0),ROUND(-PMT(E248/12,MAX(1,S247-A248+1),C248),0))),G247)),0)</f>
        <v>116935</v>
      </c>
    </row>
    <row r="249" spans="1:27">
      <c r="A249" s="30">
        <f>244</f>
        <v>244</v>
      </c>
      <c r="B249" s="31">
        <f>EDATE(入力!$B$6,A249-1)</f>
        <v>53632</v>
      </c>
      <c r="C249" s="32">
        <f t="shared" si="53"/>
        <v>12130378</v>
      </c>
      <c r="D249" s="32">
        <f t="shared" si="54"/>
        <v>0</v>
      </c>
      <c r="E249" s="33">
        <f>IF(AND(T248="",A249&lt;=S248),IF(A249&lt;入力!$B$11,入力!$B$10,入力!$B$12),0)</f>
        <v>2.5000000000000001E-2</v>
      </c>
      <c r="F249" s="32">
        <f t="shared" si="55"/>
        <v>25272</v>
      </c>
      <c r="G249" s="32">
        <f>ROUND(IF(NOT(AND(T248="",A249&lt;=S248)),0,IF(A249=入力!$B$15+1,IF(E249=0,ROUND(C249/入力!$B$19,0),ROUND(-PMT(E249/12,入力!$B$19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),0)</f>
        <v>116935</v>
      </c>
      <c r="H249" s="32">
        <f t="shared" si="56"/>
        <v>116935</v>
      </c>
      <c r="I249" s="32">
        <f t="shared" si="57"/>
        <v>25272</v>
      </c>
      <c r="J249" s="32">
        <f t="shared" si="58"/>
        <v>0</v>
      </c>
      <c r="K249" s="32">
        <f t="shared" si="59"/>
        <v>0</v>
      </c>
      <c r="L249" s="32">
        <f t="shared" si="60"/>
        <v>91663</v>
      </c>
      <c r="M249" s="32">
        <f>IF(AND(AND(T248="",A249&lt;=S248),A249=入力!$B$15),ROUND(MIN(入力!$B$16,MAX(0,C249-L249)),0),0)</f>
        <v>0</v>
      </c>
      <c r="N249" s="32">
        <f t="shared" si="61"/>
        <v>12038715</v>
      </c>
      <c r="O249" s="32">
        <f t="shared" si="62"/>
        <v>9226195</v>
      </c>
      <c r="P249" s="34" t="str">
        <f>IF(NOT(AND(T248="",A249&lt;=S248)),"",IF(A249=入力!$B$15+1,"繰上返済後再計算","")&amp;IF(AND(入力!$B$13="有効",A249&gt;1,MOD(A249-1,60)=0),IF(A249=入力!$B$15+1,"・","")&amp;"5年見直し","")&amp;IF(AND(A249=入力!$B$11,A249&gt;1),IF(OR(A249=入力!$B$15+1,AND(入力!$B$13="有効",A249&gt;1,MOD(A249-1,60)=0)),"・","")&amp;"金利変更","")&amp;IF(AND(OR(AND(入力!$B$13="有効",A249&gt;1,MOD(A249-1,60)=0),AND(A249=入力!$B$11,A249&gt;1)),入力!$B$14="有効",IF(E249=0,ROUND(C249/MAX(1,S248-A249+1),0),ROUND(-PMT(E249/12,MAX(1,S248-A249+1),C249),0))&gt;ROUND(G248*1.25,0),NOT(A249=入力!$B$15+1)),"・上限適用",""))</f>
        <v/>
      </c>
      <c r="Q249" s="35" t="str">
        <f>IF(AND(T248="",A249&lt;=S248),入力!$B$13,"")</f>
        <v>有効</v>
      </c>
      <c r="R249" s="32" t="str">
        <f>IF(AND(AND(T248="",A249&lt;=S248),OR(AND(入力!$B$13="有効",A249&gt;1,MOD(A249-1,60)=0),AND(A249=入力!$B$11,A249&gt;1)),入力!$B$14="有効"),ROUND(G248*1.25,0),"")</f>
        <v/>
      </c>
      <c r="S249" s="36">
        <f>IF(A249=入力!$B$15,A249+入力!$B$19,S248)</f>
        <v>360</v>
      </c>
      <c r="T249" s="35" t="str">
        <f t="shared" si="63"/>
        <v/>
      </c>
      <c r="U249" s="3">
        <f t="shared" si="48"/>
        <v>0</v>
      </c>
      <c r="V249" s="3">
        <f t="shared" si="49"/>
        <v>0</v>
      </c>
      <c r="W249" s="3">
        <f t="shared" si="50"/>
        <v>0</v>
      </c>
      <c r="X249" s="3">
        <f t="shared" si="51"/>
        <v>0</v>
      </c>
      <c r="Y249" s="3">
        <f>IF(A249&lt;入力!$B$15,ABS(G249-何もしない_月次!G249),0)</f>
        <v>0</v>
      </c>
      <c r="Z249" s="3">
        <f t="shared" si="52"/>
        <v>0</v>
      </c>
      <c r="AA249">
        <f>ROUND(IF(A249=入力!$B$15+1,IF(E249=0,ROUND(C249/入力!$B$19,0),ROUND(-PMT(E249/12,入力!$B$19,C249),0)),IF(OR(AND(入力!$B$13="有効",A249&gt;1,MOD(A249-1,60)=0),AND(A249=入力!$B$11,A249&gt;1)),IF(入力!$B$14="有効",MIN(IF(E249=0,ROUND(C249/MAX(1,S248-A249+1),0),ROUND(-PMT(E249/12,MAX(1,S248-A249+1),C249),0)),ROUND(G248*1.25,0)),IF(E249=0,ROUND(C249/MAX(1,S248-A249+1),0),ROUND(-PMT(E249/12,MAX(1,S248-A249+1),C249),0))),G248)),0)</f>
        <v>116935</v>
      </c>
    </row>
    <row r="250" spans="1:27">
      <c r="A250" s="30">
        <f>245</f>
        <v>245</v>
      </c>
      <c r="B250" s="31">
        <f>EDATE(入力!$B$6,A250-1)</f>
        <v>53662</v>
      </c>
      <c r="C250" s="32">
        <f t="shared" si="53"/>
        <v>12038715</v>
      </c>
      <c r="D250" s="32">
        <f t="shared" si="54"/>
        <v>0</v>
      </c>
      <c r="E250" s="33">
        <f>IF(AND(T249="",A250&lt;=S249),IF(A250&lt;入力!$B$11,入力!$B$10,入力!$B$12),0)</f>
        <v>2.5000000000000001E-2</v>
      </c>
      <c r="F250" s="32">
        <f t="shared" si="55"/>
        <v>25081</v>
      </c>
      <c r="G250" s="32">
        <f>ROUND(IF(NOT(AND(T249="",A250&lt;=S249)),0,IF(A250=入力!$B$15+1,IF(E250=0,ROUND(C250/入力!$B$19,0),ROUND(-PMT(E250/12,入力!$B$19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),0)</f>
        <v>116935</v>
      </c>
      <c r="H250" s="32">
        <f t="shared" si="56"/>
        <v>116935</v>
      </c>
      <c r="I250" s="32">
        <f t="shared" si="57"/>
        <v>25081</v>
      </c>
      <c r="J250" s="32">
        <f t="shared" si="58"/>
        <v>0</v>
      </c>
      <c r="K250" s="32">
        <f t="shared" si="59"/>
        <v>0</v>
      </c>
      <c r="L250" s="32">
        <f t="shared" si="60"/>
        <v>91854</v>
      </c>
      <c r="M250" s="32">
        <f>IF(AND(AND(T249="",A250&lt;=S249),A250=入力!$B$15),ROUND(MIN(入力!$B$16,MAX(0,C250-L250)),0),0)</f>
        <v>0</v>
      </c>
      <c r="N250" s="32">
        <f t="shared" si="61"/>
        <v>11946861</v>
      </c>
      <c r="O250" s="32">
        <f t="shared" si="62"/>
        <v>9251276</v>
      </c>
      <c r="P250" s="34" t="str">
        <f>IF(NOT(AND(T249="",A250&lt;=S249)),"",IF(A250=入力!$B$15+1,"繰上返済後再計算","")&amp;IF(AND(入力!$B$13="有効",A250&gt;1,MOD(A250-1,60)=0),IF(A250=入力!$B$15+1,"・","")&amp;"5年見直し","")&amp;IF(AND(A250=入力!$B$11,A250&gt;1),IF(OR(A250=入力!$B$15+1,AND(入力!$B$13="有効",A250&gt;1,MOD(A250-1,60)=0)),"・","")&amp;"金利変更","")&amp;IF(AND(OR(AND(入力!$B$13="有効",A250&gt;1,MOD(A250-1,60)=0),AND(A250=入力!$B$11,A250&gt;1)),入力!$B$14="有効",IF(E250=0,ROUND(C250/MAX(1,S249-A250+1),0),ROUND(-PMT(E250/12,MAX(1,S249-A250+1),C250),0))&gt;ROUND(G249*1.25,0),NOT(A250=入力!$B$15+1)),"・上限適用",""))</f>
        <v/>
      </c>
      <c r="Q250" s="35" t="str">
        <f>IF(AND(T249="",A250&lt;=S249),入力!$B$13,"")</f>
        <v>有効</v>
      </c>
      <c r="R250" s="32" t="str">
        <f>IF(AND(AND(T249="",A250&lt;=S249),OR(AND(入力!$B$13="有効",A250&gt;1,MOD(A250-1,60)=0),AND(A250=入力!$B$11,A250&gt;1)),入力!$B$14="有効"),ROUND(G249*1.25,0),"")</f>
        <v/>
      </c>
      <c r="S250" s="36">
        <f>IF(A250=入力!$B$15,A250+入力!$B$19,S249)</f>
        <v>360</v>
      </c>
      <c r="T250" s="35" t="str">
        <f t="shared" si="63"/>
        <v/>
      </c>
      <c r="U250" s="3">
        <f t="shared" si="48"/>
        <v>0</v>
      </c>
      <c r="V250" s="3">
        <f t="shared" si="49"/>
        <v>0</v>
      </c>
      <c r="W250" s="3">
        <f t="shared" si="50"/>
        <v>0</v>
      </c>
      <c r="X250" s="3">
        <f t="shared" si="51"/>
        <v>0</v>
      </c>
      <c r="Y250" s="3">
        <f>IF(A250&lt;入力!$B$15,ABS(G250-何もしない_月次!G250),0)</f>
        <v>0</v>
      </c>
      <c r="Z250" s="3">
        <f t="shared" si="52"/>
        <v>0</v>
      </c>
      <c r="AA250">
        <f>ROUND(IF(A250=入力!$B$15+1,IF(E250=0,ROUND(C250/入力!$B$19,0),ROUND(-PMT(E250/12,入力!$B$19,C250),0)),IF(OR(AND(入力!$B$13="有効",A250&gt;1,MOD(A250-1,60)=0),AND(A250=入力!$B$11,A250&gt;1)),IF(入力!$B$14="有効",MIN(IF(E250=0,ROUND(C250/MAX(1,S249-A250+1),0),ROUND(-PMT(E250/12,MAX(1,S249-A250+1),C250),0)),ROUND(G249*1.25,0)),IF(E250=0,ROUND(C250/MAX(1,S249-A250+1),0),ROUND(-PMT(E250/12,MAX(1,S249-A250+1),C250),0))),G249)),0)</f>
        <v>116935</v>
      </c>
    </row>
    <row r="251" spans="1:27">
      <c r="A251" s="30">
        <f>246</f>
        <v>246</v>
      </c>
      <c r="B251" s="31">
        <f>EDATE(入力!$B$6,A251-1)</f>
        <v>53693</v>
      </c>
      <c r="C251" s="32">
        <f t="shared" si="53"/>
        <v>11946861</v>
      </c>
      <c r="D251" s="32">
        <f t="shared" si="54"/>
        <v>0</v>
      </c>
      <c r="E251" s="33">
        <f>IF(AND(T250="",A251&lt;=S250),IF(A251&lt;入力!$B$11,入力!$B$10,入力!$B$12),0)</f>
        <v>2.5000000000000001E-2</v>
      </c>
      <c r="F251" s="32">
        <f t="shared" si="55"/>
        <v>24889</v>
      </c>
      <c r="G251" s="32">
        <f>ROUND(IF(NOT(AND(T250="",A251&lt;=S250)),0,IF(A251=入力!$B$15+1,IF(E251=0,ROUND(C251/入力!$B$19,0),ROUND(-PMT(E251/12,入力!$B$19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),0)</f>
        <v>116935</v>
      </c>
      <c r="H251" s="32">
        <f t="shared" si="56"/>
        <v>116935</v>
      </c>
      <c r="I251" s="32">
        <f t="shared" si="57"/>
        <v>24889</v>
      </c>
      <c r="J251" s="32">
        <f t="shared" si="58"/>
        <v>0</v>
      </c>
      <c r="K251" s="32">
        <f t="shared" si="59"/>
        <v>0</v>
      </c>
      <c r="L251" s="32">
        <f t="shared" si="60"/>
        <v>92046</v>
      </c>
      <c r="M251" s="32">
        <f>IF(AND(AND(T250="",A251&lt;=S250),A251=入力!$B$15),ROUND(MIN(入力!$B$16,MAX(0,C251-L251)),0),0)</f>
        <v>0</v>
      </c>
      <c r="N251" s="32">
        <f t="shared" si="61"/>
        <v>11854815</v>
      </c>
      <c r="O251" s="32">
        <f t="shared" si="62"/>
        <v>9276165</v>
      </c>
      <c r="P251" s="34" t="str">
        <f>IF(NOT(AND(T250="",A251&lt;=S250)),"",IF(A251=入力!$B$15+1,"繰上返済後再計算","")&amp;IF(AND(入力!$B$13="有効",A251&gt;1,MOD(A251-1,60)=0),IF(A251=入力!$B$15+1,"・","")&amp;"5年見直し","")&amp;IF(AND(A251=入力!$B$11,A251&gt;1),IF(OR(A251=入力!$B$15+1,AND(入力!$B$13="有効",A251&gt;1,MOD(A251-1,60)=0)),"・","")&amp;"金利変更","")&amp;IF(AND(OR(AND(入力!$B$13="有効",A251&gt;1,MOD(A251-1,60)=0),AND(A251=入力!$B$11,A251&gt;1)),入力!$B$14="有効",IF(E251=0,ROUND(C251/MAX(1,S250-A251+1),0),ROUND(-PMT(E251/12,MAX(1,S250-A251+1),C251),0))&gt;ROUND(G250*1.25,0),NOT(A251=入力!$B$15+1)),"・上限適用",""))</f>
        <v/>
      </c>
      <c r="Q251" s="35" t="str">
        <f>IF(AND(T250="",A251&lt;=S250),入力!$B$13,"")</f>
        <v>有効</v>
      </c>
      <c r="R251" s="32" t="str">
        <f>IF(AND(AND(T250="",A251&lt;=S250),OR(AND(入力!$B$13="有効",A251&gt;1,MOD(A251-1,60)=0),AND(A251=入力!$B$11,A251&gt;1)),入力!$B$14="有効"),ROUND(G250*1.25,0),"")</f>
        <v/>
      </c>
      <c r="S251" s="36">
        <f>IF(A251=入力!$B$15,A251+入力!$B$19,S250)</f>
        <v>360</v>
      </c>
      <c r="T251" s="35" t="str">
        <f t="shared" si="63"/>
        <v/>
      </c>
      <c r="U251" s="3">
        <f t="shared" si="48"/>
        <v>0</v>
      </c>
      <c r="V251" s="3">
        <f t="shared" si="49"/>
        <v>0</v>
      </c>
      <c r="W251" s="3">
        <f t="shared" si="50"/>
        <v>0</v>
      </c>
      <c r="X251" s="3">
        <f t="shared" si="51"/>
        <v>0</v>
      </c>
      <c r="Y251" s="3">
        <f>IF(A251&lt;入力!$B$15,ABS(G251-何もしない_月次!G251),0)</f>
        <v>0</v>
      </c>
      <c r="Z251" s="3">
        <f t="shared" si="52"/>
        <v>0</v>
      </c>
      <c r="AA251">
        <f>ROUND(IF(A251=入力!$B$15+1,IF(E251=0,ROUND(C251/入力!$B$19,0),ROUND(-PMT(E251/12,入力!$B$19,C251),0)),IF(OR(AND(入力!$B$13="有効",A251&gt;1,MOD(A251-1,60)=0),AND(A251=入力!$B$11,A251&gt;1)),IF(入力!$B$14="有効",MIN(IF(E251=0,ROUND(C251/MAX(1,S250-A251+1),0),ROUND(-PMT(E251/12,MAX(1,S250-A251+1),C251),0)),ROUND(G250*1.25,0)),IF(E251=0,ROUND(C251/MAX(1,S250-A251+1),0),ROUND(-PMT(E251/12,MAX(1,S250-A251+1),C251),0))),G250)),0)</f>
        <v>116935</v>
      </c>
    </row>
    <row r="252" spans="1:27">
      <c r="A252" s="30">
        <f>247</f>
        <v>247</v>
      </c>
      <c r="B252" s="31">
        <f>EDATE(入力!$B$6,A252-1)</f>
        <v>53724</v>
      </c>
      <c r="C252" s="32">
        <f t="shared" si="53"/>
        <v>11854815</v>
      </c>
      <c r="D252" s="32">
        <f t="shared" si="54"/>
        <v>0</v>
      </c>
      <c r="E252" s="33">
        <f>IF(AND(T251="",A252&lt;=S251),IF(A252&lt;入力!$B$11,入力!$B$10,入力!$B$12),0)</f>
        <v>2.5000000000000001E-2</v>
      </c>
      <c r="F252" s="32">
        <f t="shared" si="55"/>
        <v>24698</v>
      </c>
      <c r="G252" s="32">
        <f>ROUND(IF(NOT(AND(T251="",A252&lt;=S251)),0,IF(A252=入力!$B$15+1,IF(E252=0,ROUND(C252/入力!$B$19,0),ROUND(-PMT(E252/12,入力!$B$19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),0)</f>
        <v>116935</v>
      </c>
      <c r="H252" s="32">
        <f t="shared" si="56"/>
        <v>116935</v>
      </c>
      <c r="I252" s="32">
        <f t="shared" si="57"/>
        <v>24698</v>
      </c>
      <c r="J252" s="32">
        <f t="shared" si="58"/>
        <v>0</v>
      </c>
      <c r="K252" s="32">
        <f t="shared" si="59"/>
        <v>0</v>
      </c>
      <c r="L252" s="32">
        <f t="shared" si="60"/>
        <v>92237</v>
      </c>
      <c r="M252" s="32">
        <f>IF(AND(AND(T251="",A252&lt;=S251),A252=入力!$B$15),ROUND(MIN(入力!$B$16,MAX(0,C252-L252)),0),0)</f>
        <v>0</v>
      </c>
      <c r="N252" s="32">
        <f t="shared" si="61"/>
        <v>11762578</v>
      </c>
      <c r="O252" s="32">
        <f t="shared" si="62"/>
        <v>9300863</v>
      </c>
      <c r="P252" s="34" t="str">
        <f>IF(NOT(AND(T251="",A252&lt;=S251)),"",IF(A252=入力!$B$15+1,"繰上返済後再計算","")&amp;IF(AND(入力!$B$13="有効",A252&gt;1,MOD(A252-1,60)=0),IF(A252=入力!$B$15+1,"・","")&amp;"5年見直し","")&amp;IF(AND(A252=入力!$B$11,A252&gt;1),IF(OR(A252=入力!$B$15+1,AND(入力!$B$13="有効",A252&gt;1,MOD(A252-1,60)=0)),"・","")&amp;"金利変更","")&amp;IF(AND(OR(AND(入力!$B$13="有効",A252&gt;1,MOD(A252-1,60)=0),AND(A252=入力!$B$11,A252&gt;1)),入力!$B$14="有効",IF(E252=0,ROUND(C252/MAX(1,S251-A252+1),0),ROUND(-PMT(E252/12,MAX(1,S251-A252+1),C252),0))&gt;ROUND(G251*1.25,0),NOT(A252=入力!$B$15+1)),"・上限適用",""))</f>
        <v/>
      </c>
      <c r="Q252" s="35" t="str">
        <f>IF(AND(T251="",A252&lt;=S251),入力!$B$13,"")</f>
        <v>有効</v>
      </c>
      <c r="R252" s="32" t="str">
        <f>IF(AND(AND(T251="",A252&lt;=S251),OR(AND(入力!$B$13="有効",A252&gt;1,MOD(A252-1,60)=0),AND(A252=入力!$B$11,A252&gt;1)),入力!$B$14="有効"),ROUND(G251*1.25,0),"")</f>
        <v/>
      </c>
      <c r="S252" s="36">
        <f>IF(A252=入力!$B$15,A252+入力!$B$19,S251)</f>
        <v>360</v>
      </c>
      <c r="T252" s="35" t="str">
        <f t="shared" si="63"/>
        <v/>
      </c>
      <c r="U252" s="3">
        <f t="shared" si="48"/>
        <v>0</v>
      </c>
      <c r="V252" s="3">
        <f t="shared" si="49"/>
        <v>0</v>
      </c>
      <c r="W252" s="3">
        <f t="shared" si="50"/>
        <v>0</v>
      </c>
      <c r="X252" s="3">
        <f t="shared" si="51"/>
        <v>0</v>
      </c>
      <c r="Y252" s="3">
        <f>IF(A252&lt;入力!$B$15,ABS(G252-何もしない_月次!G252),0)</f>
        <v>0</v>
      </c>
      <c r="Z252" s="3">
        <f t="shared" si="52"/>
        <v>0</v>
      </c>
      <c r="AA252">
        <f>ROUND(IF(A252=入力!$B$15+1,IF(E252=0,ROUND(C252/入力!$B$19,0),ROUND(-PMT(E252/12,入力!$B$19,C252),0)),IF(OR(AND(入力!$B$13="有効",A252&gt;1,MOD(A252-1,60)=0),AND(A252=入力!$B$11,A252&gt;1)),IF(入力!$B$14="有効",MIN(IF(E252=0,ROUND(C252/MAX(1,S251-A252+1),0),ROUND(-PMT(E252/12,MAX(1,S251-A252+1),C252),0)),ROUND(G251*1.25,0)),IF(E252=0,ROUND(C252/MAX(1,S251-A252+1),0),ROUND(-PMT(E252/12,MAX(1,S251-A252+1),C252),0))),G251)),0)</f>
        <v>116935</v>
      </c>
    </row>
    <row r="253" spans="1:27">
      <c r="A253" s="30">
        <f>248</f>
        <v>248</v>
      </c>
      <c r="B253" s="31">
        <f>EDATE(入力!$B$6,A253-1)</f>
        <v>53752</v>
      </c>
      <c r="C253" s="32">
        <f t="shared" si="53"/>
        <v>11762578</v>
      </c>
      <c r="D253" s="32">
        <f t="shared" si="54"/>
        <v>0</v>
      </c>
      <c r="E253" s="33">
        <f>IF(AND(T252="",A253&lt;=S252),IF(A253&lt;入力!$B$11,入力!$B$10,入力!$B$12),0)</f>
        <v>2.5000000000000001E-2</v>
      </c>
      <c r="F253" s="32">
        <f t="shared" si="55"/>
        <v>24505</v>
      </c>
      <c r="G253" s="32">
        <f>ROUND(IF(NOT(AND(T252="",A253&lt;=S252)),0,IF(A253=入力!$B$15+1,IF(E253=0,ROUND(C253/入力!$B$19,0),ROUND(-PMT(E253/12,入力!$B$19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),0)</f>
        <v>116935</v>
      </c>
      <c r="H253" s="32">
        <f t="shared" si="56"/>
        <v>116935</v>
      </c>
      <c r="I253" s="32">
        <f t="shared" si="57"/>
        <v>24505</v>
      </c>
      <c r="J253" s="32">
        <f t="shared" si="58"/>
        <v>0</v>
      </c>
      <c r="K253" s="32">
        <f t="shared" si="59"/>
        <v>0</v>
      </c>
      <c r="L253" s="32">
        <f t="shared" si="60"/>
        <v>92430</v>
      </c>
      <c r="M253" s="32">
        <f>IF(AND(AND(T252="",A253&lt;=S252),A253=入力!$B$15),ROUND(MIN(入力!$B$16,MAX(0,C253-L253)),0),0)</f>
        <v>0</v>
      </c>
      <c r="N253" s="32">
        <f t="shared" si="61"/>
        <v>11670148</v>
      </c>
      <c r="O253" s="32">
        <f t="shared" si="62"/>
        <v>9325368</v>
      </c>
      <c r="P253" s="34" t="str">
        <f>IF(NOT(AND(T252="",A253&lt;=S252)),"",IF(A253=入力!$B$15+1,"繰上返済後再計算","")&amp;IF(AND(入力!$B$13="有効",A253&gt;1,MOD(A253-1,60)=0),IF(A253=入力!$B$15+1,"・","")&amp;"5年見直し","")&amp;IF(AND(A253=入力!$B$11,A253&gt;1),IF(OR(A253=入力!$B$15+1,AND(入力!$B$13="有効",A253&gt;1,MOD(A253-1,60)=0)),"・","")&amp;"金利変更","")&amp;IF(AND(OR(AND(入力!$B$13="有効",A253&gt;1,MOD(A253-1,60)=0),AND(A253=入力!$B$11,A253&gt;1)),入力!$B$14="有効",IF(E253=0,ROUND(C253/MAX(1,S252-A253+1),0),ROUND(-PMT(E253/12,MAX(1,S252-A253+1),C253),0))&gt;ROUND(G252*1.25,0),NOT(A253=入力!$B$15+1)),"・上限適用",""))</f>
        <v/>
      </c>
      <c r="Q253" s="35" t="str">
        <f>IF(AND(T252="",A253&lt;=S252),入力!$B$13,"")</f>
        <v>有効</v>
      </c>
      <c r="R253" s="32" t="str">
        <f>IF(AND(AND(T252="",A253&lt;=S252),OR(AND(入力!$B$13="有効",A253&gt;1,MOD(A253-1,60)=0),AND(A253=入力!$B$11,A253&gt;1)),入力!$B$14="有効"),ROUND(G252*1.25,0),"")</f>
        <v/>
      </c>
      <c r="S253" s="36">
        <f>IF(A253=入力!$B$15,A253+入力!$B$19,S252)</f>
        <v>360</v>
      </c>
      <c r="T253" s="35" t="str">
        <f t="shared" si="63"/>
        <v/>
      </c>
      <c r="U253" s="3">
        <f t="shared" si="48"/>
        <v>0</v>
      </c>
      <c r="V253" s="3">
        <f t="shared" si="49"/>
        <v>0</v>
      </c>
      <c r="W253" s="3">
        <f t="shared" si="50"/>
        <v>0</v>
      </c>
      <c r="X253" s="3">
        <f t="shared" si="51"/>
        <v>0</v>
      </c>
      <c r="Y253" s="3">
        <f>IF(A253&lt;入力!$B$15,ABS(G253-何もしない_月次!G253),0)</f>
        <v>0</v>
      </c>
      <c r="Z253" s="3">
        <f t="shared" si="52"/>
        <v>0</v>
      </c>
      <c r="AA253">
        <f>ROUND(IF(A253=入力!$B$15+1,IF(E253=0,ROUND(C253/入力!$B$19,0),ROUND(-PMT(E253/12,入力!$B$19,C253),0)),IF(OR(AND(入力!$B$13="有効",A253&gt;1,MOD(A253-1,60)=0),AND(A253=入力!$B$11,A253&gt;1)),IF(入力!$B$14="有効",MIN(IF(E253=0,ROUND(C253/MAX(1,S252-A253+1),0),ROUND(-PMT(E253/12,MAX(1,S252-A253+1),C253),0)),ROUND(G252*1.25,0)),IF(E253=0,ROUND(C253/MAX(1,S252-A253+1),0),ROUND(-PMT(E253/12,MAX(1,S252-A253+1),C253),0))),G252)),0)</f>
        <v>116935</v>
      </c>
    </row>
    <row r="254" spans="1:27">
      <c r="A254" s="30">
        <f>249</f>
        <v>249</v>
      </c>
      <c r="B254" s="31">
        <f>EDATE(入力!$B$6,A254-1)</f>
        <v>53783</v>
      </c>
      <c r="C254" s="32">
        <f t="shared" si="53"/>
        <v>11670148</v>
      </c>
      <c r="D254" s="32">
        <f t="shared" si="54"/>
        <v>0</v>
      </c>
      <c r="E254" s="33">
        <f>IF(AND(T253="",A254&lt;=S253),IF(A254&lt;入力!$B$11,入力!$B$10,入力!$B$12),0)</f>
        <v>2.5000000000000001E-2</v>
      </c>
      <c r="F254" s="32">
        <f t="shared" si="55"/>
        <v>24313</v>
      </c>
      <c r="G254" s="32">
        <f>ROUND(IF(NOT(AND(T253="",A254&lt;=S253)),0,IF(A254=入力!$B$15+1,IF(E254=0,ROUND(C254/入力!$B$19,0),ROUND(-PMT(E254/12,入力!$B$19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),0)</f>
        <v>116935</v>
      </c>
      <c r="H254" s="32">
        <f t="shared" si="56"/>
        <v>116935</v>
      </c>
      <c r="I254" s="32">
        <f t="shared" si="57"/>
        <v>24313</v>
      </c>
      <c r="J254" s="32">
        <f t="shared" si="58"/>
        <v>0</v>
      </c>
      <c r="K254" s="32">
        <f t="shared" si="59"/>
        <v>0</v>
      </c>
      <c r="L254" s="32">
        <f t="shared" si="60"/>
        <v>92622</v>
      </c>
      <c r="M254" s="32">
        <f>IF(AND(AND(T253="",A254&lt;=S253),A254=入力!$B$15),ROUND(MIN(入力!$B$16,MAX(0,C254-L254)),0),0)</f>
        <v>0</v>
      </c>
      <c r="N254" s="32">
        <f t="shared" si="61"/>
        <v>11577526</v>
      </c>
      <c r="O254" s="32">
        <f t="shared" si="62"/>
        <v>9349681</v>
      </c>
      <c r="P254" s="34" t="str">
        <f>IF(NOT(AND(T253="",A254&lt;=S253)),"",IF(A254=入力!$B$15+1,"繰上返済後再計算","")&amp;IF(AND(入力!$B$13="有効",A254&gt;1,MOD(A254-1,60)=0),IF(A254=入力!$B$15+1,"・","")&amp;"5年見直し","")&amp;IF(AND(A254=入力!$B$11,A254&gt;1),IF(OR(A254=入力!$B$15+1,AND(入力!$B$13="有効",A254&gt;1,MOD(A254-1,60)=0)),"・","")&amp;"金利変更","")&amp;IF(AND(OR(AND(入力!$B$13="有効",A254&gt;1,MOD(A254-1,60)=0),AND(A254=入力!$B$11,A254&gt;1)),入力!$B$14="有効",IF(E254=0,ROUND(C254/MAX(1,S253-A254+1),0),ROUND(-PMT(E254/12,MAX(1,S253-A254+1),C254),0))&gt;ROUND(G253*1.25,0),NOT(A254=入力!$B$15+1)),"・上限適用",""))</f>
        <v/>
      </c>
      <c r="Q254" s="35" t="str">
        <f>IF(AND(T253="",A254&lt;=S253),入力!$B$13,"")</f>
        <v>有効</v>
      </c>
      <c r="R254" s="32" t="str">
        <f>IF(AND(AND(T253="",A254&lt;=S253),OR(AND(入力!$B$13="有効",A254&gt;1,MOD(A254-1,60)=0),AND(A254=入力!$B$11,A254&gt;1)),入力!$B$14="有効"),ROUND(G253*1.25,0),"")</f>
        <v/>
      </c>
      <c r="S254" s="36">
        <f>IF(A254=入力!$B$15,A254+入力!$B$19,S253)</f>
        <v>360</v>
      </c>
      <c r="T254" s="35" t="str">
        <f t="shared" si="63"/>
        <v/>
      </c>
      <c r="U254" s="3">
        <f t="shared" si="48"/>
        <v>0</v>
      </c>
      <c r="V254" s="3">
        <f t="shared" si="49"/>
        <v>0</v>
      </c>
      <c r="W254" s="3">
        <f t="shared" si="50"/>
        <v>0</v>
      </c>
      <c r="X254" s="3">
        <f t="shared" si="51"/>
        <v>0</v>
      </c>
      <c r="Y254" s="3">
        <f>IF(A254&lt;入力!$B$15,ABS(G254-何もしない_月次!G254),0)</f>
        <v>0</v>
      </c>
      <c r="Z254" s="3">
        <f t="shared" si="52"/>
        <v>0</v>
      </c>
      <c r="AA254">
        <f>ROUND(IF(A254=入力!$B$15+1,IF(E254=0,ROUND(C254/入力!$B$19,0),ROUND(-PMT(E254/12,入力!$B$19,C254),0)),IF(OR(AND(入力!$B$13="有効",A254&gt;1,MOD(A254-1,60)=0),AND(A254=入力!$B$11,A254&gt;1)),IF(入力!$B$14="有効",MIN(IF(E254=0,ROUND(C254/MAX(1,S253-A254+1),0),ROUND(-PMT(E254/12,MAX(1,S253-A254+1),C254),0)),ROUND(G253*1.25,0)),IF(E254=0,ROUND(C254/MAX(1,S253-A254+1),0),ROUND(-PMT(E254/12,MAX(1,S253-A254+1),C254),0))),G253)),0)</f>
        <v>116935</v>
      </c>
    </row>
    <row r="255" spans="1:27">
      <c r="A255" s="30">
        <f>250</f>
        <v>250</v>
      </c>
      <c r="B255" s="31">
        <f>EDATE(入力!$B$6,A255-1)</f>
        <v>53813</v>
      </c>
      <c r="C255" s="32">
        <f t="shared" si="53"/>
        <v>11577526</v>
      </c>
      <c r="D255" s="32">
        <f t="shared" si="54"/>
        <v>0</v>
      </c>
      <c r="E255" s="33">
        <f>IF(AND(T254="",A255&lt;=S254),IF(A255&lt;入力!$B$11,入力!$B$10,入力!$B$12),0)</f>
        <v>2.5000000000000001E-2</v>
      </c>
      <c r="F255" s="32">
        <f t="shared" si="55"/>
        <v>24120</v>
      </c>
      <c r="G255" s="32">
        <f>ROUND(IF(NOT(AND(T254="",A255&lt;=S254)),0,IF(A255=入力!$B$15+1,IF(E255=0,ROUND(C255/入力!$B$19,0),ROUND(-PMT(E255/12,入力!$B$19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),0)</f>
        <v>116935</v>
      </c>
      <c r="H255" s="32">
        <f t="shared" si="56"/>
        <v>116935</v>
      </c>
      <c r="I255" s="32">
        <f t="shared" si="57"/>
        <v>24120</v>
      </c>
      <c r="J255" s="32">
        <f t="shared" si="58"/>
        <v>0</v>
      </c>
      <c r="K255" s="32">
        <f t="shared" si="59"/>
        <v>0</v>
      </c>
      <c r="L255" s="32">
        <f t="shared" si="60"/>
        <v>92815</v>
      </c>
      <c r="M255" s="32">
        <f>IF(AND(AND(T254="",A255&lt;=S254),A255=入力!$B$15),ROUND(MIN(入力!$B$16,MAX(0,C255-L255)),0),0)</f>
        <v>0</v>
      </c>
      <c r="N255" s="32">
        <f t="shared" si="61"/>
        <v>11484711</v>
      </c>
      <c r="O255" s="32">
        <f t="shared" si="62"/>
        <v>9373801</v>
      </c>
      <c r="P255" s="34" t="str">
        <f>IF(NOT(AND(T254="",A255&lt;=S254)),"",IF(A255=入力!$B$15+1,"繰上返済後再計算","")&amp;IF(AND(入力!$B$13="有効",A255&gt;1,MOD(A255-1,60)=0),IF(A255=入力!$B$15+1,"・","")&amp;"5年見直し","")&amp;IF(AND(A255=入力!$B$11,A255&gt;1),IF(OR(A255=入力!$B$15+1,AND(入力!$B$13="有効",A255&gt;1,MOD(A255-1,60)=0)),"・","")&amp;"金利変更","")&amp;IF(AND(OR(AND(入力!$B$13="有効",A255&gt;1,MOD(A255-1,60)=0),AND(A255=入力!$B$11,A255&gt;1)),入力!$B$14="有効",IF(E255=0,ROUND(C255/MAX(1,S254-A255+1),0),ROUND(-PMT(E255/12,MAX(1,S254-A255+1),C255),0))&gt;ROUND(G254*1.25,0),NOT(A255=入力!$B$15+1)),"・上限適用",""))</f>
        <v/>
      </c>
      <c r="Q255" s="35" t="str">
        <f>IF(AND(T254="",A255&lt;=S254),入力!$B$13,"")</f>
        <v>有効</v>
      </c>
      <c r="R255" s="32" t="str">
        <f>IF(AND(AND(T254="",A255&lt;=S254),OR(AND(入力!$B$13="有効",A255&gt;1,MOD(A255-1,60)=0),AND(A255=入力!$B$11,A255&gt;1)),入力!$B$14="有効"),ROUND(G254*1.25,0),"")</f>
        <v/>
      </c>
      <c r="S255" s="36">
        <f>IF(A255=入力!$B$15,A255+入力!$B$19,S254)</f>
        <v>360</v>
      </c>
      <c r="T255" s="35" t="str">
        <f t="shared" si="63"/>
        <v/>
      </c>
      <c r="U255" s="3">
        <f t="shared" si="48"/>
        <v>0</v>
      </c>
      <c r="V255" s="3">
        <f t="shared" si="49"/>
        <v>0</v>
      </c>
      <c r="W255" s="3">
        <f t="shared" si="50"/>
        <v>0</v>
      </c>
      <c r="X255" s="3">
        <f t="shared" si="51"/>
        <v>0</v>
      </c>
      <c r="Y255" s="3">
        <f>IF(A255&lt;入力!$B$15,ABS(G255-何もしない_月次!G255),0)</f>
        <v>0</v>
      </c>
      <c r="Z255" s="3">
        <f t="shared" si="52"/>
        <v>0</v>
      </c>
      <c r="AA255">
        <f>ROUND(IF(A255=入力!$B$15+1,IF(E255=0,ROUND(C255/入力!$B$19,0),ROUND(-PMT(E255/12,入力!$B$19,C255),0)),IF(OR(AND(入力!$B$13="有効",A255&gt;1,MOD(A255-1,60)=0),AND(A255=入力!$B$11,A255&gt;1)),IF(入力!$B$14="有効",MIN(IF(E255=0,ROUND(C255/MAX(1,S254-A255+1),0),ROUND(-PMT(E255/12,MAX(1,S254-A255+1),C255),0)),ROUND(G254*1.25,0)),IF(E255=0,ROUND(C255/MAX(1,S254-A255+1),0),ROUND(-PMT(E255/12,MAX(1,S254-A255+1),C255),0))),G254)),0)</f>
        <v>116935</v>
      </c>
    </row>
    <row r="256" spans="1:27">
      <c r="A256" s="30">
        <f>251</f>
        <v>251</v>
      </c>
      <c r="B256" s="31">
        <f>EDATE(入力!$B$6,A256-1)</f>
        <v>53844</v>
      </c>
      <c r="C256" s="32">
        <f t="shared" si="53"/>
        <v>11484711</v>
      </c>
      <c r="D256" s="32">
        <f t="shared" si="54"/>
        <v>0</v>
      </c>
      <c r="E256" s="33">
        <f>IF(AND(T255="",A256&lt;=S255),IF(A256&lt;入力!$B$11,入力!$B$10,入力!$B$12),0)</f>
        <v>2.5000000000000001E-2</v>
      </c>
      <c r="F256" s="32">
        <f t="shared" si="55"/>
        <v>23926</v>
      </c>
      <c r="G256" s="32">
        <f>ROUND(IF(NOT(AND(T255="",A256&lt;=S255)),0,IF(A256=入力!$B$15+1,IF(E256=0,ROUND(C256/入力!$B$19,0),ROUND(-PMT(E256/12,入力!$B$19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),0)</f>
        <v>116935</v>
      </c>
      <c r="H256" s="32">
        <f t="shared" si="56"/>
        <v>116935</v>
      </c>
      <c r="I256" s="32">
        <f t="shared" si="57"/>
        <v>23926</v>
      </c>
      <c r="J256" s="32">
        <f t="shared" si="58"/>
        <v>0</v>
      </c>
      <c r="K256" s="32">
        <f t="shared" si="59"/>
        <v>0</v>
      </c>
      <c r="L256" s="32">
        <f t="shared" si="60"/>
        <v>93009</v>
      </c>
      <c r="M256" s="32">
        <f>IF(AND(AND(T255="",A256&lt;=S255),A256=入力!$B$15),ROUND(MIN(入力!$B$16,MAX(0,C256-L256)),0),0)</f>
        <v>0</v>
      </c>
      <c r="N256" s="32">
        <f t="shared" si="61"/>
        <v>11391702</v>
      </c>
      <c r="O256" s="32">
        <f t="shared" si="62"/>
        <v>9397727</v>
      </c>
      <c r="P256" s="34" t="str">
        <f>IF(NOT(AND(T255="",A256&lt;=S255)),"",IF(A256=入力!$B$15+1,"繰上返済後再計算","")&amp;IF(AND(入力!$B$13="有効",A256&gt;1,MOD(A256-1,60)=0),IF(A256=入力!$B$15+1,"・","")&amp;"5年見直し","")&amp;IF(AND(A256=入力!$B$11,A256&gt;1),IF(OR(A256=入力!$B$15+1,AND(入力!$B$13="有効",A256&gt;1,MOD(A256-1,60)=0)),"・","")&amp;"金利変更","")&amp;IF(AND(OR(AND(入力!$B$13="有効",A256&gt;1,MOD(A256-1,60)=0),AND(A256=入力!$B$11,A256&gt;1)),入力!$B$14="有効",IF(E256=0,ROUND(C256/MAX(1,S255-A256+1),0),ROUND(-PMT(E256/12,MAX(1,S255-A256+1),C256),0))&gt;ROUND(G255*1.25,0),NOT(A256=入力!$B$15+1)),"・上限適用",""))</f>
        <v/>
      </c>
      <c r="Q256" s="35" t="str">
        <f>IF(AND(T255="",A256&lt;=S255),入力!$B$13,"")</f>
        <v>有効</v>
      </c>
      <c r="R256" s="32" t="str">
        <f>IF(AND(AND(T255="",A256&lt;=S255),OR(AND(入力!$B$13="有効",A256&gt;1,MOD(A256-1,60)=0),AND(A256=入力!$B$11,A256&gt;1)),入力!$B$14="有効"),ROUND(G255*1.25,0),"")</f>
        <v/>
      </c>
      <c r="S256" s="36">
        <f>IF(A256=入力!$B$15,A256+入力!$B$19,S255)</f>
        <v>360</v>
      </c>
      <c r="T256" s="35" t="str">
        <f t="shared" si="63"/>
        <v/>
      </c>
      <c r="U256" s="3">
        <f t="shared" si="48"/>
        <v>0</v>
      </c>
      <c r="V256" s="3">
        <f t="shared" si="49"/>
        <v>0</v>
      </c>
      <c r="W256" s="3">
        <f t="shared" si="50"/>
        <v>0</v>
      </c>
      <c r="X256" s="3">
        <f t="shared" si="51"/>
        <v>0</v>
      </c>
      <c r="Y256" s="3">
        <f>IF(A256&lt;入力!$B$15,ABS(G256-何もしない_月次!G256),0)</f>
        <v>0</v>
      </c>
      <c r="Z256" s="3">
        <f t="shared" si="52"/>
        <v>0</v>
      </c>
      <c r="AA256">
        <f>ROUND(IF(A256=入力!$B$15+1,IF(E256=0,ROUND(C256/入力!$B$19,0),ROUND(-PMT(E256/12,入力!$B$19,C256),0)),IF(OR(AND(入力!$B$13="有効",A256&gt;1,MOD(A256-1,60)=0),AND(A256=入力!$B$11,A256&gt;1)),IF(入力!$B$14="有効",MIN(IF(E256=0,ROUND(C256/MAX(1,S255-A256+1),0),ROUND(-PMT(E256/12,MAX(1,S255-A256+1),C256),0)),ROUND(G255*1.25,0)),IF(E256=0,ROUND(C256/MAX(1,S255-A256+1),0),ROUND(-PMT(E256/12,MAX(1,S255-A256+1),C256),0))),G255)),0)</f>
        <v>116935</v>
      </c>
    </row>
    <row r="257" spans="1:27">
      <c r="A257" s="30">
        <f>252</f>
        <v>252</v>
      </c>
      <c r="B257" s="31">
        <f>EDATE(入力!$B$6,A257-1)</f>
        <v>53874</v>
      </c>
      <c r="C257" s="32">
        <f t="shared" si="53"/>
        <v>11391702</v>
      </c>
      <c r="D257" s="32">
        <f t="shared" si="54"/>
        <v>0</v>
      </c>
      <c r="E257" s="33">
        <f>IF(AND(T256="",A257&lt;=S256),IF(A257&lt;入力!$B$11,入力!$B$10,入力!$B$12),0)</f>
        <v>2.5000000000000001E-2</v>
      </c>
      <c r="F257" s="32">
        <f t="shared" si="55"/>
        <v>23733</v>
      </c>
      <c r="G257" s="32">
        <f>ROUND(IF(NOT(AND(T256="",A257&lt;=S256)),0,IF(A257=入力!$B$15+1,IF(E257=0,ROUND(C257/入力!$B$19,0),ROUND(-PMT(E257/12,入力!$B$19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),0)</f>
        <v>116935</v>
      </c>
      <c r="H257" s="32">
        <f t="shared" si="56"/>
        <v>116935</v>
      </c>
      <c r="I257" s="32">
        <f t="shared" si="57"/>
        <v>23733</v>
      </c>
      <c r="J257" s="32">
        <f t="shared" si="58"/>
        <v>0</v>
      </c>
      <c r="K257" s="32">
        <f t="shared" si="59"/>
        <v>0</v>
      </c>
      <c r="L257" s="32">
        <f t="shared" si="60"/>
        <v>93202</v>
      </c>
      <c r="M257" s="32">
        <f>IF(AND(AND(T256="",A257&lt;=S256),A257=入力!$B$15),ROUND(MIN(入力!$B$16,MAX(0,C257-L257)),0),0)</f>
        <v>0</v>
      </c>
      <c r="N257" s="32">
        <f t="shared" si="61"/>
        <v>11298500</v>
      </c>
      <c r="O257" s="32">
        <f t="shared" si="62"/>
        <v>9421460</v>
      </c>
      <c r="P257" s="34" t="str">
        <f>IF(NOT(AND(T256="",A257&lt;=S256)),"",IF(A257=入力!$B$15+1,"繰上返済後再計算","")&amp;IF(AND(入力!$B$13="有効",A257&gt;1,MOD(A257-1,60)=0),IF(A257=入力!$B$15+1,"・","")&amp;"5年見直し","")&amp;IF(AND(A257=入力!$B$11,A257&gt;1),IF(OR(A257=入力!$B$15+1,AND(入力!$B$13="有効",A257&gt;1,MOD(A257-1,60)=0)),"・","")&amp;"金利変更","")&amp;IF(AND(OR(AND(入力!$B$13="有効",A257&gt;1,MOD(A257-1,60)=0),AND(A257=入力!$B$11,A257&gt;1)),入力!$B$14="有効",IF(E257=0,ROUND(C257/MAX(1,S256-A257+1),0),ROUND(-PMT(E257/12,MAX(1,S256-A257+1),C257),0))&gt;ROUND(G256*1.25,0),NOT(A257=入力!$B$15+1)),"・上限適用",""))</f>
        <v/>
      </c>
      <c r="Q257" s="35" t="str">
        <f>IF(AND(T256="",A257&lt;=S256),入力!$B$13,"")</f>
        <v>有効</v>
      </c>
      <c r="R257" s="32" t="str">
        <f>IF(AND(AND(T256="",A257&lt;=S256),OR(AND(入力!$B$13="有効",A257&gt;1,MOD(A257-1,60)=0),AND(A257=入力!$B$11,A257&gt;1)),入力!$B$14="有効"),ROUND(G256*1.25,0),"")</f>
        <v/>
      </c>
      <c r="S257" s="36">
        <f>IF(A257=入力!$B$15,A257+入力!$B$19,S256)</f>
        <v>360</v>
      </c>
      <c r="T257" s="35" t="str">
        <f t="shared" si="63"/>
        <v/>
      </c>
      <c r="U257" s="3">
        <f t="shared" si="48"/>
        <v>0</v>
      </c>
      <c r="V257" s="3">
        <f t="shared" si="49"/>
        <v>0</v>
      </c>
      <c r="W257" s="3">
        <f t="shared" si="50"/>
        <v>0</v>
      </c>
      <c r="X257" s="3">
        <f t="shared" si="51"/>
        <v>0</v>
      </c>
      <c r="Y257" s="3">
        <f>IF(A257&lt;入力!$B$15,ABS(G257-何もしない_月次!G257),0)</f>
        <v>0</v>
      </c>
      <c r="Z257" s="3">
        <f t="shared" si="52"/>
        <v>0</v>
      </c>
      <c r="AA257">
        <f>ROUND(IF(A257=入力!$B$15+1,IF(E257=0,ROUND(C257/入力!$B$19,0),ROUND(-PMT(E257/12,入力!$B$19,C257),0)),IF(OR(AND(入力!$B$13="有効",A257&gt;1,MOD(A257-1,60)=0),AND(A257=入力!$B$11,A257&gt;1)),IF(入力!$B$14="有効",MIN(IF(E257=0,ROUND(C257/MAX(1,S256-A257+1),0),ROUND(-PMT(E257/12,MAX(1,S256-A257+1),C257),0)),ROUND(G256*1.25,0)),IF(E257=0,ROUND(C257/MAX(1,S256-A257+1),0),ROUND(-PMT(E257/12,MAX(1,S256-A257+1),C257),0))),G256)),0)</f>
        <v>116935</v>
      </c>
    </row>
    <row r="258" spans="1:27">
      <c r="A258" s="30">
        <f>253</f>
        <v>253</v>
      </c>
      <c r="B258" s="31">
        <f>EDATE(入力!$B$6,A258-1)</f>
        <v>53905</v>
      </c>
      <c r="C258" s="32">
        <f t="shared" si="53"/>
        <v>11298500</v>
      </c>
      <c r="D258" s="32">
        <f t="shared" si="54"/>
        <v>0</v>
      </c>
      <c r="E258" s="33">
        <f>IF(AND(T257="",A258&lt;=S257),IF(A258&lt;入力!$B$11,入力!$B$10,入力!$B$12),0)</f>
        <v>2.5000000000000001E-2</v>
      </c>
      <c r="F258" s="32">
        <f t="shared" si="55"/>
        <v>23539</v>
      </c>
      <c r="G258" s="32">
        <f>ROUND(IF(NOT(AND(T257="",A258&lt;=S257)),0,IF(A258=入力!$B$15+1,IF(E258=0,ROUND(C258/入力!$B$19,0),ROUND(-PMT(E258/12,入力!$B$19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),0)</f>
        <v>116935</v>
      </c>
      <c r="H258" s="32">
        <f t="shared" si="56"/>
        <v>116935</v>
      </c>
      <c r="I258" s="32">
        <f t="shared" si="57"/>
        <v>23539</v>
      </c>
      <c r="J258" s="32">
        <f t="shared" si="58"/>
        <v>0</v>
      </c>
      <c r="K258" s="32">
        <f t="shared" si="59"/>
        <v>0</v>
      </c>
      <c r="L258" s="32">
        <f t="shared" si="60"/>
        <v>93396</v>
      </c>
      <c r="M258" s="32">
        <f>IF(AND(AND(T257="",A258&lt;=S257),A258=入力!$B$15),ROUND(MIN(入力!$B$16,MAX(0,C258-L258)),0),0)</f>
        <v>0</v>
      </c>
      <c r="N258" s="32">
        <f t="shared" si="61"/>
        <v>11205104</v>
      </c>
      <c r="O258" s="32">
        <f t="shared" si="62"/>
        <v>9444999</v>
      </c>
      <c r="P258" s="34" t="str">
        <f>IF(NOT(AND(T257="",A258&lt;=S257)),"",IF(A258=入力!$B$15+1,"繰上返済後再計算","")&amp;IF(AND(入力!$B$13="有効",A258&gt;1,MOD(A258-1,60)=0),IF(A258=入力!$B$15+1,"・","")&amp;"5年見直し","")&amp;IF(AND(A258=入力!$B$11,A258&gt;1),IF(OR(A258=入力!$B$15+1,AND(入力!$B$13="有効",A258&gt;1,MOD(A258-1,60)=0)),"・","")&amp;"金利変更","")&amp;IF(AND(OR(AND(入力!$B$13="有効",A258&gt;1,MOD(A258-1,60)=0),AND(A258=入力!$B$11,A258&gt;1)),入力!$B$14="有効",IF(E258=0,ROUND(C258/MAX(1,S257-A258+1),0),ROUND(-PMT(E258/12,MAX(1,S257-A258+1),C258),0))&gt;ROUND(G257*1.25,0),NOT(A258=入力!$B$15+1)),"・上限適用",""))</f>
        <v/>
      </c>
      <c r="Q258" s="35" t="str">
        <f>IF(AND(T257="",A258&lt;=S257),入力!$B$13,"")</f>
        <v>有効</v>
      </c>
      <c r="R258" s="32" t="str">
        <f>IF(AND(AND(T257="",A258&lt;=S257),OR(AND(入力!$B$13="有効",A258&gt;1,MOD(A258-1,60)=0),AND(A258=入力!$B$11,A258&gt;1)),入力!$B$14="有効"),ROUND(G257*1.25,0),"")</f>
        <v/>
      </c>
      <c r="S258" s="36">
        <f>IF(A258=入力!$B$15,A258+入力!$B$19,S257)</f>
        <v>360</v>
      </c>
      <c r="T258" s="35" t="str">
        <f t="shared" si="63"/>
        <v/>
      </c>
      <c r="U258" s="3">
        <f t="shared" si="48"/>
        <v>0</v>
      </c>
      <c r="V258" s="3">
        <f t="shared" si="49"/>
        <v>0</v>
      </c>
      <c r="W258" s="3">
        <f t="shared" si="50"/>
        <v>0</v>
      </c>
      <c r="X258" s="3">
        <f t="shared" si="51"/>
        <v>0</v>
      </c>
      <c r="Y258" s="3">
        <f>IF(A258&lt;入力!$B$15,ABS(G258-何もしない_月次!G258),0)</f>
        <v>0</v>
      </c>
      <c r="Z258" s="3">
        <f t="shared" si="52"/>
        <v>0</v>
      </c>
      <c r="AA258">
        <f>ROUND(IF(A258=入力!$B$15+1,IF(E258=0,ROUND(C258/入力!$B$19,0),ROUND(-PMT(E258/12,入力!$B$19,C258),0)),IF(OR(AND(入力!$B$13="有効",A258&gt;1,MOD(A258-1,60)=0),AND(A258=入力!$B$11,A258&gt;1)),IF(入力!$B$14="有効",MIN(IF(E258=0,ROUND(C258/MAX(1,S257-A258+1),0),ROUND(-PMT(E258/12,MAX(1,S257-A258+1),C258),0)),ROUND(G257*1.25,0)),IF(E258=0,ROUND(C258/MAX(1,S257-A258+1),0),ROUND(-PMT(E258/12,MAX(1,S257-A258+1),C258),0))),G257)),0)</f>
        <v>116935</v>
      </c>
    </row>
    <row r="259" spans="1:27">
      <c r="A259" s="30">
        <f>254</f>
        <v>254</v>
      </c>
      <c r="B259" s="31">
        <f>EDATE(入力!$B$6,A259-1)</f>
        <v>53936</v>
      </c>
      <c r="C259" s="32">
        <f t="shared" si="53"/>
        <v>11205104</v>
      </c>
      <c r="D259" s="32">
        <f t="shared" si="54"/>
        <v>0</v>
      </c>
      <c r="E259" s="33">
        <f>IF(AND(T258="",A259&lt;=S258),IF(A259&lt;入力!$B$11,入力!$B$10,入力!$B$12),0)</f>
        <v>2.5000000000000001E-2</v>
      </c>
      <c r="F259" s="32">
        <f t="shared" si="55"/>
        <v>23344</v>
      </c>
      <c r="G259" s="32">
        <f>ROUND(IF(NOT(AND(T258="",A259&lt;=S258)),0,IF(A259=入力!$B$15+1,IF(E259=0,ROUND(C259/入力!$B$19,0),ROUND(-PMT(E259/12,入力!$B$19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),0)</f>
        <v>116935</v>
      </c>
      <c r="H259" s="32">
        <f t="shared" si="56"/>
        <v>116935</v>
      </c>
      <c r="I259" s="32">
        <f t="shared" si="57"/>
        <v>23344</v>
      </c>
      <c r="J259" s="32">
        <f t="shared" si="58"/>
        <v>0</v>
      </c>
      <c r="K259" s="32">
        <f t="shared" si="59"/>
        <v>0</v>
      </c>
      <c r="L259" s="32">
        <f t="shared" si="60"/>
        <v>93591</v>
      </c>
      <c r="M259" s="32">
        <f>IF(AND(AND(T258="",A259&lt;=S258),A259=入力!$B$15),ROUND(MIN(入力!$B$16,MAX(0,C259-L259)),0),0)</f>
        <v>0</v>
      </c>
      <c r="N259" s="32">
        <f t="shared" si="61"/>
        <v>11111513</v>
      </c>
      <c r="O259" s="32">
        <f t="shared" si="62"/>
        <v>9468343</v>
      </c>
      <c r="P259" s="34" t="str">
        <f>IF(NOT(AND(T258="",A259&lt;=S258)),"",IF(A259=入力!$B$15+1,"繰上返済後再計算","")&amp;IF(AND(入力!$B$13="有効",A259&gt;1,MOD(A259-1,60)=0),IF(A259=入力!$B$15+1,"・","")&amp;"5年見直し","")&amp;IF(AND(A259=入力!$B$11,A259&gt;1),IF(OR(A259=入力!$B$15+1,AND(入力!$B$13="有効",A259&gt;1,MOD(A259-1,60)=0)),"・","")&amp;"金利変更","")&amp;IF(AND(OR(AND(入力!$B$13="有効",A259&gt;1,MOD(A259-1,60)=0),AND(A259=入力!$B$11,A259&gt;1)),入力!$B$14="有効",IF(E259=0,ROUND(C259/MAX(1,S258-A259+1),0),ROUND(-PMT(E259/12,MAX(1,S258-A259+1),C259),0))&gt;ROUND(G258*1.25,0),NOT(A259=入力!$B$15+1)),"・上限適用",""))</f>
        <v/>
      </c>
      <c r="Q259" s="35" t="str">
        <f>IF(AND(T258="",A259&lt;=S258),入力!$B$13,"")</f>
        <v>有効</v>
      </c>
      <c r="R259" s="32" t="str">
        <f>IF(AND(AND(T258="",A259&lt;=S258),OR(AND(入力!$B$13="有効",A259&gt;1,MOD(A259-1,60)=0),AND(A259=入力!$B$11,A259&gt;1)),入力!$B$14="有効"),ROUND(G258*1.25,0),"")</f>
        <v/>
      </c>
      <c r="S259" s="36">
        <f>IF(A259=入力!$B$15,A259+入力!$B$19,S258)</f>
        <v>360</v>
      </c>
      <c r="T259" s="35" t="str">
        <f t="shared" si="63"/>
        <v/>
      </c>
      <c r="U259" s="3">
        <f t="shared" si="48"/>
        <v>0</v>
      </c>
      <c r="V259" s="3">
        <f t="shared" si="49"/>
        <v>0</v>
      </c>
      <c r="W259" s="3">
        <f t="shared" si="50"/>
        <v>0</v>
      </c>
      <c r="X259" s="3">
        <f t="shared" si="51"/>
        <v>0</v>
      </c>
      <c r="Y259" s="3">
        <f>IF(A259&lt;入力!$B$15,ABS(G259-何もしない_月次!G259),0)</f>
        <v>0</v>
      </c>
      <c r="Z259" s="3">
        <f t="shared" si="52"/>
        <v>0</v>
      </c>
      <c r="AA259">
        <f>ROUND(IF(A259=入力!$B$15+1,IF(E259=0,ROUND(C259/入力!$B$19,0),ROUND(-PMT(E259/12,入力!$B$19,C259),0)),IF(OR(AND(入力!$B$13="有効",A259&gt;1,MOD(A259-1,60)=0),AND(A259=入力!$B$11,A259&gt;1)),IF(入力!$B$14="有効",MIN(IF(E259=0,ROUND(C259/MAX(1,S258-A259+1),0),ROUND(-PMT(E259/12,MAX(1,S258-A259+1),C259),0)),ROUND(G258*1.25,0)),IF(E259=0,ROUND(C259/MAX(1,S258-A259+1),0),ROUND(-PMT(E259/12,MAX(1,S258-A259+1),C259),0))),G258)),0)</f>
        <v>116935</v>
      </c>
    </row>
    <row r="260" spans="1:27">
      <c r="A260" s="30">
        <f>255</f>
        <v>255</v>
      </c>
      <c r="B260" s="31">
        <f>EDATE(入力!$B$6,A260-1)</f>
        <v>53966</v>
      </c>
      <c r="C260" s="32">
        <f t="shared" si="53"/>
        <v>11111513</v>
      </c>
      <c r="D260" s="32">
        <f t="shared" si="54"/>
        <v>0</v>
      </c>
      <c r="E260" s="33">
        <f>IF(AND(T259="",A260&lt;=S259),IF(A260&lt;入力!$B$11,入力!$B$10,入力!$B$12),0)</f>
        <v>2.5000000000000001E-2</v>
      </c>
      <c r="F260" s="32">
        <f t="shared" si="55"/>
        <v>23149</v>
      </c>
      <c r="G260" s="32">
        <f>ROUND(IF(NOT(AND(T259="",A260&lt;=S259)),0,IF(A260=入力!$B$15+1,IF(E260=0,ROUND(C260/入力!$B$19,0),ROUND(-PMT(E260/12,入力!$B$19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),0)</f>
        <v>116935</v>
      </c>
      <c r="H260" s="32">
        <f t="shared" si="56"/>
        <v>116935</v>
      </c>
      <c r="I260" s="32">
        <f t="shared" si="57"/>
        <v>23149</v>
      </c>
      <c r="J260" s="32">
        <f t="shared" si="58"/>
        <v>0</v>
      </c>
      <c r="K260" s="32">
        <f t="shared" si="59"/>
        <v>0</v>
      </c>
      <c r="L260" s="32">
        <f t="shared" si="60"/>
        <v>93786</v>
      </c>
      <c r="M260" s="32">
        <f>IF(AND(AND(T259="",A260&lt;=S259),A260=入力!$B$15),ROUND(MIN(入力!$B$16,MAX(0,C260-L260)),0),0)</f>
        <v>0</v>
      </c>
      <c r="N260" s="32">
        <f t="shared" si="61"/>
        <v>11017727</v>
      </c>
      <c r="O260" s="32">
        <f t="shared" si="62"/>
        <v>9491492</v>
      </c>
      <c r="P260" s="34" t="str">
        <f>IF(NOT(AND(T259="",A260&lt;=S259)),"",IF(A260=入力!$B$15+1,"繰上返済後再計算","")&amp;IF(AND(入力!$B$13="有効",A260&gt;1,MOD(A260-1,60)=0),IF(A260=入力!$B$15+1,"・","")&amp;"5年見直し","")&amp;IF(AND(A260=入力!$B$11,A260&gt;1),IF(OR(A260=入力!$B$15+1,AND(入力!$B$13="有効",A260&gt;1,MOD(A260-1,60)=0)),"・","")&amp;"金利変更","")&amp;IF(AND(OR(AND(入力!$B$13="有効",A260&gt;1,MOD(A260-1,60)=0),AND(A260=入力!$B$11,A260&gt;1)),入力!$B$14="有効",IF(E260=0,ROUND(C260/MAX(1,S259-A260+1),0),ROUND(-PMT(E260/12,MAX(1,S259-A260+1),C260),0))&gt;ROUND(G259*1.25,0),NOT(A260=入力!$B$15+1)),"・上限適用",""))</f>
        <v/>
      </c>
      <c r="Q260" s="35" t="str">
        <f>IF(AND(T259="",A260&lt;=S259),入力!$B$13,"")</f>
        <v>有効</v>
      </c>
      <c r="R260" s="32" t="str">
        <f>IF(AND(AND(T259="",A260&lt;=S259),OR(AND(入力!$B$13="有効",A260&gt;1,MOD(A260-1,60)=0),AND(A260=入力!$B$11,A260&gt;1)),入力!$B$14="有効"),ROUND(G259*1.25,0),"")</f>
        <v/>
      </c>
      <c r="S260" s="36">
        <f>IF(A260=入力!$B$15,A260+入力!$B$19,S259)</f>
        <v>360</v>
      </c>
      <c r="T260" s="35" t="str">
        <f t="shared" si="63"/>
        <v/>
      </c>
      <c r="U260" s="3">
        <f t="shared" si="48"/>
        <v>0</v>
      </c>
      <c r="V260" s="3">
        <f t="shared" si="49"/>
        <v>0</v>
      </c>
      <c r="W260" s="3">
        <f t="shared" si="50"/>
        <v>0</v>
      </c>
      <c r="X260" s="3">
        <f t="shared" si="51"/>
        <v>0</v>
      </c>
      <c r="Y260" s="3">
        <f>IF(A260&lt;入力!$B$15,ABS(G260-何もしない_月次!G260),0)</f>
        <v>0</v>
      </c>
      <c r="Z260" s="3">
        <f t="shared" si="52"/>
        <v>0</v>
      </c>
      <c r="AA260">
        <f>ROUND(IF(A260=入力!$B$15+1,IF(E260=0,ROUND(C260/入力!$B$19,0),ROUND(-PMT(E260/12,入力!$B$19,C260),0)),IF(OR(AND(入力!$B$13="有効",A260&gt;1,MOD(A260-1,60)=0),AND(A260=入力!$B$11,A260&gt;1)),IF(入力!$B$14="有効",MIN(IF(E260=0,ROUND(C260/MAX(1,S259-A260+1),0),ROUND(-PMT(E260/12,MAX(1,S259-A260+1),C260),0)),ROUND(G259*1.25,0)),IF(E260=0,ROUND(C260/MAX(1,S259-A260+1),0),ROUND(-PMT(E260/12,MAX(1,S259-A260+1),C260),0))),G259)),0)</f>
        <v>116935</v>
      </c>
    </row>
    <row r="261" spans="1:27">
      <c r="A261" s="30">
        <f>256</f>
        <v>256</v>
      </c>
      <c r="B261" s="31">
        <f>EDATE(入力!$B$6,A261-1)</f>
        <v>53997</v>
      </c>
      <c r="C261" s="32">
        <f t="shared" si="53"/>
        <v>11017727</v>
      </c>
      <c r="D261" s="32">
        <f t="shared" si="54"/>
        <v>0</v>
      </c>
      <c r="E261" s="33">
        <f>IF(AND(T260="",A261&lt;=S260),IF(A261&lt;入力!$B$11,入力!$B$10,入力!$B$12),0)</f>
        <v>2.5000000000000001E-2</v>
      </c>
      <c r="F261" s="32">
        <f t="shared" si="55"/>
        <v>22954</v>
      </c>
      <c r="G261" s="32">
        <f>ROUND(IF(NOT(AND(T260="",A261&lt;=S260)),0,IF(A261=入力!$B$15+1,IF(E261=0,ROUND(C261/入力!$B$19,0),ROUND(-PMT(E261/12,入力!$B$19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),0)</f>
        <v>116935</v>
      </c>
      <c r="H261" s="32">
        <f t="shared" si="56"/>
        <v>116935</v>
      </c>
      <c r="I261" s="32">
        <f t="shared" si="57"/>
        <v>22954</v>
      </c>
      <c r="J261" s="32">
        <f t="shared" si="58"/>
        <v>0</v>
      </c>
      <c r="K261" s="32">
        <f t="shared" si="59"/>
        <v>0</v>
      </c>
      <c r="L261" s="32">
        <f t="shared" si="60"/>
        <v>93981</v>
      </c>
      <c r="M261" s="32">
        <f>IF(AND(AND(T260="",A261&lt;=S260),A261=入力!$B$15),ROUND(MIN(入力!$B$16,MAX(0,C261-L261)),0),0)</f>
        <v>0</v>
      </c>
      <c r="N261" s="32">
        <f t="shared" si="61"/>
        <v>10923746</v>
      </c>
      <c r="O261" s="32">
        <f t="shared" si="62"/>
        <v>9514446</v>
      </c>
      <c r="P261" s="34" t="str">
        <f>IF(NOT(AND(T260="",A261&lt;=S260)),"",IF(A261=入力!$B$15+1,"繰上返済後再計算","")&amp;IF(AND(入力!$B$13="有効",A261&gt;1,MOD(A261-1,60)=0),IF(A261=入力!$B$15+1,"・","")&amp;"5年見直し","")&amp;IF(AND(A261=入力!$B$11,A261&gt;1),IF(OR(A261=入力!$B$15+1,AND(入力!$B$13="有効",A261&gt;1,MOD(A261-1,60)=0)),"・","")&amp;"金利変更","")&amp;IF(AND(OR(AND(入力!$B$13="有効",A261&gt;1,MOD(A261-1,60)=0),AND(A261=入力!$B$11,A261&gt;1)),入力!$B$14="有効",IF(E261=0,ROUND(C261/MAX(1,S260-A261+1),0),ROUND(-PMT(E261/12,MAX(1,S260-A261+1),C261),0))&gt;ROUND(G260*1.25,0),NOT(A261=入力!$B$15+1)),"・上限適用",""))</f>
        <v/>
      </c>
      <c r="Q261" s="35" t="str">
        <f>IF(AND(T260="",A261&lt;=S260),入力!$B$13,"")</f>
        <v>有効</v>
      </c>
      <c r="R261" s="32" t="str">
        <f>IF(AND(AND(T260="",A261&lt;=S260),OR(AND(入力!$B$13="有効",A261&gt;1,MOD(A261-1,60)=0),AND(A261=入力!$B$11,A261&gt;1)),入力!$B$14="有効"),ROUND(G260*1.25,0),"")</f>
        <v/>
      </c>
      <c r="S261" s="36">
        <f>IF(A261=入力!$B$15,A261+入力!$B$19,S260)</f>
        <v>360</v>
      </c>
      <c r="T261" s="35" t="str">
        <f t="shared" si="63"/>
        <v/>
      </c>
      <c r="U261" s="3">
        <f t="shared" si="48"/>
        <v>0</v>
      </c>
      <c r="V261" s="3">
        <f t="shared" si="49"/>
        <v>0</v>
      </c>
      <c r="W261" s="3">
        <f t="shared" si="50"/>
        <v>0</v>
      </c>
      <c r="X261" s="3">
        <f t="shared" si="51"/>
        <v>0</v>
      </c>
      <c r="Y261" s="3">
        <f>IF(A261&lt;入力!$B$15,ABS(G261-何もしない_月次!G261),0)</f>
        <v>0</v>
      </c>
      <c r="Z261" s="3">
        <f t="shared" si="52"/>
        <v>0</v>
      </c>
      <c r="AA261">
        <f>ROUND(IF(A261=入力!$B$15+1,IF(E261=0,ROUND(C261/入力!$B$19,0),ROUND(-PMT(E261/12,入力!$B$19,C261),0)),IF(OR(AND(入力!$B$13="有効",A261&gt;1,MOD(A261-1,60)=0),AND(A261=入力!$B$11,A261&gt;1)),IF(入力!$B$14="有効",MIN(IF(E261=0,ROUND(C261/MAX(1,S260-A261+1),0),ROUND(-PMT(E261/12,MAX(1,S260-A261+1),C261),0)),ROUND(G260*1.25,0)),IF(E261=0,ROUND(C261/MAX(1,S260-A261+1),0),ROUND(-PMT(E261/12,MAX(1,S260-A261+1),C261),0))),G260)),0)</f>
        <v>116935</v>
      </c>
    </row>
    <row r="262" spans="1:27">
      <c r="A262" s="30">
        <f>257</f>
        <v>257</v>
      </c>
      <c r="B262" s="31">
        <f>EDATE(入力!$B$6,A262-1)</f>
        <v>54027</v>
      </c>
      <c r="C262" s="32">
        <f t="shared" si="53"/>
        <v>10923746</v>
      </c>
      <c r="D262" s="32">
        <f t="shared" si="54"/>
        <v>0</v>
      </c>
      <c r="E262" s="33">
        <f>IF(AND(T261="",A262&lt;=S261),IF(A262&lt;入力!$B$11,入力!$B$10,入力!$B$12),0)</f>
        <v>2.5000000000000001E-2</v>
      </c>
      <c r="F262" s="32">
        <f t="shared" si="55"/>
        <v>22758</v>
      </c>
      <c r="G262" s="32">
        <f>ROUND(IF(NOT(AND(T261="",A262&lt;=S261)),0,IF(A262=入力!$B$15+1,IF(E262=0,ROUND(C262/入力!$B$19,0),ROUND(-PMT(E262/12,入力!$B$19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),0)</f>
        <v>116935</v>
      </c>
      <c r="H262" s="32">
        <f t="shared" si="56"/>
        <v>116935</v>
      </c>
      <c r="I262" s="32">
        <f t="shared" si="57"/>
        <v>22758</v>
      </c>
      <c r="J262" s="32">
        <f t="shared" si="58"/>
        <v>0</v>
      </c>
      <c r="K262" s="32">
        <f t="shared" si="59"/>
        <v>0</v>
      </c>
      <c r="L262" s="32">
        <f t="shared" si="60"/>
        <v>94177</v>
      </c>
      <c r="M262" s="32">
        <f>IF(AND(AND(T261="",A262&lt;=S261),A262=入力!$B$15),ROUND(MIN(入力!$B$16,MAX(0,C262-L262)),0),0)</f>
        <v>0</v>
      </c>
      <c r="N262" s="32">
        <f t="shared" si="61"/>
        <v>10829569</v>
      </c>
      <c r="O262" s="32">
        <f t="shared" si="62"/>
        <v>9537204</v>
      </c>
      <c r="P262" s="34" t="str">
        <f>IF(NOT(AND(T261="",A262&lt;=S261)),"",IF(A262=入力!$B$15+1,"繰上返済後再計算","")&amp;IF(AND(入力!$B$13="有効",A262&gt;1,MOD(A262-1,60)=0),IF(A262=入力!$B$15+1,"・","")&amp;"5年見直し","")&amp;IF(AND(A262=入力!$B$11,A262&gt;1),IF(OR(A262=入力!$B$15+1,AND(入力!$B$13="有効",A262&gt;1,MOD(A262-1,60)=0)),"・","")&amp;"金利変更","")&amp;IF(AND(OR(AND(入力!$B$13="有効",A262&gt;1,MOD(A262-1,60)=0),AND(A262=入力!$B$11,A262&gt;1)),入力!$B$14="有効",IF(E262=0,ROUND(C262/MAX(1,S261-A262+1),0),ROUND(-PMT(E262/12,MAX(1,S261-A262+1),C262),0))&gt;ROUND(G261*1.25,0),NOT(A262=入力!$B$15+1)),"・上限適用",""))</f>
        <v/>
      </c>
      <c r="Q262" s="35" t="str">
        <f>IF(AND(T261="",A262&lt;=S261),入力!$B$13,"")</f>
        <v>有効</v>
      </c>
      <c r="R262" s="32" t="str">
        <f>IF(AND(AND(T261="",A262&lt;=S261),OR(AND(入力!$B$13="有効",A262&gt;1,MOD(A262-1,60)=0),AND(A262=入力!$B$11,A262&gt;1)),入力!$B$14="有効"),ROUND(G261*1.25,0),"")</f>
        <v/>
      </c>
      <c r="S262" s="36">
        <f>IF(A262=入力!$B$15,A262+入力!$B$19,S261)</f>
        <v>360</v>
      </c>
      <c r="T262" s="35" t="str">
        <f t="shared" si="63"/>
        <v/>
      </c>
      <c r="U262" s="3">
        <f t="shared" ref="U262:U325" si="64">ABS(I262-MIN(H262,D262+F262))</f>
        <v>0</v>
      </c>
      <c r="V262" s="3">
        <f t="shared" ref="V262:V325" si="65">ABS(L262-(H262-I262))</f>
        <v>0</v>
      </c>
      <c r="W262" s="3">
        <f t="shared" ref="W262:W325" si="66">ABS(K262-(D262+J262))</f>
        <v>0</v>
      </c>
      <c r="X262" s="3">
        <f t="shared" ref="X262:X325" si="67">ABS(F262-ROUND(F262,0))+ABS(G262-ROUND(G262,0))+ABS(H262-ROUND(H262,0))+ABS(I262-ROUND(I262,0))+ABS(J262-ROUND(J262,0))+ABS(K262-ROUND(K262,0))+ABS(L262-ROUND(L262,0))+ABS(M262-ROUND(M262,0))+ABS(N262-ROUND(N262,0))+ABS(O262-ROUND(O262,0))</f>
        <v>0</v>
      </c>
      <c r="Y262" s="3">
        <f>IF(A262&lt;入力!$B$15,ABS(G262-何もしない_月次!G262),0)</f>
        <v>0</v>
      </c>
      <c r="Z262" s="3">
        <f t="shared" ref="Z262:Z325" si="68">SUM(--ISERROR(A262),--ISERROR(B262),--ISERROR(C262),--ISERROR(D262),--ISERROR(E262),--ISERROR(F262),--ISERROR(G262),--ISERROR(H262),--ISERROR(I262),--ISERROR(J262),--ISERROR(K262),--ISERROR(L262),--ISERROR(M262),--ISERROR(N262),--ISERROR(O262),--ISERROR(P262),--ISERROR(Q262),--ISERROR(R262),--ISERROR(S262),--ISERROR(T262))</f>
        <v>0</v>
      </c>
      <c r="AA262">
        <f>ROUND(IF(A262=入力!$B$15+1,IF(E262=0,ROUND(C262/入力!$B$19,0),ROUND(-PMT(E262/12,入力!$B$19,C262),0)),IF(OR(AND(入力!$B$13="有効",A262&gt;1,MOD(A262-1,60)=0),AND(A262=入力!$B$11,A262&gt;1)),IF(入力!$B$14="有効",MIN(IF(E262=0,ROUND(C262/MAX(1,S261-A262+1),0),ROUND(-PMT(E262/12,MAX(1,S261-A262+1),C262),0)),ROUND(G261*1.25,0)),IF(E262=0,ROUND(C262/MAX(1,S261-A262+1),0),ROUND(-PMT(E262/12,MAX(1,S261-A262+1),C262),0))),G261)),0)</f>
        <v>116935</v>
      </c>
    </row>
    <row r="263" spans="1:27">
      <c r="A263" s="30">
        <f>258</f>
        <v>258</v>
      </c>
      <c r="B263" s="31">
        <f>EDATE(入力!$B$6,A263-1)</f>
        <v>54058</v>
      </c>
      <c r="C263" s="32">
        <f t="shared" ref="C263:C326" si="69">IF(AND(T262="",A263&lt;=S262),N262,0)</f>
        <v>10829569</v>
      </c>
      <c r="D263" s="32">
        <f t="shared" ref="D263:D326" si="70">IF(AND(T262="",A263&lt;=S262),K262,0)</f>
        <v>0</v>
      </c>
      <c r="E263" s="33">
        <f>IF(AND(T262="",A263&lt;=S262),IF(A263&lt;入力!$B$11,入力!$B$10,入力!$B$12),0)</f>
        <v>2.5000000000000001E-2</v>
      </c>
      <c r="F263" s="32">
        <f t="shared" ref="F263:F326" si="71">IF(AND(T262="",A263&lt;=S262),ROUND(C263*E263/12,0),0)</f>
        <v>22562</v>
      </c>
      <c r="G263" s="32">
        <f>ROUND(IF(NOT(AND(T262="",A263&lt;=S262)),0,IF(A263=入力!$B$15+1,IF(E263=0,ROUND(C263/入力!$B$19,0),ROUND(-PMT(E263/12,入力!$B$19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),0)</f>
        <v>116935</v>
      </c>
      <c r="H263" s="32">
        <f t="shared" ref="H263:H326" si="72">IF(AND(T262="",A263&lt;=S262),ROUND(MIN(G263,C263+D263+F263),0),0)</f>
        <v>116935</v>
      </c>
      <c r="I263" s="32">
        <f t="shared" ref="I263:I326" si="73">IF(AND(T262="",A263&lt;=S262),ROUND(MIN(H263,D263+F263),0),0)</f>
        <v>22562</v>
      </c>
      <c r="J263" s="32">
        <f t="shared" ref="J263:J326" si="74">IF(AND(T262="",A263&lt;=S262),ROUND(F263-I263,0),0)</f>
        <v>0</v>
      </c>
      <c r="K263" s="32">
        <f t="shared" ref="K263:K326" si="75">IF(AND(T262="",A263&lt;=S262),ROUND(D263+J263,0),0)</f>
        <v>0</v>
      </c>
      <c r="L263" s="32">
        <f t="shared" ref="L263:L326" si="76">IF(AND(T262="",A263&lt;=S262),ROUND(H263-I263,0),0)</f>
        <v>94373</v>
      </c>
      <c r="M263" s="32">
        <f>IF(AND(AND(T262="",A263&lt;=S262),A263=入力!$B$15),ROUND(MIN(入力!$B$16,MAX(0,C263-L263)),0),0)</f>
        <v>0</v>
      </c>
      <c r="N263" s="32">
        <f t="shared" ref="N263:N326" si="77">IF(AND(T262="",A263&lt;=S262),ROUND(MAX(0,C263-L263-M263),0),0)</f>
        <v>10735196</v>
      </c>
      <c r="O263" s="32">
        <f t="shared" ref="O263:O326" si="78">IF(AND(T262="",A263&lt;=S262),ROUND(O262+F263,0),O262)</f>
        <v>9559766</v>
      </c>
      <c r="P263" s="34" t="str">
        <f>IF(NOT(AND(T262="",A263&lt;=S262)),"",IF(A263=入力!$B$15+1,"繰上返済後再計算","")&amp;IF(AND(入力!$B$13="有効",A263&gt;1,MOD(A263-1,60)=0),IF(A263=入力!$B$15+1,"・","")&amp;"5年見直し","")&amp;IF(AND(A263=入力!$B$11,A263&gt;1),IF(OR(A263=入力!$B$15+1,AND(入力!$B$13="有効",A263&gt;1,MOD(A263-1,60)=0)),"・","")&amp;"金利変更","")&amp;IF(AND(OR(AND(入力!$B$13="有効",A263&gt;1,MOD(A263-1,60)=0),AND(A263=入力!$B$11,A263&gt;1)),入力!$B$14="有効",IF(E263=0,ROUND(C263/MAX(1,S262-A263+1),0),ROUND(-PMT(E263/12,MAX(1,S262-A263+1),C263),0))&gt;ROUND(G262*1.25,0),NOT(A263=入力!$B$15+1)),"・上限適用",""))</f>
        <v/>
      </c>
      <c r="Q263" s="35" t="str">
        <f>IF(AND(T262="",A263&lt;=S262),入力!$B$13,"")</f>
        <v>有効</v>
      </c>
      <c r="R263" s="32" t="str">
        <f>IF(AND(AND(T262="",A263&lt;=S262),OR(AND(入力!$B$13="有効",A263&gt;1,MOD(A263-1,60)=0),AND(A263=入力!$B$11,A263&gt;1)),入力!$B$14="有効"),ROUND(G262*1.25,0),"")</f>
        <v/>
      </c>
      <c r="S263" s="36">
        <f>IF(A263=入力!$B$15,A263+入力!$B$19,S262)</f>
        <v>360</v>
      </c>
      <c r="T263" s="35" t="str">
        <f t="shared" ref="T263:T326" si="79">IF(NOT(AND(T262="",A263&lt;=S262)),"",IF(AND(N263=0,K263=0),"完済",IF(A263=S263,"最終回清算","")))</f>
        <v/>
      </c>
      <c r="U263" s="3">
        <f t="shared" si="64"/>
        <v>0</v>
      </c>
      <c r="V263" s="3">
        <f t="shared" si="65"/>
        <v>0</v>
      </c>
      <c r="W263" s="3">
        <f t="shared" si="66"/>
        <v>0</v>
      </c>
      <c r="X263" s="3">
        <f t="shared" si="67"/>
        <v>0</v>
      </c>
      <c r="Y263" s="3">
        <f>IF(A263&lt;入力!$B$15,ABS(G263-何もしない_月次!G263),0)</f>
        <v>0</v>
      </c>
      <c r="Z263" s="3">
        <f t="shared" si="68"/>
        <v>0</v>
      </c>
      <c r="AA263">
        <f>ROUND(IF(A263=入力!$B$15+1,IF(E263=0,ROUND(C263/入力!$B$19,0),ROUND(-PMT(E263/12,入力!$B$19,C263),0)),IF(OR(AND(入力!$B$13="有効",A263&gt;1,MOD(A263-1,60)=0),AND(A263=入力!$B$11,A263&gt;1)),IF(入力!$B$14="有効",MIN(IF(E263=0,ROUND(C263/MAX(1,S262-A263+1),0),ROUND(-PMT(E263/12,MAX(1,S262-A263+1),C263),0)),ROUND(G262*1.25,0)),IF(E263=0,ROUND(C263/MAX(1,S262-A263+1),0),ROUND(-PMT(E263/12,MAX(1,S262-A263+1),C263),0))),G262)),0)</f>
        <v>116935</v>
      </c>
    </row>
    <row r="264" spans="1:27">
      <c r="A264" s="30">
        <f>259</f>
        <v>259</v>
      </c>
      <c r="B264" s="31">
        <f>EDATE(入力!$B$6,A264-1)</f>
        <v>54089</v>
      </c>
      <c r="C264" s="32">
        <f t="shared" si="69"/>
        <v>10735196</v>
      </c>
      <c r="D264" s="32">
        <f t="shared" si="70"/>
        <v>0</v>
      </c>
      <c r="E264" s="33">
        <f>IF(AND(T263="",A264&lt;=S263),IF(A264&lt;入力!$B$11,入力!$B$10,入力!$B$12),0)</f>
        <v>2.5000000000000001E-2</v>
      </c>
      <c r="F264" s="32">
        <f t="shared" si="71"/>
        <v>22365</v>
      </c>
      <c r="G264" s="32">
        <f>ROUND(IF(NOT(AND(T263="",A264&lt;=S263)),0,IF(A264=入力!$B$15+1,IF(E264=0,ROUND(C264/入力!$B$19,0),ROUND(-PMT(E264/12,入力!$B$19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),0)</f>
        <v>116935</v>
      </c>
      <c r="H264" s="32">
        <f t="shared" si="72"/>
        <v>116935</v>
      </c>
      <c r="I264" s="32">
        <f t="shared" si="73"/>
        <v>22365</v>
      </c>
      <c r="J264" s="32">
        <f t="shared" si="74"/>
        <v>0</v>
      </c>
      <c r="K264" s="32">
        <f t="shared" si="75"/>
        <v>0</v>
      </c>
      <c r="L264" s="32">
        <f t="shared" si="76"/>
        <v>94570</v>
      </c>
      <c r="M264" s="32">
        <f>IF(AND(AND(T263="",A264&lt;=S263),A264=入力!$B$15),ROUND(MIN(入力!$B$16,MAX(0,C264-L264)),0),0)</f>
        <v>0</v>
      </c>
      <c r="N264" s="32">
        <f t="shared" si="77"/>
        <v>10640626</v>
      </c>
      <c r="O264" s="32">
        <f t="shared" si="78"/>
        <v>9582131</v>
      </c>
      <c r="P264" s="34" t="str">
        <f>IF(NOT(AND(T263="",A264&lt;=S263)),"",IF(A264=入力!$B$15+1,"繰上返済後再計算","")&amp;IF(AND(入力!$B$13="有効",A264&gt;1,MOD(A264-1,60)=0),IF(A264=入力!$B$15+1,"・","")&amp;"5年見直し","")&amp;IF(AND(A264=入力!$B$11,A264&gt;1),IF(OR(A264=入力!$B$15+1,AND(入力!$B$13="有効",A264&gt;1,MOD(A264-1,60)=0)),"・","")&amp;"金利変更","")&amp;IF(AND(OR(AND(入力!$B$13="有効",A264&gt;1,MOD(A264-1,60)=0),AND(A264=入力!$B$11,A264&gt;1)),入力!$B$14="有効",IF(E264=0,ROUND(C264/MAX(1,S263-A264+1),0),ROUND(-PMT(E264/12,MAX(1,S263-A264+1),C264),0))&gt;ROUND(G263*1.25,0),NOT(A264=入力!$B$15+1)),"・上限適用",""))</f>
        <v/>
      </c>
      <c r="Q264" s="35" t="str">
        <f>IF(AND(T263="",A264&lt;=S263),入力!$B$13,"")</f>
        <v>有効</v>
      </c>
      <c r="R264" s="32" t="str">
        <f>IF(AND(AND(T263="",A264&lt;=S263),OR(AND(入力!$B$13="有効",A264&gt;1,MOD(A264-1,60)=0),AND(A264=入力!$B$11,A264&gt;1)),入力!$B$14="有効"),ROUND(G263*1.25,0),"")</f>
        <v/>
      </c>
      <c r="S264" s="36">
        <f>IF(A264=入力!$B$15,A264+入力!$B$19,S263)</f>
        <v>360</v>
      </c>
      <c r="T264" s="35" t="str">
        <f t="shared" si="79"/>
        <v/>
      </c>
      <c r="U264" s="3">
        <f t="shared" si="64"/>
        <v>0</v>
      </c>
      <c r="V264" s="3">
        <f t="shared" si="65"/>
        <v>0</v>
      </c>
      <c r="W264" s="3">
        <f t="shared" si="66"/>
        <v>0</v>
      </c>
      <c r="X264" s="3">
        <f t="shared" si="67"/>
        <v>0</v>
      </c>
      <c r="Y264" s="3">
        <f>IF(A264&lt;入力!$B$15,ABS(G264-何もしない_月次!G264),0)</f>
        <v>0</v>
      </c>
      <c r="Z264" s="3">
        <f t="shared" si="68"/>
        <v>0</v>
      </c>
      <c r="AA264">
        <f>ROUND(IF(A264=入力!$B$15+1,IF(E264=0,ROUND(C264/入力!$B$19,0),ROUND(-PMT(E264/12,入力!$B$19,C264),0)),IF(OR(AND(入力!$B$13="有効",A264&gt;1,MOD(A264-1,60)=0),AND(A264=入力!$B$11,A264&gt;1)),IF(入力!$B$14="有効",MIN(IF(E264=0,ROUND(C264/MAX(1,S263-A264+1),0),ROUND(-PMT(E264/12,MAX(1,S263-A264+1),C264),0)),ROUND(G263*1.25,0)),IF(E264=0,ROUND(C264/MAX(1,S263-A264+1),0),ROUND(-PMT(E264/12,MAX(1,S263-A264+1),C264),0))),G263)),0)</f>
        <v>116935</v>
      </c>
    </row>
    <row r="265" spans="1:27">
      <c r="A265" s="30">
        <f>260</f>
        <v>260</v>
      </c>
      <c r="B265" s="31">
        <f>EDATE(入力!$B$6,A265-1)</f>
        <v>54118</v>
      </c>
      <c r="C265" s="32">
        <f t="shared" si="69"/>
        <v>10640626</v>
      </c>
      <c r="D265" s="32">
        <f t="shared" si="70"/>
        <v>0</v>
      </c>
      <c r="E265" s="33">
        <f>IF(AND(T264="",A265&lt;=S264),IF(A265&lt;入力!$B$11,入力!$B$10,入力!$B$12),0)</f>
        <v>2.5000000000000001E-2</v>
      </c>
      <c r="F265" s="32">
        <f t="shared" si="71"/>
        <v>22168</v>
      </c>
      <c r="G265" s="32">
        <f>ROUND(IF(NOT(AND(T264="",A265&lt;=S264)),0,IF(A265=入力!$B$15+1,IF(E265=0,ROUND(C265/入力!$B$19,0),ROUND(-PMT(E265/12,入力!$B$19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),0)</f>
        <v>116935</v>
      </c>
      <c r="H265" s="32">
        <f t="shared" si="72"/>
        <v>116935</v>
      </c>
      <c r="I265" s="32">
        <f t="shared" si="73"/>
        <v>22168</v>
      </c>
      <c r="J265" s="32">
        <f t="shared" si="74"/>
        <v>0</v>
      </c>
      <c r="K265" s="32">
        <f t="shared" si="75"/>
        <v>0</v>
      </c>
      <c r="L265" s="32">
        <f t="shared" si="76"/>
        <v>94767</v>
      </c>
      <c r="M265" s="32">
        <f>IF(AND(AND(T264="",A265&lt;=S264),A265=入力!$B$15),ROUND(MIN(入力!$B$16,MAX(0,C265-L265)),0),0)</f>
        <v>0</v>
      </c>
      <c r="N265" s="32">
        <f t="shared" si="77"/>
        <v>10545859</v>
      </c>
      <c r="O265" s="32">
        <f t="shared" si="78"/>
        <v>9604299</v>
      </c>
      <c r="P265" s="34" t="str">
        <f>IF(NOT(AND(T264="",A265&lt;=S264)),"",IF(A265=入力!$B$15+1,"繰上返済後再計算","")&amp;IF(AND(入力!$B$13="有効",A265&gt;1,MOD(A265-1,60)=0),IF(A265=入力!$B$15+1,"・","")&amp;"5年見直し","")&amp;IF(AND(A265=入力!$B$11,A265&gt;1),IF(OR(A265=入力!$B$15+1,AND(入力!$B$13="有効",A265&gt;1,MOD(A265-1,60)=0)),"・","")&amp;"金利変更","")&amp;IF(AND(OR(AND(入力!$B$13="有効",A265&gt;1,MOD(A265-1,60)=0),AND(A265=入力!$B$11,A265&gt;1)),入力!$B$14="有効",IF(E265=0,ROUND(C265/MAX(1,S264-A265+1),0),ROUND(-PMT(E265/12,MAX(1,S264-A265+1),C265),0))&gt;ROUND(G264*1.25,0),NOT(A265=入力!$B$15+1)),"・上限適用",""))</f>
        <v/>
      </c>
      <c r="Q265" s="35" t="str">
        <f>IF(AND(T264="",A265&lt;=S264),入力!$B$13,"")</f>
        <v>有効</v>
      </c>
      <c r="R265" s="32" t="str">
        <f>IF(AND(AND(T264="",A265&lt;=S264),OR(AND(入力!$B$13="有効",A265&gt;1,MOD(A265-1,60)=0),AND(A265=入力!$B$11,A265&gt;1)),入力!$B$14="有効"),ROUND(G264*1.25,0),"")</f>
        <v/>
      </c>
      <c r="S265" s="36">
        <f>IF(A265=入力!$B$15,A265+入力!$B$19,S264)</f>
        <v>360</v>
      </c>
      <c r="T265" s="35" t="str">
        <f t="shared" si="79"/>
        <v/>
      </c>
      <c r="U265" s="3">
        <f t="shared" si="64"/>
        <v>0</v>
      </c>
      <c r="V265" s="3">
        <f t="shared" si="65"/>
        <v>0</v>
      </c>
      <c r="W265" s="3">
        <f t="shared" si="66"/>
        <v>0</v>
      </c>
      <c r="X265" s="3">
        <f t="shared" si="67"/>
        <v>0</v>
      </c>
      <c r="Y265" s="3">
        <f>IF(A265&lt;入力!$B$15,ABS(G265-何もしない_月次!G265),0)</f>
        <v>0</v>
      </c>
      <c r="Z265" s="3">
        <f t="shared" si="68"/>
        <v>0</v>
      </c>
      <c r="AA265">
        <f>ROUND(IF(A265=入力!$B$15+1,IF(E265=0,ROUND(C265/入力!$B$19,0),ROUND(-PMT(E265/12,入力!$B$19,C265),0)),IF(OR(AND(入力!$B$13="有効",A265&gt;1,MOD(A265-1,60)=0),AND(A265=入力!$B$11,A265&gt;1)),IF(入力!$B$14="有効",MIN(IF(E265=0,ROUND(C265/MAX(1,S264-A265+1),0),ROUND(-PMT(E265/12,MAX(1,S264-A265+1),C265),0)),ROUND(G264*1.25,0)),IF(E265=0,ROUND(C265/MAX(1,S264-A265+1),0),ROUND(-PMT(E265/12,MAX(1,S264-A265+1),C265),0))),G264)),0)</f>
        <v>116935</v>
      </c>
    </row>
    <row r="266" spans="1:27">
      <c r="A266" s="30">
        <f>261</f>
        <v>261</v>
      </c>
      <c r="B266" s="31">
        <f>EDATE(入力!$B$6,A266-1)</f>
        <v>54149</v>
      </c>
      <c r="C266" s="32">
        <f t="shared" si="69"/>
        <v>10545859</v>
      </c>
      <c r="D266" s="32">
        <f t="shared" si="70"/>
        <v>0</v>
      </c>
      <c r="E266" s="33">
        <f>IF(AND(T265="",A266&lt;=S265),IF(A266&lt;入力!$B$11,入力!$B$10,入力!$B$12),0)</f>
        <v>2.5000000000000001E-2</v>
      </c>
      <c r="F266" s="32">
        <f t="shared" si="71"/>
        <v>21971</v>
      </c>
      <c r="G266" s="32">
        <f>ROUND(IF(NOT(AND(T265="",A266&lt;=S265)),0,IF(A266=入力!$B$15+1,IF(E266=0,ROUND(C266/入力!$B$19,0),ROUND(-PMT(E266/12,入力!$B$19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),0)</f>
        <v>116935</v>
      </c>
      <c r="H266" s="32">
        <f t="shared" si="72"/>
        <v>116935</v>
      </c>
      <c r="I266" s="32">
        <f t="shared" si="73"/>
        <v>21971</v>
      </c>
      <c r="J266" s="32">
        <f t="shared" si="74"/>
        <v>0</v>
      </c>
      <c r="K266" s="32">
        <f t="shared" si="75"/>
        <v>0</v>
      </c>
      <c r="L266" s="32">
        <f t="shared" si="76"/>
        <v>94964</v>
      </c>
      <c r="M266" s="32">
        <f>IF(AND(AND(T265="",A266&lt;=S265),A266=入力!$B$15),ROUND(MIN(入力!$B$16,MAX(0,C266-L266)),0),0)</f>
        <v>0</v>
      </c>
      <c r="N266" s="32">
        <f t="shared" si="77"/>
        <v>10450895</v>
      </c>
      <c r="O266" s="32">
        <f t="shared" si="78"/>
        <v>9626270</v>
      </c>
      <c r="P266" s="34" t="str">
        <f>IF(NOT(AND(T265="",A266&lt;=S265)),"",IF(A266=入力!$B$15+1,"繰上返済後再計算","")&amp;IF(AND(入力!$B$13="有効",A266&gt;1,MOD(A266-1,60)=0),IF(A266=入力!$B$15+1,"・","")&amp;"5年見直し","")&amp;IF(AND(A266=入力!$B$11,A266&gt;1),IF(OR(A266=入力!$B$15+1,AND(入力!$B$13="有効",A266&gt;1,MOD(A266-1,60)=0)),"・","")&amp;"金利変更","")&amp;IF(AND(OR(AND(入力!$B$13="有効",A266&gt;1,MOD(A266-1,60)=0),AND(A266=入力!$B$11,A266&gt;1)),入力!$B$14="有効",IF(E266=0,ROUND(C266/MAX(1,S265-A266+1),0),ROUND(-PMT(E266/12,MAX(1,S265-A266+1),C266),0))&gt;ROUND(G265*1.25,0),NOT(A266=入力!$B$15+1)),"・上限適用",""))</f>
        <v/>
      </c>
      <c r="Q266" s="35" t="str">
        <f>IF(AND(T265="",A266&lt;=S265),入力!$B$13,"")</f>
        <v>有効</v>
      </c>
      <c r="R266" s="32" t="str">
        <f>IF(AND(AND(T265="",A266&lt;=S265),OR(AND(入力!$B$13="有効",A266&gt;1,MOD(A266-1,60)=0),AND(A266=入力!$B$11,A266&gt;1)),入力!$B$14="有効"),ROUND(G265*1.25,0),"")</f>
        <v/>
      </c>
      <c r="S266" s="36">
        <f>IF(A266=入力!$B$15,A266+入力!$B$19,S265)</f>
        <v>360</v>
      </c>
      <c r="T266" s="35" t="str">
        <f t="shared" si="79"/>
        <v/>
      </c>
      <c r="U266" s="3">
        <f t="shared" si="64"/>
        <v>0</v>
      </c>
      <c r="V266" s="3">
        <f t="shared" si="65"/>
        <v>0</v>
      </c>
      <c r="W266" s="3">
        <f t="shared" si="66"/>
        <v>0</v>
      </c>
      <c r="X266" s="3">
        <f t="shared" si="67"/>
        <v>0</v>
      </c>
      <c r="Y266" s="3">
        <f>IF(A266&lt;入力!$B$15,ABS(G266-何もしない_月次!G266),0)</f>
        <v>0</v>
      </c>
      <c r="Z266" s="3">
        <f t="shared" si="68"/>
        <v>0</v>
      </c>
      <c r="AA266">
        <f>ROUND(IF(A266=入力!$B$15+1,IF(E266=0,ROUND(C266/入力!$B$19,0),ROUND(-PMT(E266/12,入力!$B$19,C266),0)),IF(OR(AND(入力!$B$13="有効",A266&gt;1,MOD(A266-1,60)=0),AND(A266=入力!$B$11,A266&gt;1)),IF(入力!$B$14="有効",MIN(IF(E266=0,ROUND(C266/MAX(1,S265-A266+1),0),ROUND(-PMT(E266/12,MAX(1,S265-A266+1),C266),0)),ROUND(G265*1.25,0)),IF(E266=0,ROUND(C266/MAX(1,S265-A266+1),0),ROUND(-PMT(E266/12,MAX(1,S265-A266+1),C266),0))),G265)),0)</f>
        <v>116935</v>
      </c>
    </row>
    <row r="267" spans="1:27">
      <c r="A267" s="30">
        <f>262</f>
        <v>262</v>
      </c>
      <c r="B267" s="31">
        <f>EDATE(入力!$B$6,A267-1)</f>
        <v>54179</v>
      </c>
      <c r="C267" s="32">
        <f t="shared" si="69"/>
        <v>10450895</v>
      </c>
      <c r="D267" s="32">
        <f t="shared" si="70"/>
        <v>0</v>
      </c>
      <c r="E267" s="33">
        <f>IF(AND(T266="",A267&lt;=S266),IF(A267&lt;入力!$B$11,入力!$B$10,入力!$B$12),0)</f>
        <v>2.5000000000000001E-2</v>
      </c>
      <c r="F267" s="32">
        <f t="shared" si="71"/>
        <v>21773</v>
      </c>
      <c r="G267" s="32">
        <f>ROUND(IF(NOT(AND(T266="",A267&lt;=S266)),0,IF(A267=入力!$B$15+1,IF(E267=0,ROUND(C267/入力!$B$19,0),ROUND(-PMT(E267/12,入力!$B$19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),0)</f>
        <v>116935</v>
      </c>
      <c r="H267" s="32">
        <f t="shared" si="72"/>
        <v>116935</v>
      </c>
      <c r="I267" s="32">
        <f t="shared" si="73"/>
        <v>21773</v>
      </c>
      <c r="J267" s="32">
        <f t="shared" si="74"/>
        <v>0</v>
      </c>
      <c r="K267" s="32">
        <f t="shared" si="75"/>
        <v>0</v>
      </c>
      <c r="L267" s="32">
        <f t="shared" si="76"/>
        <v>95162</v>
      </c>
      <c r="M267" s="32">
        <f>IF(AND(AND(T266="",A267&lt;=S266),A267=入力!$B$15),ROUND(MIN(入力!$B$16,MAX(0,C267-L267)),0),0)</f>
        <v>0</v>
      </c>
      <c r="N267" s="32">
        <f t="shared" si="77"/>
        <v>10355733</v>
      </c>
      <c r="O267" s="32">
        <f t="shared" si="78"/>
        <v>9648043</v>
      </c>
      <c r="P267" s="34" t="str">
        <f>IF(NOT(AND(T266="",A267&lt;=S266)),"",IF(A267=入力!$B$15+1,"繰上返済後再計算","")&amp;IF(AND(入力!$B$13="有効",A267&gt;1,MOD(A267-1,60)=0),IF(A267=入力!$B$15+1,"・","")&amp;"5年見直し","")&amp;IF(AND(A267=入力!$B$11,A267&gt;1),IF(OR(A267=入力!$B$15+1,AND(入力!$B$13="有効",A267&gt;1,MOD(A267-1,60)=0)),"・","")&amp;"金利変更","")&amp;IF(AND(OR(AND(入力!$B$13="有効",A267&gt;1,MOD(A267-1,60)=0),AND(A267=入力!$B$11,A267&gt;1)),入力!$B$14="有効",IF(E267=0,ROUND(C267/MAX(1,S266-A267+1),0),ROUND(-PMT(E267/12,MAX(1,S266-A267+1),C267),0))&gt;ROUND(G266*1.25,0),NOT(A267=入力!$B$15+1)),"・上限適用",""))</f>
        <v/>
      </c>
      <c r="Q267" s="35" t="str">
        <f>IF(AND(T266="",A267&lt;=S266),入力!$B$13,"")</f>
        <v>有効</v>
      </c>
      <c r="R267" s="32" t="str">
        <f>IF(AND(AND(T266="",A267&lt;=S266),OR(AND(入力!$B$13="有効",A267&gt;1,MOD(A267-1,60)=0),AND(A267=入力!$B$11,A267&gt;1)),入力!$B$14="有効"),ROUND(G266*1.25,0),"")</f>
        <v/>
      </c>
      <c r="S267" s="36">
        <f>IF(A267=入力!$B$15,A267+入力!$B$19,S266)</f>
        <v>360</v>
      </c>
      <c r="T267" s="35" t="str">
        <f t="shared" si="79"/>
        <v/>
      </c>
      <c r="U267" s="3">
        <f t="shared" si="64"/>
        <v>0</v>
      </c>
      <c r="V267" s="3">
        <f t="shared" si="65"/>
        <v>0</v>
      </c>
      <c r="W267" s="3">
        <f t="shared" si="66"/>
        <v>0</v>
      </c>
      <c r="X267" s="3">
        <f t="shared" si="67"/>
        <v>0</v>
      </c>
      <c r="Y267" s="3">
        <f>IF(A267&lt;入力!$B$15,ABS(G267-何もしない_月次!G267),0)</f>
        <v>0</v>
      </c>
      <c r="Z267" s="3">
        <f t="shared" si="68"/>
        <v>0</v>
      </c>
      <c r="AA267">
        <f>ROUND(IF(A267=入力!$B$15+1,IF(E267=0,ROUND(C267/入力!$B$19,0),ROUND(-PMT(E267/12,入力!$B$19,C267),0)),IF(OR(AND(入力!$B$13="有効",A267&gt;1,MOD(A267-1,60)=0),AND(A267=入力!$B$11,A267&gt;1)),IF(入力!$B$14="有効",MIN(IF(E267=0,ROUND(C267/MAX(1,S266-A267+1),0),ROUND(-PMT(E267/12,MAX(1,S266-A267+1),C267),0)),ROUND(G266*1.25,0)),IF(E267=0,ROUND(C267/MAX(1,S266-A267+1),0),ROUND(-PMT(E267/12,MAX(1,S266-A267+1),C267),0))),G266)),0)</f>
        <v>116935</v>
      </c>
    </row>
    <row r="268" spans="1:27">
      <c r="A268" s="30">
        <f>263</f>
        <v>263</v>
      </c>
      <c r="B268" s="31">
        <f>EDATE(入力!$B$6,A268-1)</f>
        <v>54210</v>
      </c>
      <c r="C268" s="32">
        <f t="shared" si="69"/>
        <v>10355733</v>
      </c>
      <c r="D268" s="32">
        <f t="shared" si="70"/>
        <v>0</v>
      </c>
      <c r="E268" s="33">
        <f>IF(AND(T267="",A268&lt;=S267),IF(A268&lt;入力!$B$11,入力!$B$10,入力!$B$12),0)</f>
        <v>2.5000000000000001E-2</v>
      </c>
      <c r="F268" s="32">
        <f t="shared" si="71"/>
        <v>21574</v>
      </c>
      <c r="G268" s="32">
        <f>ROUND(IF(NOT(AND(T267="",A268&lt;=S267)),0,IF(A268=入力!$B$15+1,IF(E268=0,ROUND(C268/入力!$B$19,0),ROUND(-PMT(E268/12,入力!$B$19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),0)</f>
        <v>116935</v>
      </c>
      <c r="H268" s="32">
        <f t="shared" si="72"/>
        <v>116935</v>
      </c>
      <c r="I268" s="32">
        <f t="shared" si="73"/>
        <v>21574</v>
      </c>
      <c r="J268" s="32">
        <f t="shared" si="74"/>
        <v>0</v>
      </c>
      <c r="K268" s="32">
        <f t="shared" si="75"/>
        <v>0</v>
      </c>
      <c r="L268" s="32">
        <f t="shared" si="76"/>
        <v>95361</v>
      </c>
      <c r="M268" s="32">
        <f>IF(AND(AND(T267="",A268&lt;=S267),A268=入力!$B$15),ROUND(MIN(入力!$B$16,MAX(0,C268-L268)),0),0)</f>
        <v>0</v>
      </c>
      <c r="N268" s="32">
        <f t="shared" si="77"/>
        <v>10260372</v>
      </c>
      <c r="O268" s="32">
        <f t="shared" si="78"/>
        <v>9669617</v>
      </c>
      <c r="P268" s="34" t="str">
        <f>IF(NOT(AND(T267="",A268&lt;=S267)),"",IF(A268=入力!$B$15+1,"繰上返済後再計算","")&amp;IF(AND(入力!$B$13="有効",A268&gt;1,MOD(A268-1,60)=0),IF(A268=入力!$B$15+1,"・","")&amp;"5年見直し","")&amp;IF(AND(A268=入力!$B$11,A268&gt;1),IF(OR(A268=入力!$B$15+1,AND(入力!$B$13="有効",A268&gt;1,MOD(A268-1,60)=0)),"・","")&amp;"金利変更","")&amp;IF(AND(OR(AND(入力!$B$13="有効",A268&gt;1,MOD(A268-1,60)=0),AND(A268=入力!$B$11,A268&gt;1)),入力!$B$14="有効",IF(E268=0,ROUND(C268/MAX(1,S267-A268+1),0),ROUND(-PMT(E268/12,MAX(1,S267-A268+1),C268),0))&gt;ROUND(G267*1.25,0),NOT(A268=入力!$B$15+1)),"・上限適用",""))</f>
        <v/>
      </c>
      <c r="Q268" s="35" t="str">
        <f>IF(AND(T267="",A268&lt;=S267),入力!$B$13,"")</f>
        <v>有効</v>
      </c>
      <c r="R268" s="32" t="str">
        <f>IF(AND(AND(T267="",A268&lt;=S267),OR(AND(入力!$B$13="有効",A268&gt;1,MOD(A268-1,60)=0),AND(A268=入力!$B$11,A268&gt;1)),入力!$B$14="有効"),ROUND(G267*1.25,0),"")</f>
        <v/>
      </c>
      <c r="S268" s="36">
        <f>IF(A268=入力!$B$15,A268+入力!$B$19,S267)</f>
        <v>360</v>
      </c>
      <c r="T268" s="35" t="str">
        <f t="shared" si="79"/>
        <v/>
      </c>
      <c r="U268" s="3">
        <f t="shared" si="64"/>
        <v>0</v>
      </c>
      <c r="V268" s="3">
        <f t="shared" si="65"/>
        <v>0</v>
      </c>
      <c r="W268" s="3">
        <f t="shared" si="66"/>
        <v>0</v>
      </c>
      <c r="X268" s="3">
        <f t="shared" si="67"/>
        <v>0</v>
      </c>
      <c r="Y268" s="3">
        <f>IF(A268&lt;入力!$B$15,ABS(G268-何もしない_月次!G268),0)</f>
        <v>0</v>
      </c>
      <c r="Z268" s="3">
        <f t="shared" si="68"/>
        <v>0</v>
      </c>
      <c r="AA268">
        <f>ROUND(IF(A268=入力!$B$15+1,IF(E268=0,ROUND(C268/入力!$B$19,0),ROUND(-PMT(E268/12,入力!$B$19,C268),0)),IF(OR(AND(入力!$B$13="有効",A268&gt;1,MOD(A268-1,60)=0),AND(A268=入力!$B$11,A268&gt;1)),IF(入力!$B$14="有効",MIN(IF(E268=0,ROUND(C268/MAX(1,S267-A268+1),0),ROUND(-PMT(E268/12,MAX(1,S267-A268+1),C268),0)),ROUND(G267*1.25,0)),IF(E268=0,ROUND(C268/MAX(1,S267-A268+1),0),ROUND(-PMT(E268/12,MAX(1,S267-A268+1),C268),0))),G267)),0)</f>
        <v>116935</v>
      </c>
    </row>
    <row r="269" spans="1:27">
      <c r="A269" s="30">
        <f>264</f>
        <v>264</v>
      </c>
      <c r="B269" s="31">
        <f>EDATE(入力!$B$6,A269-1)</f>
        <v>54240</v>
      </c>
      <c r="C269" s="32">
        <f t="shared" si="69"/>
        <v>10260372</v>
      </c>
      <c r="D269" s="32">
        <f t="shared" si="70"/>
        <v>0</v>
      </c>
      <c r="E269" s="33">
        <f>IF(AND(T268="",A269&lt;=S268),IF(A269&lt;入力!$B$11,入力!$B$10,入力!$B$12),0)</f>
        <v>2.5000000000000001E-2</v>
      </c>
      <c r="F269" s="32">
        <f t="shared" si="71"/>
        <v>21376</v>
      </c>
      <c r="G269" s="32">
        <f>ROUND(IF(NOT(AND(T268="",A269&lt;=S268)),0,IF(A269=入力!$B$15+1,IF(E269=0,ROUND(C269/入力!$B$19,0),ROUND(-PMT(E269/12,入力!$B$19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),0)</f>
        <v>116935</v>
      </c>
      <c r="H269" s="32">
        <f t="shared" si="72"/>
        <v>116935</v>
      </c>
      <c r="I269" s="32">
        <f t="shared" si="73"/>
        <v>21376</v>
      </c>
      <c r="J269" s="32">
        <f t="shared" si="74"/>
        <v>0</v>
      </c>
      <c r="K269" s="32">
        <f t="shared" si="75"/>
        <v>0</v>
      </c>
      <c r="L269" s="32">
        <f t="shared" si="76"/>
        <v>95559</v>
      </c>
      <c r="M269" s="32">
        <f>IF(AND(AND(T268="",A269&lt;=S268),A269=入力!$B$15),ROUND(MIN(入力!$B$16,MAX(0,C269-L269)),0),0)</f>
        <v>0</v>
      </c>
      <c r="N269" s="32">
        <f t="shared" si="77"/>
        <v>10164813</v>
      </c>
      <c r="O269" s="32">
        <f t="shared" si="78"/>
        <v>9690993</v>
      </c>
      <c r="P269" s="34" t="str">
        <f>IF(NOT(AND(T268="",A269&lt;=S268)),"",IF(A269=入力!$B$15+1,"繰上返済後再計算","")&amp;IF(AND(入力!$B$13="有効",A269&gt;1,MOD(A269-1,60)=0),IF(A269=入力!$B$15+1,"・","")&amp;"5年見直し","")&amp;IF(AND(A269=入力!$B$11,A269&gt;1),IF(OR(A269=入力!$B$15+1,AND(入力!$B$13="有効",A269&gt;1,MOD(A269-1,60)=0)),"・","")&amp;"金利変更","")&amp;IF(AND(OR(AND(入力!$B$13="有効",A269&gt;1,MOD(A269-1,60)=0),AND(A269=入力!$B$11,A269&gt;1)),入力!$B$14="有効",IF(E269=0,ROUND(C269/MAX(1,S268-A269+1),0),ROUND(-PMT(E269/12,MAX(1,S268-A269+1),C269),0))&gt;ROUND(G268*1.25,0),NOT(A269=入力!$B$15+1)),"・上限適用",""))</f>
        <v/>
      </c>
      <c r="Q269" s="35" t="str">
        <f>IF(AND(T268="",A269&lt;=S268),入力!$B$13,"")</f>
        <v>有効</v>
      </c>
      <c r="R269" s="32" t="str">
        <f>IF(AND(AND(T268="",A269&lt;=S268),OR(AND(入力!$B$13="有効",A269&gt;1,MOD(A269-1,60)=0),AND(A269=入力!$B$11,A269&gt;1)),入力!$B$14="有効"),ROUND(G268*1.25,0),"")</f>
        <v/>
      </c>
      <c r="S269" s="36">
        <f>IF(A269=入力!$B$15,A269+入力!$B$19,S268)</f>
        <v>360</v>
      </c>
      <c r="T269" s="35" t="str">
        <f t="shared" si="79"/>
        <v/>
      </c>
      <c r="U269" s="3">
        <f t="shared" si="64"/>
        <v>0</v>
      </c>
      <c r="V269" s="3">
        <f t="shared" si="65"/>
        <v>0</v>
      </c>
      <c r="W269" s="3">
        <f t="shared" si="66"/>
        <v>0</v>
      </c>
      <c r="X269" s="3">
        <f t="shared" si="67"/>
        <v>0</v>
      </c>
      <c r="Y269" s="3">
        <f>IF(A269&lt;入力!$B$15,ABS(G269-何もしない_月次!G269),0)</f>
        <v>0</v>
      </c>
      <c r="Z269" s="3">
        <f t="shared" si="68"/>
        <v>0</v>
      </c>
      <c r="AA269">
        <f>ROUND(IF(A269=入力!$B$15+1,IF(E269=0,ROUND(C269/入力!$B$19,0),ROUND(-PMT(E269/12,入力!$B$19,C269),0)),IF(OR(AND(入力!$B$13="有効",A269&gt;1,MOD(A269-1,60)=0),AND(A269=入力!$B$11,A269&gt;1)),IF(入力!$B$14="有効",MIN(IF(E269=0,ROUND(C269/MAX(1,S268-A269+1),0),ROUND(-PMT(E269/12,MAX(1,S268-A269+1),C269),0)),ROUND(G268*1.25,0)),IF(E269=0,ROUND(C269/MAX(1,S268-A269+1),0),ROUND(-PMT(E269/12,MAX(1,S268-A269+1),C269),0))),G268)),0)</f>
        <v>116935</v>
      </c>
    </row>
    <row r="270" spans="1:27">
      <c r="A270" s="30">
        <f>265</f>
        <v>265</v>
      </c>
      <c r="B270" s="31">
        <f>EDATE(入力!$B$6,A270-1)</f>
        <v>54271</v>
      </c>
      <c r="C270" s="32">
        <f t="shared" si="69"/>
        <v>10164813</v>
      </c>
      <c r="D270" s="32">
        <f t="shared" si="70"/>
        <v>0</v>
      </c>
      <c r="E270" s="33">
        <f>IF(AND(T269="",A270&lt;=S269),IF(A270&lt;入力!$B$11,入力!$B$10,入力!$B$12),0)</f>
        <v>2.5000000000000001E-2</v>
      </c>
      <c r="F270" s="32">
        <f t="shared" si="71"/>
        <v>21177</v>
      </c>
      <c r="G270" s="32">
        <f>ROUND(IF(NOT(AND(T269="",A270&lt;=S269)),0,IF(A270=入力!$B$15+1,IF(E270=0,ROUND(C270/入力!$B$19,0),ROUND(-PMT(E270/12,入力!$B$19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),0)</f>
        <v>116935</v>
      </c>
      <c r="H270" s="32">
        <f t="shared" si="72"/>
        <v>116935</v>
      </c>
      <c r="I270" s="32">
        <f t="shared" si="73"/>
        <v>21177</v>
      </c>
      <c r="J270" s="32">
        <f t="shared" si="74"/>
        <v>0</v>
      </c>
      <c r="K270" s="32">
        <f t="shared" si="75"/>
        <v>0</v>
      </c>
      <c r="L270" s="32">
        <f t="shared" si="76"/>
        <v>95758</v>
      </c>
      <c r="M270" s="32">
        <f>IF(AND(AND(T269="",A270&lt;=S269),A270=入力!$B$15),ROUND(MIN(入力!$B$16,MAX(0,C270-L270)),0),0)</f>
        <v>0</v>
      </c>
      <c r="N270" s="32">
        <f t="shared" si="77"/>
        <v>10069055</v>
      </c>
      <c r="O270" s="32">
        <f t="shared" si="78"/>
        <v>9712170</v>
      </c>
      <c r="P270" s="34" t="str">
        <f>IF(NOT(AND(T269="",A270&lt;=S269)),"",IF(A270=入力!$B$15+1,"繰上返済後再計算","")&amp;IF(AND(入力!$B$13="有効",A270&gt;1,MOD(A270-1,60)=0),IF(A270=入力!$B$15+1,"・","")&amp;"5年見直し","")&amp;IF(AND(A270=入力!$B$11,A270&gt;1),IF(OR(A270=入力!$B$15+1,AND(入力!$B$13="有効",A270&gt;1,MOD(A270-1,60)=0)),"・","")&amp;"金利変更","")&amp;IF(AND(OR(AND(入力!$B$13="有効",A270&gt;1,MOD(A270-1,60)=0),AND(A270=入力!$B$11,A270&gt;1)),入力!$B$14="有効",IF(E270=0,ROUND(C270/MAX(1,S269-A270+1),0),ROUND(-PMT(E270/12,MAX(1,S269-A270+1),C270),0))&gt;ROUND(G269*1.25,0),NOT(A270=入力!$B$15+1)),"・上限適用",""))</f>
        <v/>
      </c>
      <c r="Q270" s="35" t="str">
        <f>IF(AND(T269="",A270&lt;=S269),入力!$B$13,"")</f>
        <v>有効</v>
      </c>
      <c r="R270" s="32" t="str">
        <f>IF(AND(AND(T269="",A270&lt;=S269),OR(AND(入力!$B$13="有効",A270&gt;1,MOD(A270-1,60)=0),AND(A270=入力!$B$11,A270&gt;1)),入力!$B$14="有効"),ROUND(G269*1.25,0),"")</f>
        <v/>
      </c>
      <c r="S270" s="36">
        <f>IF(A270=入力!$B$15,A270+入力!$B$19,S269)</f>
        <v>360</v>
      </c>
      <c r="T270" s="35" t="str">
        <f t="shared" si="79"/>
        <v/>
      </c>
      <c r="U270" s="3">
        <f t="shared" si="64"/>
        <v>0</v>
      </c>
      <c r="V270" s="3">
        <f t="shared" si="65"/>
        <v>0</v>
      </c>
      <c r="W270" s="3">
        <f t="shared" si="66"/>
        <v>0</v>
      </c>
      <c r="X270" s="3">
        <f t="shared" si="67"/>
        <v>0</v>
      </c>
      <c r="Y270" s="3">
        <f>IF(A270&lt;入力!$B$15,ABS(G270-何もしない_月次!G270),0)</f>
        <v>0</v>
      </c>
      <c r="Z270" s="3">
        <f t="shared" si="68"/>
        <v>0</v>
      </c>
      <c r="AA270">
        <f>ROUND(IF(A270=入力!$B$15+1,IF(E270=0,ROUND(C270/入力!$B$19,0),ROUND(-PMT(E270/12,入力!$B$19,C270),0)),IF(OR(AND(入力!$B$13="有効",A270&gt;1,MOD(A270-1,60)=0),AND(A270=入力!$B$11,A270&gt;1)),IF(入力!$B$14="有効",MIN(IF(E270=0,ROUND(C270/MAX(1,S269-A270+1),0),ROUND(-PMT(E270/12,MAX(1,S269-A270+1),C270),0)),ROUND(G269*1.25,0)),IF(E270=0,ROUND(C270/MAX(1,S269-A270+1),0),ROUND(-PMT(E270/12,MAX(1,S269-A270+1),C270),0))),G269)),0)</f>
        <v>116935</v>
      </c>
    </row>
    <row r="271" spans="1:27">
      <c r="A271" s="30">
        <f>266</f>
        <v>266</v>
      </c>
      <c r="B271" s="31">
        <f>EDATE(入力!$B$6,A271-1)</f>
        <v>54302</v>
      </c>
      <c r="C271" s="32">
        <f t="shared" si="69"/>
        <v>10069055</v>
      </c>
      <c r="D271" s="32">
        <f t="shared" si="70"/>
        <v>0</v>
      </c>
      <c r="E271" s="33">
        <f>IF(AND(T270="",A271&lt;=S270),IF(A271&lt;入力!$B$11,入力!$B$10,入力!$B$12),0)</f>
        <v>2.5000000000000001E-2</v>
      </c>
      <c r="F271" s="32">
        <f t="shared" si="71"/>
        <v>20977</v>
      </c>
      <c r="G271" s="32">
        <f>ROUND(IF(NOT(AND(T270="",A271&lt;=S270)),0,IF(A271=入力!$B$15+1,IF(E271=0,ROUND(C271/入力!$B$19,0),ROUND(-PMT(E271/12,入力!$B$19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),0)</f>
        <v>116935</v>
      </c>
      <c r="H271" s="32">
        <f t="shared" si="72"/>
        <v>116935</v>
      </c>
      <c r="I271" s="32">
        <f t="shared" si="73"/>
        <v>20977</v>
      </c>
      <c r="J271" s="32">
        <f t="shared" si="74"/>
        <v>0</v>
      </c>
      <c r="K271" s="32">
        <f t="shared" si="75"/>
        <v>0</v>
      </c>
      <c r="L271" s="32">
        <f t="shared" si="76"/>
        <v>95958</v>
      </c>
      <c r="M271" s="32">
        <f>IF(AND(AND(T270="",A271&lt;=S270),A271=入力!$B$15),ROUND(MIN(入力!$B$16,MAX(0,C271-L271)),0),0)</f>
        <v>0</v>
      </c>
      <c r="N271" s="32">
        <f t="shared" si="77"/>
        <v>9973097</v>
      </c>
      <c r="O271" s="32">
        <f t="shared" si="78"/>
        <v>9733147</v>
      </c>
      <c r="P271" s="34" t="str">
        <f>IF(NOT(AND(T270="",A271&lt;=S270)),"",IF(A271=入力!$B$15+1,"繰上返済後再計算","")&amp;IF(AND(入力!$B$13="有効",A271&gt;1,MOD(A271-1,60)=0),IF(A271=入力!$B$15+1,"・","")&amp;"5年見直し","")&amp;IF(AND(A271=入力!$B$11,A271&gt;1),IF(OR(A271=入力!$B$15+1,AND(入力!$B$13="有効",A271&gt;1,MOD(A271-1,60)=0)),"・","")&amp;"金利変更","")&amp;IF(AND(OR(AND(入力!$B$13="有効",A271&gt;1,MOD(A271-1,60)=0),AND(A271=入力!$B$11,A271&gt;1)),入力!$B$14="有効",IF(E271=0,ROUND(C271/MAX(1,S270-A271+1),0),ROUND(-PMT(E271/12,MAX(1,S270-A271+1),C271),0))&gt;ROUND(G270*1.25,0),NOT(A271=入力!$B$15+1)),"・上限適用",""))</f>
        <v/>
      </c>
      <c r="Q271" s="35" t="str">
        <f>IF(AND(T270="",A271&lt;=S270),入力!$B$13,"")</f>
        <v>有効</v>
      </c>
      <c r="R271" s="32" t="str">
        <f>IF(AND(AND(T270="",A271&lt;=S270),OR(AND(入力!$B$13="有効",A271&gt;1,MOD(A271-1,60)=0),AND(A271=入力!$B$11,A271&gt;1)),入力!$B$14="有効"),ROUND(G270*1.25,0),"")</f>
        <v/>
      </c>
      <c r="S271" s="36">
        <f>IF(A271=入力!$B$15,A271+入力!$B$19,S270)</f>
        <v>360</v>
      </c>
      <c r="T271" s="35" t="str">
        <f t="shared" si="79"/>
        <v/>
      </c>
      <c r="U271" s="3">
        <f t="shared" si="64"/>
        <v>0</v>
      </c>
      <c r="V271" s="3">
        <f t="shared" si="65"/>
        <v>0</v>
      </c>
      <c r="W271" s="3">
        <f t="shared" si="66"/>
        <v>0</v>
      </c>
      <c r="X271" s="3">
        <f t="shared" si="67"/>
        <v>0</v>
      </c>
      <c r="Y271" s="3">
        <f>IF(A271&lt;入力!$B$15,ABS(G271-何もしない_月次!G271),0)</f>
        <v>0</v>
      </c>
      <c r="Z271" s="3">
        <f t="shared" si="68"/>
        <v>0</v>
      </c>
      <c r="AA271">
        <f>ROUND(IF(A271=入力!$B$15+1,IF(E271=0,ROUND(C271/入力!$B$19,0),ROUND(-PMT(E271/12,入力!$B$19,C271),0)),IF(OR(AND(入力!$B$13="有効",A271&gt;1,MOD(A271-1,60)=0),AND(A271=入力!$B$11,A271&gt;1)),IF(入力!$B$14="有効",MIN(IF(E271=0,ROUND(C271/MAX(1,S270-A271+1),0),ROUND(-PMT(E271/12,MAX(1,S270-A271+1),C271),0)),ROUND(G270*1.25,0)),IF(E271=0,ROUND(C271/MAX(1,S270-A271+1),0),ROUND(-PMT(E271/12,MAX(1,S270-A271+1),C271),0))),G270)),0)</f>
        <v>116935</v>
      </c>
    </row>
    <row r="272" spans="1:27">
      <c r="A272" s="30">
        <f>267</f>
        <v>267</v>
      </c>
      <c r="B272" s="31">
        <f>EDATE(入力!$B$6,A272-1)</f>
        <v>54332</v>
      </c>
      <c r="C272" s="32">
        <f t="shared" si="69"/>
        <v>9973097</v>
      </c>
      <c r="D272" s="32">
        <f t="shared" si="70"/>
        <v>0</v>
      </c>
      <c r="E272" s="33">
        <f>IF(AND(T271="",A272&lt;=S271),IF(A272&lt;入力!$B$11,入力!$B$10,入力!$B$12),0)</f>
        <v>2.5000000000000001E-2</v>
      </c>
      <c r="F272" s="32">
        <f t="shared" si="71"/>
        <v>20777</v>
      </c>
      <c r="G272" s="32">
        <f>ROUND(IF(NOT(AND(T271="",A272&lt;=S271)),0,IF(A272=入力!$B$15+1,IF(E272=0,ROUND(C272/入力!$B$19,0),ROUND(-PMT(E272/12,入力!$B$19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),0)</f>
        <v>116935</v>
      </c>
      <c r="H272" s="32">
        <f t="shared" si="72"/>
        <v>116935</v>
      </c>
      <c r="I272" s="32">
        <f t="shared" si="73"/>
        <v>20777</v>
      </c>
      <c r="J272" s="32">
        <f t="shared" si="74"/>
        <v>0</v>
      </c>
      <c r="K272" s="32">
        <f t="shared" si="75"/>
        <v>0</v>
      </c>
      <c r="L272" s="32">
        <f t="shared" si="76"/>
        <v>96158</v>
      </c>
      <c r="M272" s="32">
        <f>IF(AND(AND(T271="",A272&lt;=S271),A272=入力!$B$15),ROUND(MIN(入力!$B$16,MAX(0,C272-L272)),0),0)</f>
        <v>0</v>
      </c>
      <c r="N272" s="32">
        <f t="shared" si="77"/>
        <v>9876939</v>
      </c>
      <c r="O272" s="32">
        <f t="shared" si="78"/>
        <v>9753924</v>
      </c>
      <c r="P272" s="34" t="str">
        <f>IF(NOT(AND(T271="",A272&lt;=S271)),"",IF(A272=入力!$B$15+1,"繰上返済後再計算","")&amp;IF(AND(入力!$B$13="有効",A272&gt;1,MOD(A272-1,60)=0),IF(A272=入力!$B$15+1,"・","")&amp;"5年見直し","")&amp;IF(AND(A272=入力!$B$11,A272&gt;1),IF(OR(A272=入力!$B$15+1,AND(入力!$B$13="有効",A272&gt;1,MOD(A272-1,60)=0)),"・","")&amp;"金利変更","")&amp;IF(AND(OR(AND(入力!$B$13="有効",A272&gt;1,MOD(A272-1,60)=0),AND(A272=入力!$B$11,A272&gt;1)),入力!$B$14="有効",IF(E272=0,ROUND(C272/MAX(1,S271-A272+1),0),ROUND(-PMT(E272/12,MAX(1,S271-A272+1),C272),0))&gt;ROUND(G271*1.25,0),NOT(A272=入力!$B$15+1)),"・上限適用",""))</f>
        <v/>
      </c>
      <c r="Q272" s="35" t="str">
        <f>IF(AND(T271="",A272&lt;=S271),入力!$B$13,"")</f>
        <v>有効</v>
      </c>
      <c r="R272" s="32" t="str">
        <f>IF(AND(AND(T271="",A272&lt;=S271),OR(AND(入力!$B$13="有効",A272&gt;1,MOD(A272-1,60)=0),AND(A272=入力!$B$11,A272&gt;1)),入力!$B$14="有効"),ROUND(G271*1.25,0),"")</f>
        <v/>
      </c>
      <c r="S272" s="36">
        <f>IF(A272=入力!$B$15,A272+入力!$B$19,S271)</f>
        <v>360</v>
      </c>
      <c r="T272" s="35" t="str">
        <f t="shared" si="79"/>
        <v/>
      </c>
      <c r="U272" s="3">
        <f t="shared" si="64"/>
        <v>0</v>
      </c>
      <c r="V272" s="3">
        <f t="shared" si="65"/>
        <v>0</v>
      </c>
      <c r="W272" s="3">
        <f t="shared" si="66"/>
        <v>0</v>
      </c>
      <c r="X272" s="3">
        <f t="shared" si="67"/>
        <v>0</v>
      </c>
      <c r="Y272" s="3">
        <f>IF(A272&lt;入力!$B$15,ABS(G272-何もしない_月次!G272),0)</f>
        <v>0</v>
      </c>
      <c r="Z272" s="3">
        <f t="shared" si="68"/>
        <v>0</v>
      </c>
      <c r="AA272">
        <f>ROUND(IF(A272=入力!$B$15+1,IF(E272=0,ROUND(C272/入力!$B$19,0),ROUND(-PMT(E272/12,入力!$B$19,C272),0)),IF(OR(AND(入力!$B$13="有効",A272&gt;1,MOD(A272-1,60)=0),AND(A272=入力!$B$11,A272&gt;1)),IF(入力!$B$14="有効",MIN(IF(E272=0,ROUND(C272/MAX(1,S271-A272+1),0),ROUND(-PMT(E272/12,MAX(1,S271-A272+1),C272),0)),ROUND(G271*1.25,0)),IF(E272=0,ROUND(C272/MAX(1,S271-A272+1),0),ROUND(-PMT(E272/12,MAX(1,S271-A272+1),C272),0))),G271)),0)</f>
        <v>116935</v>
      </c>
    </row>
    <row r="273" spans="1:27">
      <c r="A273" s="30">
        <f>268</f>
        <v>268</v>
      </c>
      <c r="B273" s="31">
        <f>EDATE(入力!$B$6,A273-1)</f>
        <v>54363</v>
      </c>
      <c r="C273" s="32">
        <f t="shared" si="69"/>
        <v>9876939</v>
      </c>
      <c r="D273" s="32">
        <f t="shared" si="70"/>
        <v>0</v>
      </c>
      <c r="E273" s="33">
        <f>IF(AND(T272="",A273&lt;=S272),IF(A273&lt;入力!$B$11,入力!$B$10,入力!$B$12),0)</f>
        <v>2.5000000000000001E-2</v>
      </c>
      <c r="F273" s="32">
        <f t="shared" si="71"/>
        <v>20577</v>
      </c>
      <c r="G273" s="32">
        <f>ROUND(IF(NOT(AND(T272="",A273&lt;=S272)),0,IF(A273=入力!$B$15+1,IF(E273=0,ROUND(C273/入力!$B$19,0),ROUND(-PMT(E273/12,入力!$B$19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),0)</f>
        <v>116935</v>
      </c>
      <c r="H273" s="32">
        <f t="shared" si="72"/>
        <v>116935</v>
      </c>
      <c r="I273" s="32">
        <f t="shared" si="73"/>
        <v>20577</v>
      </c>
      <c r="J273" s="32">
        <f t="shared" si="74"/>
        <v>0</v>
      </c>
      <c r="K273" s="32">
        <f t="shared" si="75"/>
        <v>0</v>
      </c>
      <c r="L273" s="32">
        <f t="shared" si="76"/>
        <v>96358</v>
      </c>
      <c r="M273" s="32">
        <f>IF(AND(AND(T272="",A273&lt;=S272),A273=入力!$B$15),ROUND(MIN(入力!$B$16,MAX(0,C273-L273)),0),0)</f>
        <v>0</v>
      </c>
      <c r="N273" s="32">
        <f t="shared" si="77"/>
        <v>9780581</v>
      </c>
      <c r="O273" s="32">
        <f t="shared" si="78"/>
        <v>9774501</v>
      </c>
      <c r="P273" s="34" t="str">
        <f>IF(NOT(AND(T272="",A273&lt;=S272)),"",IF(A273=入力!$B$15+1,"繰上返済後再計算","")&amp;IF(AND(入力!$B$13="有効",A273&gt;1,MOD(A273-1,60)=0),IF(A273=入力!$B$15+1,"・","")&amp;"5年見直し","")&amp;IF(AND(A273=入力!$B$11,A273&gt;1),IF(OR(A273=入力!$B$15+1,AND(入力!$B$13="有効",A273&gt;1,MOD(A273-1,60)=0)),"・","")&amp;"金利変更","")&amp;IF(AND(OR(AND(入力!$B$13="有効",A273&gt;1,MOD(A273-1,60)=0),AND(A273=入力!$B$11,A273&gt;1)),入力!$B$14="有効",IF(E273=0,ROUND(C273/MAX(1,S272-A273+1),0),ROUND(-PMT(E273/12,MAX(1,S272-A273+1),C273),0))&gt;ROUND(G272*1.25,0),NOT(A273=入力!$B$15+1)),"・上限適用",""))</f>
        <v/>
      </c>
      <c r="Q273" s="35" t="str">
        <f>IF(AND(T272="",A273&lt;=S272),入力!$B$13,"")</f>
        <v>有効</v>
      </c>
      <c r="R273" s="32" t="str">
        <f>IF(AND(AND(T272="",A273&lt;=S272),OR(AND(入力!$B$13="有効",A273&gt;1,MOD(A273-1,60)=0),AND(A273=入力!$B$11,A273&gt;1)),入力!$B$14="有効"),ROUND(G272*1.25,0),"")</f>
        <v/>
      </c>
      <c r="S273" s="36">
        <f>IF(A273=入力!$B$15,A273+入力!$B$19,S272)</f>
        <v>360</v>
      </c>
      <c r="T273" s="35" t="str">
        <f t="shared" si="79"/>
        <v/>
      </c>
      <c r="U273" s="3">
        <f t="shared" si="64"/>
        <v>0</v>
      </c>
      <c r="V273" s="3">
        <f t="shared" si="65"/>
        <v>0</v>
      </c>
      <c r="W273" s="3">
        <f t="shared" si="66"/>
        <v>0</v>
      </c>
      <c r="X273" s="3">
        <f t="shared" si="67"/>
        <v>0</v>
      </c>
      <c r="Y273" s="3">
        <f>IF(A273&lt;入力!$B$15,ABS(G273-何もしない_月次!G273),0)</f>
        <v>0</v>
      </c>
      <c r="Z273" s="3">
        <f t="shared" si="68"/>
        <v>0</v>
      </c>
      <c r="AA273">
        <f>ROUND(IF(A273=入力!$B$15+1,IF(E273=0,ROUND(C273/入力!$B$19,0),ROUND(-PMT(E273/12,入力!$B$19,C273),0)),IF(OR(AND(入力!$B$13="有効",A273&gt;1,MOD(A273-1,60)=0),AND(A273=入力!$B$11,A273&gt;1)),IF(入力!$B$14="有効",MIN(IF(E273=0,ROUND(C273/MAX(1,S272-A273+1),0),ROUND(-PMT(E273/12,MAX(1,S272-A273+1),C273),0)),ROUND(G272*1.25,0)),IF(E273=0,ROUND(C273/MAX(1,S272-A273+1),0),ROUND(-PMT(E273/12,MAX(1,S272-A273+1),C273),0))),G272)),0)</f>
        <v>116935</v>
      </c>
    </row>
    <row r="274" spans="1:27">
      <c r="A274" s="30">
        <f>269</f>
        <v>269</v>
      </c>
      <c r="B274" s="31">
        <f>EDATE(入力!$B$6,A274-1)</f>
        <v>54393</v>
      </c>
      <c r="C274" s="32">
        <f t="shared" si="69"/>
        <v>9780581</v>
      </c>
      <c r="D274" s="32">
        <f t="shared" si="70"/>
        <v>0</v>
      </c>
      <c r="E274" s="33">
        <f>IF(AND(T273="",A274&lt;=S273),IF(A274&lt;入力!$B$11,入力!$B$10,入力!$B$12),0)</f>
        <v>2.5000000000000001E-2</v>
      </c>
      <c r="F274" s="32">
        <f t="shared" si="71"/>
        <v>20376</v>
      </c>
      <c r="G274" s="32">
        <f>ROUND(IF(NOT(AND(T273="",A274&lt;=S273)),0,IF(A274=入力!$B$15+1,IF(E274=0,ROUND(C274/入力!$B$19,0),ROUND(-PMT(E274/12,入力!$B$19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),0)</f>
        <v>116935</v>
      </c>
      <c r="H274" s="32">
        <f t="shared" si="72"/>
        <v>116935</v>
      </c>
      <c r="I274" s="32">
        <f t="shared" si="73"/>
        <v>20376</v>
      </c>
      <c r="J274" s="32">
        <f t="shared" si="74"/>
        <v>0</v>
      </c>
      <c r="K274" s="32">
        <f t="shared" si="75"/>
        <v>0</v>
      </c>
      <c r="L274" s="32">
        <f t="shared" si="76"/>
        <v>96559</v>
      </c>
      <c r="M274" s="32">
        <f>IF(AND(AND(T273="",A274&lt;=S273),A274=入力!$B$15),ROUND(MIN(入力!$B$16,MAX(0,C274-L274)),0),0)</f>
        <v>0</v>
      </c>
      <c r="N274" s="32">
        <f t="shared" si="77"/>
        <v>9684022</v>
      </c>
      <c r="O274" s="32">
        <f t="shared" si="78"/>
        <v>9794877</v>
      </c>
      <c r="P274" s="34" t="str">
        <f>IF(NOT(AND(T273="",A274&lt;=S273)),"",IF(A274=入力!$B$15+1,"繰上返済後再計算","")&amp;IF(AND(入力!$B$13="有効",A274&gt;1,MOD(A274-1,60)=0),IF(A274=入力!$B$15+1,"・","")&amp;"5年見直し","")&amp;IF(AND(A274=入力!$B$11,A274&gt;1),IF(OR(A274=入力!$B$15+1,AND(入力!$B$13="有効",A274&gt;1,MOD(A274-1,60)=0)),"・","")&amp;"金利変更","")&amp;IF(AND(OR(AND(入力!$B$13="有効",A274&gt;1,MOD(A274-1,60)=0),AND(A274=入力!$B$11,A274&gt;1)),入力!$B$14="有効",IF(E274=0,ROUND(C274/MAX(1,S273-A274+1),0),ROUND(-PMT(E274/12,MAX(1,S273-A274+1),C274),0))&gt;ROUND(G273*1.25,0),NOT(A274=入力!$B$15+1)),"・上限適用",""))</f>
        <v/>
      </c>
      <c r="Q274" s="35" t="str">
        <f>IF(AND(T273="",A274&lt;=S273),入力!$B$13,"")</f>
        <v>有効</v>
      </c>
      <c r="R274" s="32" t="str">
        <f>IF(AND(AND(T273="",A274&lt;=S273),OR(AND(入力!$B$13="有効",A274&gt;1,MOD(A274-1,60)=0),AND(A274=入力!$B$11,A274&gt;1)),入力!$B$14="有効"),ROUND(G273*1.25,0),"")</f>
        <v/>
      </c>
      <c r="S274" s="36">
        <f>IF(A274=入力!$B$15,A274+入力!$B$19,S273)</f>
        <v>360</v>
      </c>
      <c r="T274" s="35" t="str">
        <f t="shared" si="79"/>
        <v/>
      </c>
      <c r="U274" s="3">
        <f t="shared" si="64"/>
        <v>0</v>
      </c>
      <c r="V274" s="3">
        <f t="shared" si="65"/>
        <v>0</v>
      </c>
      <c r="W274" s="3">
        <f t="shared" si="66"/>
        <v>0</v>
      </c>
      <c r="X274" s="3">
        <f t="shared" si="67"/>
        <v>0</v>
      </c>
      <c r="Y274" s="3">
        <f>IF(A274&lt;入力!$B$15,ABS(G274-何もしない_月次!G274),0)</f>
        <v>0</v>
      </c>
      <c r="Z274" s="3">
        <f t="shared" si="68"/>
        <v>0</v>
      </c>
      <c r="AA274">
        <f>ROUND(IF(A274=入力!$B$15+1,IF(E274=0,ROUND(C274/入力!$B$19,0),ROUND(-PMT(E274/12,入力!$B$19,C274),0)),IF(OR(AND(入力!$B$13="有効",A274&gt;1,MOD(A274-1,60)=0),AND(A274=入力!$B$11,A274&gt;1)),IF(入力!$B$14="有効",MIN(IF(E274=0,ROUND(C274/MAX(1,S273-A274+1),0),ROUND(-PMT(E274/12,MAX(1,S273-A274+1),C274),0)),ROUND(G273*1.25,0)),IF(E274=0,ROUND(C274/MAX(1,S273-A274+1),0),ROUND(-PMT(E274/12,MAX(1,S273-A274+1),C274),0))),G273)),0)</f>
        <v>116935</v>
      </c>
    </row>
    <row r="275" spans="1:27">
      <c r="A275" s="30">
        <f>270</f>
        <v>270</v>
      </c>
      <c r="B275" s="31">
        <f>EDATE(入力!$B$6,A275-1)</f>
        <v>54424</v>
      </c>
      <c r="C275" s="32">
        <f t="shared" si="69"/>
        <v>9684022</v>
      </c>
      <c r="D275" s="32">
        <f t="shared" si="70"/>
        <v>0</v>
      </c>
      <c r="E275" s="33">
        <f>IF(AND(T274="",A275&lt;=S274),IF(A275&lt;入力!$B$11,入力!$B$10,入力!$B$12),0)</f>
        <v>2.5000000000000001E-2</v>
      </c>
      <c r="F275" s="32">
        <f t="shared" si="71"/>
        <v>20175</v>
      </c>
      <c r="G275" s="32">
        <f>ROUND(IF(NOT(AND(T274="",A275&lt;=S274)),0,IF(A275=入力!$B$15+1,IF(E275=0,ROUND(C275/入力!$B$19,0),ROUND(-PMT(E275/12,入力!$B$19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),0)</f>
        <v>116935</v>
      </c>
      <c r="H275" s="32">
        <f t="shared" si="72"/>
        <v>116935</v>
      </c>
      <c r="I275" s="32">
        <f t="shared" si="73"/>
        <v>20175</v>
      </c>
      <c r="J275" s="32">
        <f t="shared" si="74"/>
        <v>0</v>
      </c>
      <c r="K275" s="32">
        <f t="shared" si="75"/>
        <v>0</v>
      </c>
      <c r="L275" s="32">
        <f t="shared" si="76"/>
        <v>96760</v>
      </c>
      <c r="M275" s="32">
        <f>IF(AND(AND(T274="",A275&lt;=S274),A275=入力!$B$15),ROUND(MIN(入力!$B$16,MAX(0,C275-L275)),0),0)</f>
        <v>0</v>
      </c>
      <c r="N275" s="32">
        <f t="shared" si="77"/>
        <v>9587262</v>
      </c>
      <c r="O275" s="32">
        <f t="shared" si="78"/>
        <v>9815052</v>
      </c>
      <c r="P275" s="34" t="str">
        <f>IF(NOT(AND(T274="",A275&lt;=S274)),"",IF(A275=入力!$B$15+1,"繰上返済後再計算","")&amp;IF(AND(入力!$B$13="有効",A275&gt;1,MOD(A275-1,60)=0),IF(A275=入力!$B$15+1,"・","")&amp;"5年見直し","")&amp;IF(AND(A275=入力!$B$11,A275&gt;1),IF(OR(A275=入力!$B$15+1,AND(入力!$B$13="有効",A275&gt;1,MOD(A275-1,60)=0)),"・","")&amp;"金利変更","")&amp;IF(AND(OR(AND(入力!$B$13="有効",A275&gt;1,MOD(A275-1,60)=0),AND(A275=入力!$B$11,A275&gt;1)),入力!$B$14="有効",IF(E275=0,ROUND(C275/MAX(1,S274-A275+1),0),ROUND(-PMT(E275/12,MAX(1,S274-A275+1),C275),0))&gt;ROUND(G274*1.25,0),NOT(A275=入力!$B$15+1)),"・上限適用",""))</f>
        <v/>
      </c>
      <c r="Q275" s="35" t="str">
        <f>IF(AND(T274="",A275&lt;=S274),入力!$B$13,"")</f>
        <v>有効</v>
      </c>
      <c r="R275" s="32" t="str">
        <f>IF(AND(AND(T274="",A275&lt;=S274),OR(AND(入力!$B$13="有効",A275&gt;1,MOD(A275-1,60)=0),AND(A275=入力!$B$11,A275&gt;1)),入力!$B$14="有効"),ROUND(G274*1.25,0),"")</f>
        <v/>
      </c>
      <c r="S275" s="36">
        <f>IF(A275=入力!$B$15,A275+入力!$B$19,S274)</f>
        <v>360</v>
      </c>
      <c r="T275" s="35" t="str">
        <f t="shared" si="79"/>
        <v/>
      </c>
      <c r="U275" s="3">
        <f t="shared" si="64"/>
        <v>0</v>
      </c>
      <c r="V275" s="3">
        <f t="shared" si="65"/>
        <v>0</v>
      </c>
      <c r="W275" s="3">
        <f t="shared" si="66"/>
        <v>0</v>
      </c>
      <c r="X275" s="3">
        <f t="shared" si="67"/>
        <v>0</v>
      </c>
      <c r="Y275" s="3">
        <f>IF(A275&lt;入力!$B$15,ABS(G275-何もしない_月次!G275),0)</f>
        <v>0</v>
      </c>
      <c r="Z275" s="3">
        <f t="shared" si="68"/>
        <v>0</v>
      </c>
      <c r="AA275">
        <f>ROUND(IF(A275=入力!$B$15+1,IF(E275=0,ROUND(C275/入力!$B$19,0),ROUND(-PMT(E275/12,入力!$B$19,C275),0)),IF(OR(AND(入力!$B$13="有効",A275&gt;1,MOD(A275-1,60)=0),AND(A275=入力!$B$11,A275&gt;1)),IF(入力!$B$14="有効",MIN(IF(E275=0,ROUND(C275/MAX(1,S274-A275+1),0),ROUND(-PMT(E275/12,MAX(1,S274-A275+1),C275),0)),ROUND(G274*1.25,0)),IF(E275=0,ROUND(C275/MAX(1,S274-A275+1),0),ROUND(-PMT(E275/12,MAX(1,S274-A275+1),C275),0))),G274)),0)</f>
        <v>116935</v>
      </c>
    </row>
    <row r="276" spans="1:27">
      <c r="A276" s="30">
        <f>271</f>
        <v>271</v>
      </c>
      <c r="B276" s="31">
        <f>EDATE(入力!$B$6,A276-1)</f>
        <v>54455</v>
      </c>
      <c r="C276" s="32">
        <f t="shared" si="69"/>
        <v>9587262</v>
      </c>
      <c r="D276" s="32">
        <f t="shared" si="70"/>
        <v>0</v>
      </c>
      <c r="E276" s="33">
        <f>IF(AND(T275="",A276&lt;=S275),IF(A276&lt;入力!$B$11,入力!$B$10,入力!$B$12),0)</f>
        <v>2.5000000000000001E-2</v>
      </c>
      <c r="F276" s="32">
        <f t="shared" si="71"/>
        <v>19973</v>
      </c>
      <c r="G276" s="32">
        <f>ROUND(IF(NOT(AND(T275="",A276&lt;=S275)),0,IF(A276=入力!$B$15+1,IF(E276=0,ROUND(C276/入力!$B$19,0),ROUND(-PMT(E276/12,入力!$B$19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),0)</f>
        <v>116935</v>
      </c>
      <c r="H276" s="32">
        <f t="shared" si="72"/>
        <v>116935</v>
      </c>
      <c r="I276" s="32">
        <f t="shared" si="73"/>
        <v>19973</v>
      </c>
      <c r="J276" s="32">
        <f t="shared" si="74"/>
        <v>0</v>
      </c>
      <c r="K276" s="32">
        <f t="shared" si="75"/>
        <v>0</v>
      </c>
      <c r="L276" s="32">
        <f t="shared" si="76"/>
        <v>96962</v>
      </c>
      <c r="M276" s="32">
        <f>IF(AND(AND(T275="",A276&lt;=S275),A276=入力!$B$15),ROUND(MIN(入力!$B$16,MAX(0,C276-L276)),0),0)</f>
        <v>0</v>
      </c>
      <c r="N276" s="32">
        <f t="shared" si="77"/>
        <v>9490300</v>
      </c>
      <c r="O276" s="32">
        <f t="shared" si="78"/>
        <v>9835025</v>
      </c>
      <c r="P276" s="34" t="str">
        <f>IF(NOT(AND(T275="",A276&lt;=S275)),"",IF(A276=入力!$B$15+1,"繰上返済後再計算","")&amp;IF(AND(入力!$B$13="有効",A276&gt;1,MOD(A276-1,60)=0),IF(A276=入力!$B$15+1,"・","")&amp;"5年見直し","")&amp;IF(AND(A276=入力!$B$11,A276&gt;1),IF(OR(A276=入力!$B$15+1,AND(入力!$B$13="有効",A276&gt;1,MOD(A276-1,60)=0)),"・","")&amp;"金利変更","")&amp;IF(AND(OR(AND(入力!$B$13="有効",A276&gt;1,MOD(A276-1,60)=0),AND(A276=入力!$B$11,A276&gt;1)),入力!$B$14="有効",IF(E276=0,ROUND(C276/MAX(1,S275-A276+1),0),ROUND(-PMT(E276/12,MAX(1,S275-A276+1),C276),0))&gt;ROUND(G275*1.25,0),NOT(A276=入力!$B$15+1)),"・上限適用",""))</f>
        <v/>
      </c>
      <c r="Q276" s="35" t="str">
        <f>IF(AND(T275="",A276&lt;=S275),入力!$B$13,"")</f>
        <v>有効</v>
      </c>
      <c r="R276" s="32" t="str">
        <f>IF(AND(AND(T275="",A276&lt;=S275),OR(AND(入力!$B$13="有効",A276&gt;1,MOD(A276-1,60)=0),AND(A276=入力!$B$11,A276&gt;1)),入力!$B$14="有効"),ROUND(G275*1.25,0),"")</f>
        <v/>
      </c>
      <c r="S276" s="36">
        <f>IF(A276=入力!$B$15,A276+入力!$B$19,S275)</f>
        <v>360</v>
      </c>
      <c r="T276" s="35" t="str">
        <f t="shared" si="79"/>
        <v/>
      </c>
      <c r="U276" s="3">
        <f t="shared" si="64"/>
        <v>0</v>
      </c>
      <c r="V276" s="3">
        <f t="shared" si="65"/>
        <v>0</v>
      </c>
      <c r="W276" s="3">
        <f t="shared" si="66"/>
        <v>0</v>
      </c>
      <c r="X276" s="3">
        <f t="shared" si="67"/>
        <v>0</v>
      </c>
      <c r="Y276" s="3">
        <f>IF(A276&lt;入力!$B$15,ABS(G276-何もしない_月次!G276),0)</f>
        <v>0</v>
      </c>
      <c r="Z276" s="3">
        <f t="shared" si="68"/>
        <v>0</v>
      </c>
      <c r="AA276">
        <f>ROUND(IF(A276=入力!$B$15+1,IF(E276=0,ROUND(C276/入力!$B$19,0),ROUND(-PMT(E276/12,入力!$B$19,C276),0)),IF(OR(AND(入力!$B$13="有効",A276&gt;1,MOD(A276-1,60)=0),AND(A276=入力!$B$11,A276&gt;1)),IF(入力!$B$14="有効",MIN(IF(E276=0,ROUND(C276/MAX(1,S275-A276+1),0),ROUND(-PMT(E276/12,MAX(1,S275-A276+1),C276),0)),ROUND(G275*1.25,0)),IF(E276=0,ROUND(C276/MAX(1,S275-A276+1),0),ROUND(-PMT(E276/12,MAX(1,S275-A276+1),C276),0))),G275)),0)</f>
        <v>116935</v>
      </c>
    </row>
    <row r="277" spans="1:27">
      <c r="A277" s="30">
        <f>272</f>
        <v>272</v>
      </c>
      <c r="B277" s="31">
        <f>EDATE(入力!$B$6,A277-1)</f>
        <v>54483</v>
      </c>
      <c r="C277" s="32">
        <f t="shared" si="69"/>
        <v>9490300</v>
      </c>
      <c r="D277" s="32">
        <f t="shared" si="70"/>
        <v>0</v>
      </c>
      <c r="E277" s="33">
        <f>IF(AND(T276="",A277&lt;=S276),IF(A277&lt;入力!$B$11,入力!$B$10,入力!$B$12),0)</f>
        <v>2.5000000000000001E-2</v>
      </c>
      <c r="F277" s="32">
        <f t="shared" si="71"/>
        <v>19771</v>
      </c>
      <c r="G277" s="32">
        <f>ROUND(IF(NOT(AND(T276="",A277&lt;=S276)),0,IF(A277=入力!$B$15+1,IF(E277=0,ROUND(C277/入力!$B$19,0),ROUND(-PMT(E277/12,入力!$B$19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),0)</f>
        <v>116935</v>
      </c>
      <c r="H277" s="32">
        <f t="shared" si="72"/>
        <v>116935</v>
      </c>
      <c r="I277" s="32">
        <f t="shared" si="73"/>
        <v>19771</v>
      </c>
      <c r="J277" s="32">
        <f t="shared" si="74"/>
        <v>0</v>
      </c>
      <c r="K277" s="32">
        <f t="shared" si="75"/>
        <v>0</v>
      </c>
      <c r="L277" s="32">
        <f t="shared" si="76"/>
        <v>97164</v>
      </c>
      <c r="M277" s="32">
        <f>IF(AND(AND(T276="",A277&lt;=S276),A277=入力!$B$15),ROUND(MIN(入力!$B$16,MAX(0,C277-L277)),0),0)</f>
        <v>0</v>
      </c>
      <c r="N277" s="32">
        <f t="shared" si="77"/>
        <v>9393136</v>
      </c>
      <c r="O277" s="32">
        <f t="shared" si="78"/>
        <v>9854796</v>
      </c>
      <c r="P277" s="34" t="str">
        <f>IF(NOT(AND(T276="",A277&lt;=S276)),"",IF(A277=入力!$B$15+1,"繰上返済後再計算","")&amp;IF(AND(入力!$B$13="有効",A277&gt;1,MOD(A277-1,60)=0),IF(A277=入力!$B$15+1,"・","")&amp;"5年見直し","")&amp;IF(AND(A277=入力!$B$11,A277&gt;1),IF(OR(A277=入力!$B$15+1,AND(入力!$B$13="有効",A277&gt;1,MOD(A277-1,60)=0)),"・","")&amp;"金利変更","")&amp;IF(AND(OR(AND(入力!$B$13="有効",A277&gt;1,MOD(A277-1,60)=0),AND(A277=入力!$B$11,A277&gt;1)),入力!$B$14="有効",IF(E277=0,ROUND(C277/MAX(1,S276-A277+1),0),ROUND(-PMT(E277/12,MAX(1,S276-A277+1),C277),0))&gt;ROUND(G276*1.25,0),NOT(A277=入力!$B$15+1)),"・上限適用",""))</f>
        <v/>
      </c>
      <c r="Q277" s="35" t="str">
        <f>IF(AND(T276="",A277&lt;=S276),入力!$B$13,"")</f>
        <v>有効</v>
      </c>
      <c r="R277" s="32" t="str">
        <f>IF(AND(AND(T276="",A277&lt;=S276),OR(AND(入力!$B$13="有効",A277&gt;1,MOD(A277-1,60)=0),AND(A277=入力!$B$11,A277&gt;1)),入力!$B$14="有効"),ROUND(G276*1.25,0),"")</f>
        <v/>
      </c>
      <c r="S277" s="36">
        <f>IF(A277=入力!$B$15,A277+入力!$B$19,S276)</f>
        <v>360</v>
      </c>
      <c r="T277" s="35" t="str">
        <f t="shared" si="79"/>
        <v/>
      </c>
      <c r="U277" s="3">
        <f t="shared" si="64"/>
        <v>0</v>
      </c>
      <c r="V277" s="3">
        <f t="shared" si="65"/>
        <v>0</v>
      </c>
      <c r="W277" s="3">
        <f t="shared" si="66"/>
        <v>0</v>
      </c>
      <c r="X277" s="3">
        <f t="shared" si="67"/>
        <v>0</v>
      </c>
      <c r="Y277" s="3">
        <f>IF(A277&lt;入力!$B$15,ABS(G277-何もしない_月次!G277),0)</f>
        <v>0</v>
      </c>
      <c r="Z277" s="3">
        <f t="shared" si="68"/>
        <v>0</v>
      </c>
      <c r="AA277">
        <f>ROUND(IF(A277=入力!$B$15+1,IF(E277=0,ROUND(C277/入力!$B$19,0),ROUND(-PMT(E277/12,入力!$B$19,C277),0)),IF(OR(AND(入力!$B$13="有効",A277&gt;1,MOD(A277-1,60)=0),AND(A277=入力!$B$11,A277&gt;1)),IF(入力!$B$14="有効",MIN(IF(E277=0,ROUND(C277/MAX(1,S276-A277+1),0),ROUND(-PMT(E277/12,MAX(1,S276-A277+1),C277),0)),ROUND(G276*1.25,0)),IF(E277=0,ROUND(C277/MAX(1,S276-A277+1),0),ROUND(-PMT(E277/12,MAX(1,S276-A277+1),C277),0))),G276)),0)</f>
        <v>116935</v>
      </c>
    </row>
    <row r="278" spans="1:27">
      <c r="A278" s="30">
        <f>273</f>
        <v>273</v>
      </c>
      <c r="B278" s="31">
        <f>EDATE(入力!$B$6,A278-1)</f>
        <v>54514</v>
      </c>
      <c r="C278" s="32">
        <f t="shared" si="69"/>
        <v>9393136</v>
      </c>
      <c r="D278" s="32">
        <f t="shared" si="70"/>
        <v>0</v>
      </c>
      <c r="E278" s="33">
        <f>IF(AND(T277="",A278&lt;=S277),IF(A278&lt;入力!$B$11,入力!$B$10,入力!$B$12),0)</f>
        <v>2.5000000000000001E-2</v>
      </c>
      <c r="F278" s="32">
        <f t="shared" si="71"/>
        <v>19569</v>
      </c>
      <c r="G278" s="32">
        <f>ROUND(IF(NOT(AND(T277="",A278&lt;=S277)),0,IF(A278=入力!$B$15+1,IF(E278=0,ROUND(C278/入力!$B$19,0),ROUND(-PMT(E278/12,入力!$B$19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),0)</f>
        <v>116935</v>
      </c>
      <c r="H278" s="32">
        <f t="shared" si="72"/>
        <v>116935</v>
      </c>
      <c r="I278" s="32">
        <f t="shared" si="73"/>
        <v>19569</v>
      </c>
      <c r="J278" s="32">
        <f t="shared" si="74"/>
        <v>0</v>
      </c>
      <c r="K278" s="32">
        <f t="shared" si="75"/>
        <v>0</v>
      </c>
      <c r="L278" s="32">
        <f t="shared" si="76"/>
        <v>97366</v>
      </c>
      <c r="M278" s="32">
        <f>IF(AND(AND(T277="",A278&lt;=S277),A278=入力!$B$15),ROUND(MIN(入力!$B$16,MAX(0,C278-L278)),0),0)</f>
        <v>0</v>
      </c>
      <c r="N278" s="32">
        <f t="shared" si="77"/>
        <v>9295770</v>
      </c>
      <c r="O278" s="32">
        <f t="shared" si="78"/>
        <v>9874365</v>
      </c>
      <c r="P278" s="34" t="str">
        <f>IF(NOT(AND(T277="",A278&lt;=S277)),"",IF(A278=入力!$B$15+1,"繰上返済後再計算","")&amp;IF(AND(入力!$B$13="有効",A278&gt;1,MOD(A278-1,60)=0),IF(A278=入力!$B$15+1,"・","")&amp;"5年見直し","")&amp;IF(AND(A278=入力!$B$11,A278&gt;1),IF(OR(A278=入力!$B$15+1,AND(入力!$B$13="有効",A278&gt;1,MOD(A278-1,60)=0)),"・","")&amp;"金利変更","")&amp;IF(AND(OR(AND(入力!$B$13="有効",A278&gt;1,MOD(A278-1,60)=0),AND(A278=入力!$B$11,A278&gt;1)),入力!$B$14="有効",IF(E278=0,ROUND(C278/MAX(1,S277-A278+1),0),ROUND(-PMT(E278/12,MAX(1,S277-A278+1),C278),0))&gt;ROUND(G277*1.25,0),NOT(A278=入力!$B$15+1)),"・上限適用",""))</f>
        <v/>
      </c>
      <c r="Q278" s="35" t="str">
        <f>IF(AND(T277="",A278&lt;=S277),入力!$B$13,"")</f>
        <v>有効</v>
      </c>
      <c r="R278" s="32" t="str">
        <f>IF(AND(AND(T277="",A278&lt;=S277),OR(AND(入力!$B$13="有効",A278&gt;1,MOD(A278-1,60)=0),AND(A278=入力!$B$11,A278&gt;1)),入力!$B$14="有効"),ROUND(G277*1.25,0),"")</f>
        <v/>
      </c>
      <c r="S278" s="36">
        <f>IF(A278=入力!$B$15,A278+入力!$B$19,S277)</f>
        <v>360</v>
      </c>
      <c r="T278" s="35" t="str">
        <f t="shared" si="79"/>
        <v/>
      </c>
      <c r="U278" s="3">
        <f t="shared" si="64"/>
        <v>0</v>
      </c>
      <c r="V278" s="3">
        <f t="shared" si="65"/>
        <v>0</v>
      </c>
      <c r="W278" s="3">
        <f t="shared" si="66"/>
        <v>0</v>
      </c>
      <c r="X278" s="3">
        <f t="shared" si="67"/>
        <v>0</v>
      </c>
      <c r="Y278" s="3">
        <f>IF(A278&lt;入力!$B$15,ABS(G278-何もしない_月次!G278),0)</f>
        <v>0</v>
      </c>
      <c r="Z278" s="3">
        <f t="shared" si="68"/>
        <v>0</v>
      </c>
      <c r="AA278">
        <f>ROUND(IF(A278=入力!$B$15+1,IF(E278=0,ROUND(C278/入力!$B$19,0),ROUND(-PMT(E278/12,入力!$B$19,C278),0)),IF(OR(AND(入力!$B$13="有効",A278&gt;1,MOD(A278-1,60)=0),AND(A278=入力!$B$11,A278&gt;1)),IF(入力!$B$14="有効",MIN(IF(E278=0,ROUND(C278/MAX(1,S277-A278+1),0),ROUND(-PMT(E278/12,MAX(1,S277-A278+1),C278),0)),ROUND(G277*1.25,0)),IF(E278=0,ROUND(C278/MAX(1,S277-A278+1),0),ROUND(-PMT(E278/12,MAX(1,S277-A278+1),C278),0))),G277)),0)</f>
        <v>116935</v>
      </c>
    </row>
    <row r="279" spans="1:27">
      <c r="A279" s="30">
        <f>274</f>
        <v>274</v>
      </c>
      <c r="B279" s="31">
        <f>EDATE(入力!$B$6,A279-1)</f>
        <v>54544</v>
      </c>
      <c r="C279" s="32">
        <f t="shared" si="69"/>
        <v>9295770</v>
      </c>
      <c r="D279" s="32">
        <f t="shared" si="70"/>
        <v>0</v>
      </c>
      <c r="E279" s="33">
        <f>IF(AND(T278="",A279&lt;=S278),IF(A279&lt;入力!$B$11,入力!$B$10,入力!$B$12),0)</f>
        <v>2.5000000000000001E-2</v>
      </c>
      <c r="F279" s="32">
        <f t="shared" si="71"/>
        <v>19366</v>
      </c>
      <c r="G279" s="32">
        <f>ROUND(IF(NOT(AND(T278="",A279&lt;=S278)),0,IF(A279=入力!$B$15+1,IF(E279=0,ROUND(C279/入力!$B$19,0),ROUND(-PMT(E279/12,入力!$B$19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),0)</f>
        <v>116935</v>
      </c>
      <c r="H279" s="32">
        <f t="shared" si="72"/>
        <v>116935</v>
      </c>
      <c r="I279" s="32">
        <f t="shared" si="73"/>
        <v>19366</v>
      </c>
      <c r="J279" s="32">
        <f t="shared" si="74"/>
        <v>0</v>
      </c>
      <c r="K279" s="32">
        <f t="shared" si="75"/>
        <v>0</v>
      </c>
      <c r="L279" s="32">
        <f t="shared" si="76"/>
        <v>97569</v>
      </c>
      <c r="M279" s="32">
        <f>IF(AND(AND(T278="",A279&lt;=S278),A279=入力!$B$15),ROUND(MIN(入力!$B$16,MAX(0,C279-L279)),0),0)</f>
        <v>0</v>
      </c>
      <c r="N279" s="32">
        <f t="shared" si="77"/>
        <v>9198201</v>
      </c>
      <c r="O279" s="32">
        <f t="shared" si="78"/>
        <v>9893731</v>
      </c>
      <c r="P279" s="34" t="str">
        <f>IF(NOT(AND(T278="",A279&lt;=S278)),"",IF(A279=入力!$B$15+1,"繰上返済後再計算","")&amp;IF(AND(入力!$B$13="有効",A279&gt;1,MOD(A279-1,60)=0),IF(A279=入力!$B$15+1,"・","")&amp;"5年見直し","")&amp;IF(AND(A279=入力!$B$11,A279&gt;1),IF(OR(A279=入力!$B$15+1,AND(入力!$B$13="有効",A279&gt;1,MOD(A279-1,60)=0)),"・","")&amp;"金利変更","")&amp;IF(AND(OR(AND(入力!$B$13="有効",A279&gt;1,MOD(A279-1,60)=0),AND(A279=入力!$B$11,A279&gt;1)),入力!$B$14="有効",IF(E279=0,ROUND(C279/MAX(1,S278-A279+1),0),ROUND(-PMT(E279/12,MAX(1,S278-A279+1),C279),0))&gt;ROUND(G278*1.25,0),NOT(A279=入力!$B$15+1)),"・上限適用",""))</f>
        <v/>
      </c>
      <c r="Q279" s="35" t="str">
        <f>IF(AND(T278="",A279&lt;=S278),入力!$B$13,"")</f>
        <v>有効</v>
      </c>
      <c r="R279" s="32" t="str">
        <f>IF(AND(AND(T278="",A279&lt;=S278),OR(AND(入力!$B$13="有効",A279&gt;1,MOD(A279-1,60)=0),AND(A279=入力!$B$11,A279&gt;1)),入力!$B$14="有効"),ROUND(G278*1.25,0),"")</f>
        <v/>
      </c>
      <c r="S279" s="36">
        <f>IF(A279=入力!$B$15,A279+入力!$B$19,S278)</f>
        <v>360</v>
      </c>
      <c r="T279" s="35" t="str">
        <f t="shared" si="79"/>
        <v/>
      </c>
      <c r="U279" s="3">
        <f t="shared" si="64"/>
        <v>0</v>
      </c>
      <c r="V279" s="3">
        <f t="shared" si="65"/>
        <v>0</v>
      </c>
      <c r="W279" s="3">
        <f t="shared" si="66"/>
        <v>0</v>
      </c>
      <c r="X279" s="3">
        <f t="shared" si="67"/>
        <v>0</v>
      </c>
      <c r="Y279" s="3">
        <f>IF(A279&lt;入力!$B$15,ABS(G279-何もしない_月次!G279),0)</f>
        <v>0</v>
      </c>
      <c r="Z279" s="3">
        <f t="shared" si="68"/>
        <v>0</v>
      </c>
      <c r="AA279">
        <f>ROUND(IF(A279=入力!$B$15+1,IF(E279=0,ROUND(C279/入力!$B$19,0),ROUND(-PMT(E279/12,入力!$B$19,C279),0)),IF(OR(AND(入力!$B$13="有効",A279&gt;1,MOD(A279-1,60)=0),AND(A279=入力!$B$11,A279&gt;1)),IF(入力!$B$14="有効",MIN(IF(E279=0,ROUND(C279/MAX(1,S278-A279+1),0),ROUND(-PMT(E279/12,MAX(1,S278-A279+1),C279),0)),ROUND(G278*1.25,0)),IF(E279=0,ROUND(C279/MAX(1,S278-A279+1),0),ROUND(-PMT(E279/12,MAX(1,S278-A279+1),C279),0))),G278)),0)</f>
        <v>116935</v>
      </c>
    </row>
    <row r="280" spans="1:27">
      <c r="A280" s="30">
        <f>275</f>
        <v>275</v>
      </c>
      <c r="B280" s="31">
        <f>EDATE(入力!$B$6,A280-1)</f>
        <v>54575</v>
      </c>
      <c r="C280" s="32">
        <f t="shared" si="69"/>
        <v>9198201</v>
      </c>
      <c r="D280" s="32">
        <f t="shared" si="70"/>
        <v>0</v>
      </c>
      <c r="E280" s="33">
        <f>IF(AND(T279="",A280&lt;=S279),IF(A280&lt;入力!$B$11,入力!$B$10,入力!$B$12),0)</f>
        <v>2.5000000000000001E-2</v>
      </c>
      <c r="F280" s="32">
        <f t="shared" si="71"/>
        <v>19163</v>
      </c>
      <c r="G280" s="32">
        <f>ROUND(IF(NOT(AND(T279="",A280&lt;=S279)),0,IF(A280=入力!$B$15+1,IF(E280=0,ROUND(C280/入力!$B$19,0),ROUND(-PMT(E280/12,入力!$B$19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),0)</f>
        <v>116935</v>
      </c>
      <c r="H280" s="32">
        <f t="shared" si="72"/>
        <v>116935</v>
      </c>
      <c r="I280" s="32">
        <f t="shared" si="73"/>
        <v>19163</v>
      </c>
      <c r="J280" s="32">
        <f t="shared" si="74"/>
        <v>0</v>
      </c>
      <c r="K280" s="32">
        <f t="shared" si="75"/>
        <v>0</v>
      </c>
      <c r="L280" s="32">
        <f t="shared" si="76"/>
        <v>97772</v>
      </c>
      <c r="M280" s="32">
        <f>IF(AND(AND(T279="",A280&lt;=S279),A280=入力!$B$15),ROUND(MIN(入力!$B$16,MAX(0,C280-L280)),0),0)</f>
        <v>0</v>
      </c>
      <c r="N280" s="32">
        <f t="shared" si="77"/>
        <v>9100429</v>
      </c>
      <c r="O280" s="32">
        <f t="shared" si="78"/>
        <v>9912894</v>
      </c>
      <c r="P280" s="34" t="str">
        <f>IF(NOT(AND(T279="",A280&lt;=S279)),"",IF(A280=入力!$B$15+1,"繰上返済後再計算","")&amp;IF(AND(入力!$B$13="有効",A280&gt;1,MOD(A280-1,60)=0),IF(A280=入力!$B$15+1,"・","")&amp;"5年見直し","")&amp;IF(AND(A280=入力!$B$11,A280&gt;1),IF(OR(A280=入力!$B$15+1,AND(入力!$B$13="有効",A280&gt;1,MOD(A280-1,60)=0)),"・","")&amp;"金利変更","")&amp;IF(AND(OR(AND(入力!$B$13="有効",A280&gt;1,MOD(A280-1,60)=0),AND(A280=入力!$B$11,A280&gt;1)),入力!$B$14="有効",IF(E280=0,ROUND(C280/MAX(1,S279-A280+1),0),ROUND(-PMT(E280/12,MAX(1,S279-A280+1),C280),0))&gt;ROUND(G279*1.25,0),NOT(A280=入力!$B$15+1)),"・上限適用",""))</f>
        <v/>
      </c>
      <c r="Q280" s="35" t="str">
        <f>IF(AND(T279="",A280&lt;=S279),入力!$B$13,"")</f>
        <v>有効</v>
      </c>
      <c r="R280" s="32" t="str">
        <f>IF(AND(AND(T279="",A280&lt;=S279),OR(AND(入力!$B$13="有効",A280&gt;1,MOD(A280-1,60)=0),AND(A280=入力!$B$11,A280&gt;1)),入力!$B$14="有効"),ROUND(G279*1.25,0),"")</f>
        <v/>
      </c>
      <c r="S280" s="36">
        <f>IF(A280=入力!$B$15,A280+入力!$B$19,S279)</f>
        <v>360</v>
      </c>
      <c r="T280" s="35" t="str">
        <f t="shared" si="79"/>
        <v/>
      </c>
      <c r="U280" s="3">
        <f t="shared" si="64"/>
        <v>0</v>
      </c>
      <c r="V280" s="3">
        <f t="shared" si="65"/>
        <v>0</v>
      </c>
      <c r="W280" s="3">
        <f t="shared" si="66"/>
        <v>0</v>
      </c>
      <c r="X280" s="3">
        <f t="shared" si="67"/>
        <v>0</v>
      </c>
      <c r="Y280" s="3">
        <f>IF(A280&lt;入力!$B$15,ABS(G280-何もしない_月次!G280),0)</f>
        <v>0</v>
      </c>
      <c r="Z280" s="3">
        <f t="shared" si="68"/>
        <v>0</v>
      </c>
      <c r="AA280">
        <f>ROUND(IF(A280=入力!$B$15+1,IF(E280=0,ROUND(C280/入力!$B$19,0),ROUND(-PMT(E280/12,入力!$B$19,C280),0)),IF(OR(AND(入力!$B$13="有効",A280&gt;1,MOD(A280-1,60)=0),AND(A280=入力!$B$11,A280&gt;1)),IF(入力!$B$14="有効",MIN(IF(E280=0,ROUND(C280/MAX(1,S279-A280+1),0),ROUND(-PMT(E280/12,MAX(1,S279-A280+1),C280),0)),ROUND(G279*1.25,0)),IF(E280=0,ROUND(C280/MAX(1,S279-A280+1),0),ROUND(-PMT(E280/12,MAX(1,S279-A280+1),C280),0))),G279)),0)</f>
        <v>116935</v>
      </c>
    </row>
    <row r="281" spans="1:27">
      <c r="A281" s="30">
        <f>276</f>
        <v>276</v>
      </c>
      <c r="B281" s="31">
        <f>EDATE(入力!$B$6,A281-1)</f>
        <v>54605</v>
      </c>
      <c r="C281" s="32">
        <f t="shared" si="69"/>
        <v>9100429</v>
      </c>
      <c r="D281" s="32">
        <f t="shared" si="70"/>
        <v>0</v>
      </c>
      <c r="E281" s="33">
        <f>IF(AND(T280="",A281&lt;=S280),IF(A281&lt;入力!$B$11,入力!$B$10,入力!$B$12),0)</f>
        <v>2.5000000000000001E-2</v>
      </c>
      <c r="F281" s="32">
        <f t="shared" si="71"/>
        <v>18959</v>
      </c>
      <c r="G281" s="32">
        <f>ROUND(IF(NOT(AND(T280="",A281&lt;=S280)),0,IF(A281=入力!$B$15+1,IF(E281=0,ROUND(C281/入力!$B$19,0),ROUND(-PMT(E281/12,入力!$B$19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),0)</f>
        <v>116935</v>
      </c>
      <c r="H281" s="32">
        <f t="shared" si="72"/>
        <v>116935</v>
      </c>
      <c r="I281" s="32">
        <f t="shared" si="73"/>
        <v>18959</v>
      </c>
      <c r="J281" s="32">
        <f t="shared" si="74"/>
        <v>0</v>
      </c>
      <c r="K281" s="32">
        <f t="shared" si="75"/>
        <v>0</v>
      </c>
      <c r="L281" s="32">
        <f t="shared" si="76"/>
        <v>97976</v>
      </c>
      <c r="M281" s="32">
        <f>IF(AND(AND(T280="",A281&lt;=S280),A281=入力!$B$15),ROUND(MIN(入力!$B$16,MAX(0,C281-L281)),0),0)</f>
        <v>0</v>
      </c>
      <c r="N281" s="32">
        <f t="shared" si="77"/>
        <v>9002453</v>
      </c>
      <c r="O281" s="32">
        <f t="shared" si="78"/>
        <v>9931853</v>
      </c>
      <c r="P281" s="34" t="str">
        <f>IF(NOT(AND(T280="",A281&lt;=S280)),"",IF(A281=入力!$B$15+1,"繰上返済後再計算","")&amp;IF(AND(入力!$B$13="有効",A281&gt;1,MOD(A281-1,60)=0),IF(A281=入力!$B$15+1,"・","")&amp;"5年見直し","")&amp;IF(AND(A281=入力!$B$11,A281&gt;1),IF(OR(A281=入力!$B$15+1,AND(入力!$B$13="有効",A281&gt;1,MOD(A281-1,60)=0)),"・","")&amp;"金利変更","")&amp;IF(AND(OR(AND(入力!$B$13="有効",A281&gt;1,MOD(A281-1,60)=0),AND(A281=入力!$B$11,A281&gt;1)),入力!$B$14="有効",IF(E281=0,ROUND(C281/MAX(1,S280-A281+1),0),ROUND(-PMT(E281/12,MAX(1,S280-A281+1),C281),0))&gt;ROUND(G280*1.25,0),NOT(A281=入力!$B$15+1)),"・上限適用",""))</f>
        <v/>
      </c>
      <c r="Q281" s="35" t="str">
        <f>IF(AND(T280="",A281&lt;=S280),入力!$B$13,"")</f>
        <v>有効</v>
      </c>
      <c r="R281" s="32" t="str">
        <f>IF(AND(AND(T280="",A281&lt;=S280),OR(AND(入力!$B$13="有効",A281&gt;1,MOD(A281-1,60)=0),AND(A281=入力!$B$11,A281&gt;1)),入力!$B$14="有効"),ROUND(G280*1.25,0),"")</f>
        <v/>
      </c>
      <c r="S281" s="36">
        <f>IF(A281=入力!$B$15,A281+入力!$B$19,S280)</f>
        <v>360</v>
      </c>
      <c r="T281" s="35" t="str">
        <f t="shared" si="79"/>
        <v/>
      </c>
      <c r="U281" s="3">
        <f t="shared" si="64"/>
        <v>0</v>
      </c>
      <c r="V281" s="3">
        <f t="shared" si="65"/>
        <v>0</v>
      </c>
      <c r="W281" s="3">
        <f t="shared" si="66"/>
        <v>0</v>
      </c>
      <c r="X281" s="3">
        <f t="shared" si="67"/>
        <v>0</v>
      </c>
      <c r="Y281" s="3">
        <f>IF(A281&lt;入力!$B$15,ABS(G281-何もしない_月次!G281),0)</f>
        <v>0</v>
      </c>
      <c r="Z281" s="3">
        <f t="shared" si="68"/>
        <v>0</v>
      </c>
      <c r="AA281">
        <f>ROUND(IF(A281=入力!$B$15+1,IF(E281=0,ROUND(C281/入力!$B$19,0),ROUND(-PMT(E281/12,入力!$B$19,C281),0)),IF(OR(AND(入力!$B$13="有効",A281&gt;1,MOD(A281-1,60)=0),AND(A281=入力!$B$11,A281&gt;1)),IF(入力!$B$14="有効",MIN(IF(E281=0,ROUND(C281/MAX(1,S280-A281+1),0),ROUND(-PMT(E281/12,MAX(1,S280-A281+1),C281),0)),ROUND(G280*1.25,0)),IF(E281=0,ROUND(C281/MAX(1,S280-A281+1),0),ROUND(-PMT(E281/12,MAX(1,S280-A281+1),C281),0))),G280)),0)</f>
        <v>116935</v>
      </c>
    </row>
    <row r="282" spans="1:27">
      <c r="A282" s="30">
        <f>277</f>
        <v>277</v>
      </c>
      <c r="B282" s="31">
        <f>EDATE(入力!$B$6,A282-1)</f>
        <v>54636</v>
      </c>
      <c r="C282" s="32">
        <f t="shared" si="69"/>
        <v>9002453</v>
      </c>
      <c r="D282" s="32">
        <f t="shared" si="70"/>
        <v>0</v>
      </c>
      <c r="E282" s="33">
        <f>IF(AND(T281="",A282&lt;=S281),IF(A282&lt;入力!$B$11,入力!$B$10,入力!$B$12),0)</f>
        <v>2.5000000000000001E-2</v>
      </c>
      <c r="F282" s="32">
        <f t="shared" si="71"/>
        <v>18755</v>
      </c>
      <c r="G282" s="32">
        <f>ROUND(IF(NOT(AND(T281="",A282&lt;=S281)),0,IF(A282=入力!$B$15+1,IF(E282=0,ROUND(C282/入力!$B$19,0),ROUND(-PMT(E282/12,入力!$B$19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),0)</f>
        <v>116935</v>
      </c>
      <c r="H282" s="32">
        <f t="shared" si="72"/>
        <v>116935</v>
      </c>
      <c r="I282" s="32">
        <f t="shared" si="73"/>
        <v>18755</v>
      </c>
      <c r="J282" s="32">
        <f t="shared" si="74"/>
        <v>0</v>
      </c>
      <c r="K282" s="32">
        <f t="shared" si="75"/>
        <v>0</v>
      </c>
      <c r="L282" s="32">
        <f t="shared" si="76"/>
        <v>98180</v>
      </c>
      <c r="M282" s="32">
        <f>IF(AND(AND(T281="",A282&lt;=S281),A282=入力!$B$15),ROUND(MIN(入力!$B$16,MAX(0,C282-L282)),0),0)</f>
        <v>0</v>
      </c>
      <c r="N282" s="32">
        <f t="shared" si="77"/>
        <v>8904273</v>
      </c>
      <c r="O282" s="32">
        <f t="shared" si="78"/>
        <v>9950608</v>
      </c>
      <c r="P282" s="34" t="str">
        <f>IF(NOT(AND(T281="",A282&lt;=S281)),"",IF(A282=入力!$B$15+1,"繰上返済後再計算","")&amp;IF(AND(入力!$B$13="有効",A282&gt;1,MOD(A282-1,60)=0),IF(A282=入力!$B$15+1,"・","")&amp;"5年見直し","")&amp;IF(AND(A282=入力!$B$11,A282&gt;1),IF(OR(A282=入力!$B$15+1,AND(入力!$B$13="有効",A282&gt;1,MOD(A282-1,60)=0)),"・","")&amp;"金利変更","")&amp;IF(AND(OR(AND(入力!$B$13="有効",A282&gt;1,MOD(A282-1,60)=0),AND(A282=入力!$B$11,A282&gt;1)),入力!$B$14="有効",IF(E282=0,ROUND(C282/MAX(1,S281-A282+1),0),ROUND(-PMT(E282/12,MAX(1,S281-A282+1),C282),0))&gt;ROUND(G281*1.25,0),NOT(A282=入力!$B$15+1)),"・上限適用",""))</f>
        <v/>
      </c>
      <c r="Q282" s="35" t="str">
        <f>IF(AND(T281="",A282&lt;=S281),入力!$B$13,"")</f>
        <v>有効</v>
      </c>
      <c r="R282" s="32" t="str">
        <f>IF(AND(AND(T281="",A282&lt;=S281),OR(AND(入力!$B$13="有効",A282&gt;1,MOD(A282-1,60)=0),AND(A282=入力!$B$11,A282&gt;1)),入力!$B$14="有効"),ROUND(G281*1.25,0),"")</f>
        <v/>
      </c>
      <c r="S282" s="36">
        <f>IF(A282=入力!$B$15,A282+入力!$B$19,S281)</f>
        <v>360</v>
      </c>
      <c r="T282" s="35" t="str">
        <f t="shared" si="79"/>
        <v/>
      </c>
      <c r="U282" s="3">
        <f t="shared" si="64"/>
        <v>0</v>
      </c>
      <c r="V282" s="3">
        <f t="shared" si="65"/>
        <v>0</v>
      </c>
      <c r="W282" s="3">
        <f t="shared" si="66"/>
        <v>0</v>
      </c>
      <c r="X282" s="3">
        <f t="shared" si="67"/>
        <v>0</v>
      </c>
      <c r="Y282" s="3">
        <f>IF(A282&lt;入力!$B$15,ABS(G282-何もしない_月次!G282),0)</f>
        <v>0</v>
      </c>
      <c r="Z282" s="3">
        <f t="shared" si="68"/>
        <v>0</v>
      </c>
      <c r="AA282">
        <f>ROUND(IF(A282=入力!$B$15+1,IF(E282=0,ROUND(C282/入力!$B$19,0),ROUND(-PMT(E282/12,入力!$B$19,C282),0)),IF(OR(AND(入力!$B$13="有効",A282&gt;1,MOD(A282-1,60)=0),AND(A282=入力!$B$11,A282&gt;1)),IF(入力!$B$14="有効",MIN(IF(E282=0,ROUND(C282/MAX(1,S281-A282+1),0),ROUND(-PMT(E282/12,MAX(1,S281-A282+1),C282),0)),ROUND(G281*1.25,0)),IF(E282=0,ROUND(C282/MAX(1,S281-A282+1),0),ROUND(-PMT(E282/12,MAX(1,S281-A282+1),C282),0))),G281)),0)</f>
        <v>116935</v>
      </c>
    </row>
    <row r="283" spans="1:27">
      <c r="A283" s="30">
        <f>278</f>
        <v>278</v>
      </c>
      <c r="B283" s="31">
        <f>EDATE(入力!$B$6,A283-1)</f>
        <v>54667</v>
      </c>
      <c r="C283" s="32">
        <f t="shared" si="69"/>
        <v>8904273</v>
      </c>
      <c r="D283" s="32">
        <f t="shared" si="70"/>
        <v>0</v>
      </c>
      <c r="E283" s="33">
        <f>IF(AND(T282="",A283&lt;=S282),IF(A283&lt;入力!$B$11,入力!$B$10,入力!$B$12),0)</f>
        <v>2.5000000000000001E-2</v>
      </c>
      <c r="F283" s="32">
        <f t="shared" si="71"/>
        <v>18551</v>
      </c>
      <c r="G283" s="32">
        <f>ROUND(IF(NOT(AND(T282="",A283&lt;=S282)),0,IF(A283=入力!$B$15+1,IF(E283=0,ROUND(C283/入力!$B$19,0),ROUND(-PMT(E283/12,入力!$B$19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),0)</f>
        <v>116935</v>
      </c>
      <c r="H283" s="32">
        <f t="shared" si="72"/>
        <v>116935</v>
      </c>
      <c r="I283" s="32">
        <f t="shared" si="73"/>
        <v>18551</v>
      </c>
      <c r="J283" s="32">
        <f t="shared" si="74"/>
        <v>0</v>
      </c>
      <c r="K283" s="32">
        <f t="shared" si="75"/>
        <v>0</v>
      </c>
      <c r="L283" s="32">
        <f t="shared" si="76"/>
        <v>98384</v>
      </c>
      <c r="M283" s="32">
        <f>IF(AND(AND(T282="",A283&lt;=S282),A283=入力!$B$15),ROUND(MIN(入力!$B$16,MAX(0,C283-L283)),0),0)</f>
        <v>0</v>
      </c>
      <c r="N283" s="32">
        <f t="shared" si="77"/>
        <v>8805889</v>
      </c>
      <c r="O283" s="32">
        <f t="shared" si="78"/>
        <v>9969159</v>
      </c>
      <c r="P283" s="34" t="str">
        <f>IF(NOT(AND(T282="",A283&lt;=S282)),"",IF(A283=入力!$B$15+1,"繰上返済後再計算","")&amp;IF(AND(入力!$B$13="有効",A283&gt;1,MOD(A283-1,60)=0),IF(A283=入力!$B$15+1,"・","")&amp;"5年見直し","")&amp;IF(AND(A283=入力!$B$11,A283&gt;1),IF(OR(A283=入力!$B$15+1,AND(入力!$B$13="有効",A283&gt;1,MOD(A283-1,60)=0)),"・","")&amp;"金利変更","")&amp;IF(AND(OR(AND(入力!$B$13="有効",A283&gt;1,MOD(A283-1,60)=0),AND(A283=入力!$B$11,A283&gt;1)),入力!$B$14="有効",IF(E283=0,ROUND(C283/MAX(1,S282-A283+1),0),ROUND(-PMT(E283/12,MAX(1,S282-A283+1),C283),0))&gt;ROUND(G282*1.25,0),NOT(A283=入力!$B$15+1)),"・上限適用",""))</f>
        <v/>
      </c>
      <c r="Q283" s="35" t="str">
        <f>IF(AND(T282="",A283&lt;=S282),入力!$B$13,"")</f>
        <v>有効</v>
      </c>
      <c r="R283" s="32" t="str">
        <f>IF(AND(AND(T282="",A283&lt;=S282),OR(AND(入力!$B$13="有効",A283&gt;1,MOD(A283-1,60)=0),AND(A283=入力!$B$11,A283&gt;1)),入力!$B$14="有効"),ROUND(G282*1.25,0),"")</f>
        <v/>
      </c>
      <c r="S283" s="36">
        <f>IF(A283=入力!$B$15,A283+入力!$B$19,S282)</f>
        <v>360</v>
      </c>
      <c r="T283" s="35" t="str">
        <f t="shared" si="79"/>
        <v/>
      </c>
      <c r="U283" s="3">
        <f t="shared" si="64"/>
        <v>0</v>
      </c>
      <c r="V283" s="3">
        <f t="shared" si="65"/>
        <v>0</v>
      </c>
      <c r="W283" s="3">
        <f t="shared" si="66"/>
        <v>0</v>
      </c>
      <c r="X283" s="3">
        <f t="shared" si="67"/>
        <v>0</v>
      </c>
      <c r="Y283" s="3">
        <f>IF(A283&lt;入力!$B$15,ABS(G283-何もしない_月次!G283),0)</f>
        <v>0</v>
      </c>
      <c r="Z283" s="3">
        <f t="shared" si="68"/>
        <v>0</v>
      </c>
      <c r="AA283">
        <f>ROUND(IF(A283=入力!$B$15+1,IF(E283=0,ROUND(C283/入力!$B$19,0),ROUND(-PMT(E283/12,入力!$B$19,C283),0)),IF(OR(AND(入力!$B$13="有効",A283&gt;1,MOD(A283-1,60)=0),AND(A283=入力!$B$11,A283&gt;1)),IF(入力!$B$14="有効",MIN(IF(E283=0,ROUND(C283/MAX(1,S282-A283+1),0),ROUND(-PMT(E283/12,MAX(1,S282-A283+1),C283),0)),ROUND(G282*1.25,0)),IF(E283=0,ROUND(C283/MAX(1,S282-A283+1),0),ROUND(-PMT(E283/12,MAX(1,S282-A283+1),C283),0))),G282)),0)</f>
        <v>116935</v>
      </c>
    </row>
    <row r="284" spans="1:27">
      <c r="A284" s="30">
        <f>279</f>
        <v>279</v>
      </c>
      <c r="B284" s="31">
        <f>EDATE(入力!$B$6,A284-1)</f>
        <v>54697</v>
      </c>
      <c r="C284" s="32">
        <f t="shared" si="69"/>
        <v>8805889</v>
      </c>
      <c r="D284" s="32">
        <f t="shared" si="70"/>
        <v>0</v>
      </c>
      <c r="E284" s="33">
        <f>IF(AND(T283="",A284&lt;=S283),IF(A284&lt;入力!$B$11,入力!$B$10,入力!$B$12),0)</f>
        <v>2.5000000000000001E-2</v>
      </c>
      <c r="F284" s="32">
        <f t="shared" si="71"/>
        <v>18346</v>
      </c>
      <c r="G284" s="32">
        <f>ROUND(IF(NOT(AND(T283="",A284&lt;=S283)),0,IF(A284=入力!$B$15+1,IF(E284=0,ROUND(C284/入力!$B$19,0),ROUND(-PMT(E284/12,入力!$B$19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),0)</f>
        <v>116935</v>
      </c>
      <c r="H284" s="32">
        <f t="shared" si="72"/>
        <v>116935</v>
      </c>
      <c r="I284" s="32">
        <f t="shared" si="73"/>
        <v>18346</v>
      </c>
      <c r="J284" s="32">
        <f t="shared" si="74"/>
        <v>0</v>
      </c>
      <c r="K284" s="32">
        <f t="shared" si="75"/>
        <v>0</v>
      </c>
      <c r="L284" s="32">
        <f t="shared" si="76"/>
        <v>98589</v>
      </c>
      <c r="M284" s="32">
        <f>IF(AND(AND(T283="",A284&lt;=S283),A284=入力!$B$15),ROUND(MIN(入力!$B$16,MAX(0,C284-L284)),0),0)</f>
        <v>0</v>
      </c>
      <c r="N284" s="32">
        <f t="shared" si="77"/>
        <v>8707300</v>
      </c>
      <c r="O284" s="32">
        <f t="shared" si="78"/>
        <v>9987505</v>
      </c>
      <c r="P284" s="34" t="str">
        <f>IF(NOT(AND(T283="",A284&lt;=S283)),"",IF(A284=入力!$B$15+1,"繰上返済後再計算","")&amp;IF(AND(入力!$B$13="有効",A284&gt;1,MOD(A284-1,60)=0),IF(A284=入力!$B$15+1,"・","")&amp;"5年見直し","")&amp;IF(AND(A284=入力!$B$11,A284&gt;1),IF(OR(A284=入力!$B$15+1,AND(入力!$B$13="有効",A284&gt;1,MOD(A284-1,60)=0)),"・","")&amp;"金利変更","")&amp;IF(AND(OR(AND(入力!$B$13="有効",A284&gt;1,MOD(A284-1,60)=0),AND(A284=入力!$B$11,A284&gt;1)),入力!$B$14="有効",IF(E284=0,ROUND(C284/MAX(1,S283-A284+1),0),ROUND(-PMT(E284/12,MAX(1,S283-A284+1),C284),0))&gt;ROUND(G283*1.25,0),NOT(A284=入力!$B$15+1)),"・上限適用",""))</f>
        <v/>
      </c>
      <c r="Q284" s="35" t="str">
        <f>IF(AND(T283="",A284&lt;=S283),入力!$B$13,"")</f>
        <v>有効</v>
      </c>
      <c r="R284" s="32" t="str">
        <f>IF(AND(AND(T283="",A284&lt;=S283),OR(AND(入力!$B$13="有効",A284&gt;1,MOD(A284-1,60)=0),AND(A284=入力!$B$11,A284&gt;1)),入力!$B$14="有効"),ROUND(G283*1.25,0),"")</f>
        <v/>
      </c>
      <c r="S284" s="36">
        <f>IF(A284=入力!$B$15,A284+入力!$B$19,S283)</f>
        <v>360</v>
      </c>
      <c r="T284" s="35" t="str">
        <f t="shared" si="79"/>
        <v/>
      </c>
      <c r="U284" s="3">
        <f t="shared" si="64"/>
        <v>0</v>
      </c>
      <c r="V284" s="3">
        <f t="shared" si="65"/>
        <v>0</v>
      </c>
      <c r="W284" s="3">
        <f t="shared" si="66"/>
        <v>0</v>
      </c>
      <c r="X284" s="3">
        <f t="shared" si="67"/>
        <v>0</v>
      </c>
      <c r="Y284" s="3">
        <f>IF(A284&lt;入力!$B$15,ABS(G284-何もしない_月次!G284),0)</f>
        <v>0</v>
      </c>
      <c r="Z284" s="3">
        <f t="shared" si="68"/>
        <v>0</v>
      </c>
      <c r="AA284">
        <f>ROUND(IF(A284=入力!$B$15+1,IF(E284=0,ROUND(C284/入力!$B$19,0),ROUND(-PMT(E284/12,入力!$B$19,C284),0)),IF(OR(AND(入力!$B$13="有効",A284&gt;1,MOD(A284-1,60)=0),AND(A284=入力!$B$11,A284&gt;1)),IF(入力!$B$14="有効",MIN(IF(E284=0,ROUND(C284/MAX(1,S283-A284+1),0),ROUND(-PMT(E284/12,MAX(1,S283-A284+1),C284),0)),ROUND(G283*1.25,0)),IF(E284=0,ROUND(C284/MAX(1,S283-A284+1),0),ROUND(-PMT(E284/12,MAX(1,S283-A284+1),C284),0))),G283)),0)</f>
        <v>116935</v>
      </c>
    </row>
    <row r="285" spans="1:27">
      <c r="A285" s="30">
        <f>280</f>
        <v>280</v>
      </c>
      <c r="B285" s="31">
        <f>EDATE(入力!$B$6,A285-1)</f>
        <v>54728</v>
      </c>
      <c r="C285" s="32">
        <f t="shared" si="69"/>
        <v>8707300</v>
      </c>
      <c r="D285" s="32">
        <f t="shared" si="70"/>
        <v>0</v>
      </c>
      <c r="E285" s="33">
        <f>IF(AND(T284="",A285&lt;=S284),IF(A285&lt;入力!$B$11,入力!$B$10,入力!$B$12),0)</f>
        <v>2.5000000000000001E-2</v>
      </c>
      <c r="F285" s="32">
        <f t="shared" si="71"/>
        <v>18140</v>
      </c>
      <c r="G285" s="32">
        <f>ROUND(IF(NOT(AND(T284="",A285&lt;=S284)),0,IF(A285=入力!$B$15+1,IF(E285=0,ROUND(C285/入力!$B$19,0),ROUND(-PMT(E285/12,入力!$B$19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),0)</f>
        <v>116935</v>
      </c>
      <c r="H285" s="32">
        <f t="shared" si="72"/>
        <v>116935</v>
      </c>
      <c r="I285" s="32">
        <f t="shared" si="73"/>
        <v>18140</v>
      </c>
      <c r="J285" s="32">
        <f t="shared" si="74"/>
        <v>0</v>
      </c>
      <c r="K285" s="32">
        <f t="shared" si="75"/>
        <v>0</v>
      </c>
      <c r="L285" s="32">
        <f t="shared" si="76"/>
        <v>98795</v>
      </c>
      <c r="M285" s="32">
        <f>IF(AND(AND(T284="",A285&lt;=S284),A285=入力!$B$15),ROUND(MIN(入力!$B$16,MAX(0,C285-L285)),0),0)</f>
        <v>0</v>
      </c>
      <c r="N285" s="32">
        <f t="shared" si="77"/>
        <v>8608505</v>
      </c>
      <c r="O285" s="32">
        <f t="shared" si="78"/>
        <v>10005645</v>
      </c>
      <c r="P285" s="34" t="str">
        <f>IF(NOT(AND(T284="",A285&lt;=S284)),"",IF(A285=入力!$B$15+1,"繰上返済後再計算","")&amp;IF(AND(入力!$B$13="有効",A285&gt;1,MOD(A285-1,60)=0),IF(A285=入力!$B$15+1,"・","")&amp;"5年見直し","")&amp;IF(AND(A285=入力!$B$11,A285&gt;1),IF(OR(A285=入力!$B$15+1,AND(入力!$B$13="有効",A285&gt;1,MOD(A285-1,60)=0)),"・","")&amp;"金利変更","")&amp;IF(AND(OR(AND(入力!$B$13="有効",A285&gt;1,MOD(A285-1,60)=0),AND(A285=入力!$B$11,A285&gt;1)),入力!$B$14="有効",IF(E285=0,ROUND(C285/MAX(1,S284-A285+1),0),ROUND(-PMT(E285/12,MAX(1,S284-A285+1),C285),0))&gt;ROUND(G284*1.25,0),NOT(A285=入力!$B$15+1)),"・上限適用",""))</f>
        <v/>
      </c>
      <c r="Q285" s="35" t="str">
        <f>IF(AND(T284="",A285&lt;=S284),入力!$B$13,"")</f>
        <v>有効</v>
      </c>
      <c r="R285" s="32" t="str">
        <f>IF(AND(AND(T284="",A285&lt;=S284),OR(AND(入力!$B$13="有効",A285&gt;1,MOD(A285-1,60)=0),AND(A285=入力!$B$11,A285&gt;1)),入力!$B$14="有効"),ROUND(G284*1.25,0),"")</f>
        <v/>
      </c>
      <c r="S285" s="36">
        <f>IF(A285=入力!$B$15,A285+入力!$B$19,S284)</f>
        <v>360</v>
      </c>
      <c r="T285" s="35" t="str">
        <f t="shared" si="79"/>
        <v/>
      </c>
      <c r="U285" s="3">
        <f t="shared" si="64"/>
        <v>0</v>
      </c>
      <c r="V285" s="3">
        <f t="shared" si="65"/>
        <v>0</v>
      </c>
      <c r="W285" s="3">
        <f t="shared" si="66"/>
        <v>0</v>
      </c>
      <c r="X285" s="3">
        <f t="shared" si="67"/>
        <v>0</v>
      </c>
      <c r="Y285" s="3">
        <f>IF(A285&lt;入力!$B$15,ABS(G285-何もしない_月次!G285),0)</f>
        <v>0</v>
      </c>
      <c r="Z285" s="3">
        <f t="shared" si="68"/>
        <v>0</v>
      </c>
      <c r="AA285">
        <f>ROUND(IF(A285=入力!$B$15+1,IF(E285=0,ROUND(C285/入力!$B$19,0),ROUND(-PMT(E285/12,入力!$B$19,C285),0)),IF(OR(AND(入力!$B$13="有効",A285&gt;1,MOD(A285-1,60)=0),AND(A285=入力!$B$11,A285&gt;1)),IF(入力!$B$14="有効",MIN(IF(E285=0,ROUND(C285/MAX(1,S284-A285+1),0),ROUND(-PMT(E285/12,MAX(1,S284-A285+1),C285),0)),ROUND(G284*1.25,0)),IF(E285=0,ROUND(C285/MAX(1,S284-A285+1),0),ROUND(-PMT(E285/12,MAX(1,S284-A285+1),C285),0))),G284)),0)</f>
        <v>116935</v>
      </c>
    </row>
    <row r="286" spans="1:27">
      <c r="A286" s="30">
        <f>281</f>
        <v>281</v>
      </c>
      <c r="B286" s="31">
        <f>EDATE(入力!$B$6,A286-1)</f>
        <v>54758</v>
      </c>
      <c r="C286" s="32">
        <f t="shared" si="69"/>
        <v>8608505</v>
      </c>
      <c r="D286" s="32">
        <f t="shared" si="70"/>
        <v>0</v>
      </c>
      <c r="E286" s="33">
        <f>IF(AND(T285="",A286&lt;=S285),IF(A286&lt;入力!$B$11,入力!$B$10,入力!$B$12),0)</f>
        <v>2.5000000000000001E-2</v>
      </c>
      <c r="F286" s="32">
        <f t="shared" si="71"/>
        <v>17934</v>
      </c>
      <c r="G286" s="32">
        <f>ROUND(IF(NOT(AND(T285="",A286&lt;=S285)),0,IF(A286=入力!$B$15+1,IF(E286=0,ROUND(C286/入力!$B$19,0),ROUND(-PMT(E286/12,入力!$B$19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),0)</f>
        <v>116935</v>
      </c>
      <c r="H286" s="32">
        <f t="shared" si="72"/>
        <v>116935</v>
      </c>
      <c r="I286" s="32">
        <f t="shared" si="73"/>
        <v>17934</v>
      </c>
      <c r="J286" s="32">
        <f t="shared" si="74"/>
        <v>0</v>
      </c>
      <c r="K286" s="32">
        <f t="shared" si="75"/>
        <v>0</v>
      </c>
      <c r="L286" s="32">
        <f t="shared" si="76"/>
        <v>99001</v>
      </c>
      <c r="M286" s="32">
        <f>IF(AND(AND(T285="",A286&lt;=S285),A286=入力!$B$15),ROUND(MIN(入力!$B$16,MAX(0,C286-L286)),0),0)</f>
        <v>0</v>
      </c>
      <c r="N286" s="32">
        <f t="shared" si="77"/>
        <v>8509504</v>
      </c>
      <c r="O286" s="32">
        <f t="shared" si="78"/>
        <v>10023579</v>
      </c>
      <c r="P286" s="34" t="str">
        <f>IF(NOT(AND(T285="",A286&lt;=S285)),"",IF(A286=入力!$B$15+1,"繰上返済後再計算","")&amp;IF(AND(入力!$B$13="有効",A286&gt;1,MOD(A286-1,60)=0),IF(A286=入力!$B$15+1,"・","")&amp;"5年見直し","")&amp;IF(AND(A286=入力!$B$11,A286&gt;1),IF(OR(A286=入力!$B$15+1,AND(入力!$B$13="有効",A286&gt;1,MOD(A286-1,60)=0)),"・","")&amp;"金利変更","")&amp;IF(AND(OR(AND(入力!$B$13="有効",A286&gt;1,MOD(A286-1,60)=0),AND(A286=入力!$B$11,A286&gt;1)),入力!$B$14="有効",IF(E286=0,ROUND(C286/MAX(1,S285-A286+1),0),ROUND(-PMT(E286/12,MAX(1,S285-A286+1),C286),0))&gt;ROUND(G285*1.25,0),NOT(A286=入力!$B$15+1)),"・上限適用",""))</f>
        <v/>
      </c>
      <c r="Q286" s="35" t="str">
        <f>IF(AND(T285="",A286&lt;=S285),入力!$B$13,"")</f>
        <v>有効</v>
      </c>
      <c r="R286" s="32" t="str">
        <f>IF(AND(AND(T285="",A286&lt;=S285),OR(AND(入力!$B$13="有効",A286&gt;1,MOD(A286-1,60)=0),AND(A286=入力!$B$11,A286&gt;1)),入力!$B$14="有効"),ROUND(G285*1.25,0),"")</f>
        <v/>
      </c>
      <c r="S286" s="36">
        <f>IF(A286=入力!$B$15,A286+入力!$B$19,S285)</f>
        <v>360</v>
      </c>
      <c r="T286" s="35" t="str">
        <f t="shared" si="79"/>
        <v/>
      </c>
      <c r="U286" s="3">
        <f t="shared" si="64"/>
        <v>0</v>
      </c>
      <c r="V286" s="3">
        <f t="shared" si="65"/>
        <v>0</v>
      </c>
      <c r="W286" s="3">
        <f t="shared" si="66"/>
        <v>0</v>
      </c>
      <c r="X286" s="3">
        <f t="shared" si="67"/>
        <v>0</v>
      </c>
      <c r="Y286" s="3">
        <f>IF(A286&lt;入力!$B$15,ABS(G286-何もしない_月次!G286),0)</f>
        <v>0</v>
      </c>
      <c r="Z286" s="3">
        <f t="shared" si="68"/>
        <v>0</v>
      </c>
      <c r="AA286">
        <f>ROUND(IF(A286=入力!$B$15+1,IF(E286=0,ROUND(C286/入力!$B$19,0),ROUND(-PMT(E286/12,入力!$B$19,C286),0)),IF(OR(AND(入力!$B$13="有効",A286&gt;1,MOD(A286-1,60)=0),AND(A286=入力!$B$11,A286&gt;1)),IF(入力!$B$14="有効",MIN(IF(E286=0,ROUND(C286/MAX(1,S285-A286+1),0),ROUND(-PMT(E286/12,MAX(1,S285-A286+1),C286),0)),ROUND(G285*1.25,0)),IF(E286=0,ROUND(C286/MAX(1,S285-A286+1),0),ROUND(-PMT(E286/12,MAX(1,S285-A286+1),C286),0))),G285)),0)</f>
        <v>116935</v>
      </c>
    </row>
    <row r="287" spans="1:27">
      <c r="A287" s="30">
        <f>282</f>
        <v>282</v>
      </c>
      <c r="B287" s="31">
        <f>EDATE(入力!$B$6,A287-1)</f>
        <v>54789</v>
      </c>
      <c r="C287" s="32">
        <f t="shared" si="69"/>
        <v>8509504</v>
      </c>
      <c r="D287" s="32">
        <f t="shared" si="70"/>
        <v>0</v>
      </c>
      <c r="E287" s="33">
        <f>IF(AND(T286="",A287&lt;=S286),IF(A287&lt;入力!$B$11,入力!$B$10,入力!$B$12),0)</f>
        <v>2.5000000000000001E-2</v>
      </c>
      <c r="F287" s="32">
        <f t="shared" si="71"/>
        <v>17728</v>
      </c>
      <c r="G287" s="32">
        <f>ROUND(IF(NOT(AND(T286="",A287&lt;=S286)),0,IF(A287=入力!$B$15+1,IF(E287=0,ROUND(C287/入力!$B$19,0),ROUND(-PMT(E287/12,入力!$B$19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),0)</f>
        <v>116935</v>
      </c>
      <c r="H287" s="32">
        <f t="shared" si="72"/>
        <v>116935</v>
      </c>
      <c r="I287" s="32">
        <f t="shared" si="73"/>
        <v>17728</v>
      </c>
      <c r="J287" s="32">
        <f t="shared" si="74"/>
        <v>0</v>
      </c>
      <c r="K287" s="32">
        <f t="shared" si="75"/>
        <v>0</v>
      </c>
      <c r="L287" s="32">
        <f t="shared" si="76"/>
        <v>99207</v>
      </c>
      <c r="M287" s="32">
        <f>IF(AND(AND(T286="",A287&lt;=S286),A287=入力!$B$15),ROUND(MIN(入力!$B$16,MAX(0,C287-L287)),0),0)</f>
        <v>0</v>
      </c>
      <c r="N287" s="32">
        <f t="shared" si="77"/>
        <v>8410297</v>
      </c>
      <c r="O287" s="32">
        <f t="shared" si="78"/>
        <v>10041307</v>
      </c>
      <c r="P287" s="34" t="str">
        <f>IF(NOT(AND(T286="",A287&lt;=S286)),"",IF(A287=入力!$B$15+1,"繰上返済後再計算","")&amp;IF(AND(入力!$B$13="有効",A287&gt;1,MOD(A287-1,60)=0),IF(A287=入力!$B$15+1,"・","")&amp;"5年見直し","")&amp;IF(AND(A287=入力!$B$11,A287&gt;1),IF(OR(A287=入力!$B$15+1,AND(入力!$B$13="有効",A287&gt;1,MOD(A287-1,60)=0)),"・","")&amp;"金利変更","")&amp;IF(AND(OR(AND(入力!$B$13="有効",A287&gt;1,MOD(A287-1,60)=0),AND(A287=入力!$B$11,A287&gt;1)),入力!$B$14="有効",IF(E287=0,ROUND(C287/MAX(1,S286-A287+1),0),ROUND(-PMT(E287/12,MAX(1,S286-A287+1),C287),0))&gt;ROUND(G286*1.25,0),NOT(A287=入力!$B$15+1)),"・上限適用",""))</f>
        <v/>
      </c>
      <c r="Q287" s="35" t="str">
        <f>IF(AND(T286="",A287&lt;=S286),入力!$B$13,"")</f>
        <v>有効</v>
      </c>
      <c r="R287" s="32" t="str">
        <f>IF(AND(AND(T286="",A287&lt;=S286),OR(AND(入力!$B$13="有効",A287&gt;1,MOD(A287-1,60)=0),AND(A287=入力!$B$11,A287&gt;1)),入力!$B$14="有効"),ROUND(G286*1.25,0),"")</f>
        <v/>
      </c>
      <c r="S287" s="36">
        <f>IF(A287=入力!$B$15,A287+入力!$B$19,S286)</f>
        <v>360</v>
      </c>
      <c r="T287" s="35" t="str">
        <f t="shared" si="79"/>
        <v/>
      </c>
      <c r="U287" s="3">
        <f t="shared" si="64"/>
        <v>0</v>
      </c>
      <c r="V287" s="3">
        <f t="shared" si="65"/>
        <v>0</v>
      </c>
      <c r="W287" s="3">
        <f t="shared" si="66"/>
        <v>0</v>
      </c>
      <c r="X287" s="3">
        <f t="shared" si="67"/>
        <v>0</v>
      </c>
      <c r="Y287" s="3">
        <f>IF(A287&lt;入力!$B$15,ABS(G287-何もしない_月次!G287),0)</f>
        <v>0</v>
      </c>
      <c r="Z287" s="3">
        <f t="shared" si="68"/>
        <v>0</v>
      </c>
      <c r="AA287">
        <f>ROUND(IF(A287=入力!$B$15+1,IF(E287=0,ROUND(C287/入力!$B$19,0),ROUND(-PMT(E287/12,入力!$B$19,C287),0)),IF(OR(AND(入力!$B$13="有効",A287&gt;1,MOD(A287-1,60)=0),AND(A287=入力!$B$11,A287&gt;1)),IF(入力!$B$14="有効",MIN(IF(E287=0,ROUND(C287/MAX(1,S286-A287+1),0),ROUND(-PMT(E287/12,MAX(1,S286-A287+1),C287),0)),ROUND(G286*1.25,0)),IF(E287=0,ROUND(C287/MAX(1,S286-A287+1),0),ROUND(-PMT(E287/12,MAX(1,S286-A287+1),C287),0))),G286)),0)</f>
        <v>116935</v>
      </c>
    </row>
    <row r="288" spans="1:27">
      <c r="A288" s="30">
        <f>283</f>
        <v>283</v>
      </c>
      <c r="B288" s="31">
        <f>EDATE(入力!$B$6,A288-1)</f>
        <v>54820</v>
      </c>
      <c r="C288" s="32">
        <f t="shared" si="69"/>
        <v>8410297</v>
      </c>
      <c r="D288" s="32">
        <f t="shared" si="70"/>
        <v>0</v>
      </c>
      <c r="E288" s="33">
        <f>IF(AND(T287="",A288&lt;=S287),IF(A288&lt;入力!$B$11,入力!$B$10,入力!$B$12),0)</f>
        <v>2.5000000000000001E-2</v>
      </c>
      <c r="F288" s="32">
        <f t="shared" si="71"/>
        <v>17521</v>
      </c>
      <c r="G288" s="32">
        <f>ROUND(IF(NOT(AND(T287="",A288&lt;=S287)),0,IF(A288=入力!$B$15+1,IF(E288=0,ROUND(C288/入力!$B$19,0),ROUND(-PMT(E288/12,入力!$B$19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),0)</f>
        <v>116935</v>
      </c>
      <c r="H288" s="32">
        <f t="shared" si="72"/>
        <v>116935</v>
      </c>
      <c r="I288" s="32">
        <f t="shared" si="73"/>
        <v>17521</v>
      </c>
      <c r="J288" s="32">
        <f t="shared" si="74"/>
        <v>0</v>
      </c>
      <c r="K288" s="32">
        <f t="shared" si="75"/>
        <v>0</v>
      </c>
      <c r="L288" s="32">
        <f t="shared" si="76"/>
        <v>99414</v>
      </c>
      <c r="M288" s="32">
        <f>IF(AND(AND(T287="",A288&lt;=S287),A288=入力!$B$15),ROUND(MIN(入力!$B$16,MAX(0,C288-L288)),0),0)</f>
        <v>0</v>
      </c>
      <c r="N288" s="32">
        <f t="shared" si="77"/>
        <v>8310883</v>
      </c>
      <c r="O288" s="32">
        <f t="shared" si="78"/>
        <v>10058828</v>
      </c>
      <c r="P288" s="34" t="str">
        <f>IF(NOT(AND(T287="",A288&lt;=S287)),"",IF(A288=入力!$B$15+1,"繰上返済後再計算","")&amp;IF(AND(入力!$B$13="有効",A288&gt;1,MOD(A288-1,60)=0),IF(A288=入力!$B$15+1,"・","")&amp;"5年見直し","")&amp;IF(AND(A288=入力!$B$11,A288&gt;1),IF(OR(A288=入力!$B$15+1,AND(入力!$B$13="有効",A288&gt;1,MOD(A288-1,60)=0)),"・","")&amp;"金利変更","")&amp;IF(AND(OR(AND(入力!$B$13="有効",A288&gt;1,MOD(A288-1,60)=0),AND(A288=入力!$B$11,A288&gt;1)),入力!$B$14="有効",IF(E288=0,ROUND(C288/MAX(1,S287-A288+1),0),ROUND(-PMT(E288/12,MAX(1,S287-A288+1),C288),0))&gt;ROUND(G287*1.25,0),NOT(A288=入力!$B$15+1)),"・上限適用",""))</f>
        <v/>
      </c>
      <c r="Q288" s="35" t="str">
        <f>IF(AND(T287="",A288&lt;=S287),入力!$B$13,"")</f>
        <v>有効</v>
      </c>
      <c r="R288" s="32" t="str">
        <f>IF(AND(AND(T287="",A288&lt;=S287),OR(AND(入力!$B$13="有効",A288&gt;1,MOD(A288-1,60)=0),AND(A288=入力!$B$11,A288&gt;1)),入力!$B$14="有効"),ROUND(G287*1.25,0),"")</f>
        <v/>
      </c>
      <c r="S288" s="36">
        <f>IF(A288=入力!$B$15,A288+入力!$B$19,S287)</f>
        <v>360</v>
      </c>
      <c r="T288" s="35" t="str">
        <f t="shared" si="79"/>
        <v/>
      </c>
      <c r="U288" s="3">
        <f t="shared" si="64"/>
        <v>0</v>
      </c>
      <c r="V288" s="3">
        <f t="shared" si="65"/>
        <v>0</v>
      </c>
      <c r="W288" s="3">
        <f t="shared" si="66"/>
        <v>0</v>
      </c>
      <c r="X288" s="3">
        <f t="shared" si="67"/>
        <v>0</v>
      </c>
      <c r="Y288" s="3">
        <f>IF(A288&lt;入力!$B$15,ABS(G288-何もしない_月次!G288),0)</f>
        <v>0</v>
      </c>
      <c r="Z288" s="3">
        <f t="shared" si="68"/>
        <v>0</v>
      </c>
      <c r="AA288">
        <f>ROUND(IF(A288=入力!$B$15+1,IF(E288=0,ROUND(C288/入力!$B$19,0),ROUND(-PMT(E288/12,入力!$B$19,C288),0)),IF(OR(AND(入力!$B$13="有効",A288&gt;1,MOD(A288-1,60)=0),AND(A288=入力!$B$11,A288&gt;1)),IF(入力!$B$14="有効",MIN(IF(E288=0,ROUND(C288/MAX(1,S287-A288+1),0),ROUND(-PMT(E288/12,MAX(1,S287-A288+1),C288),0)),ROUND(G287*1.25,0)),IF(E288=0,ROUND(C288/MAX(1,S287-A288+1),0),ROUND(-PMT(E288/12,MAX(1,S287-A288+1),C288),0))),G287)),0)</f>
        <v>116935</v>
      </c>
    </row>
    <row r="289" spans="1:27">
      <c r="A289" s="30">
        <f>284</f>
        <v>284</v>
      </c>
      <c r="B289" s="31">
        <f>EDATE(入力!$B$6,A289-1)</f>
        <v>54848</v>
      </c>
      <c r="C289" s="32">
        <f t="shared" si="69"/>
        <v>8310883</v>
      </c>
      <c r="D289" s="32">
        <f t="shared" si="70"/>
        <v>0</v>
      </c>
      <c r="E289" s="33">
        <f>IF(AND(T288="",A289&lt;=S288),IF(A289&lt;入力!$B$11,入力!$B$10,入力!$B$12),0)</f>
        <v>2.5000000000000001E-2</v>
      </c>
      <c r="F289" s="32">
        <f t="shared" si="71"/>
        <v>17314</v>
      </c>
      <c r="G289" s="32">
        <f>ROUND(IF(NOT(AND(T288="",A289&lt;=S288)),0,IF(A289=入力!$B$15+1,IF(E289=0,ROUND(C289/入力!$B$19,0),ROUND(-PMT(E289/12,入力!$B$19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),0)</f>
        <v>116935</v>
      </c>
      <c r="H289" s="32">
        <f t="shared" si="72"/>
        <v>116935</v>
      </c>
      <c r="I289" s="32">
        <f t="shared" si="73"/>
        <v>17314</v>
      </c>
      <c r="J289" s="32">
        <f t="shared" si="74"/>
        <v>0</v>
      </c>
      <c r="K289" s="32">
        <f t="shared" si="75"/>
        <v>0</v>
      </c>
      <c r="L289" s="32">
        <f t="shared" si="76"/>
        <v>99621</v>
      </c>
      <c r="M289" s="32">
        <f>IF(AND(AND(T288="",A289&lt;=S288),A289=入力!$B$15),ROUND(MIN(入力!$B$16,MAX(0,C289-L289)),0),0)</f>
        <v>0</v>
      </c>
      <c r="N289" s="32">
        <f t="shared" si="77"/>
        <v>8211262</v>
      </c>
      <c r="O289" s="32">
        <f t="shared" si="78"/>
        <v>10076142</v>
      </c>
      <c r="P289" s="34" t="str">
        <f>IF(NOT(AND(T288="",A289&lt;=S288)),"",IF(A289=入力!$B$15+1,"繰上返済後再計算","")&amp;IF(AND(入力!$B$13="有効",A289&gt;1,MOD(A289-1,60)=0),IF(A289=入力!$B$15+1,"・","")&amp;"5年見直し","")&amp;IF(AND(A289=入力!$B$11,A289&gt;1),IF(OR(A289=入力!$B$15+1,AND(入力!$B$13="有効",A289&gt;1,MOD(A289-1,60)=0)),"・","")&amp;"金利変更","")&amp;IF(AND(OR(AND(入力!$B$13="有効",A289&gt;1,MOD(A289-1,60)=0),AND(A289=入力!$B$11,A289&gt;1)),入力!$B$14="有効",IF(E289=0,ROUND(C289/MAX(1,S288-A289+1),0),ROUND(-PMT(E289/12,MAX(1,S288-A289+1),C289),0))&gt;ROUND(G288*1.25,0),NOT(A289=入力!$B$15+1)),"・上限適用",""))</f>
        <v/>
      </c>
      <c r="Q289" s="35" t="str">
        <f>IF(AND(T288="",A289&lt;=S288),入力!$B$13,"")</f>
        <v>有効</v>
      </c>
      <c r="R289" s="32" t="str">
        <f>IF(AND(AND(T288="",A289&lt;=S288),OR(AND(入力!$B$13="有効",A289&gt;1,MOD(A289-1,60)=0),AND(A289=入力!$B$11,A289&gt;1)),入力!$B$14="有効"),ROUND(G288*1.25,0),"")</f>
        <v/>
      </c>
      <c r="S289" s="36">
        <f>IF(A289=入力!$B$15,A289+入力!$B$19,S288)</f>
        <v>360</v>
      </c>
      <c r="T289" s="35" t="str">
        <f t="shared" si="79"/>
        <v/>
      </c>
      <c r="U289" s="3">
        <f t="shared" si="64"/>
        <v>0</v>
      </c>
      <c r="V289" s="3">
        <f t="shared" si="65"/>
        <v>0</v>
      </c>
      <c r="W289" s="3">
        <f t="shared" si="66"/>
        <v>0</v>
      </c>
      <c r="X289" s="3">
        <f t="shared" si="67"/>
        <v>0</v>
      </c>
      <c r="Y289" s="3">
        <f>IF(A289&lt;入力!$B$15,ABS(G289-何もしない_月次!G289),0)</f>
        <v>0</v>
      </c>
      <c r="Z289" s="3">
        <f t="shared" si="68"/>
        <v>0</v>
      </c>
      <c r="AA289">
        <f>ROUND(IF(A289=入力!$B$15+1,IF(E289=0,ROUND(C289/入力!$B$19,0),ROUND(-PMT(E289/12,入力!$B$19,C289),0)),IF(OR(AND(入力!$B$13="有効",A289&gt;1,MOD(A289-1,60)=0),AND(A289=入力!$B$11,A289&gt;1)),IF(入力!$B$14="有効",MIN(IF(E289=0,ROUND(C289/MAX(1,S288-A289+1),0),ROUND(-PMT(E289/12,MAX(1,S288-A289+1),C289),0)),ROUND(G288*1.25,0)),IF(E289=0,ROUND(C289/MAX(1,S288-A289+1),0),ROUND(-PMT(E289/12,MAX(1,S288-A289+1),C289),0))),G288)),0)</f>
        <v>116935</v>
      </c>
    </row>
    <row r="290" spans="1:27">
      <c r="A290" s="30">
        <f>285</f>
        <v>285</v>
      </c>
      <c r="B290" s="31">
        <f>EDATE(入力!$B$6,A290-1)</f>
        <v>54879</v>
      </c>
      <c r="C290" s="32">
        <f t="shared" si="69"/>
        <v>8211262</v>
      </c>
      <c r="D290" s="32">
        <f t="shared" si="70"/>
        <v>0</v>
      </c>
      <c r="E290" s="33">
        <f>IF(AND(T289="",A290&lt;=S289),IF(A290&lt;入力!$B$11,入力!$B$10,入力!$B$12),0)</f>
        <v>2.5000000000000001E-2</v>
      </c>
      <c r="F290" s="32">
        <f t="shared" si="71"/>
        <v>17107</v>
      </c>
      <c r="G290" s="32">
        <f>ROUND(IF(NOT(AND(T289="",A290&lt;=S289)),0,IF(A290=入力!$B$15+1,IF(E290=0,ROUND(C290/入力!$B$19,0),ROUND(-PMT(E290/12,入力!$B$19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),0)</f>
        <v>116935</v>
      </c>
      <c r="H290" s="32">
        <f t="shared" si="72"/>
        <v>116935</v>
      </c>
      <c r="I290" s="32">
        <f t="shared" si="73"/>
        <v>17107</v>
      </c>
      <c r="J290" s="32">
        <f t="shared" si="74"/>
        <v>0</v>
      </c>
      <c r="K290" s="32">
        <f t="shared" si="75"/>
        <v>0</v>
      </c>
      <c r="L290" s="32">
        <f t="shared" si="76"/>
        <v>99828</v>
      </c>
      <c r="M290" s="32">
        <f>IF(AND(AND(T289="",A290&lt;=S289),A290=入力!$B$15),ROUND(MIN(入力!$B$16,MAX(0,C290-L290)),0),0)</f>
        <v>0</v>
      </c>
      <c r="N290" s="32">
        <f t="shared" si="77"/>
        <v>8111434</v>
      </c>
      <c r="O290" s="32">
        <f t="shared" si="78"/>
        <v>10093249</v>
      </c>
      <c r="P290" s="34" t="str">
        <f>IF(NOT(AND(T289="",A290&lt;=S289)),"",IF(A290=入力!$B$15+1,"繰上返済後再計算","")&amp;IF(AND(入力!$B$13="有効",A290&gt;1,MOD(A290-1,60)=0),IF(A290=入力!$B$15+1,"・","")&amp;"5年見直し","")&amp;IF(AND(A290=入力!$B$11,A290&gt;1),IF(OR(A290=入力!$B$15+1,AND(入力!$B$13="有効",A290&gt;1,MOD(A290-1,60)=0)),"・","")&amp;"金利変更","")&amp;IF(AND(OR(AND(入力!$B$13="有効",A290&gt;1,MOD(A290-1,60)=0),AND(A290=入力!$B$11,A290&gt;1)),入力!$B$14="有効",IF(E290=0,ROUND(C290/MAX(1,S289-A290+1),0),ROUND(-PMT(E290/12,MAX(1,S289-A290+1),C290),0))&gt;ROUND(G289*1.25,0),NOT(A290=入力!$B$15+1)),"・上限適用",""))</f>
        <v/>
      </c>
      <c r="Q290" s="35" t="str">
        <f>IF(AND(T289="",A290&lt;=S289),入力!$B$13,"")</f>
        <v>有効</v>
      </c>
      <c r="R290" s="32" t="str">
        <f>IF(AND(AND(T289="",A290&lt;=S289),OR(AND(入力!$B$13="有効",A290&gt;1,MOD(A290-1,60)=0),AND(A290=入力!$B$11,A290&gt;1)),入力!$B$14="有効"),ROUND(G289*1.25,0),"")</f>
        <v/>
      </c>
      <c r="S290" s="36">
        <f>IF(A290=入力!$B$15,A290+入力!$B$19,S289)</f>
        <v>360</v>
      </c>
      <c r="T290" s="35" t="str">
        <f t="shared" si="79"/>
        <v/>
      </c>
      <c r="U290" s="3">
        <f t="shared" si="64"/>
        <v>0</v>
      </c>
      <c r="V290" s="3">
        <f t="shared" si="65"/>
        <v>0</v>
      </c>
      <c r="W290" s="3">
        <f t="shared" si="66"/>
        <v>0</v>
      </c>
      <c r="X290" s="3">
        <f t="shared" si="67"/>
        <v>0</v>
      </c>
      <c r="Y290" s="3">
        <f>IF(A290&lt;入力!$B$15,ABS(G290-何もしない_月次!G290),0)</f>
        <v>0</v>
      </c>
      <c r="Z290" s="3">
        <f t="shared" si="68"/>
        <v>0</v>
      </c>
      <c r="AA290">
        <f>ROUND(IF(A290=入力!$B$15+1,IF(E290=0,ROUND(C290/入力!$B$19,0),ROUND(-PMT(E290/12,入力!$B$19,C290),0)),IF(OR(AND(入力!$B$13="有効",A290&gt;1,MOD(A290-1,60)=0),AND(A290=入力!$B$11,A290&gt;1)),IF(入力!$B$14="有効",MIN(IF(E290=0,ROUND(C290/MAX(1,S289-A290+1),0),ROUND(-PMT(E290/12,MAX(1,S289-A290+1),C290),0)),ROUND(G289*1.25,0)),IF(E290=0,ROUND(C290/MAX(1,S289-A290+1),0),ROUND(-PMT(E290/12,MAX(1,S289-A290+1),C290),0))),G289)),0)</f>
        <v>116935</v>
      </c>
    </row>
    <row r="291" spans="1:27">
      <c r="A291" s="30">
        <f>286</f>
        <v>286</v>
      </c>
      <c r="B291" s="31">
        <f>EDATE(入力!$B$6,A291-1)</f>
        <v>54909</v>
      </c>
      <c r="C291" s="32">
        <f t="shared" si="69"/>
        <v>8111434</v>
      </c>
      <c r="D291" s="32">
        <f t="shared" si="70"/>
        <v>0</v>
      </c>
      <c r="E291" s="33">
        <f>IF(AND(T290="",A291&lt;=S290),IF(A291&lt;入力!$B$11,入力!$B$10,入力!$B$12),0)</f>
        <v>2.5000000000000001E-2</v>
      </c>
      <c r="F291" s="32">
        <f t="shared" si="71"/>
        <v>16899</v>
      </c>
      <c r="G291" s="32">
        <f>ROUND(IF(NOT(AND(T290="",A291&lt;=S290)),0,IF(A291=入力!$B$15+1,IF(E291=0,ROUND(C291/入力!$B$19,0),ROUND(-PMT(E291/12,入力!$B$19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),0)</f>
        <v>116935</v>
      </c>
      <c r="H291" s="32">
        <f t="shared" si="72"/>
        <v>116935</v>
      </c>
      <c r="I291" s="32">
        <f t="shared" si="73"/>
        <v>16899</v>
      </c>
      <c r="J291" s="32">
        <f t="shared" si="74"/>
        <v>0</v>
      </c>
      <c r="K291" s="32">
        <f t="shared" si="75"/>
        <v>0</v>
      </c>
      <c r="L291" s="32">
        <f t="shared" si="76"/>
        <v>100036</v>
      </c>
      <c r="M291" s="32">
        <f>IF(AND(AND(T290="",A291&lt;=S290),A291=入力!$B$15),ROUND(MIN(入力!$B$16,MAX(0,C291-L291)),0),0)</f>
        <v>0</v>
      </c>
      <c r="N291" s="32">
        <f t="shared" si="77"/>
        <v>8011398</v>
      </c>
      <c r="O291" s="32">
        <f t="shared" si="78"/>
        <v>10110148</v>
      </c>
      <c r="P291" s="34" t="str">
        <f>IF(NOT(AND(T290="",A291&lt;=S290)),"",IF(A291=入力!$B$15+1,"繰上返済後再計算","")&amp;IF(AND(入力!$B$13="有効",A291&gt;1,MOD(A291-1,60)=0),IF(A291=入力!$B$15+1,"・","")&amp;"5年見直し","")&amp;IF(AND(A291=入力!$B$11,A291&gt;1),IF(OR(A291=入力!$B$15+1,AND(入力!$B$13="有効",A291&gt;1,MOD(A291-1,60)=0)),"・","")&amp;"金利変更","")&amp;IF(AND(OR(AND(入力!$B$13="有効",A291&gt;1,MOD(A291-1,60)=0),AND(A291=入力!$B$11,A291&gt;1)),入力!$B$14="有効",IF(E291=0,ROUND(C291/MAX(1,S290-A291+1),0),ROUND(-PMT(E291/12,MAX(1,S290-A291+1),C291),0))&gt;ROUND(G290*1.25,0),NOT(A291=入力!$B$15+1)),"・上限適用",""))</f>
        <v/>
      </c>
      <c r="Q291" s="35" t="str">
        <f>IF(AND(T290="",A291&lt;=S290),入力!$B$13,"")</f>
        <v>有効</v>
      </c>
      <c r="R291" s="32" t="str">
        <f>IF(AND(AND(T290="",A291&lt;=S290),OR(AND(入力!$B$13="有効",A291&gt;1,MOD(A291-1,60)=0),AND(A291=入力!$B$11,A291&gt;1)),入力!$B$14="有効"),ROUND(G290*1.25,0),"")</f>
        <v/>
      </c>
      <c r="S291" s="36">
        <f>IF(A291=入力!$B$15,A291+入力!$B$19,S290)</f>
        <v>360</v>
      </c>
      <c r="T291" s="35" t="str">
        <f t="shared" si="79"/>
        <v/>
      </c>
      <c r="U291" s="3">
        <f t="shared" si="64"/>
        <v>0</v>
      </c>
      <c r="V291" s="3">
        <f t="shared" si="65"/>
        <v>0</v>
      </c>
      <c r="W291" s="3">
        <f t="shared" si="66"/>
        <v>0</v>
      </c>
      <c r="X291" s="3">
        <f t="shared" si="67"/>
        <v>0</v>
      </c>
      <c r="Y291" s="3">
        <f>IF(A291&lt;入力!$B$15,ABS(G291-何もしない_月次!G291),0)</f>
        <v>0</v>
      </c>
      <c r="Z291" s="3">
        <f t="shared" si="68"/>
        <v>0</v>
      </c>
      <c r="AA291">
        <f>ROUND(IF(A291=入力!$B$15+1,IF(E291=0,ROUND(C291/入力!$B$19,0),ROUND(-PMT(E291/12,入力!$B$19,C291),0)),IF(OR(AND(入力!$B$13="有効",A291&gt;1,MOD(A291-1,60)=0),AND(A291=入力!$B$11,A291&gt;1)),IF(入力!$B$14="有効",MIN(IF(E291=0,ROUND(C291/MAX(1,S290-A291+1),0),ROUND(-PMT(E291/12,MAX(1,S290-A291+1),C291),0)),ROUND(G290*1.25,0)),IF(E291=0,ROUND(C291/MAX(1,S290-A291+1),0),ROUND(-PMT(E291/12,MAX(1,S290-A291+1),C291),0))),G290)),0)</f>
        <v>116935</v>
      </c>
    </row>
    <row r="292" spans="1:27">
      <c r="A292" s="30">
        <f>287</f>
        <v>287</v>
      </c>
      <c r="B292" s="31">
        <f>EDATE(入力!$B$6,A292-1)</f>
        <v>54940</v>
      </c>
      <c r="C292" s="32">
        <f t="shared" si="69"/>
        <v>8011398</v>
      </c>
      <c r="D292" s="32">
        <f t="shared" si="70"/>
        <v>0</v>
      </c>
      <c r="E292" s="33">
        <f>IF(AND(T291="",A292&lt;=S291),IF(A292&lt;入力!$B$11,入力!$B$10,入力!$B$12),0)</f>
        <v>2.5000000000000001E-2</v>
      </c>
      <c r="F292" s="32">
        <f t="shared" si="71"/>
        <v>16690</v>
      </c>
      <c r="G292" s="32">
        <f>ROUND(IF(NOT(AND(T291="",A292&lt;=S291)),0,IF(A292=入力!$B$15+1,IF(E292=0,ROUND(C292/入力!$B$19,0),ROUND(-PMT(E292/12,入力!$B$19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),0)</f>
        <v>116935</v>
      </c>
      <c r="H292" s="32">
        <f t="shared" si="72"/>
        <v>116935</v>
      </c>
      <c r="I292" s="32">
        <f t="shared" si="73"/>
        <v>16690</v>
      </c>
      <c r="J292" s="32">
        <f t="shared" si="74"/>
        <v>0</v>
      </c>
      <c r="K292" s="32">
        <f t="shared" si="75"/>
        <v>0</v>
      </c>
      <c r="L292" s="32">
        <f t="shared" si="76"/>
        <v>100245</v>
      </c>
      <c r="M292" s="32">
        <f>IF(AND(AND(T291="",A292&lt;=S291),A292=入力!$B$15),ROUND(MIN(入力!$B$16,MAX(0,C292-L292)),0),0)</f>
        <v>0</v>
      </c>
      <c r="N292" s="32">
        <f t="shared" si="77"/>
        <v>7911153</v>
      </c>
      <c r="O292" s="32">
        <f t="shared" si="78"/>
        <v>10126838</v>
      </c>
      <c r="P292" s="34" t="str">
        <f>IF(NOT(AND(T291="",A292&lt;=S291)),"",IF(A292=入力!$B$15+1,"繰上返済後再計算","")&amp;IF(AND(入力!$B$13="有効",A292&gt;1,MOD(A292-1,60)=0),IF(A292=入力!$B$15+1,"・","")&amp;"5年見直し","")&amp;IF(AND(A292=入力!$B$11,A292&gt;1),IF(OR(A292=入力!$B$15+1,AND(入力!$B$13="有効",A292&gt;1,MOD(A292-1,60)=0)),"・","")&amp;"金利変更","")&amp;IF(AND(OR(AND(入力!$B$13="有効",A292&gt;1,MOD(A292-1,60)=0),AND(A292=入力!$B$11,A292&gt;1)),入力!$B$14="有効",IF(E292=0,ROUND(C292/MAX(1,S291-A292+1),0),ROUND(-PMT(E292/12,MAX(1,S291-A292+1),C292),0))&gt;ROUND(G291*1.25,0),NOT(A292=入力!$B$15+1)),"・上限適用",""))</f>
        <v/>
      </c>
      <c r="Q292" s="35" t="str">
        <f>IF(AND(T291="",A292&lt;=S291),入力!$B$13,"")</f>
        <v>有効</v>
      </c>
      <c r="R292" s="32" t="str">
        <f>IF(AND(AND(T291="",A292&lt;=S291),OR(AND(入力!$B$13="有効",A292&gt;1,MOD(A292-1,60)=0),AND(A292=入力!$B$11,A292&gt;1)),入力!$B$14="有効"),ROUND(G291*1.25,0),"")</f>
        <v/>
      </c>
      <c r="S292" s="36">
        <f>IF(A292=入力!$B$15,A292+入力!$B$19,S291)</f>
        <v>360</v>
      </c>
      <c r="T292" s="35" t="str">
        <f t="shared" si="79"/>
        <v/>
      </c>
      <c r="U292" s="3">
        <f t="shared" si="64"/>
        <v>0</v>
      </c>
      <c r="V292" s="3">
        <f t="shared" si="65"/>
        <v>0</v>
      </c>
      <c r="W292" s="3">
        <f t="shared" si="66"/>
        <v>0</v>
      </c>
      <c r="X292" s="3">
        <f t="shared" si="67"/>
        <v>0</v>
      </c>
      <c r="Y292" s="3">
        <f>IF(A292&lt;入力!$B$15,ABS(G292-何もしない_月次!G292),0)</f>
        <v>0</v>
      </c>
      <c r="Z292" s="3">
        <f t="shared" si="68"/>
        <v>0</v>
      </c>
      <c r="AA292">
        <f>ROUND(IF(A292=入力!$B$15+1,IF(E292=0,ROUND(C292/入力!$B$19,0),ROUND(-PMT(E292/12,入力!$B$19,C292),0)),IF(OR(AND(入力!$B$13="有効",A292&gt;1,MOD(A292-1,60)=0),AND(A292=入力!$B$11,A292&gt;1)),IF(入力!$B$14="有効",MIN(IF(E292=0,ROUND(C292/MAX(1,S291-A292+1),0),ROUND(-PMT(E292/12,MAX(1,S291-A292+1),C292),0)),ROUND(G291*1.25,0)),IF(E292=0,ROUND(C292/MAX(1,S291-A292+1),0),ROUND(-PMT(E292/12,MAX(1,S291-A292+1),C292),0))),G291)),0)</f>
        <v>116935</v>
      </c>
    </row>
    <row r="293" spans="1:27">
      <c r="A293" s="30">
        <f>288</f>
        <v>288</v>
      </c>
      <c r="B293" s="31">
        <f>EDATE(入力!$B$6,A293-1)</f>
        <v>54970</v>
      </c>
      <c r="C293" s="32">
        <f t="shared" si="69"/>
        <v>7911153</v>
      </c>
      <c r="D293" s="32">
        <f t="shared" si="70"/>
        <v>0</v>
      </c>
      <c r="E293" s="33">
        <f>IF(AND(T292="",A293&lt;=S292),IF(A293&lt;入力!$B$11,入力!$B$10,入力!$B$12),0)</f>
        <v>2.5000000000000001E-2</v>
      </c>
      <c r="F293" s="32">
        <f t="shared" si="71"/>
        <v>16482</v>
      </c>
      <c r="G293" s="32">
        <f>ROUND(IF(NOT(AND(T292="",A293&lt;=S292)),0,IF(A293=入力!$B$15+1,IF(E293=0,ROUND(C293/入力!$B$19,0),ROUND(-PMT(E293/12,入力!$B$19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),0)</f>
        <v>116935</v>
      </c>
      <c r="H293" s="32">
        <f t="shared" si="72"/>
        <v>116935</v>
      </c>
      <c r="I293" s="32">
        <f t="shared" si="73"/>
        <v>16482</v>
      </c>
      <c r="J293" s="32">
        <f t="shared" si="74"/>
        <v>0</v>
      </c>
      <c r="K293" s="32">
        <f t="shared" si="75"/>
        <v>0</v>
      </c>
      <c r="L293" s="32">
        <f t="shared" si="76"/>
        <v>100453</v>
      </c>
      <c r="M293" s="32">
        <f>IF(AND(AND(T292="",A293&lt;=S292),A293=入力!$B$15),ROUND(MIN(入力!$B$16,MAX(0,C293-L293)),0),0)</f>
        <v>0</v>
      </c>
      <c r="N293" s="32">
        <f t="shared" si="77"/>
        <v>7810700</v>
      </c>
      <c r="O293" s="32">
        <f t="shared" si="78"/>
        <v>10143320</v>
      </c>
      <c r="P293" s="34" t="str">
        <f>IF(NOT(AND(T292="",A293&lt;=S292)),"",IF(A293=入力!$B$15+1,"繰上返済後再計算","")&amp;IF(AND(入力!$B$13="有効",A293&gt;1,MOD(A293-1,60)=0),IF(A293=入力!$B$15+1,"・","")&amp;"5年見直し","")&amp;IF(AND(A293=入力!$B$11,A293&gt;1),IF(OR(A293=入力!$B$15+1,AND(入力!$B$13="有効",A293&gt;1,MOD(A293-1,60)=0)),"・","")&amp;"金利変更","")&amp;IF(AND(OR(AND(入力!$B$13="有効",A293&gt;1,MOD(A293-1,60)=0),AND(A293=入力!$B$11,A293&gt;1)),入力!$B$14="有効",IF(E293=0,ROUND(C293/MAX(1,S292-A293+1),0),ROUND(-PMT(E293/12,MAX(1,S292-A293+1),C293),0))&gt;ROUND(G292*1.25,0),NOT(A293=入力!$B$15+1)),"・上限適用",""))</f>
        <v/>
      </c>
      <c r="Q293" s="35" t="str">
        <f>IF(AND(T292="",A293&lt;=S292),入力!$B$13,"")</f>
        <v>有効</v>
      </c>
      <c r="R293" s="32" t="str">
        <f>IF(AND(AND(T292="",A293&lt;=S292),OR(AND(入力!$B$13="有効",A293&gt;1,MOD(A293-1,60)=0),AND(A293=入力!$B$11,A293&gt;1)),入力!$B$14="有効"),ROUND(G292*1.25,0),"")</f>
        <v/>
      </c>
      <c r="S293" s="36">
        <f>IF(A293=入力!$B$15,A293+入力!$B$19,S292)</f>
        <v>360</v>
      </c>
      <c r="T293" s="35" t="str">
        <f t="shared" si="79"/>
        <v/>
      </c>
      <c r="U293" s="3">
        <f t="shared" si="64"/>
        <v>0</v>
      </c>
      <c r="V293" s="3">
        <f t="shared" si="65"/>
        <v>0</v>
      </c>
      <c r="W293" s="3">
        <f t="shared" si="66"/>
        <v>0</v>
      </c>
      <c r="X293" s="3">
        <f t="shared" si="67"/>
        <v>0</v>
      </c>
      <c r="Y293" s="3">
        <f>IF(A293&lt;入力!$B$15,ABS(G293-何もしない_月次!G293),0)</f>
        <v>0</v>
      </c>
      <c r="Z293" s="3">
        <f t="shared" si="68"/>
        <v>0</v>
      </c>
      <c r="AA293">
        <f>ROUND(IF(A293=入力!$B$15+1,IF(E293=0,ROUND(C293/入力!$B$19,0),ROUND(-PMT(E293/12,入力!$B$19,C293),0)),IF(OR(AND(入力!$B$13="有効",A293&gt;1,MOD(A293-1,60)=0),AND(A293=入力!$B$11,A293&gt;1)),IF(入力!$B$14="有効",MIN(IF(E293=0,ROUND(C293/MAX(1,S292-A293+1),0),ROUND(-PMT(E293/12,MAX(1,S292-A293+1),C293),0)),ROUND(G292*1.25,0)),IF(E293=0,ROUND(C293/MAX(1,S292-A293+1),0),ROUND(-PMT(E293/12,MAX(1,S292-A293+1),C293),0))),G292)),0)</f>
        <v>116935</v>
      </c>
    </row>
    <row r="294" spans="1:27">
      <c r="A294" s="30">
        <f>289</f>
        <v>289</v>
      </c>
      <c r="B294" s="31">
        <f>EDATE(入力!$B$6,A294-1)</f>
        <v>55001</v>
      </c>
      <c r="C294" s="32">
        <f t="shared" si="69"/>
        <v>7810700</v>
      </c>
      <c r="D294" s="32">
        <f t="shared" si="70"/>
        <v>0</v>
      </c>
      <c r="E294" s="33">
        <f>IF(AND(T293="",A294&lt;=S293),IF(A294&lt;入力!$B$11,入力!$B$10,入力!$B$12),0)</f>
        <v>2.5000000000000001E-2</v>
      </c>
      <c r="F294" s="32">
        <f t="shared" si="71"/>
        <v>16272</v>
      </c>
      <c r="G294" s="32">
        <f>ROUND(IF(NOT(AND(T293="",A294&lt;=S293)),0,IF(A294=入力!$B$15+1,IF(E294=0,ROUND(C294/入力!$B$19,0),ROUND(-PMT(E294/12,入力!$B$19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),0)</f>
        <v>116935</v>
      </c>
      <c r="H294" s="32">
        <f t="shared" si="72"/>
        <v>116935</v>
      </c>
      <c r="I294" s="32">
        <f t="shared" si="73"/>
        <v>16272</v>
      </c>
      <c r="J294" s="32">
        <f t="shared" si="74"/>
        <v>0</v>
      </c>
      <c r="K294" s="32">
        <f t="shared" si="75"/>
        <v>0</v>
      </c>
      <c r="L294" s="32">
        <f t="shared" si="76"/>
        <v>100663</v>
      </c>
      <c r="M294" s="32">
        <f>IF(AND(AND(T293="",A294&lt;=S293),A294=入力!$B$15),ROUND(MIN(入力!$B$16,MAX(0,C294-L294)),0),0)</f>
        <v>0</v>
      </c>
      <c r="N294" s="32">
        <f t="shared" si="77"/>
        <v>7710037</v>
      </c>
      <c r="O294" s="32">
        <f t="shared" si="78"/>
        <v>10159592</v>
      </c>
      <c r="P294" s="34" t="str">
        <f>IF(NOT(AND(T293="",A294&lt;=S293)),"",IF(A294=入力!$B$15+1,"繰上返済後再計算","")&amp;IF(AND(入力!$B$13="有効",A294&gt;1,MOD(A294-1,60)=0),IF(A294=入力!$B$15+1,"・","")&amp;"5年見直し","")&amp;IF(AND(A294=入力!$B$11,A294&gt;1),IF(OR(A294=入力!$B$15+1,AND(入力!$B$13="有効",A294&gt;1,MOD(A294-1,60)=0)),"・","")&amp;"金利変更","")&amp;IF(AND(OR(AND(入力!$B$13="有効",A294&gt;1,MOD(A294-1,60)=0),AND(A294=入力!$B$11,A294&gt;1)),入力!$B$14="有効",IF(E294=0,ROUND(C294/MAX(1,S293-A294+1),0),ROUND(-PMT(E294/12,MAX(1,S293-A294+1),C294),0))&gt;ROUND(G293*1.25,0),NOT(A294=入力!$B$15+1)),"・上限適用",""))</f>
        <v/>
      </c>
      <c r="Q294" s="35" t="str">
        <f>IF(AND(T293="",A294&lt;=S293),入力!$B$13,"")</f>
        <v>有効</v>
      </c>
      <c r="R294" s="32" t="str">
        <f>IF(AND(AND(T293="",A294&lt;=S293),OR(AND(入力!$B$13="有効",A294&gt;1,MOD(A294-1,60)=0),AND(A294=入力!$B$11,A294&gt;1)),入力!$B$14="有効"),ROUND(G293*1.25,0),"")</f>
        <v/>
      </c>
      <c r="S294" s="36">
        <f>IF(A294=入力!$B$15,A294+入力!$B$19,S293)</f>
        <v>360</v>
      </c>
      <c r="T294" s="35" t="str">
        <f t="shared" si="79"/>
        <v/>
      </c>
      <c r="U294" s="3">
        <f t="shared" si="64"/>
        <v>0</v>
      </c>
      <c r="V294" s="3">
        <f t="shared" si="65"/>
        <v>0</v>
      </c>
      <c r="W294" s="3">
        <f t="shared" si="66"/>
        <v>0</v>
      </c>
      <c r="X294" s="3">
        <f t="shared" si="67"/>
        <v>0</v>
      </c>
      <c r="Y294" s="3">
        <f>IF(A294&lt;入力!$B$15,ABS(G294-何もしない_月次!G294),0)</f>
        <v>0</v>
      </c>
      <c r="Z294" s="3">
        <f t="shared" si="68"/>
        <v>0</v>
      </c>
      <c r="AA294">
        <f>ROUND(IF(A294=入力!$B$15+1,IF(E294=0,ROUND(C294/入力!$B$19,0),ROUND(-PMT(E294/12,入力!$B$19,C294),0)),IF(OR(AND(入力!$B$13="有効",A294&gt;1,MOD(A294-1,60)=0),AND(A294=入力!$B$11,A294&gt;1)),IF(入力!$B$14="有効",MIN(IF(E294=0,ROUND(C294/MAX(1,S293-A294+1),0),ROUND(-PMT(E294/12,MAX(1,S293-A294+1),C294),0)),ROUND(G293*1.25,0)),IF(E294=0,ROUND(C294/MAX(1,S293-A294+1),0),ROUND(-PMT(E294/12,MAX(1,S293-A294+1),C294),0))),G293)),0)</f>
        <v>116935</v>
      </c>
    </row>
    <row r="295" spans="1:27">
      <c r="A295" s="30">
        <f>290</f>
        <v>290</v>
      </c>
      <c r="B295" s="31">
        <f>EDATE(入力!$B$6,A295-1)</f>
        <v>55032</v>
      </c>
      <c r="C295" s="32">
        <f t="shared" si="69"/>
        <v>7710037</v>
      </c>
      <c r="D295" s="32">
        <f t="shared" si="70"/>
        <v>0</v>
      </c>
      <c r="E295" s="33">
        <f>IF(AND(T294="",A295&lt;=S294),IF(A295&lt;入力!$B$11,入力!$B$10,入力!$B$12),0)</f>
        <v>2.5000000000000001E-2</v>
      </c>
      <c r="F295" s="32">
        <f t="shared" si="71"/>
        <v>16063</v>
      </c>
      <c r="G295" s="32">
        <f>ROUND(IF(NOT(AND(T294="",A295&lt;=S294)),0,IF(A295=入力!$B$15+1,IF(E295=0,ROUND(C295/入力!$B$19,0),ROUND(-PMT(E295/12,入力!$B$19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),0)</f>
        <v>116935</v>
      </c>
      <c r="H295" s="32">
        <f t="shared" si="72"/>
        <v>116935</v>
      </c>
      <c r="I295" s="32">
        <f t="shared" si="73"/>
        <v>16063</v>
      </c>
      <c r="J295" s="32">
        <f t="shared" si="74"/>
        <v>0</v>
      </c>
      <c r="K295" s="32">
        <f t="shared" si="75"/>
        <v>0</v>
      </c>
      <c r="L295" s="32">
        <f t="shared" si="76"/>
        <v>100872</v>
      </c>
      <c r="M295" s="32">
        <f>IF(AND(AND(T294="",A295&lt;=S294),A295=入力!$B$15),ROUND(MIN(入力!$B$16,MAX(0,C295-L295)),0),0)</f>
        <v>0</v>
      </c>
      <c r="N295" s="32">
        <f t="shared" si="77"/>
        <v>7609165</v>
      </c>
      <c r="O295" s="32">
        <f t="shared" si="78"/>
        <v>10175655</v>
      </c>
      <c r="P295" s="34" t="str">
        <f>IF(NOT(AND(T294="",A295&lt;=S294)),"",IF(A295=入力!$B$15+1,"繰上返済後再計算","")&amp;IF(AND(入力!$B$13="有効",A295&gt;1,MOD(A295-1,60)=0),IF(A295=入力!$B$15+1,"・","")&amp;"5年見直し","")&amp;IF(AND(A295=入力!$B$11,A295&gt;1),IF(OR(A295=入力!$B$15+1,AND(入力!$B$13="有効",A295&gt;1,MOD(A295-1,60)=0)),"・","")&amp;"金利変更","")&amp;IF(AND(OR(AND(入力!$B$13="有効",A295&gt;1,MOD(A295-1,60)=0),AND(A295=入力!$B$11,A295&gt;1)),入力!$B$14="有効",IF(E295=0,ROUND(C295/MAX(1,S294-A295+1),0),ROUND(-PMT(E295/12,MAX(1,S294-A295+1),C295),0))&gt;ROUND(G294*1.25,0),NOT(A295=入力!$B$15+1)),"・上限適用",""))</f>
        <v/>
      </c>
      <c r="Q295" s="35" t="str">
        <f>IF(AND(T294="",A295&lt;=S294),入力!$B$13,"")</f>
        <v>有効</v>
      </c>
      <c r="R295" s="32" t="str">
        <f>IF(AND(AND(T294="",A295&lt;=S294),OR(AND(入力!$B$13="有効",A295&gt;1,MOD(A295-1,60)=0),AND(A295=入力!$B$11,A295&gt;1)),入力!$B$14="有効"),ROUND(G294*1.25,0),"")</f>
        <v/>
      </c>
      <c r="S295" s="36">
        <f>IF(A295=入力!$B$15,A295+入力!$B$19,S294)</f>
        <v>360</v>
      </c>
      <c r="T295" s="35" t="str">
        <f t="shared" si="79"/>
        <v/>
      </c>
      <c r="U295" s="3">
        <f t="shared" si="64"/>
        <v>0</v>
      </c>
      <c r="V295" s="3">
        <f t="shared" si="65"/>
        <v>0</v>
      </c>
      <c r="W295" s="3">
        <f t="shared" si="66"/>
        <v>0</v>
      </c>
      <c r="X295" s="3">
        <f t="shared" si="67"/>
        <v>0</v>
      </c>
      <c r="Y295" s="3">
        <f>IF(A295&lt;入力!$B$15,ABS(G295-何もしない_月次!G295),0)</f>
        <v>0</v>
      </c>
      <c r="Z295" s="3">
        <f t="shared" si="68"/>
        <v>0</v>
      </c>
      <c r="AA295">
        <f>ROUND(IF(A295=入力!$B$15+1,IF(E295=0,ROUND(C295/入力!$B$19,0),ROUND(-PMT(E295/12,入力!$B$19,C295),0)),IF(OR(AND(入力!$B$13="有効",A295&gt;1,MOD(A295-1,60)=0),AND(A295=入力!$B$11,A295&gt;1)),IF(入力!$B$14="有効",MIN(IF(E295=0,ROUND(C295/MAX(1,S294-A295+1),0),ROUND(-PMT(E295/12,MAX(1,S294-A295+1),C295),0)),ROUND(G294*1.25,0)),IF(E295=0,ROUND(C295/MAX(1,S294-A295+1),0),ROUND(-PMT(E295/12,MAX(1,S294-A295+1),C295),0))),G294)),0)</f>
        <v>116935</v>
      </c>
    </row>
    <row r="296" spans="1:27">
      <c r="A296" s="30">
        <f>291</f>
        <v>291</v>
      </c>
      <c r="B296" s="31">
        <f>EDATE(入力!$B$6,A296-1)</f>
        <v>55062</v>
      </c>
      <c r="C296" s="32">
        <f t="shared" si="69"/>
        <v>7609165</v>
      </c>
      <c r="D296" s="32">
        <f t="shared" si="70"/>
        <v>0</v>
      </c>
      <c r="E296" s="33">
        <f>IF(AND(T295="",A296&lt;=S295),IF(A296&lt;入力!$B$11,入力!$B$10,入力!$B$12),0)</f>
        <v>2.5000000000000001E-2</v>
      </c>
      <c r="F296" s="32">
        <f t="shared" si="71"/>
        <v>15852</v>
      </c>
      <c r="G296" s="32">
        <f>ROUND(IF(NOT(AND(T295="",A296&lt;=S295)),0,IF(A296=入力!$B$15+1,IF(E296=0,ROUND(C296/入力!$B$19,0),ROUND(-PMT(E296/12,入力!$B$19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),0)</f>
        <v>116935</v>
      </c>
      <c r="H296" s="32">
        <f t="shared" si="72"/>
        <v>116935</v>
      </c>
      <c r="I296" s="32">
        <f t="shared" si="73"/>
        <v>15852</v>
      </c>
      <c r="J296" s="32">
        <f t="shared" si="74"/>
        <v>0</v>
      </c>
      <c r="K296" s="32">
        <f t="shared" si="75"/>
        <v>0</v>
      </c>
      <c r="L296" s="32">
        <f t="shared" si="76"/>
        <v>101083</v>
      </c>
      <c r="M296" s="32">
        <f>IF(AND(AND(T295="",A296&lt;=S295),A296=入力!$B$15),ROUND(MIN(入力!$B$16,MAX(0,C296-L296)),0),0)</f>
        <v>0</v>
      </c>
      <c r="N296" s="32">
        <f t="shared" si="77"/>
        <v>7508082</v>
      </c>
      <c r="O296" s="32">
        <f t="shared" si="78"/>
        <v>10191507</v>
      </c>
      <c r="P296" s="34" t="str">
        <f>IF(NOT(AND(T295="",A296&lt;=S295)),"",IF(A296=入力!$B$15+1,"繰上返済後再計算","")&amp;IF(AND(入力!$B$13="有効",A296&gt;1,MOD(A296-1,60)=0),IF(A296=入力!$B$15+1,"・","")&amp;"5年見直し","")&amp;IF(AND(A296=入力!$B$11,A296&gt;1),IF(OR(A296=入力!$B$15+1,AND(入力!$B$13="有効",A296&gt;1,MOD(A296-1,60)=0)),"・","")&amp;"金利変更","")&amp;IF(AND(OR(AND(入力!$B$13="有効",A296&gt;1,MOD(A296-1,60)=0),AND(A296=入力!$B$11,A296&gt;1)),入力!$B$14="有効",IF(E296=0,ROUND(C296/MAX(1,S295-A296+1),0),ROUND(-PMT(E296/12,MAX(1,S295-A296+1),C296),0))&gt;ROUND(G295*1.25,0),NOT(A296=入力!$B$15+1)),"・上限適用",""))</f>
        <v/>
      </c>
      <c r="Q296" s="35" t="str">
        <f>IF(AND(T295="",A296&lt;=S295),入力!$B$13,"")</f>
        <v>有効</v>
      </c>
      <c r="R296" s="32" t="str">
        <f>IF(AND(AND(T295="",A296&lt;=S295),OR(AND(入力!$B$13="有効",A296&gt;1,MOD(A296-1,60)=0),AND(A296=入力!$B$11,A296&gt;1)),入力!$B$14="有効"),ROUND(G295*1.25,0),"")</f>
        <v/>
      </c>
      <c r="S296" s="36">
        <f>IF(A296=入力!$B$15,A296+入力!$B$19,S295)</f>
        <v>360</v>
      </c>
      <c r="T296" s="35" t="str">
        <f t="shared" si="79"/>
        <v/>
      </c>
      <c r="U296" s="3">
        <f t="shared" si="64"/>
        <v>0</v>
      </c>
      <c r="V296" s="3">
        <f t="shared" si="65"/>
        <v>0</v>
      </c>
      <c r="W296" s="3">
        <f t="shared" si="66"/>
        <v>0</v>
      </c>
      <c r="X296" s="3">
        <f t="shared" si="67"/>
        <v>0</v>
      </c>
      <c r="Y296" s="3">
        <f>IF(A296&lt;入力!$B$15,ABS(G296-何もしない_月次!G296),0)</f>
        <v>0</v>
      </c>
      <c r="Z296" s="3">
        <f t="shared" si="68"/>
        <v>0</v>
      </c>
      <c r="AA296">
        <f>ROUND(IF(A296=入力!$B$15+1,IF(E296=0,ROUND(C296/入力!$B$19,0),ROUND(-PMT(E296/12,入力!$B$19,C296),0)),IF(OR(AND(入力!$B$13="有効",A296&gt;1,MOD(A296-1,60)=0),AND(A296=入力!$B$11,A296&gt;1)),IF(入力!$B$14="有効",MIN(IF(E296=0,ROUND(C296/MAX(1,S295-A296+1),0),ROUND(-PMT(E296/12,MAX(1,S295-A296+1),C296),0)),ROUND(G295*1.25,0)),IF(E296=0,ROUND(C296/MAX(1,S295-A296+1),0),ROUND(-PMT(E296/12,MAX(1,S295-A296+1),C296),0))),G295)),0)</f>
        <v>116935</v>
      </c>
    </row>
    <row r="297" spans="1:27">
      <c r="A297" s="30">
        <f>292</f>
        <v>292</v>
      </c>
      <c r="B297" s="31">
        <f>EDATE(入力!$B$6,A297-1)</f>
        <v>55093</v>
      </c>
      <c r="C297" s="32">
        <f t="shared" si="69"/>
        <v>7508082</v>
      </c>
      <c r="D297" s="32">
        <f t="shared" si="70"/>
        <v>0</v>
      </c>
      <c r="E297" s="33">
        <f>IF(AND(T296="",A297&lt;=S296),IF(A297&lt;入力!$B$11,入力!$B$10,入力!$B$12),0)</f>
        <v>2.5000000000000001E-2</v>
      </c>
      <c r="F297" s="32">
        <f t="shared" si="71"/>
        <v>15642</v>
      </c>
      <c r="G297" s="32">
        <f>ROUND(IF(NOT(AND(T296="",A297&lt;=S296)),0,IF(A297=入力!$B$15+1,IF(E297=0,ROUND(C297/入力!$B$19,0),ROUND(-PMT(E297/12,入力!$B$19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),0)</f>
        <v>116935</v>
      </c>
      <c r="H297" s="32">
        <f t="shared" si="72"/>
        <v>116935</v>
      </c>
      <c r="I297" s="32">
        <f t="shared" si="73"/>
        <v>15642</v>
      </c>
      <c r="J297" s="32">
        <f t="shared" si="74"/>
        <v>0</v>
      </c>
      <c r="K297" s="32">
        <f t="shared" si="75"/>
        <v>0</v>
      </c>
      <c r="L297" s="32">
        <f t="shared" si="76"/>
        <v>101293</v>
      </c>
      <c r="M297" s="32">
        <f>IF(AND(AND(T296="",A297&lt;=S296),A297=入力!$B$15),ROUND(MIN(入力!$B$16,MAX(0,C297-L297)),0),0)</f>
        <v>0</v>
      </c>
      <c r="N297" s="32">
        <f t="shared" si="77"/>
        <v>7406789</v>
      </c>
      <c r="O297" s="32">
        <f t="shared" si="78"/>
        <v>10207149</v>
      </c>
      <c r="P297" s="34" t="str">
        <f>IF(NOT(AND(T296="",A297&lt;=S296)),"",IF(A297=入力!$B$15+1,"繰上返済後再計算","")&amp;IF(AND(入力!$B$13="有効",A297&gt;1,MOD(A297-1,60)=0),IF(A297=入力!$B$15+1,"・","")&amp;"5年見直し","")&amp;IF(AND(A297=入力!$B$11,A297&gt;1),IF(OR(A297=入力!$B$15+1,AND(入力!$B$13="有効",A297&gt;1,MOD(A297-1,60)=0)),"・","")&amp;"金利変更","")&amp;IF(AND(OR(AND(入力!$B$13="有効",A297&gt;1,MOD(A297-1,60)=0),AND(A297=入力!$B$11,A297&gt;1)),入力!$B$14="有効",IF(E297=0,ROUND(C297/MAX(1,S296-A297+1),0),ROUND(-PMT(E297/12,MAX(1,S296-A297+1),C297),0))&gt;ROUND(G296*1.25,0),NOT(A297=入力!$B$15+1)),"・上限適用",""))</f>
        <v/>
      </c>
      <c r="Q297" s="35" t="str">
        <f>IF(AND(T296="",A297&lt;=S296),入力!$B$13,"")</f>
        <v>有効</v>
      </c>
      <c r="R297" s="32" t="str">
        <f>IF(AND(AND(T296="",A297&lt;=S296),OR(AND(入力!$B$13="有効",A297&gt;1,MOD(A297-1,60)=0),AND(A297=入力!$B$11,A297&gt;1)),入力!$B$14="有効"),ROUND(G296*1.25,0),"")</f>
        <v/>
      </c>
      <c r="S297" s="36">
        <f>IF(A297=入力!$B$15,A297+入力!$B$19,S296)</f>
        <v>360</v>
      </c>
      <c r="T297" s="35" t="str">
        <f t="shared" si="79"/>
        <v/>
      </c>
      <c r="U297" s="3">
        <f t="shared" si="64"/>
        <v>0</v>
      </c>
      <c r="V297" s="3">
        <f t="shared" si="65"/>
        <v>0</v>
      </c>
      <c r="W297" s="3">
        <f t="shared" si="66"/>
        <v>0</v>
      </c>
      <c r="X297" s="3">
        <f t="shared" si="67"/>
        <v>0</v>
      </c>
      <c r="Y297" s="3">
        <f>IF(A297&lt;入力!$B$15,ABS(G297-何もしない_月次!G297),0)</f>
        <v>0</v>
      </c>
      <c r="Z297" s="3">
        <f t="shared" si="68"/>
        <v>0</v>
      </c>
      <c r="AA297">
        <f>ROUND(IF(A297=入力!$B$15+1,IF(E297=0,ROUND(C297/入力!$B$19,0),ROUND(-PMT(E297/12,入力!$B$19,C297),0)),IF(OR(AND(入力!$B$13="有効",A297&gt;1,MOD(A297-1,60)=0),AND(A297=入力!$B$11,A297&gt;1)),IF(入力!$B$14="有効",MIN(IF(E297=0,ROUND(C297/MAX(1,S296-A297+1),0),ROUND(-PMT(E297/12,MAX(1,S296-A297+1),C297),0)),ROUND(G296*1.25,0)),IF(E297=0,ROUND(C297/MAX(1,S296-A297+1),0),ROUND(-PMT(E297/12,MAX(1,S296-A297+1),C297),0))),G296)),0)</f>
        <v>116935</v>
      </c>
    </row>
    <row r="298" spans="1:27">
      <c r="A298" s="30">
        <f>293</f>
        <v>293</v>
      </c>
      <c r="B298" s="31">
        <f>EDATE(入力!$B$6,A298-1)</f>
        <v>55123</v>
      </c>
      <c r="C298" s="32">
        <f t="shared" si="69"/>
        <v>7406789</v>
      </c>
      <c r="D298" s="32">
        <f t="shared" si="70"/>
        <v>0</v>
      </c>
      <c r="E298" s="33">
        <f>IF(AND(T297="",A298&lt;=S297),IF(A298&lt;入力!$B$11,入力!$B$10,入力!$B$12),0)</f>
        <v>2.5000000000000001E-2</v>
      </c>
      <c r="F298" s="32">
        <f t="shared" si="71"/>
        <v>15431</v>
      </c>
      <c r="G298" s="32">
        <f>ROUND(IF(NOT(AND(T297="",A298&lt;=S297)),0,IF(A298=入力!$B$15+1,IF(E298=0,ROUND(C298/入力!$B$19,0),ROUND(-PMT(E298/12,入力!$B$19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),0)</f>
        <v>116935</v>
      </c>
      <c r="H298" s="32">
        <f t="shared" si="72"/>
        <v>116935</v>
      </c>
      <c r="I298" s="32">
        <f t="shared" si="73"/>
        <v>15431</v>
      </c>
      <c r="J298" s="32">
        <f t="shared" si="74"/>
        <v>0</v>
      </c>
      <c r="K298" s="32">
        <f t="shared" si="75"/>
        <v>0</v>
      </c>
      <c r="L298" s="32">
        <f t="shared" si="76"/>
        <v>101504</v>
      </c>
      <c r="M298" s="32">
        <f>IF(AND(AND(T297="",A298&lt;=S297),A298=入力!$B$15),ROUND(MIN(入力!$B$16,MAX(0,C298-L298)),0),0)</f>
        <v>0</v>
      </c>
      <c r="N298" s="32">
        <f t="shared" si="77"/>
        <v>7305285</v>
      </c>
      <c r="O298" s="32">
        <f t="shared" si="78"/>
        <v>10222580</v>
      </c>
      <c r="P298" s="34" t="str">
        <f>IF(NOT(AND(T297="",A298&lt;=S297)),"",IF(A298=入力!$B$15+1,"繰上返済後再計算","")&amp;IF(AND(入力!$B$13="有効",A298&gt;1,MOD(A298-1,60)=0),IF(A298=入力!$B$15+1,"・","")&amp;"5年見直し","")&amp;IF(AND(A298=入力!$B$11,A298&gt;1),IF(OR(A298=入力!$B$15+1,AND(入力!$B$13="有効",A298&gt;1,MOD(A298-1,60)=0)),"・","")&amp;"金利変更","")&amp;IF(AND(OR(AND(入力!$B$13="有効",A298&gt;1,MOD(A298-1,60)=0),AND(A298=入力!$B$11,A298&gt;1)),入力!$B$14="有効",IF(E298=0,ROUND(C298/MAX(1,S297-A298+1),0),ROUND(-PMT(E298/12,MAX(1,S297-A298+1),C298),0))&gt;ROUND(G297*1.25,0),NOT(A298=入力!$B$15+1)),"・上限適用",""))</f>
        <v/>
      </c>
      <c r="Q298" s="35" t="str">
        <f>IF(AND(T297="",A298&lt;=S297),入力!$B$13,"")</f>
        <v>有効</v>
      </c>
      <c r="R298" s="32" t="str">
        <f>IF(AND(AND(T297="",A298&lt;=S297),OR(AND(入力!$B$13="有効",A298&gt;1,MOD(A298-1,60)=0),AND(A298=入力!$B$11,A298&gt;1)),入力!$B$14="有効"),ROUND(G297*1.25,0),"")</f>
        <v/>
      </c>
      <c r="S298" s="36">
        <f>IF(A298=入力!$B$15,A298+入力!$B$19,S297)</f>
        <v>360</v>
      </c>
      <c r="T298" s="35" t="str">
        <f t="shared" si="79"/>
        <v/>
      </c>
      <c r="U298" s="3">
        <f t="shared" si="64"/>
        <v>0</v>
      </c>
      <c r="V298" s="3">
        <f t="shared" si="65"/>
        <v>0</v>
      </c>
      <c r="W298" s="3">
        <f t="shared" si="66"/>
        <v>0</v>
      </c>
      <c r="X298" s="3">
        <f t="shared" si="67"/>
        <v>0</v>
      </c>
      <c r="Y298" s="3">
        <f>IF(A298&lt;入力!$B$15,ABS(G298-何もしない_月次!G298),0)</f>
        <v>0</v>
      </c>
      <c r="Z298" s="3">
        <f t="shared" si="68"/>
        <v>0</v>
      </c>
      <c r="AA298">
        <f>ROUND(IF(A298=入力!$B$15+1,IF(E298=0,ROUND(C298/入力!$B$19,0),ROUND(-PMT(E298/12,入力!$B$19,C298),0)),IF(OR(AND(入力!$B$13="有効",A298&gt;1,MOD(A298-1,60)=0),AND(A298=入力!$B$11,A298&gt;1)),IF(入力!$B$14="有効",MIN(IF(E298=0,ROUND(C298/MAX(1,S297-A298+1),0),ROUND(-PMT(E298/12,MAX(1,S297-A298+1),C298),0)),ROUND(G297*1.25,0)),IF(E298=0,ROUND(C298/MAX(1,S297-A298+1),0),ROUND(-PMT(E298/12,MAX(1,S297-A298+1),C298),0))),G297)),0)</f>
        <v>116935</v>
      </c>
    </row>
    <row r="299" spans="1:27">
      <c r="A299" s="30">
        <f>294</f>
        <v>294</v>
      </c>
      <c r="B299" s="31">
        <f>EDATE(入力!$B$6,A299-1)</f>
        <v>55154</v>
      </c>
      <c r="C299" s="32">
        <f t="shared" si="69"/>
        <v>7305285</v>
      </c>
      <c r="D299" s="32">
        <f t="shared" si="70"/>
        <v>0</v>
      </c>
      <c r="E299" s="33">
        <f>IF(AND(T298="",A299&lt;=S298),IF(A299&lt;入力!$B$11,入力!$B$10,入力!$B$12),0)</f>
        <v>2.5000000000000001E-2</v>
      </c>
      <c r="F299" s="32">
        <f t="shared" si="71"/>
        <v>15219</v>
      </c>
      <c r="G299" s="32">
        <f>ROUND(IF(NOT(AND(T298="",A299&lt;=S298)),0,IF(A299=入力!$B$15+1,IF(E299=0,ROUND(C299/入力!$B$19,0),ROUND(-PMT(E299/12,入力!$B$19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),0)</f>
        <v>116935</v>
      </c>
      <c r="H299" s="32">
        <f t="shared" si="72"/>
        <v>116935</v>
      </c>
      <c r="I299" s="32">
        <f t="shared" si="73"/>
        <v>15219</v>
      </c>
      <c r="J299" s="32">
        <f t="shared" si="74"/>
        <v>0</v>
      </c>
      <c r="K299" s="32">
        <f t="shared" si="75"/>
        <v>0</v>
      </c>
      <c r="L299" s="32">
        <f t="shared" si="76"/>
        <v>101716</v>
      </c>
      <c r="M299" s="32">
        <f>IF(AND(AND(T298="",A299&lt;=S298),A299=入力!$B$15),ROUND(MIN(入力!$B$16,MAX(0,C299-L299)),0),0)</f>
        <v>0</v>
      </c>
      <c r="N299" s="32">
        <f t="shared" si="77"/>
        <v>7203569</v>
      </c>
      <c r="O299" s="32">
        <f t="shared" si="78"/>
        <v>10237799</v>
      </c>
      <c r="P299" s="34" t="str">
        <f>IF(NOT(AND(T298="",A299&lt;=S298)),"",IF(A299=入力!$B$15+1,"繰上返済後再計算","")&amp;IF(AND(入力!$B$13="有効",A299&gt;1,MOD(A299-1,60)=0),IF(A299=入力!$B$15+1,"・","")&amp;"5年見直し","")&amp;IF(AND(A299=入力!$B$11,A299&gt;1),IF(OR(A299=入力!$B$15+1,AND(入力!$B$13="有効",A299&gt;1,MOD(A299-1,60)=0)),"・","")&amp;"金利変更","")&amp;IF(AND(OR(AND(入力!$B$13="有効",A299&gt;1,MOD(A299-1,60)=0),AND(A299=入力!$B$11,A299&gt;1)),入力!$B$14="有効",IF(E299=0,ROUND(C299/MAX(1,S298-A299+1),0),ROUND(-PMT(E299/12,MAX(1,S298-A299+1),C299),0))&gt;ROUND(G298*1.25,0),NOT(A299=入力!$B$15+1)),"・上限適用",""))</f>
        <v/>
      </c>
      <c r="Q299" s="35" t="str">
        <f>IF(AND(T298="",A299&lt;=S298),入力!$B$13,"")</f>
        <v>有効</v>
      </c>
      <c r="R299" s="32" t="str">
        <f>IF(AND(AND(T298="",A299&lt;=S298),OR(AND(入力!$B$13="有効",A299&gt;1,MOD(A299-1,60)=0),AND(A299=入力!$B$11,A299&gt;1)),入力!$B$14="有効"),ROUND(G298*1.25,0),"")</f>
        <v/>
      </c>
      <c r="S299" s="36">
        <f>IF(A299=入力!$B$15,A299+入力!$B$19,S298)</f>
        <v>360</v>
      </c>
      <c r="T299" s="35" t="str">
        <f t="shared" si="79"/>
        <v/>
      </c>
      <c r="U299" s="3">
        <f t="shared" si="64"/>
        <v>0</v>
      </c>
      <c r="V299" s="3">
        <f t="shared" si="65"/>
        <v>0</v>
      </c>
      <c r="W299" s="3">
        <f t="shared" si="66"/>
        <v>0</v>
      </c>
      <c r="X299" s="3">
        <f t="shared" si="67"/>
        <v>0</v>
      </c>
      <c r="Y299" s="3">
        <f>IF(A299&lt;入力!$B$15,ABS(G299-何もしない_月次!G299),0)</f>
        <v>0</v>
      </c>
      <c r="Z299" s="3">
        <f t="shared" si="68"/>
        <v>0</v>
      </c>
      <c r="AA299">
        <f>ROUND(IF(A299=入力!$B$15+1,IF(E299=0,ROUND(C299/入力!$B$19,0),ROUND(-PMT(E299/12,入力!$B$19,C299),0)),IF(OR(AND(入力!$B$13="有効",A299&gt;1,MOD(A299-1,60)=0),AND(A299=入力!$B$11,A299&gt;1)),IF(入力!$B$14="有効",MIN(IF(E299=0,ROUND(C299/MAX(1,S298-A299+1),0),ROUND(-PMT(E299/12,MAX(1,S298-A299+1),C299),0)),ROUND(G298*1.25,0)),IF(E299=0,ROUND(C299/MAX(1,S298-A299+1),0),ROUND(-PMT(E299/12,MAX(1,S298-A299+1),C299),0))),G298)),0)</f>
        <v>116935</v>
      </c>
    </row>
    <row r="300" spans="1:27">
      <c r="A300" s="30">
        <f>295</f>
        <v>295</v>
      </c>
      <c r="B300" s="31">
        <f>EDATE(入力!$B$6,A300-1)</f>
        <v>55185</v>
      </c>
      <c r="C300" s="32">
        <f t="shared" si="69"/>
        <v>7203569</v>
      </c>
      <c r="D300" s="32">
        <f t="shared" si="70"/>
        <v>0</v>
      </c>
      <c r="E300" s="33">
        <f>IF(AND(T299="",A300&lt;=S299),IF(A300&lt;入力!$B$11,入力!$B$10,入力!$B$12),0)</f>
        <v>2.5000000000000001E-2</v>
      </c>
      <c r="F300" s="32">
        <f t="shared" si="71"/>
        <v>15007</v>
      </c>
      <c r="G300" s="32">
        <f>ROUND(IF(NOT(AND(T299="",A300&lt;=S299)),0,IF(A300=入力!$B$15+1,IF(E300=0,ROUND(C300/入力!$B$19,0),ROUND(-PMT(E300/12,入力!$B$19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),0)</f>
        <v>116935</v>
      </c>
      <c r="H300" s="32">
        <f t="shared" si="72"/>
        <v>116935</v>
      </c>
      <c r="I300" s="32">
        <f t="shared" si="73"/>
        <v>15007</v>
      </c>
      <c r="J300" s="32">
        <f t="shared" si="74"/>
        <v>0</v>
      </c>
      <c r="K300" s="32">
        <f t="shared" si="75"/>
        <v>0</v>
      </c>
      <c r="L300" s="32">
        <f t="shared" si="76"/>
        <v>101928</v>
      </c>
      <c r="M300" s="32">
        <f>IF(AND(AND(T299="",A300&lt;=S299),A300=入力!$B$15),ROUND(MIN(入力!$B$16,MAX(0,C300-L300)),0),0)</f>
        <v>0</v>
      </c>
      <c r="N300" s="32">
        <f t="shared" si="77"/>
        <v>7101641</v>
      </c>
      <c r="O300" s="32">
        <f t="shared" si="78"/>
        <v>10252806</v>
      </c>
      <c r="P300" s="34" t="str">
        <f>IF(NOT(AND(T299="",A300&lt;=S299)),"",IF(A300=入力!$B$15+1,"繰上返済後再計算","")&amp;IF(AND(入力!$B$13="有効",A300&gt;1,MOD(A300-1,60)=0),IF(A300=入力!$B$15+1,"・","")&amp;"5年見直し","")&amp;IF(AND(A300=入力!$B$11,A300&gt;1),IF(OR(A300=入力!$B$15+1,AND(入力!$B$13="有効",A300&gt;1,MOD(A300-1,60)=0)),"・","")&amp;"金利変更","")&amp;IF(AND(OR(AND(入力!$B$13="有効",A300&gt;1,MOD(A300-1,60)=0),AND(A300=入力!$B$11,A300&gt;1)),入力!$B$14="有効",IF(E300=0,ROUND(C300/MAX(1,S299-A300+1),0),ROUND(-PMT(E300/12,MAX(1,S299-A300+1),C300),0))&gt;ROUND(G299*1.25,0),NOT(A300=入力!$B$15+1)),"・上限適用",""))</f>
        <v/>
      </c>
      <c r="Q300" s="35" t="str">
        <f>IF(AND(T299="",A300&lt;=S299),入力!$B$13,"")</f>
        <v>有効</v>
      </c>
      <c r="R300" s="32" t="str">
        <f>IF(AND(AND(T299="",A300&lt;=S299),OR(AND(入力!$B$13="有効",A300&gt;1,MOD(A300-1,60)=0),AND(A300=入力!$B$11,A300&gt;1)),入力!$B$14="有効"),ROUND(G299*1.25,0),"")</f>
        <v/>
      </c>
      <c r="S300" s="36">
        <f>IF(A300=入力!$B$15,A300+入力!$B$19,S299)</f>
        <v>360</v>
      </c>
      <c r="T300" s="35" t="str">
        <f t="shared" si="79"/>
        <v/>
      </c>
      <c r="U300" s="3">
        <f t="shared" si="64"/>
        <v>0</v>
      </c>
      <c r="V300" s="3">
        <f t="shared" si="65"/>
        <v>0</v>
      </c>
      <c r="W300" s="3">
        <f t="shared" si="66"/>
        <v>0</v>
      </c>
      <c r="X300" s="3">
        <f t="shared" si="67"/>
        <v>0</v>
      </c>
      <c r="Y300" s="3">
        <f>IF(A300&lt;入力!$B$15,ABS(G300-何もしない_月次!G300),0)</f>
        <v>0</v>
      </c>
      <c r="Z300" s="3">
        <f t="shared" si="68"/>
        <v>0</v>
      </c>
      <c r="AA300">
        <f>ROUND(IF(A300=入力!$B$15+1,IF(E300=0,ROUND(C300/入力!$B$19,0),ROUND(-PMT(E300/12,入力!$B$19,C300),0)),IF(OR(AND(入力!$B$13="有効",A300&gt;1,MOD(A300-1,60)=0),AND(A300=入力!$B$11,A300&gt;1)),IF(入力!$B$14="有効",MIN(IF(E300=0,ROUND(C300/MAX(1,S299-A300+1),0),ROUND(-PMT(E300/12,MAX(1,S299-A300+1),C300),0)),ROUND(G299*1.25,0)),IF(E300=0,ROUND(C300/MAX(1,S299-A300+1),0),ROUND(-PMT(E300/12,MAX(1,S299-A300+1),C300),0))),G299)),0)</f>
        <v>116935</v>
      </c>
    </row>
    <row r="301" spans="1:27">
      <c r="A301" s="30">
        <f>296</f>
        <v>296</v>
      </c>
      <c r="B301" s="31">
        <f>EDATE(入力!$B$6,A301-1)</f>
        <v>55213</v>
      </c>
      <c r="C301" s="32">
        <f t="shared" si="69"/>
        <v>7101641</v>
      </c>
      <c r="D301" s="32">
        <f t="shared" si="70"/>
        <v>0</v>
      </c>
      <c r="E301" s="33">
        <f>IF(AND(T300="",A301&lt;=S300),IF(A301&lt;入力!$B$11,入力!$B$10,入力!$B$12),0)</f>
        <v>2.5000000000000001E-2</v>
      </c>
      <c r="F301" s="32">
        <f t="shared" si="71"/>
        <v>14795</v>
      </c>
      <c r="G301" s="32">
        <f>ROUND(IF(NOT(AND(T300="",A301&lt;=S300)),0,IF(A301=入力!$B$15+1,IF(E301=0,ROUND(C301/入力!$B$19,0),ROUND(-PMT(E301/12,入力!$B$19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),0)</f>
        <v>116935</v>
      </c>
      <c r="H301" s="32">
        <f t="shared" si="72"/>
        <v>116935</v>
      </c>
      <c r="I301" s="32">
        <f t="shared" si="73"/>
        <v>14795</v>
      </c>
      <c r="J301" s="32">
        <f t="shared" si="74"/>
        <v>0</v>
      </c>
      <c r="K301" s="32">
        <f t="shared" si="75"/>
        <v>0</v>
      </c>
      <c r="L301" s="32">
        <f t="shared" si="76"/>
        <v>102140</v>
      </c>
      <c r="M301" s="32">
        <f>IF(AND(AND(T300="",A301&lt;=S300),A301=入力!$B$15),ROUND(MIN(入力!$B$16,MAX(0,C301-L301)),0),0)</f>
        <v>0</v>
      </c>
      <c r="N301" s="32">
        <f t="shared" si="77"/>
        <v>6999501</v>
      </c>
      <c r="O301" s="32">
        <f t="shared" si="78"/>
        <v>10267601</v>
      </c>
      <c r="P301" s="34" t="str">
        <f>IF(NOT(AND(T300="",A301&lt;=S300)),"",IF(A301=入力!$B$15+1,"繰上返済後再計算","")&amp;IF(AND(入力!$B$13="有効",A301&gt;1,MOD(A301-1,60)=0),IF(A301=入力!$B$15+1,"・","")&amp;"5年見直し","")&amp;IF(AND(A301=入力!$B$11,A301&gt;1),IF(OR(A301=入力!$B$15+1,AND(入力!$B$13="有効",A301&gt;1,MOD(A301-1,60)=0)),"・","")&amp;"金利変更","")&amp;IF(AND(OR(AND(入力!$B$13="有効",A301&gt;1,MOD(A301-1,60)=0),AND(A301=入力!$B$11,A301&gt;1)),入力!$B$14="有効",IF(E301=0,ROUND(C301/MAX(1,S300-A301+1),0),ROUND(-PMT(E301/12,MAX(1,S300-A301+1),C301),0))&gt;ROUND(G300*1.25,0),NOT(A301=入力!$B$15+1)),"・上限適用",""))</f>
        <v/>
      </c>
      <c r="Q301" s="35" t="str">
        <f>IF(AND(T300="",A301&lt;=S300),入力!$B$13,"")</f>
        <v>有効</v>
      </c>
      <c r="R301" s="32" t="str">
        <f>IF(AND(AND(T300="",A301&lt;=S300),OR(AND(入力!$B$13="有効",A301&gt;1,MOD(A301-1,60)=0),AND(A301=入力!$B$11,A301&gt;1)),入力!$B$14="有効"),ROUND(G300*1.25,0),"")</f>
        <v/>
      </c>
      <c r="S301" s="36">
        <f>IF(A301=入力!$B$15,A301+入力!$B$19,S300)</f>
        <v>360</v>
      </c>
      <c r="T301" s="35" t="str">
        <f t="shared" si="79"/>
        <v/>
      </c>
      <c r="U301" s="3">
        <f t="shared" si="64"/>
        <v>0</v>
      </c>
      <c r="V301" s="3">
        <f t="shared" si="65"/>
        <v>0</v>
      </c>
      <c r="W301" s="3">
        <f t="shared" si="66"/>
        <v>0</v>
      </c>
      <c r="X301" s="3">
        <f t="shared" si="67"/>
        <v>0</v>
      </c>
      <c r="Y301" s="3">
        <f>IF(A301&lt;入力!$B$15,ABS(G301-何もしない_月次!G301),0)</f>
        <v>0</v>
      </c>
      <c r="Z301" s="3">
        <f t="shared" si="68"/>
        <v>0</v>
      </c>
      <c r="AA301">
        <f>ROUND(IF(A301=入力!$B$15+1,IF(E301=0,ROUND(C301/入力!$B$19,0),ROUND(-PMT(E301/12,入力!$B$19,C301),0)),IF(OR(AND(入力!$B$13="有効",A301&gt;1,MOD(A301-1,60)=0),AND(A301=入力!$B$11,A301&gt;1)),IF(入力!$B$14="有効",MIN(IF(E301=0,ROUND(C301/MAX(1,S300-A301+1),0),ROUND(-PMT(E301/12,MAX(1,S300-A301+1),C301),0)),ROUND(G300*1.25,0)),IF(E301=0,ROUND(C301/MAX(1,S300-A301+1),0),ROUND(-PMT(E301/12,MAX(1,S300-A301+1),C301),0))),G300)),0)</f>
        <v>116935</v>
      </c>
    </row>
    <row r="302" spans="1:27">
      <c r="A302" s="30">
        <f>297</f>
        <v>297</v>
      </c>
      <c r="B302" s="31">
        <f>EDATE(入力!$B$6,A302-1)</f>
        <v>55244</v>
      </c>
      <c r="C302" s="32">
        <f t="shared" si="69"/>
        <v>6999501</v>
      </c>
      <c r="D302" s="32">
        <f t="shared" si="70"/>
        <v>0</v>
      </c>
      <c r="E302" s="33">
        <f>IF(AND(T301="",A302&lt;=S301),IF(A302&lt;入力!$B$11,入力!$B$10,入力!$B$12),0)</f>
        <v>2.5000000000000001E-2</v>
      </c>
      <c r="F302" s="32">
        <f t="shared" si="71"/>
        <v>14582</v>
      </c>
      <c r="G302" s="32">
        <f>ROUND(IF(NOT(AND(T301="",A302&lt;=S301)),0,IF(A302=入力!$B$15+1,IF(E302=0,ROUND(C302/入力!$B$19,0),ROUND(-PMT(E302/12,入力!$B$19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),0)</f>
        <v>116935</v>
      </c>
      <c r="H302" s="32">
        <f t="shared" si="72"/>
        <v>116935</v>
      </c>
      <c r="I302" s="32">
        <f t="shared" si="73"/>
        <v>14582</v>
      </c>
      <c r="J302" s="32">
        <f t="shared" si="74"/>
        <v>0</v>
      </c>
      <c r="K302" s="32">
        <f t="shared" si="75"/>
        <v>0</v>
      </c>
      <c r="L302" s="32">
        <f t="shared" si="76"/>
        <v>102353</v>
      </c>
      <c r="M302" s="32">
        <f>IF(AND(AND(T301="",A302&lt;=S301),A302=入力!$B$15),ROUND(MIN(入力!$B$16,MAX(0,C302-L302)),0),0)</f>
        <v>0</v>
      </c>
      <c r="N302" s="32">
        <f t="shared" si="77"/>
        <v>6897148</v>
      </c>
      <c r="O302" s="32">
        <f t="shared" si="78"/>
        <v>10282183</v>
      </c>
      <c r="P302" s="34" t="str">
        <f>IF(NOT(AND(T301="",A302&lt;=S301)),"",IF(A302=入力!$B$15+1,"繰上返済後再計算","")&amp;IF(AND(入力!$B$13="有効",A302&gt;1,MOD(A302-1,60)=0),IF(A302=入力!$B$15+1,"・","")&amp;"5年見直し","")&amp;IF(AND(A302=入力!$B$11,A302&gt;1),IF(OR(A302=入力!$B$15+1,AND(入力!$B$13="有効",A302&gt;1,MOD(A302-1,60)=0)),"・","")&amp;"金利変更","")&amp;IF(AND(OR(AND(入力!$B$13="有効",A302&gt;1,MOD(A302-1,60)=0),AND(A302=入力!$B$11,A302&gt;1)),入力!$B$14="有効",IF(E302=0,ROUND(C302/MAX(1,S301-A302+1),0),ROUND(-PMT(E302/12,MAX(1,S301-A302+1),C302),0))&gt;ROUND(G301*1.25,0),NOT(A302=入力!$B$15+1)),"・上限適用",""))</f>
        <v/>
      </c>
      <c r="Q302" s="35" t="str">
        <f>IF(AND(T301="",A302&lt;=S301),入力!$B$13,"")</f>
        <v>有効</v>
      </c>
      <c r="R302" s="32" t="str">
        <f>IF(AND(AND(T301="",A302&lt;=S301),OR(AND(入力!$B$13="有効",A302&gt;1,MOD(A302-1,60)=0),AND(A302=入力!$B$11,A302&gt;1)),入力!$B$14="有効"),ROUND(G301*1.25,0),"")</f>
        <v/>
      </c>
      <c r="S302" s="36">
        <f>IF(A302=入力!$B$15,A302+入力!$B$19,S301)</f>
        <v>360</v>
      </c>
      <c r="T302" s="35" t="str">
        <f t="shared" si="79"/>
        <v/>
      </c>
      <c r="U302" s="3">
        <f t="shared" si="64"/>
        <v>0</v>
      </c>
      <c r="V302" s="3">
        <f t="shared" si="65"/>
        <v>0</v>
      </c>
      <c r="W302" s="3">
        <f t="shared" si="66"/>
        <v>0</v>
      </c>
      <c r="X302" s="3">
        <f t="shared" si="67"/>
        <v>0</v>
      </c>
      <c r="Y302" s="3">
        <f>IF(A302&lt;入力!$B$15,ABS(G302-何もしない_月次!G302),0)</f>
        <v>0</v>
      </c>
      <c r="Z302" s="3">
        <f t="shared" si="68"/>
        <v>0</v>
      </c>
      <c r="AA302">
        <f>ROUND(IF(A302=入力!$B$15+1,IF(E302=0,ROUND(C302/入力!$B$19,0),ROUND(-PMT(E302/12,入力!$B$19,C302),0)),IF(OR(AND(入力!$B$13="有効",A302&gt;1,MOD(A302-1,60)=0),AND(A302=入力!$B$11,A302&gt;1)),IF(入力!$B$14="有効",MIN(IF(E302=0,ROUND(C302/MAX(1,S301-A302+1),0),ROUND(-PMT(E302/12,MAX(1,S301-A302+1),C302),0)),ROUND(G301*1.25,0)),IF(E302=0,ROUND(C302/MAX(1,S301-A302+1),0),ROUND(-PMT(E302/12,MAX(1,S301-A302+1),C302),0))),G301)),0)</f>
        <v>116935</v>
      </c>
    </row>
    <row r="303" spans="1:27">
      <c r="A303" s="30">
        <f>298</f>
        <v>298</v>
      </c>
      <c r="B303" s="31">
        <f>EDATE(入力!$B$6,A303-1)</f>
        <v>55274</v>
      </c>
      <c r="C303" s="32">
        <f t="shared" si="69"/>
        <v>6897148</v>
      </c>
      <c r="D303" s="32">
        <f t="shared" si="70"/>
        <v>0</v>
      </c>
      <c r="E303" s="33">
        <f>IF(AND(T302="",A303&lt;=S302),IF(A303&lt;入力!$B$11,入力!$B$10,入力!$B$12),0)</f>
        <v>2.5000000000000001E-2</v>
      </c>
      <c r="F303" s="32">
        <f t="shared" si="71"/>
        <v>14369</v>
      </c>
      <c r="G303" s="32">
        <f>ROUND(IF(NOT(AND(T302="",A303&lt;=S302)),0,IF(A303=入力!$B$15+1,IF(E303=0,ROUND(C303/入力!$B$19,0),ROUND(-PMT(E303/12,入力!$B$19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),0)</f>
        <v>116935</v>
      </c>
      <c r="H303" s="32">
        <f t="shared" si="72"/>
        <v>116935</v>
      </c>
      <c r="I303" s="32">
        <f t="shared" si="73"/>
        <v>14369</v>
      </c>
      <c r="J303" s="32">
        <f t="shared" si="74"/>
        <v>0</v>
      </c>
      <c r="K303" s="32">
        <f t="shared" si="75"/>
        <v>0</v>
      </c>
      <c r="L303" s="32">
        <f t="shared" si="76"/>
        <v>102566</v>
      </c>
      <c r="M303" s="32">
        <f>IF(AND(AND(T302="",A303&lt;=S302),A303=入力!$B$15),ROUND(MIN(入力!$B$16,MAX(0,C303-L303)),0),0)</f>
        <v>0</v>
      </c>
      <c r="N303" s="32">
        <f t="shared" si="77"/>
        <v>6794582</v>
      </c>
      <c r="O303" s="32">
        <f t="shared" si="78"/>
        <v>10296552</v>
      </c>
      <c r="P303" s="34" t="str">
        <f>IF(NOT(AND(T302="",A303&lt;=S302)),"",IF(A303=入力!$B$15+1,"繰上返済後再計算","")&amp;IF(AND(入力!$B$13="有効",A303&gt;1,MOD(A303-1,60)=0),IF(A303=入力!$B$15+1,"・","")&amp;"5年見直し","")&amp;IF(AND(A303=入力!$B$11,A303&gt;1),IF(OR(A303=入力!$B$15+1,AND(入力!$B$13="有効",A303&gt;1,MOD(A303-1,60)=0)),"・","")&amp;"金利変更","")&amp;IF(AND(OR(AND(入力!$B$13="有効",A303&gt;1,MOD(A303-1,60)=0),AND(A303=入力!$B$11,A303&gt;1)),入力!$B$14="有効",IF(E303=0,ROUND(C303/MAX(1,S302-A303+1),0),ROUND(-PMT(E303/12,MAX(1,S302-A303+1),C303),0))&gt;ROUND(G302*1.25,0),NOT(A303=入力!$B$15+1)),"・上限適用",""))</f>
        <v/>
      </c>
      <c r="Q303" s="35" t="str">
        <f>IF(AND(T302="",A303&lt;=S302),入力!$B$13,"")</f>
        <v>有効</v>
      </c>
      <c r="R303" s="32" t="str">
        <f>IF(AND(AND(T302="",A303&lt;=S302),OR(AND(入力!$B$13="有効",A303&gt;1,MOD(A303-1,60)=0),AND(A303=入力!$B$11,A303&gt;1)),入力!$B$14="有効"),ROUND(G302*1.25,0),"")</f>
        <v/>
      </c>
      <c r="S303" s="36">
        <f>IF(A303=入力!$B$15,A303+入力!$B$19,S302)</f>
        <v>360</v>
      </c>
      <c r="T303" s="35" t="str">
        <f t="shared" si="79"/>
        <v/>
      </c>
      <c r="U303" s="3">
        <f t="shared" si="64"/>
        <v>0</v>
      </c>
      <c r="V303" s="3">
        <f t="shared" si="65"/>
        <v>0</v>
      </c>
      <c r="W303" s="3">
        <f t="shared" si="66"/>
        <v>0</v>
      </c>
      <c r="X303" s="3">
        <f t="shared" si="67"/>
        <v>0</v>
      </c>
      <c r="Y303" s="3">
        <f>IF(A303&lt;入力!$B$15,ABS(G303-何もしない_月次!G303),0)</f>
        <v>0</v>
      </c>
      <c r="Z303" s="3">
        <f t="shared" si="68"/>
        <v>0</v>
      </c>
      <c r="AA303">
        <f>ROUND(IF(A303=入力!$B$15+1,IF(E303=0,ROUND(C303/入力!$B$19,0),ROUND(-PMT(E303/12,入力!$B$19,C303),0)),IF(OR(AND(入力!$B$13="有効",A303&gt;1,MOD(A303-1,60)=0),AND(A303=入力!$B$11,A303&gt;1)),IF(入力!$B$14="有効",MIN(IF(E303=0,ROUND(C303/MAX(1,S302-A303+1),0),ROUND(-PMT(E303/12,MAX(1,S302-A303+1),C303),0)),ROUND(G302*1.25,0)),IF(E303=0,ROUND(C303/MAX(1,S302-A303+1),0),ROUND(-PMT(E303/12,MAX(1,S302-A303+1),C303),0))),G302)),0)</f>
        <v>116935</v>
      </c>
    </row>
    <row r="304" spans="1:27">
      <c r="A304" s="30">
        <f>299</f>
        <v>299</v>
      </c>
      <c r="B304" s="31">
        <f>EDATE(入力!$B$6,A304-1)</f>
        <v>55305</v>
      </c>
      <c r="C304" s="32">
        <f t="shared" si="69"/>
        <v>6794582</v>
      </c>
      <c r="D304" s="32">
        <f t="shared" si="70"/>
        <v>0</v>
      </c>
      <c r="E304" s="33">
        <f>IF(AND(T303="",A304&lt;=S303),IF(A304&lt;入力!$B$11,入力!$B$10,入力!$B$12),0)</f>
        <v>2.5000000000000001E-2</v>
      </c>
      <c r="F304" s="32">
        <f t="shared" si="71"/>
        <v>14155</v>
      </c>
      <c r="G304" s="32">
        <f>ROUND(IF(NOT(AND(T303="",A304&lt;=S303)),0,IF(A304=入力!$B$15+1,IF(E304=0,ROUND(C304/入力!$B$19,0),ROUND(-PMT(E304/12,入力!$B$19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),0)</f>
        <v>116935</v>
      </c>
      <c r="H304" s="32">
        <f t="shared" si="72"/>
        <v>116935</v>
      </c>
      <c r="I304" s="32">
        <f t="shared" si="73"/>
        <v>14155</v>
      </c>
      <c r="J304" s="32">
        <f t="shared" si="74"/>
        <v>0</v>
      </c>
      <c r="K304" s="32">
        <f t="shared" si="75"/>
        <v>0</v>
      </c>
      <c r="L304" s="32">
        <f t="shared" si="76"/>
        <v>102780</v>
      </c>
      <c r="M304" s="32">
        <f>IF(AND(AND(T303="",A304&lt;=S303),A304=入力!$B$15),ROUND(MIN(入力!$B$16,MAX(0,C304-L304)),0),0)</f>
        <v>0</v>
      </c>
      <c r="N304" s="32">
        <f t="shared" si="77"/>
        <v>6691802</v>
      </c>
      <c r="O304" s="32">
        <f t="shared" si="78"/>
        <v>10310707</v>
      </c>
      <c r="P304" s="34" t="str">
        <f>IF(NOT(AND(T303="",A304&lt;=S303)),"",IF(A304=入力!$B$15+1,"繰上返済後再計算","")&amp;IF(AND(入力!$B$13="有効",A304&gt;1,MOD(A304-1,60)=0),IF(A304=入力!$B$15+1,"・","")&amp;"5年見直し","")&amp;IF(AND(A304=入力!$B$11,A304&gt;1),IF(OR(A304=入力!$B$15+1,AND(入力!$B$13="有効",A304&gt;1,MOD(A304-1,60)=0)),"・","")&amp;"金利変更","")&amp;IF(AND(OR(AND(入力!$B$13="有効",A304&gt;1,MOD(A304-1,60)=0),AND(A304=入力!$B$11,A304&gt;1)),入力!$B$14="有効",IF(E304=0,ROUND(C304/MAX(1,S303-A304+1),0),ROUND(-PMT(E304/12,MAX(1,S303-A304+1),C304),0))&gt;ROUND(G303*1.25,0),NOT(A304=入力!$B$15+1)),"・上限適用",""))</f>
        <v/>
      </c>
      <c r="Q304" s="35" t="str">
        <f>IF(AND(T303="",A304&lt;=S303),入力!$B$13,"")</f>
        <v>有効</v>
      </c>
      <c r="R304" s="32" t="str">
        <f>IF(AND(AND(T303="",A304&lt;=S303),OR(AND(入力!$B$13="有効",A304&gt;1,MOD(A304-1,60)=0),AND(A304=入力!$B$11,A304&gt;1)),入力!$B$14="有効"),ROUND(G303*1.25,0),"")</f>
        <v/>
      </c>
      <c r="S304" s="36">
        <f>IF(A304=入力!$B$15,A304+入力!$B$19,S303)</f>
        <v>360</v>
      </c>
      <c r="T304" s="35" t="str">
        <f t="shared" si="79"/>
        <v/>
      </c>
      <c r="U304" s="3">
        <f t="shared" si="64"/>
        <v>0</v>
      </c>
      <c r="V304" s="3">
        <f t="shared" si="65"/>
        <v>0</v>
      </c>
      <c r="W304" s="3">
        <f t="shared" si="66"/>
        <v>0</v>
      </c>
      <c r="X304" s="3">
        <f t="shared" si="67"/>
        <v>0</v>
      </c>
      <c r="Y304" s="3">
        <f>IF(A304&lt;入力!$B$15,ABS(G304-何もしない_月次!G304),0)</f>
        <v>0</v>
      </c>
      <c r="Z304" s="3">
        <f t="shared" si="68"/>
        <v>0</v>
      </c>
      <c r="AA304">
        <f>ROUND(IF(A304=入力!$B$15+1,IF(E304=0,ROUND(C304/入力!$B$19,0),ROUND(-PMT(E304/12,入力!$B$19,C304),0)),IF(OR(AND(入力!$B$13="有効",A304&gt;1,MOD(A304-1,60)=0),AND(A304=入力!$B$11,A304&gt;1)),IF(入力!$B$14="有効",MIN(IF(E304=0,ROUND(C304/MAX(1,S303-A304+1),0),ROUND(-PMT(E304/12,MAX(1,S303-A304+1),C304),0)),ROUND(G303*1.25,0)),IF(E304=0,ROUND(C304/MAX(1,S303-A304+1),0),ROUND(-PMT(E304/12,MAX(1,S303-A304+1),C304),0))),G303)),0)</f>
        <v>116935</v>
      </c>
    </row>
    <row r="305" spans="1:27">
      <c r="A305" s="30">
        <f>300</f>
        <v>300</v>
      </c>
      <c r="B305" s="31">
        <f>EDATE(入力!$B$6,A305-1)</f>
        <v>55335</v>
      </c>
      <c r="C305" s="32">
        <f t="shared" si="69"/>
        <v>6691802</v>
      </c>
      <c r="D305" s="32">
        <f t="shared" si="70"/>
        <v>0</v>
      </c>
      <c r="E305" s="33">
        <f>IF(AND(T304="",A305&lt;=S304),IF(A305&lt;入力!$B$11,入力!$B$10,入力!$B$12),0)</f>
        <v>2.5000000000000001E-2</v>
      </c>
      <c r="F305" s="32">
        <f t="shared" si="71"/>
        <v>13941</v>
      </c>
      <c r="G305" s="32">
        <f>ROUND(IF(NOT(AND(T304="",A305&lt;=S304)),0,IF(A305=入力!$B$15+1,IF(E305=0,ROUND(C305/入力!$B$19,0),ROUND(-PMT(E305/12,入力!$B$19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),0)</f>
        <v>116935</v>
      </c>
      <c r="H305" s="32">
        <f t="shared" si="72"/>
        <v>116935</v>
      </c>
      <c r="I305" s="32">
        <f t="shared" si="73"/>
        <v>13941</v>
      </c>
      <c r="J305" s="32">
        <f t="shared" si="74"/>
        <v>0</v>
      </c>
      <c r="K305" s="32">
        <f t="shared" si="75"/>
        <v>0</v>
      </c>
      <c r="L305" s="32">
        <f t="shared" si="76"/>
        <v>102994</v>
      </c>
      <c r="M305" s="32">
        <f>IF(AND(AND(T304="",A305&lt;=S304),A305=入力!$B$15),ROUND(MIN(入力!$B$16,MAX(0,C305-L305)),0),0)</f>
        <v>0</v>
      </c>
      <c r="N305" s="32">
        <f t="shared" si="77"/>
        <v>6588808</v>
      </c>
      <c r="O305" s="32">
        <f t="shared" si="78"/>
        <v>10324648</v>
      </c>
      <c r="P305" s="34" t="str">
        <f>IF(NOT(AND(T304="",A305&lt;=S304)),"",IF(A305=入力!$B$15+1,"繰上返済後再計算","")&amp;IF(AND(入力!$B$13="有効",A305&gt;1,MOD(A305-1,60)=0),IF(A305=入力!$B$15+1,"・","")&amp;"5年見直し","")&amp;IF(AND(A305=入力!$B$11,A305&gt;1),IF(OR(A305=入力!$B$15+1,AND(入力!$B$13="有効",A305&gt;1,MOD(A305-1,60)=0)),"・","")&amp;"金利変更","")&amp;IF(AND(OR(AND(入力!$B$13="有効",A305&gt;1,MOD(A305-1,60)=0),AND(A305=入力!$B$11,A305&gt;1)),入力!$B$14="有効",IF(E305=0,ROUND(C305/MAX(1,S304-A305+1),0),ROUND(-PMT(E305/12,MAX(1,S304-A305+1),C305),0))&gt;ROUND(G304*1.25,0),NOT(A305=入力!$B$15+1)),"・上限適用",""))</f>
        <v/>
      </c>
      <c r="Q305" s="35" t="str">
        <f>IF(AND(T304="",A305&lt;=S304),入力!$B$13,"")</f>
        <v>有効</v>
      </c>
      <c r="R305" s="32" t="str">
        <f>IF(AND(AND(T304="",A305&lt;=S304),OR(AND(入力!$B$13="有効",A305&gt;1,MOD(A305-1,60)=0),AND(A305=入力!$B$11,A305&gt;1)),入力!$B$14="有効"),ROUND(G304*1.25,0),"")</f>
        <v/>
      </c>
      <c r="S305" s="36">
        <f>IF(A305=入力!$B$15,A305+入力!$B$19,S304)</f>
        <v>360</v>
      </c>
      <c r="T305" s="35" t="str">
        <f t="shared" si="79"/>
        <v/>
      </c>
      <c r="U305" s="3">
        <f t="shared" si="64"/>
        <v>0</v>
      </c>
      <c r="V305" s="3">
        <f t="shared" si="65"/>
        <v>0</v>
      </c>
      <c r="W305" s="3">
        <f t="shared" si="66"/>
        <v>0</v>
      </c>
      <c r="X305" s="3">
        <f t="shared" si="67"/>
        <v>0</v>
      </c>
      <c r="Y305" s="3">
        <f>IF(A305&lt;入力!$B$15,ABS(G305-何もしない_月次!G305),0)</f>
        <v>0</v>
      </c>
      <c r="Z305" s="3">
        <f t="shared" si="68"/>
        <v>0</v>
      </c>
      <c r="AA305">
        <f>ROUND(IF(A305=入力!$B$15+1,IF(E305=0,ROUND(C305/入力!$B$19,0),ROUND(-PMT(E305/12,入力!$B$19,C305),0)),IF(OR(AND(入力!$B$13="有効",A305&gt;1,MOD(A305-1,60)=0),AND(A305=入力!$B$11,A305&gt;1)),IF(入力!$B$14="有効",MIN(IF(E305=0,ROUND(C305/MAX(1,S304-A305+1),0),ROUND(-PMT(E305/12,MAX(1,S304-A305+1),C305),0)),ROUND(G304*1.25,0)),IF(E305=0,ROUND(C305/MAX(1,S304-A305+1),0),ROUND(-PMT(E305/12,MAX(1,S304-A305+1),C305),0))),G304)),0)</f>
        <v>116935</v>
      </c>
    </row>
    <row r="306" spans="1:27">
      <c r="A306" s="30">
        <f>301</f>
        <v>301</v>
      </c>
      <c r="B306" s="31">
        <f>EDATE(入力!$B$6,A306-1)</f>
        <v>55366</v>
      </c>
      <c r="C306" s="32">
        <f t="shared" si="69"/>
        <v>6588808</v>
      </c>
      <c r="D306" s="32">
        <f t="shared" si="70"/>
        <v>0</v>
      </c>
      <c r="E306" s="33">
        <f>IF(AND(T305="",A306&lt;=S305),IF(A306&lt;入力!$B$11,入力!$B$10,入力!$B$12),0)</f>
        <v>2.5000000000000001E-2</v>
      </c>
      <c r="F306" s="32">
        <f t="shared" si="71"/>
        <v>13727</v>
      </c>
      <c r="G306" s="32">
        <f>ROUND(IF(NOT(AND(T305="",A306&lt;=S305)),0,IF(A306=入力!$B$15+1,IF(E306=0,ROUND(C306/入力!$B$19,0),ROUND(-PMT(E306/12,入力!$B$19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),0)</f>
        <v>116934</v>
      </c>
      <c r="H306" s="32">
        <f t="shared" si="72"/>
        <v>116934</v>
      </c>
      <c r="I306" s="32">
        <f t="shared" si="73"/>
        <v>13727</v>
      </c>
      <c r="J306" s="32">
        <f t="shared" si="74"/>
        <v>0</v>
      </c>
      <c r="K306" s="32">
        <f t="shared" si="75"/>
        <v>0</v>
      </c>
      <c r="L306" s="32">
        <f t="shared" si="76"/>
        <v>103207</v>
      </c>
      <c r="M306" s="32">
        <f>IF(AND(AND(T305="",A306&lt;=S305),A306=入力!$B$15),ROUND(MIN(入力!$B$16,MAX(0,C306-L306)),0),0)</f>
        <v>0</v>
      </c>
      <c r="N306" s="32">
        <f t="shared" si="77"/>
        <v>6485601</v>
      </c>
      <c r="O306" s="32">
        <f t="shared" si="78"/>
        <v>10338375</v>
      </c>
      <c r="P306" s="34" t="str">
        <f>IF(NOT(AND(T305="",A306&lt;=S305)),"",IF(A306=入力!$B$15+1,"繰上返済後再計算","")&amp;IF(AND(入力!$B$13="有効",A306&gt;1,MOD(A306-1,60)=0),IF(A306=入力!$B$15+1,"・","")&amp;"5年見直し","")&amp;IF(AND(A306=入力!$B$11,A306&gt;1),IF(OR(A306=入力!$B$15+1,AND(入力!$B$13="有効",A306&gt;1,MOD(A306-1,60)=0)),"・","")&amp;"金利変更","")&amp;IF(AND(OR(AND(入力!$B$13="有効",A306&gt;1,MOD(A306-1,60)=0),AND(A306=入力!$B$11,A306&gt;1)),入力!$B$14="有効",IF(E306=0,ROUND(C306/MAX(1,S305-A306+1),0),ROUND(-PMT(E306/12,MAX(1,S305-A306+1),C306),0))&gt;ROUND(G305*1.25,0),NOT(A306=入力!$B$15+1)),"・上限適用",""))</f>
        <v>5年見直し</v>
      </c>
      <c r="Q306" s="35" t="str">
        <f>IF(AND(T305="",A306&lt;=S305),入力!$B$13,"")</f>
        <v>有効</v>
      </c>
      <c r="R306" s="32">
        <f>IF(AND(AND(T305="",A306&lt;=S305),OR(AND(入力!$B$13="有効",A306&gt;1,MOD(A306-1,60)=0),AND(A306=入力!$B$11,A306&gt;1)),入力!$B$14="有効"),ROUND(G305*1.25,0),"")</f>
        <v>146169</v>
      </c>
      <c r="S306" s="36">
        <f>IF(A306=入力!$B$15,A306+入力!$B$19,S305)</f>
        <v>360</v>
      </c>
      <c r="T306" s="35" t="str">
        <f t="shared" si="79"/>
        <v/>
      </c>
      <c r="U306" s="3">
        <f t="shared" si="64"/>
        <v>0</v>
      </c>
      <c r="V306" s="3">
        <f t="shared" si="65"/>
        <v>0</v>
      </c>
      <c r="W306" s="3">
        <f t="shared" si="66"/>
        <v>0</v>
      </c>
      <c r="X306" s="3">
        <f t="shared" si="67"/>
        <v>0</v>
      </c>
      <c r="Y306" s="3">
        <f>IF(A306&lt;入力!$B$15,ABS(G306-何もしない_月次!G306),0)</f>
        <v>0</v>
      </c>
      <c r="Z306" s="3">
        <f t="shared" si="68"/>
        <v>0</v>
      </c>
      <c r="AA306">
        <f>ROUND(IF(A306=入力!$B$15+1,IF(E306=0,ROUND(C306/入力!$B$19,0),ROUND(-PMT(E306/12,入力!$B$19,C306),0)),IF(OR(AND(入力!$B$13="有効",A306&gt;1,MOD(A306-1,60)=0),AND(A306=入力!$B$11,A306&gt;1)),IF(入力!$B$14="有効",MIN(IF(E306=0,ROUND(C306/MAX(1,S305-A306+1),0),ROUND(-PMT(E306/12,MAX(1,S305-A306+1),C306),0)),ROUND(G305*1.25,0)),IF(E306=0,ROUND(C306/MAX(1,S305-A306+1),0),ROUND(-PMT(E306/12,MAX(1,S305-A306+1),C306),0))),G305)),0)</f>
        <v>116934</v>
      </c>
    </row>
    <row r="307" spans="1:27">
      <c r="A307" s="30">
        <f>302</f>
        <v>302</v>
      </c>
      <c r="B307" s="31">
        <f>EDATE(入力!$B$6,A307-1)</f>
        <v>55397</v>
      </c>
      <c r="C307" s="32">
        <f t="shared" si="69"/>
        <v>6485601</v>
      </c>
      <c r="D307" s="32">
        <f t="shared" si="70"/>
        <v>0</v>
      </c>
      <c r="E307" s="33">
        <f>IF(AND(T306="",A307&lt;=S306),IF(A307&lt;入力!$B$11,入力!$B$10,入力!$B$12),0)</f>
        <v>2.5000000000000001E-2</v>
      </c>
      <c r="F307" s="32">
        <f t="shared" si="71"/>
        <v>13512</v>
      </c>
      <c r="G307" s="32">
        <f>ROUND(IF(NOT(AND(T306="",A307&lt;=S306)),0,IF(A307=入力!$B$15+1,IF(E307=0,ROUND(C307/入力!$B$19,0),ROUND(-PMT(E307/12,入力!$B$19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),0)</f>
        <v>116934</v>
      </c>
      <c r="H307" s="32">
        <f t="shared" si="72"/>
        <v>116934</v>
      </c>
      <c r="I307" s="32">
        <f t="shared" si="73"/>
        <v>13512</v>
      </c>
      <c r="J307" s="32">
        <f t="shared" si="74"/>
        <v>0</v>
      </c>
      <c r="K307" s="32">
        <f t="shared" si="75"/>
        <v>0</v>
      </c>
      <c r="L307" s="32">
        <f t="shared" si="76"/>
        <v>103422</v>
      </c>
      <c r="M307" s="32">
        <f>IF(AND(AND(T306="",A307&lt;=S306),A307=入力!$B$15),ROUND(MIN(入力!$B$16,MAX(0,C307-L307)),0),0)</f>
        <v>0</v>
      </c>
      <c r="N307" s="32">
        <f t="shared" si="77"/>
        <v>6382179</v>
      </c>
      <c r="O307" s="32">
        <f t="shared" si="78"/>
        <v>10351887</v>
      </c>
      <c r="P307" s="34" t="str">
        <f>IF(NOT(AND(T306="",A307&lt;=S306)),"",IF(A307=入力!$B$15+1,"繰上返済後再計算","")&amp;IF(AND(入力!$B$13="有効",A307&gt;1,MOD(A307-1,60)=0),IF(A307=入力!$B$15+1,"・","")&amp;"5年見直し","")&amp;IF(AND(A307=入力!$B$11,A307&gt;1),IF(OR(A307=入力!$B$15+1,AND(入力!$B$13="有効",A307&gt;1,MOD(A307-1,60)=0)),"・","")&amp;"金利変更","")&amp;IF(AND(OR(AND(入力!$B$13="有効",A307&gt;1,MOD(A307-1,60)=0),AND(A307=入力!$B$11,A307&gt;1)),入力!$B$14="有効",IF(E307=0,ROUND(C307/MAX(1,S306-A307+1),0),ROUND(-PMT(E307/12,MAX(1,S306-A307+1),C307),0))&gt;ROUND(G306*1.25,0),NOT(A307=入力!$B$15+1)),"・上限適用",""))</f>
        <v/>
      </c>
      <c r="Q307" s="35" t="str">
        <f>IF(AND(T306="",A307&lt;=S306),入力!$B$13,"")</f>
        <v>有効</v>
      </c>
      <c r="R307" s="32" t="str">
        <f>IF(AND(AND(T306="",A307&lt;=S306),OR(AND(入力!$B$13="有効",A307&gt;1,MOD(A307-1,60)=0),AND(A307=入力!$B$11,A307&gt;1)),入力!$B$14="有効"),ROUND(G306*1.25,0),"")</f>
        <v/>
      </c>
      <c r="S307" s="36">
        <f>IF(A307=入力!$B$15,A307+入力!$B$19,S306)</f>
        <v>360</v>
      </c>
      <c r="T307" s="35" t="str">
        <f t="shared" si="79"/>
        <v/>
      </c>
      <c r="U307" s="3">
        <f t="shared" si="64"/>
        <v>0</v>
      </c>
      <c r="V307" s="3">
        <f t="shared" si="65"/>
        <v>0</v>
      </c>
      <c r="W307" s="3">
        <f t="shared" si="66"/>
        <v>0</v>
      </c>
      <c r="X307" s="3">
        <f t="shared" si="67"/>
        <v>0</v>
      </c>
      <c r="Y307" s="3">
        <f>IF(A307&lt;入力!$B$15,ABS(G307-何もしない_月次!G307),0)</f>
        <v>0</v>
      </c>
      <c r="Z307" s="3">
        <f t="shared" si="68"/>
        <v>0</v>
      </c>
      <c r="AA307">
        <f>ROUND(IF(A307=入力!$B$15+1,IF(E307=0,ROUND(C307/入力!$B$19,0),ROUND(-PMT(E307/12,入力!$B$19,C307),0)),IF(OR(AND(入力!$B$13="有効",A307&gt;1,MOD(A307-1,60)=0),AND(A307=入力!$B$11,A307&gt;1)),IF(入力!$B$14="有効",MIN(IF(E307=0,ROUND(C307/MAX(1,S306-A307+1),0),ROUND(-PMT(E307/12,MAX(1,S306-A307+1),C307),0)),ROUND(G306*1.25,0)),IF(E307=0,ROUND(C307/MAX(1,S306-A307+1),0),ROUND(-PMT(E307/12,MAX(1,S306-A307+1),C307),0))),G306)),0)</f>
        <v>116934</v>
      </c>
    </row>
    <row r="308" spans="1:27">
      <c r="A308" s="30">
        <f>303</f>
        <v>303</v>
      </c>
      <c r="B308" s="31">
        <f>EDATE(入力!$B$6,A308-1)</f>
        <v>55427</v>
      </c>
      <c r="C308" s="32">
        <f t="shared" si="69"/>
        <v>6382179</v>
      </c>
      <c r="D308" s="32">
        <f t="shared" si="70"/>
        <v>0</v>
      </c>
      <c r="E308" s="33">
        <f>IF(AND(T307="",A308&lt;=S307),IF(A308&lt;入力!$B$11,入力!$B$10,入力!$B$12),0)</f>
        <v>2.5000000000000001E-2</v>
      </c>
      <c r="F308" s="32">
        <f t="shared" si="71"/>
        <v>13296</v>
      </c>
      <c r="G308" s="32">
        <f>ROUND(IF(NOT(AND(T307="",A308&lt;=S307)),0,IF(A308=入力!$B$15+1,IF(E308=0,ROUND(C308/入力!$B$19,0),ROUND(-PMT(E308/12,入力!$B$19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),0)</f>
        <v>116934</v>
      </c>
      <c r="H308" s="32">
        <f t="shared" si="72"/>
        <v>116934</v>
      </c>
      <c r="I308" s="32">
        <f t="shared" si="73"/>
        <v>13296</v>
      </c>
      <c r="J308" s="32">
        <f t="shared" si="74"/>
        <v>0</v>
      </c>
      <c r="K308" s="32">
        <f t="shared" si="75"/>
        <v>0</v>
      </c>
      <c r="L308" s="32">
        <f t="shared" si="76"/>
        <v>103638</v>
      </c>
      <c r="M308" s="32">
        <f>IF(AND(AND(T307="",A308&lt;=S307),A308=入力!$B$15),ROUND(MIN(入力!$B$16,MAX(0,C308-L308)),0),0)</f>
        <v>0</v>
      </c>
      <c r="N308" s="32">
        <f t="shared" si="77"/>
        <v>6278541</v>
      </c>
      <c r="O308" s="32">
        <f t="shared" si="78"/>
        <v>10365183</v>
      </c>
      <c r="P308" s="34" t="str">
        <f>IF(NOT(AND(T307="",A308&lt;=S307)),"",IF(A308=入力!$B$15+1,"繰上返済後再計算","")&amp;IF(AND(入力!$B$13="有効",A308&gt;1,MOD(A308-1,60)=0),IF(A308=入力!$B$15+1,"・","")&amp;"5年見直し","")&amp;IF(AND(A308=入力!$B$11,A308&gt;1),IF(OR(A308=入力!$B$15+1,AND(入力!$B$13="有効",A308&gt;1,MOD(A308-1,60)=0)),"・","")&amp;"金利変更","")&amp;IF(AND(OR(AND(入力!$B$13="有効",A308&gt;1,MOD(A308-1,60)=0),AND(A308=入力!$B$11,A308&gt;1)),入力!$B$14="有効",IF(E308=0,ROUND(C308/MAX(1,S307-A308+1),0),ROUND(-PMT(E308/12,MAX(1,S307-A308+1),C308),0))&gt;ROUND(G307*1.25,0),NOT(A308=入力!$B$15+1)),"・上限適用",""))</f>
        <v/>
      </c>
      <c r="Q308" s="35" t="str">
        <f>IF(AND(T307="",A308&lt;=S307),入力!$B$13,"")</f>
        <v>有効</v>
      </c>
      <c r="R308" s="32" t="str">
        <f>IF(AND(AND(T307="",A308&lt;=S307),OR(AND(入力!$B$13="有効",A308&gt;1,MOD(A308-1,60)=0),AND(A308=入力!$B$11,A308&gt;1)),入力!$B$14="有効"),ROUND(G307*1.25,0),"")</f>
        <v/>
      </c>
      <c r="S308" s="36">
        <f>IF(A308=入力!$B$15,A308+入力!$B$19,S307)</f>
        <v>360</v>
      </c>
      <c r="T308" s="35" t="str">
        <f t="shared" si="79"/>
        <v/>
      </c>
      <c r="U308" s="3">
        <f t="shared" si="64"/>
        <v>0</v>
      </c>
      <c r="V308" s="3">
        <f t="shared" si="65"/>
        <v>0</v>
      </c>
      <c r="W308" s="3">
        <f t="shared" si="66"/>
        <v>0</v>
      </c>
      <c r="X308" s="3">
        <f t="shared" si="67"/>
        <v>0</v>
      </c>
      <c r="Y308" s="3">
        <f>IF(A308&lt;入力!$B$15,ABS(G308-何もしない_月次!G308),0)</f>
        <v>0</v>
      </c>
      <c r="Z308" s="3">
        <f t="shared" si="68"/>
        <v>0</v>
      </c>
      <c r="AA308">
        <f>ROUND(IF(A308=入力!$B$15+1,IF(E308=0,ROUND(C308/入力!$B$19,0),ROUND(-PMT(E308/12,入力!$B$19,C308),0)),IF(OR(AND(入力!$B$13="有効",A308&gt;1,MOD(A308-1,60)=0),AND(A308=入力!$B$11,A308&gt;1)),IF(入力!$B$14="有効",MIN(IF(E308=0,ROUND(C308/MAX(1,S307-A308+1),0),ROUND(-PMT(E308/12,MAX(1,S307-A308+1),C308),0)),ROUND(G307*1.25,0)),IF(E308=0,ROUND(C308/MAX(1,S307-A308+1),0),ROUND(-PMT(E308/12,MAX(1,S307-A308+1),C308),0))),G307)),0)</f>
        <v>116934</v>
      </c>
    </row>
    <row r="309" spans="1:27">
      <c r="A309" s="30">
        <f>304</f>
        <v>304</v>
      </c>
      <c r="B309" s="31">
        <f>EDATE(入力!$B$6,A309-1)</f>
        <v>55458</v>
      </c>
      <c r="C309" s="32">
        <f t="shared" si="69"/>
        <v>6278541</v>
      </c>
      <c r="D309" s="32">
        <f t="shared" si="70"/>
        <v>0</v>
      </c>
      <c r="E309" s="33">
        <f>IF(AND(T308="",A309&lt;=S308),IF(A309&lt;入力!$B$11,入力!$B$10,入力!$B$12),0)</f>
        <v>2.5000000000000001E-2</v>
      </c>
      <c r="F309" s="32">
        <f t="shared" si="71"/>
        <v>13080</v>
      </c>
      <c r="G309" s="32">
        <f>ROUND(IF(NOT(AND(T308="",A309&lt;=S308)),0,IF(A309=入力!$B$15+1,IF(E309=0,ROUND(C309/入力!$B$19,0),ROUND(-PMT(E309/12,入力!$B$19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),0)</f>
        <v>116934</v>
      </c>
      <c r="H309" s="32">
        <f t="shared" si="72"/>
        <v>116934</v>
      </c>
      <c r="I309" s="32">
        <f t="shared" si="73"/>
        <v>13080</v>
      </c>
      <c r="J309" s="32">
        <f t="shared" si="74"/>
        <v>0</v>
      </c>
      <c r="K309" s="32">
        <f t="shared" si="75"/>
        <v>0</v>
      </c>
      <c r="L309" s="32">
        <f t="shared" si="76"/>
        <v>103854</v>
      </c>
      <c r="M309" s="32">
        <f>IF(AND(AND(T308="",A309&lt;=S308),A309=入力!$B$15),ROUND(MIN(入力!$B$16,MAX(0,C309-L309)),0),0)</f>
        <v>0</v>
      </c>
      <c r="N309" s="32">
        <f t="shared" si="77"/>
        <v>6174687</v>
      </c>
      <c r="O309" s="32">
        <f t="shared" si="78"/>
        <v>10378263</v>
      </c>
      <c r="P309" s="34" t="str">
        <f>IF(NOT(AND(T308="",A309&lt;=S308)),"",IF(A309=入力!$B$15+1,"繰上返済後再計算","")&amp;IF(AND(入力!$B$13="有効",A309&gt;1,MOD(A309-1,60)=0),IF(A309=入力!$B$15+1,"・","")&amp;"5年見直し","")&amp;IF(AND(A309=入力!$B$11,A309&gt;1),IF(OR(A309=入力!$B$15+1,AND(入力!$B$13="有効",A309&gt;1,MOD(A309-1,60)=0)),"・","")&amp;"金利変更","")&amp;IF(AND(OR(AND(入力!$B$13="有効",A309&gt;1,MOD(A309-1,60)=0),AND(A309=入力!$B$11,A309&gt;1)),入力!$B$14="有効",IF(E309=0,ROUND(C309/MAX(1,S308-A309+1),0),ROUND(-PMT(E309/12,MAX(1,S308-A309+1),C309),0))&gt;ROUND(G308*1.25,0),NOT(A309=入力!$B$15+1)),"・上限適用",""))</f>
        <v/>
      </c>
      <c r="Q309" s="35" t="str">
        <f>IF(AND(T308="",A309&lt;=S308),入力!$B$13,"")</f>
        <v>有効</v>
      </c>
      <c r="R309" s="32" t="str">
        <f>IF(AND(AND(T308="",A309&lt;=S308),OR(AND(入力!$B$13="有効",A309&gt;1,MOD(A309-1,60)=0),AND(A309=入力!$B$11,A309&gt;1)),入力!$B$14="有効"),ROUND(G308*1.25,0),"")</f>
        <v/>
      </c>
      <c r="S309" s="36">
        <f>IF(A309=入力!$B$15,A309+入力!$B$19,S308)</f>
        <v>360</v>
      </c>
      <c r="T309" s="35" t="str">
        <f t="shared" si="79"/>
        <v/>
      </c>
      <c r="U309" s="3">
        <f t="shared" si="64"/>
        <v>0</v>
      </c>
      <c r="V309" s="3">
        <f t="shared" si="65"/>
        <v>0</v>
      </c>
      <c r="W309" s="3">
        <f t="shared" si="66"/>
        <v>0</v>
      </c>
      <c r="X309" s="3">
        <f t="shared" si="67"/>
        <v>0</v>
      </c>
      <c r="Y309" s="3">
        <f>IF(A309&lt;入力!$B$15,ABS(G309-何もしない_月次!G309),0)</f>
        <v>0</v>
      </c>
      <c r="Z309" s="3">
        <f t="shared" si="68"/>
        <v>0</v>
      </c>
      <c r="AA309">
        <f>ROUND(IF(A309=入力!$B$15+1,IF(E309=0,ROUND(C309/入力!$B$19,0),ROUND(-PMT(E309/12,入力!$B$19,C309),0)),IF(OR(AND(入力!$B$13="有効",A309&gt;1,MOD(A309-1,60)=0),AND(A309=入力!$B$11,A309&gt;1)),IF(入力!$B$14="有効",MIN(IF(E309=0,ROUND(C309/MAX(1,S308-A309+1),0),ROUND(-PMT(E309/12,MAX(1,S308-A309+1),C309),0)),ROUND(G308*1.25,0)),IF(E309=0,ROUND(C309/MAX(1,S308-A309+1),0),ROUND(-PMT(E309/12,MAX(1,S308-A309+1),C309),0))),G308)),0)</f>
        <v>116934</v>
      </c>
    </row>
    <row r="310" spans="1:27">
      <c r="A310" s="30">
        <f>305</f>
        <v>305</v>
      </c>
      <c r="B310" s="31">
        <f>EDATE(入力!$B$6,A310-1)</f>
        <v>55488</v>
      </c>
      <c r="C310" s="32">
        <f t="shared" si="69"/>
        <v>6174687</v>
      </c>
      <c r="D310" s="32">
        <f t="shared" si="70"/>
        <v>0</v>
      </c>
      <c r="E310" s="33">
        <f>IF(AND(T309="",A310&lt;=S309),IF(A310&lt;入力!$B$11,入力!$B$10,入力!$B$12),0)</f>
        <v>2.5000000000000001E-2</v>
      </c>
      <c r="F310" s="32">
        <f t="shared" si="71"/>
        <v>12864</v>
      </c>
      <c r="G310" s="32">
        <f>ROUND(IF(NOT(AND(T309="",A310&lt;=S309)),0,IF(A310=入力!$B$15+1,IF(E310=0,ROUND(C310/入力!$B$19,0),ROUND(-PMT(E310/12,入力!$B$19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),0)</f>
        <v>116934</v>
      </c>
      <c r="H310" s="32">
        <f t="shared" si="72"/>
        <v>116934</v>
      </c>
      <c r="I310" s="32">
        <f t="shared" si="73"/>
        <v>12864</v>
      </c>
      <c r="J310" s="32">
        <f t="shared" si="74"/>
        <v>0</v>
      </c>
      <c r="K310" s="32">
        <f t="shared" si="75"/>
        <v>0</v>
      </c>
      <c r="L310" s="32">
        <f t="shared" si="76"/>
        <v>104070</v>
      </c>
      <c r="M310" s="32">
        <f>IF(AND(AND(T309="",A310&lt;=S309),A310=入力!$B$15),ROUND(MIN(入力!$B$16,MAX(0,C310-L310)),0),0)</f>
        <v>0</v>
      </c>
      <c r="N310" s="32">
        <f t="shared" si="77"/>
        <v>6070617</v>
      </c>
      <c r="O310" s="32">
        <f t="shared" si="78"/>
        <v>10391127</v>
      </c>
      <c r="P310" s="34" t="str">
        <f>IF(NOT(AND(T309="",A310&lt;=S309)),"",IF(A310=入力!$B$15+1,"繰上返済後再計算","")&amp;IF(AND(入力!$B$13="有効",A310&gt;1,MOD(A310-1,60)=0),IF(A310=入力!$B$15+1,"・","")&amp;"5年見直し","")&amp;IF(AND(A310=入力!$B$11,A310&gt;1),IF(OR(A310=入力!$B$15+1,AND(入力!$B$13="有効",A310&gt;1,MOD(A310-1,60)=0)),"・","")&amp;"金利変更","")&amp;IF(AND(OR(AND(入力!$B$13="有効",A310&gt;1,MOD(A310-1,60)=0),AND(A310=入力!$B$11,A310&gt;1)),入力!$B$14="有効",IF(E310=0,ROUND(C310/MAX(1,S309-A310+1),0),ROUND(-PMT(E310/12,MAX(1,S309-A310+1),C310),0))&gt;ROUND(G309*1.25,0),NOT(A310=入力!$B$15+1)),"・上限適用",""))</f>
        <v/>
      </c>
      <c r="Q310" s="35" t="str">
        <f>IF(AND(T309="",A310&lt;=S309),入力!$B$13,"")</f>
        <v>有効</v>
      </c>
      <c r="R310" s="32" t="str">
        <f>IF(AND(AND(T309="",A310&lt;=S309),OR(AND(入力!$B$13="有効",A310&gt;1,MOD(A310-1,60)=0),AND(A310=入力!$B$11,A310&gt;1)),入力!$B$14="有効"),ROUND(G309*1.25,0),"")</f>
        <v/>
      </c>
      <c r="S310" s="36">
        <f>IF(A310=入力!$B$15,A310+入力!$B$19,S309)</f>
        <v>360</v>
      </c>
      <c r="T310" s="35" t="str">
        <f t="shared" si="79"/>
        <v/>
      </c>
      <c r="U310" s="3">
        <f t="shared" si="64"/>
        <v>0</v>
      </c>
      <c r="V310" s="3">
        <f t="shared" si="65"/>
        <v>0</v>
      </c>
      <c r="W310" s="3">
        <f t="shared" si="66"/>
        <v>0</v>
      </c>
      <c r="X310" s="3">
        <f t="shared" si="67"/>
        <v>0</v>
      </c>
      <c r="Y310" s="3">
        <f>IF(A310&lt;入力!$B$15,ABS(G310-何もしない_月次!G310),0)</f>
        <v>0</v>
      </c>
      <c r="Z310" s="3">
        <f t="shared" si="68"/>
        <v>0</v>
      </c>
      <c r="AA310">
        <f>ROUND(IF(A310=入力!$B$15+1,IF(E310=0,ROUND(C310/入力!$B$19,0),ROUND(-PMT(E310/12,入力!$B$19,C310),0)),IF(OR(AND(入力!$B$13="有効",A310&gt;1,MOD(A310-1,60)=0),AND(A310=入力!$B$11,A310&gt;1)),IF(入力!$B$14="有効",MIN(IF(E310=0,ROUND(C310/MAX(1,S309-A310+1),0),ROUND(-PMT(E310/12,MAX(1,S309-A310+1),C310),0)),ROUND(G309*1.25,0)),IF(E310=0,ROUND(C310/MAX(1,S309-A310+1),0),ROUND(-PMT(E310/12,MAX(1,S309-A310+1),C310),0))),G309)),0)</f>
        <v>116934</v>
      </c>
    </row>
    <row r="311" spans="1:27">
      <c r="A311" s="30">
        <f>306</f>
        <v>306</v>
      </c>
      <c r="B311" s="31">
        <f>EDATE(入力!$B$6,A311-1)</f>
        <v>55519</v>
      </c>
      <c r="C311" s="32">
        <f t="shared" si="69"/>
        <v>6070617</v>
      </c>
      <c r="D311" s="32">
        <f t="shared" si="70"/>
        <v>0</v>
      </c>
      <c r="E311" s="33">
        <f>IF(AND(T310="",A311&lt;=S310),IF(A311&lt;入力!$B$11,入力!$B$10,入力!$B$12),0)</f>
        <v>2.5000000000000001E-2</v>
      </c>
      <c r="F311" s="32">
        <f t="shared" si="71"/>
        <v>12647</v>
      </c>
      <c r="G311" s="32">
        <f>ROUND(IF(NOT(AND(T310="",A311&lt;=S310)),0,IF(A311=入力!$B$15+1,IF(E311=0,ROUND(C311/入力!$B$19,0),ROUND(-PMT(E311/12,入力!$B$19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),0)</f>
        <v>116934</v>
      </c>
      <c r="H311" s="32">
        <f t="shared" si="72"/>
        <v>116934</v>
      </c>
      <c r="I311" s="32">
        <f t="shared" si="73"/>
        <v>12647</v>
      </c>
      <c r="J311" s="32">
        <f t="shared" si="74"/>
        <v>0</v>
      </c>
      <c r="K311" s="32">
        <f t="shared" si="75"/>
        <v>0</v>
      </c>
      <c r="L311" s="32">
        <f t="shared" si="76"/>
        <v>104287</v>
      </c>
      <c r="M311" s="32">
        <f>IF(AND(AND(T310="",A311&lt;=S310),A311=入力!$B$15),ROUND(MIN(入力!$B$16,MAX(0,C311-L311)),0),0)</f>
        <v>0</v>
      </c>
      <c r="N311" s="32">
        <f t="shared" si="77"/>
        <v>5966330</v>
      </c>
      <c r="O311" s="32">
        <f t="shared" si="78"/>
        <v>10403774</v>
      </c>
      <c r="P311" s="34" t="str">
        <f>IF(NOT(AND(T310="",A311&lt;=S310)),"",IF(A311=入力!$B$15+1,"繰上返済後再計算","")&amp;IF(AND(入力!$B$13="有効",A311&gt;1,MOD(A311-1,60)=0),IF(A311=入力!$B$15+1,"・","")&amp;"5年見直し","")&amp;IF(AND(A311=入力!$B$11,A311&gt;1),IF(OR(A311=入力!$B$15+1,AND(入力!$B$13="有効",A311&gt;1,MOD(A311-1,60)=0)),"・","")&amp;"金利変更","")&amp;IF(AND(OR(AND(入力!$B$13="有効",A311&gt;1,MOD(A311-1,60)=0),AND(A311=入力!$B$11,A311&gt;1)),入力!$B$14="有効",IF(E311=0,ROUND(C311/MAX(1,S310-A311+1),0),ROUND(-PMT(E311/12,MAX(1,S310-A311+1),C311),0))&gt;ROUND(G310*1.25,0),NOT(A311=入力!$B$15+1)),"・上限適用",""))</f>
        <v/>
      </c>
      <c r="Q311" s="35" t="str">
        <f>IF(AND(T310="",A311&lt;=S310),入力!$B$13,"")</f>
        <v>有効</v>
      </c>
      <c r="R311" s="32" t="str">
        <f>IF(AND(AND(T310="",A311&lt;=S310),OR(AND(入力!$B$13="有効",A311&gt;1,MOD(A311-1,60)=0),AND(A311=入力!$B$11,A311&gt;1)),入力!$B$14="有効"),ROUND(G310*1.25,0),"")</f>
        <v/>
      </c>
      <c r="S311" s="36">
        <f>IF(A311=入力!$B$15,A311+入力!$B$19,S310)</f>
        <v>360</v>
      </c>
      <c r="T311" s="35" t="str">
        <f t="shared" si="79"/>
        <v/>
      </c>
      <c r="U311" s="3">
        <f t="shared" si="64"/>
        <v>0</v>
      </c>
      <c r="V311" s="3">
        <f t="shared" si="65"/>
        <v>0</v>
      </c>
      <c r="W311" s="3">
        <f t="shared" si="66"/>
        <v>0</v>
      </c>
      <c r="X311" s="3">
        <f t="shared" si="67"/>
        <v>0</v>
      </c>
      <c r="Y311" s="3">
        <f>IF(A311&lt;入力!$B$15,ABS(G311-何もしない_月次!G311),0)</f>
        <v>0</v>
      </c>
      <c r="Z311" s="3">
        <f t="shared" si="68"/>
        <v>0</v>
      </c>
      <c r="AA311">
        <f>ROUND(IF(A311=入力!$B$15+1,IF(E311=0,ROUND(C311/入力!$B$19,0),ROUND(-PMT(E311/12,入力!$B$19,C311),0)),IF(OR(AND(入力!$B$13="有効",A311&gt;1,MOD(A311-1,60)=0),AND(A311=入力!$B$11,A311&gt;1)),IF(入力!$B$14="有効",MIN(IF(E311=0,ROUND(C311/MAX(1,S310-A311+1),0),ROUND(-PMT(E311/12,MAX(1,S310-A311+1),C311),0)),ROUND(G310*1.25,0)),IF(E311=0,ROUND(C311/MAX(1,S310-A311+1),0),ROUND(-PMT(E311/12,MAX(1,S310-A311+1),C311),0))),G310)),0)</f>
        <v>116934</v>
      </c>
    </row>
    <row r="312" spans="1:27">
      <c r="A312" s="30">
        <f>307</f>
        <v>307</v>
      </c>
      <c r="B312" s="31">
        <f>EDATE(入力!$B$6,A312-1)</f>
        <v>55550</v>
      </c>
      <c r="C312" s="32">
        <f t="shared" si="69"/>
        <v>5966330</v>
      </c>
      <c r="D312" s="32">
        <f t="shared" si="70"/>
        <v>0</v>
      </c>
      <c r="E312" s="33">
        <f>IF(AND(T311="",A312&lt;=S311),IF(A312&lt;入力!$B$11,入力!$B$10,入力!$B$12),0)</f>
        <v>2.5000000000000001E-2</v>
      </c>
      <c r="F312" s="32">
        <f t="shared" si="71"/>
        <v>12430</v>
      </c>
      <c r="G312" s="32">
        <f>ROUND(IF(NOT(AND(T311="",A312&lt;=S311)),0,IF(A312=入力!$B$15+1,IF(E312=0,ROUND(C312/入力!$B$19,0),ROUND(-PMT(E312/12,入力!$B$19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),0)</f>
        <v>116934</v>
      </c>
      <c r="H312" s="32">
        <f t="shared" si="72"/>
        <v>116934</v>
      </c>
      <c r="I312" s="32">
        <f t="shared" si="73"/>
        <v>12430</v>
      </c>
      <c r="J312" s="32">
        <f t="shared" si="74"/>
        <v>0</v>
      </c>
      <c r="K312" s="32">
        <f t="shared" si="75"/>
        <v>0</v>
      </c>
      <c r="L312" s="32">
        <f t="shared" si="76"/>
        <v>104504</v>
      </c>
      <c r="M312" s="32">
        <f>IF(AND(AND(T311="",A312&lt;=S311),A312=入力!$B$15),ROUND(MIN(入力!$B$16,MAX(0,C312-L312)),0),0)</f>
        <v>0</v>
      </c>
      <c r="N312" s="32">
        <f t="shared" si="77"/>
        <v>5861826</v>
      </c>
      <c r="O312" s="32">
        <f t="shared" si="78"/>
        <v>10416204</v>
      </c>
      <c r="P312" s="34" t="str">
        <f>IF(NOT(AND(T311="",A312&lt;=S311)),"",IF(A312=入力!$B$15+1,"繰上返済後再計算","")&amp;IF(AND(入力!$B$13="有効",A312&gt;1,MOD(A312-1,60)=0),IF(A312=入力!$B$15+1,"・","")&amp;"5年見直し","")&amp;IF(AND(A312=入力!$B$11,A312&gt;1),IF(OR(A312=入力!$B$15+1,AND(入力!$B$13="有効",A312&gt;1,MOD(A312-1,60)=0)),"・","")&amp;"金利変更","")&amp;IF(AND(OR(AND(入力!$B$13="有効",A312&gt;1,MOD(A312-1,60)=0),AND(A312=入力!$B$11,A312&gt;1)),入力!$B$14="有効",IF(E312=0,ROUND(C312/MAX(1,S311-A312+1),0),ROUND(-PMT(E312/12,MAX(1,S311-A312+1),C312),0))&gt;ROUND(G311*1.25,0),NOT(A312=入力!$B$15+1)),"・上限適用",""))</f>
        <v/>
      </c>
      <c r="Q312" s="35" t="str">
        <f>IF(AND(T311="",A312&lt;=S311),入力!$B$13,"")</f>
        <v>有効</v>
      </c>
      <c r="R312" s="32" t="str">
        <f>IF(AND(AND(T311="",A312&lt;=S311),OR(AND(入力!$B$13="有効",A312&gt;1,MOD(A312-1,60)=0),AND(A312=入力!$B$11,A312&gt;1)),入力!$B$14="有効"),ROUND(G311*1.25,0),"")</f>
        <v/>
      </c>
      <c r="S312" s="36">
        <f>IF(A312=入力!$B$15,A312+入力!$B$19,S311)</f>
        <v>360</v>
      </c>
      <c r="T312" s="35" t="str">
        <f t="shared" si="79"/>
        <v/>
      </c>
      <c r="U312" s="3">
        <f t="shared" si="64"/>
        <v>0</v>
      </c>
      <c r="V312" s="3">
        <f t="shared" si="65"/>
        <v>0</v>
      </c>
      <c r="W312" s="3">
        <f t="shared" si="66"/>
        <v>0</v>
      </c>
      <c r="X312" s="3">
        <f t="shared" si="67"/>
        <v>0</v>
      </c>
      <c r="Y312" s="3">
        <f>IF(A312&lt;入力!$B$15,ABS(G312-何もしない_月次!G312),0)</f>
        <v>0</v>
      </c>
      <c r="Z312" s="3">
        <f t="shared" si="68"/>
        <v>0</v>
      </c>
      <c r="AA312">
        <f>ROUND(IF(A312=入力!$B$15+1,IF(E312=0,ROUND(C312/入力!$B$19,0),ROUND(-PMT(E312/12,入力!$B$19,C312),0)),IF(OR(AND(入力!$B$13="有効",A312&gt;1,MOD(A312-1,60)=0),AND(A312=入力!$B$11,A312&gt;1)),IF(入力!$B$14="有効",MIN(IF(E312=0,ROUND(C312/MAX(1,S311-A312+1),0),ROUND(-PMT(E312/12,MAX(1,S311-A312+1),C312),0)),ROUND(G311*1.25,0)),IF(E312=0,ROUND(C312/MAX(1,S311-A312+1),0),ROUND(-PMT(E312/12,MAX(1,S311-A312+1),C312),0))),G311)),0)</f>
        <v>116934</v>
      </c>
    </row>
    <row r="313" spans="1:27">
      <c r="A313" s="30">
        <f>308</f>
        <v>308</v>
      </c>
      <c r="B313" s="31">
        <f>EDATE(入力!$B$6,A313-1)</f>
        <v>55579</v>
      </c>
      <c r="C313" s="32">
        <f t="shared" si="69"/>
        <v>5861826</v>
      </c>
      <c r="D313" s="32">
        <f t="shared" si="70"/>
        <v>0</v>
      </c>
      <c r="E313" s="33">
        <f>IF(AND(T312="",A313&lt;=S312),IF(A313&lt;入力!$B$11,入力!$B$10,入力!$B$12),0)</f>
        <v>2.5000000000000001E-2</v>
      </c>
      <c r="F313" s="32">
        <f t="shared" si="71"/>
        <v>12212</v>
      </c>
      <c r="G313" s="32">
        <f>ROUND(IF(NOT(AND(T312="",A313&lt;=S312)),0,IF(A313=入力!$B$15+1,IF(E313=0,ROUND(C313/入力!$B$19,0),ROUND(-PMT(E313/12,入力!$B$19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),0)</f>
        <v>116934</v>
      </c>
      <c r="H313" s="32">
        <f t="shared" si="72"/>
        <v>116934</v>
      </c>
      <c r="I313" s="32">
        <f t="shared" si="73"/>
        <v>12212</v>
      </c>
      <c r="J313" s="32">
        <f t="shared" si="74"/>
        <v>0</v>
      </c>
      <c r="K313" s="32">
        <f t="shared" si="75"/>
        <v>0</v>
      </c>
      <c r="L313" s="32">
        <f t="shared" si="76"/>
        <v>104722</v>
      </c>
      <c r="M313" s="32">
        <f>IF(AND(AND(T312="",A313&lt;=S312),A313=入力!$B$15),ROUND(MIN(入力!$B$16,MAX(0,C313-L313)),0),0)</f>
        <v>0</v>
      </c>
      <c r="N313" s="32">
        <f t="shared" si="77"/>
        <v>5757104</v>
      </c>
      <c r="O313" s="32">
        <f t="shared" si="78"/>
        <v>10428416</v>
      </c>
      <c r="P313" s="34" t="str">
        <f>IF(NOT(AND(T312="",A313&lt;=S312)),"",IF(A313=入力!$B$15+1,"繰上返済後再計算","")&amp;IF(AND(入力!$B$13="有効",A313&gt;1,MOD(A313-1,60)=0),IF(A313=入力!$B$15+1,"・","")&amp;"5年見直し","")&amp;IF(AND(A313=入力!$B$11,A313&gt;1),IF(OR(A313=入力!$B$15+1,AND(入力!$B$13="有効",A313&gt;1,MOD(A313-1,60)=0)),"・","")&amp;"金利変更","")&amp;IF(AND(OR(AND(入力!$B$13="有効",A313&gt;1,MOD(A313-1,60)=0),AND(A313=入力!$B$11,A313&gt;1)),入力!$B$14="有効",IF(E313=0,ROUND(C313/MAX(1,S312-A313+1),0),ROUND(-PMT(E313/12,MAX(1,S312-A313+1),C313),0))&gt;ROUND(G312*1.25,0),NOT(A313=入力!$B$15+1)),"・上限適用",""))</f>
        <v/>
      </c>
      <c r="Q313" s="35" t="str">
        <f>IF(AND(T312="",A313&lt;=S312),入力!$B$13,"")</f>
        <v>有効</v>
      </c>
      <c r="R313" s="32" t="str">
        <f>IF(AND(AND(T312="",A313&lt;=S312),OR(AND(入力!$B$13="有効",A313&gt;1,MOD(A313-1,60)=0),AND(A313=入力!$B$11,A313&gt;1)),入力!$B$14="有効"),ROUND(G312*1.25,0),"")</f>
        <v/>
      </c>
      <c r="S313" s="36">
        <f>IF(A313=入力!$B$15,A313+入力!$B$19,S312)</f>
        <v>360</v>
      </c>
      <c r="T313" s="35" t="str">
        <f t="shared" si="79"/>
        <v/>
      </c>
      <c r="U313" s="3">
        <f t="shared" si="64"/>
        <v>0</v>
      </c>
      <c r="V313" s="3">
        <f t="shared" si="65"/>
        <v>0</v>
      </c>
      <c r="W313" s="3">
        <f t="shared" si="66"/>
        <v>0</v>
      </c>
      <c r="X313" s="3">
        <f t="shared" si="67"/>
        <v>0</v>
      </c>
      <c r="Y313" s="3">
        <f>IF(A313&lt;入力!$B$15,ABS(G313-何もしない_月次!G313),0)</f>
        <v>0</v>
      </c>
      <c r="Z313" s="3">
        <f t="shared" si="68"/>
        <v>0</v>
      </c>
      <c r="AA313">
        <f>ROUND(IF(A313=入力!$B$15+1,IF(E313=0,ROUND(C313/入力!$B$19,0),ROUND(-PMT(E313/12,入力!$B$19,C313),0)),IF(OR(AND(入力!$B$13="有効",A313&gt;1,MOD(A313-1,60)=0),AND(A313=入力!$B$11,A313&gt;1)),IF(入力!$B$14="有効",MIN(IF(E313=0,ROUND(C313/MAX(1,S312-A313+1),0),ROUND(-PMT(E313/12,MAX(1,S312-A313+1),C313),0)),ROUND(G312*1.25,0)),IF(E313=0,ROUND(C313/MAX(1,S312-A313+1),0),ROUND(-PMT(E313/12,MAX(1,S312-A313+1),C313),0))),G312)),0)</f>
        <v>116934</v>
      </c>
    </row>
    <row r="314" spans="1:27">
      <c r="A314" s="30">
        <f>309</f>
        <v>309</v>
      </c>
      <c r="B314" s="31">
        <f>EDATE(入力!$B$6,A314-1)</f>
        <v>55610</v>
      </c>
      <c r="C314" s="32">
        <f t="shared" si="69"/>
        <v>5757104</v>
      </c>
      <c r="D314" s="32">
        <f t="shared" si="70"/>
        <v>0</v>
      </c>
      <c r="E314" s="33">
        <f>IF(AND(T313="",A314&lt;=S313),IF(A314&lt;入力!$B$11,入力!$B$10,入力!$B$12),0)</f>
        <v>2.5000000000000001E-2</v>
      </c>
      <c r="F314" s="32">
        <f t="shared" si="71"/>
        <v>11994</v>
      </c>
      <c r="G314" s="32">
        <f>ROUND(IF(NOT(AND(T313="",A314&lt;=S313)),0,IF(A314=入力!$B$15+1,IF(E314=0,ROUND(C314/入力!$B$19,0),ROUND(-PMT(E314/12,入力!$B$19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),0)</f>
        <v>116934</v>
      </c>
      <c r="H314" s="32">
        <f t="shared" si="72"/>
        <v>116934</v>
      </c>
      <c r="I314" s="32">
        <f t="shared" si="73"/>
        <v>11994</v>
      </c>
      <c r="J314" s="32">
        <f t="shared" si="74"/>
        <v>0</v>
      </c>
      <c r="K314" s="32">
        <f t="shared" si="75"/>
        <v>0</v>
      </c>
      <c r="L314" s="32">
        <f t="shared" si="76"/>
        <v>104940</v>
      </c>
      <c r="M314" s="32">
        <f>IF(AND(AND(T313="",A314&lt;=S313),A314=入力!$B$15),ROUND(MIN(入力!$B$16,MAX(0,C314-L314)),0),0)</f>
        <v>0</v>
      </c>
      <c r="N314" s="32">
        <f t="shared" si="77"/>
        <v>5652164</v>
      </c>
      <c r="O314" s="32">
        <f t="shared" si="78"/>
        <v>10440410</v>
      </c>
      <c r="P314" s="34" t="str">
        <f>IF(NOT(AND(T313="",A314&lt;=S313)),"",IF(A314=入力!$B$15+1,"繰上返済後再計算","")&amp;IF(AND(入力!$B$13="有効",A314&gt;1,MOD(A314-1,60)=0),IF(A314=入力!$B$15+1,"・","")&amp;"5年見直し","")&amp;IF(AND(A314=入力!$B$11,A314&gt;1),IF(OR(A314=入力!$B$15+1,AND(入力!$B$13="有効",A314&gt;1,MOD(A314-1,60)=0)),"・","")&amp;"金利変更","")&amp;IF(AND(OR(AND(入力!$B$13="有効",A314&gt;1,MOD(A314-1,60)=0),AND(A314=入力!$B$11,A314&gt;1)),入力!$B$14="有効",IF(E314=0,ROUND(C314/MAX(1,S313-A314+1),0),ROUND(-PMT(E314/12,MAX(1,S313-A314+1),C314),0))&gt;ROUND(G313*1.25,0),NOT(A314=入力!$B$15+1)),"・上限適用",""))</f>
        <v/>
      </c>
      <c r="Q314" s="35" t="str">
        <f>IF(AND(T313="",A314&lt;=S313),入力!$B$13,"")</f>
        <v>有効</v>
      </c>
      <c r="R314" s="32" t="str">
        <f>IF(AND(AND(T313="",A314&lt;=S313),OR(AND(入力!$B$13="有効",A314&gt;1,MOD(A314-1,60)=0),AND(A314=入力!$B$11,A314&gt;1)),入力!$B$14="有効"),ROUND(G313*1.25,0),"")</f>
        <v/>
      </c>
      <c r="S314" s="36">
        <f>IF(A314=入力!$B$15,A314+入力!$B$19,S313)</f>
        <v>360</v>
      </c>
      <c r="T314" s="35" t="str">
        <f t="shared" si="79"/>
        <v/>
      </c>
      <c r="U314" s="3">
        <f t="shared" si="64"/>
        <v>0</v>
      </c>
      <c r="V314" s="3">
        <f t="shared" si="65"/>
        <v>0</v>
      </c>
      <c r="W314" s="3">
        <f t="shared" si="66"/>
        <v>0</v>
      </c>
      <c r="X314" s="3">
        <f t="shared" si="67"/>
        <v>0</v>
      </c>
      <c r="Y314" s="3">
        <f>IF(A314&lt;入力!$B$15,ABS(G314-何もしない_月次!G314),0)</f>
        <v>0</v>
      </c>
      <c r="Z314" s="3">
        <f t="shared" si="68"/>
        <v>0</v>
      </c>
      <c r="AA314">
        <f>ROUND(IF(A314=入力!$B$15+1,IF(E314=0,ROUND(C314/入力!$B$19,0),ROUND(-PMT(E314/12,入力!$B$19,C314),0)),IF(OR(AND(入力!$B$13="有効",A314&gt;1,MOD(A314-1,60)=0),AND(A314=入力!$B$11,A314&gt;1)),IF(入力!$B$14="有効",MIN(IF(E314=0,ROUND(C314/MAX(1,S313-A314+1),0),ROUND(-PMT(E314/12,MAX(1,S313-A314+1),C314),0)),ROUND(G313*1.25,0)),IF(E314=0,ROUND(C314/MAX(1,S313-A314+1),0),ROUND(-PMT(E314/12,MAX(1,S313-A314+1),C314),0))),G313)),0)</f>
        <v>116934</v>
      </c>
    </row>
    <row r="315" spans="1:27">
      <c r="A315" s="30">
        <f>310</f>
        <v>310</v>
      </c>
      <c r="B315" s="31">
        <f>EDATE(入力!$B$6,A315-1)</f>
        <v>55640</v>
      </c>
      <c r="C315" s="32">
        <f t="shared" si="69"/>
        <v>5652164</v>
      </c>
      <c r="D315" s="32">
        <f t="shared" si="70"/>
        <v>0</v>
      </c>
      <c r="E315" s="33">
        <f>IF(AND(T314="",A315&lt;=S314),IF(A315&lt;入力!$B$11,入力!$B$10,入力!$B$12),0)</f>
        <v>2.5000000000000001E-2</v>
      </c>
      <c r="F315" s="32">
        <f t="shared" si="71"/>
        <v>11775</v>
      </c>
      <c r="G315" s="32">
        <f>ROUND(IF(NOT(AND(T314="",A315&lt;=S314)),0,IF(A315=入力!$B$15+1,IF(E315=0,ROUND(C315/入力!$B$19,0),ROUND(-PMT(E315/12,入力!$B$19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),0)</f>
        <v>116934</v>
      </c>
      <c r="H315" s="32">
        <f t="shared" si="72"/>
        <v>116934</v>
      </c>
      <c r="I315" s="32">
        <f t="shared" si="73"/>
        <v>11775</v>
      </c>
      <c r="J315" s="32">
        <f t="shared" si="74"/>
        <v>0</v>
      </c>
      <c r="K315" s="32">
        <f t="shared" si="75"/>
        <v>0</v>
      </c>
      <c r="L315" s="32">
        <f t="shared" si="76"/>
        <v>105159</v>
      </c>
      <c r="M315" s="32">
        <f>IF(AND(AND(T314="",A315&lt;=S314),A315=入力!$B$15),ROUND(MIN(入力!$B$16,MAX(0,C315-L315)),0),0)</f>
        <v>0</v>
      </c>
      <c r="N315" s="32">
        <f t="shared" si="77"/>
        <v>5547005</v>
      </c>
      <c r="O315" s="32">
        <f t="shared" si="78"/>
        <v>10452185</v>
      </c>
      <c r="P315" s="34" t="str">
        <f>IF(NOT(AND(T314="",A315&lt;=S314)),"",IF(A315=入力!$B$15+1,"繰上返済後再計算","")&amp;IF(AND(入力!$B$13="有効",A315&gt;1,MOD(A315-1,60)=0),IF(A315=入力!$B$15+1,"・","")&amp;"5年見直し","")&amp;IF(AND(A315=入力!$B$11,A315&gt;1),IF(OR(A315=入力!$B$15+1,AND(入力!$B$13="有効",A315&gt;1,MOD(A315-1,60)=0)),"・","")&amp;"金利変更","")&amp;IF(AND(OR(AND(入力!$B$13="有効",A315&gt;1,MOD(A315-1,60)=0),AND(A315=入力!$B$11,A315&gt;1)),入力!$B$14="有効",IF(E315=0,ROUND(C315/MAX(1,S314-A315+1),0),ROUND(-PMT(E315/12,MAX(1,S314-A315+1),C315),0))&gt;ROUND(G314*1.25,0),NOT(A315=入力!$B$15+1)),"・上限適用",""))</f>
        <v/>
      </c>
      <c r="Q315" s="35" t="str">
        <f>IF(AND(T314="",A315&lt;=S314),入力!$B$13,"")</f>
        <v>有効</v>
      </c>
      <c r="R315" s="32" t="str">
        <f>IF(AND(AND(T314="",A315&lt;=S314),OR(AND(入力!$B$13="有効",A315&gt;1,MOD(A315-1,60)=0),AND(A315=入力!$B$11,A315&gt;1)),入力!$B$14="有効"),ROUND(G314*1.25,0),"")</f>
        <v/>
      </c>
      <c r="S315" s="36">
        <f>IF(A315=入力!$B$15,A315+入力!$B$19,S314)</f>
        <v>360</v>
      </c>
      <c r="T315" s="35" t="str">
        <f t="shared" si="79"/>
        <v/>
      </c>
      <c r="U315" s="3">
        <f t="shared" si="64"/>
        <v>0</v>
      </c>
      <c r="V315" s="3">
        <f t="shared" si="65"/>
        <v>0</v>
      </c>
      <c r="W315" s="3">
        <f t="shared" si="66"/>
        <v>0</v>
      </c>
      <c r="X315" s="3">
        <f t="shared" si="67"/>
        <v>0</v>
      </c>
      <c r="Y315" s="3">
        <f>IF(A315&lt;入力!$B$15,ABS(G315-何もしない_月次!G315),0)</f>
        <v>0</v>
      </c>
      <c r="Z315" s="3">
        <f t="shared" si="68"/>
        <v>0</v>
      </c>
      <c r="AA315">
        <f>ROUND(IF(A315=入力!$B$15+1,IF(E315=0,ROUND(C315/入力!$B$19,0),ROUND(-PMT(E315/12,入力!$B$19,C315),0)),IF(OR(AND(入力!$B$13="有効",A315&gt;1,MOD(A315-1,60)=0),AND(A315=入力!$B$11,A315&gt;1)),IF(入力!$B$14="有効",MIN(IF(E315=0,ROUND(C315/MAX(1,S314-A315+1),0),ROUND(-PMT(E315/12,MAX(1,S314-A315+1),C315),0)),ROUND(G314*1.25,0)),IF(E315=0,ROUND(C315/MAX(1,S314-A315+1),0),ROUND(-PMT(E315/12,MAX(1,S314-A315+1),C315),0))),G314)),0)</f>
        <v>116934</v>
      </c>
    </row>
    <row r="316" spans="1:27">
      <c r="A316" s="30">
        <f>311</f>
        <v>311</v>
      </c>
      <c r="B316" s="31">
        <f>EDATE(入力!$B$6,A316-1)</f>
        <v>55671</v>
      </c>
      <c r="C316" s="32">
        <f t="shared" si="69"/>
        <v>5547005</v>
      </c>
      <c r="D316" s="32">
        <f t="shared" si="70"/>
        <v>0</v>
      </c>
      <c r="E316" s="33">
        <f>IF(AND(T315="",A316&lt;=S315),IF(A316&lt;入力!$B$11,入力!$B$10,入力!$B$12),0)</f>
        <v>2.5000000000000001E-2</v>
      </c>
      <c r="F316" s="32">
        <f t="shared" si="71"/>
        <v>11556</v>
      </c>
      <c r="G316" s="32">
        <f>ROUND(IF(NOT(AND(T315="",A316&lt;=S315)),0,IF(A316=入力!$B$15+1,IF(E316=0,ROUND(C316/入力!$B$19,0),ROUND(-PMT(E316/12,入力!$B$19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),0)</f>
        <v>116934</v>
      </c>
      <c r="H316" s="32">
        <f t="shared" si="72"/>
        <v>116934</v>
      </c>
      <c r="I316" s="32">
        <f t="shared" si="73"/>
        <v>11556</v>
      </c>
      <c r="J316" s="32">
        <f t="shared" si="74"/>
        <v>0</v>
      </c>
      <c r="K316" s="32">
        <f t="shared" si="75"/>
        <v>0</v>
      </c>
      <c r="L316" s="32">
        <f t="shared" si="76"/>
        <v>105378</v>
      </c>
      <c r="M316" s="32">
        <f>IF(AND(AND(T315="",A316&lt;=S315),A316=入力!$B$15),ROUND(MIN(入力!$B$16,MAX(0,C316-L316)),0),0)</f>
        <v>0</v>
      </c>
      <c r="N316" s="32">
        <f t="shared" si="77"/>
        <v>5441627</v>
      </c>
      <c r="O316" s="32">
        <f t="shared" si="78"/>
        <v>10463741</v>
      </c>
      <c r="P316" s="34" t="str">
        <f>IF(NOT(AND(T315="",A316&lt;=S315)),"",IF(A316=入力!$B$15+1,"繰上返済後再計算","")&amp;IF(AND(入力!$B$13="有効",A316&gt;1,MOD(A316-1,60)=0),IF(A316=入力!$B$15+1,"・","")&amp;"5年見直し","")&amp;IF(AND(A316=入力!$B$11,A316&gt;1),IF(OR(A316=入力!$B$15+1,AND(入力!$B$13="有効",A316&gt;1,MOD(A316-1,60)=0)),"・","")&amp;"金利変更","")&amp;IF(AND(OR(AND(入力!$B$13="有効",A316&gt;1,MOD(A316-1,60)=0),AND(A316=入力!$B$11,A316&gt;1)),入力!$B$14="有効",IF(E316=0,ROUND(C316/MAX(1,S315-A316+1),0),ROUND(-PMT(E316/12,MAX(1,S315-A316+1),C316),0))&gt;ROUND(G315*1.25,0),NOT(A316=入力!$B$15+1)),"・上限適用",""))</f>
        <v/>
      </c>
      <c r="Q316" s="35" t="str">
        <f>IF(AND(T315="",A316&lt;=S315),入力!$B$13,"")</f>
        <v>有効</v>
      </c>
      <c r="R316" s="32" t="str">
        <f>IF(AND(AND(T315="",A316&lt;=S315),OR(AND(入力!$B$13="有効",A316&gt;1,MOD(A316-1,60)=0),AND(A316=入力!$B$11,A316&gt;1)),入力!$B$14="有効"),ROUND(G315*1.25,0),"")</f>
        <v/>
      </c>
      <c r="S316" s="36">
        <f>IF(A316=入力!$B$15,A316+入力!$B$19,S315)</f>
        <v>360</v>
      </c>
      <c r="T316" s="35" t="str">
        <f t="shared" si="79"/>
        <v/>
      </c>
      <c r="U316" s="3">
        <f t="shared" si="64"/>
        <v>0</v>
      </c>
      <c r="V316" s="3">
        <f t="shared" si="65"/>
        <v>0</v>
      </c>
      <c r="W316" s="3">
        <f t="shared" si="66"/>
        <v>0</v>
      </c>
      <c r="X316" s="3">
        <f t="shared" si="67"/>
        <v>0</v>
      </c>
      <c r="Y316" s="3">
        <f>IF(A316&lt;入力!$B$15,ABS(G316-何もしない_月次!G316),0)</f>
        <v>0</v>
      </c>
      <c r="Z316" s="3">
        <f t="shared" si="68"/>
        <v>0</v>
      </c>
      <c r="AA316">
        <f>ROUND(IF(A316=入力!$B$15+1,IF(E316=0,ROUND(C316/入力!$B$19,0),ROUND(-PMT(E316/12,入力!$B$19,C316),0)),IF(OR(AND(入力!$B$13="有効",A316&gt;1,MOD(A316-1,60)=0),AND(A316=入力!$B$11,A316&gt;1)),IF(入力!$B$14="有効",MIN(IF(E316=0,ROUND(C316/MAX(1,S315-A316+1),0),ROUND(-PMT(E316/12,MAX(1,S315-A316+1),C316),0)),ROUND(G315*1.25,0)),IF(E316=0,ROUND(C316/MAX(1,S315-A316+1),0),ROUND(-PMT(E316/12,MAX(1,S315-A316+1),C316),0))),G315)),0)</f>
        <v>116934</v>
      </c>
    </row>
    <row r="317" spans="1:27">
      <c r="A317" s="30">
        <f>312</f>
        <v>312</v>
      </c>
      <c r="B317" s="31">
        <f>EDATE(入力!$B$6,A317-1)</f>
        <v>55701</v>
      </c>
      <c r="C317" s="32">
        <f t="shared" si="69"/>
        <v>5441627</v>
      </c>
      <c r="D317" s="32">
        <f t="shared" si="70"/>
        <v>0</v>
      </c>
      <c r="E317" s="33">
        <f>IF(AND(T316="",A317&lt;=S316),IF(A317&lt;入力!$B$11,入力!$B$10,入力!$B$12),0)</f>
        <v>2.5000000000000001E-2</v>
      </c>
      <c r="F317" s="32">
        <f t="shared" si="71"/>
        <v>11337</v>
      </c>
      <c r="G317" s="32">
        <f>ROUND(IF(NOT(AND(T316="",A317&lt;=S316)),0,IF(A317=入力!$B$15+1,IF(E317=0,ROUND(C317/入力!$B$19,0),ROUND(-PMT(E317/12,入力!$B$19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),0)</f>
        <v>116934</v>
      </c>
      <c r="H317" s="32">
        <f t="shared" si="72"/>
        <v>116934</v>
      </c>
      <c r="I317" s="32">
        <f t="shared" si="73"/>
        <v>11337</v>
      </c>
      <c r="J317" s="32">
        <f t="shared" si="74"/>
        <v>0</v>
      </c>
      <c r="K317" s="32">
        <f t="shared" si="75"/>
        <v>0</v>
      </c>
      <c r="L317" s="32">
        <f t="shared" si="76"/>
        <v>105597</v>
      </c>
      <c r="M317" s="32">
        <f>IF(AND(AND(T316="",A317&lt;=S316),A317=入力!$B$15),ROUND(MIN(入力!$B$16,MAX(0,C317-L317)),0),0)</f>
        <v>0</v>
      </c>
      <c r="N317" s="32">
        <f t="shared" si="77"/>
        <v>5336030</v>
      </c>
      <c r="O317" s="32">
        <f t="shared" si="78"/>
        <v>10475078</v>
      </c>
      <c r="P317" s="34" t="str">
        <f>IF(NOT(AND(T316="",A317&lt;=S316)),"",IF(A317=入力!$B$15+1,"繰上返済後再計算","")&amp;IF(AND(入力!$B$13="有効",A317&gt;1,MOD(A317-1,60)=0),IF(A317=入力!$B$15+1,"・","")&amp;"5年見直し","")&amp;IF(AND(A317=入力!$B$11,A317&gt;1),IF(OR(A317=入力!$B$15+1,AND(入力!$B$13="有効",A317&gt;1,MOD(A317-1,60)=0)),"・","")&amp;"金利変更","")&amp;IF(AND(OR(AND(入力!$B$13="有効",A317&gt;1,MOD(A317-1,60)=0),AND(A317=入力!$B$11,A317&gt;1)),入力!$B$14="有効",IF(E317=0,ROUND(C317/MAX(1,S316-A317+1),0),ROUND(-PMT(E317/12,MAX(1,S316-A317+1),C317),0))&gt;ROUND(G316*1.25,0),NOT(A317=入力!$B$15+1)),"・上限適用",""))</f>
        <v/>
      </c>
      <c r="Q317" s="35" t="str">
        <f>IF(AND(T316="",A317&lt;=S316),入力!$B$13,"")</f>
        <v>有効</v>
      </c>
      <c r="R317" s="32" t="str">
        <f>IF(AND(AND(T316="",A317&lt;=S316),OR(AND(入力!$B$13="有効",A317&gt;1,MOD(A317-1,60)=0),AND(A317=入力!$B$11,A317&gt;1)),入力!$B$14="有効"),ROUND(G316*1.25,0),"")</f>
        <v/>
      </c>
      <c r="S317" s="36">
        <f>IF(A317=入力!$B$15,A317+入力!$B$19,S316)</f>
        <v>360</v>
      </c>
      <c r="T317" s="35" t="str">
        <f t="shared" si="79"/>
        <v/>
      </c>
      <c r="U317" s="3">
        <f t="shared" si="64"/>
        <v>0</v>
      </c>
      <c r="V317" s="3">
        <f t="shared" si="65"/>
        <v>0</v>
      </c>
      <c r="W317" s="3">
        <f t="shared" si="66"/>
        <v>0</v>
      </c>
      <c r="X317" s="3">
        <f t="shared" si="67"/>
        <v>0</v>
      </c>
      <c r="Y317" s="3">
        <f>IF(A317&lt;入力!$B$15,ABS(G317-何もしない_月次!G317),0)</f>
        <v>0</v>
      </c>
      <c r="Z317" s="3">
        <f t="shared" si="68"/>
        <v>0</v>
      </c>
      <c r="AA317">
        <f>ROUND(IF(A317=入力!$B$15+1,IF(E317=0,ROUND(C317/入力!$B$19,0),ROUND(-PMT(E317/12,入力!$B$19,C317),0)),IF(OR(AND(入力!$B$13="有効",A317&gt;1,MOD(A317-1,60)=0),AND(A317=入力!$B$11,A317&gt;1)),IF(入力!$B$14="有効",MIN(IF(E317=0,ROUND(C317/MAX(1,S316-A317+1),0),ROUND(-PMT(E317/12,MAX(1,S316-A317+1),C317),0)),ROUND(G316*1.25,0)),IF(E317=0,ROUND(C317/MAX(1,S316-A317+1),0),ROUND(-PMT(E317/12,MAX(1,S316-A317+1),C317),0))),G316)),0)</f>
        <v>116934</v>
      </c>
    </row>
    <row r="318" spans="1:27">
      <c r="A318" s="30">
        <f>313</f>
        <v>313</v>
      </c>
      <c r="B318" s="31">
        <f>EDATE(入力!$B$6,A318-1)</f>
        <v>55732</v>
      </c>
      <c r="C318" s="32">
        <f t="shared" si="69"/>
        <v>5336030</v>
      </c>
      <c r="D318" s="32">
        <f t="shared" si="70"/>
        <v>0</v>
      </c>
      <c r="E318" s="33">
        <f>IF(AND(T317="",A318&lt;=S317),IF(A318&lt;入力!$B$11,入力!$B$10,入力!$B$12),0)</f>
        <v>2.5000000000000001E-2</v>
      </c>
      <c r="F318" s="32">
        <f t="shared" si="71"/>
        <v>11117</v>
      </c>
      <c r="G318" s="32">
        <f>ROUND(IF(NOT(AND(T317="",A318&lt;=S317)),0,IF(A318=入力!$B$15+1,IF(E318=0,ROUND(C318/入力!$B$19,0),ROUND(-PMT(E318/12,入力!$B$19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),0)</f>
        <v>116934</v>
      </c>
      <c r="H318" s="32">
        <f t="shared" si="72"/>
        <v>116934</v>
      </c>
      <c r="I318" s="32">
        <f t="shared" si="73"/>
        <v>11117</v>
      </c>
      <c r="J318" s="32">
        <f t="shared" si="74"/>
        <v>0</v>
      </c>
      <c r="K318" s="32">
        <f t="shared" si="75"/>
        <v>0</v>
      </c>
      <c r="L318" s="32">
        <f t="shared" si="76"/>
        <v>105817</v>
      </c>
      <c r="M318" s="32">
        <f>IF(AND(AND(T317="",A318&lt;=S317),A318=入力!$B$15),ROUND(MIN(入力!$B$16,MAX(0,C318-L318)),0),0)</f>
        <v>0</v>
      </c>
      <c r="N318" s="32">
        <f t="shared" si="77"/>
        <v>5230213</v>
      </c>
      <c r="O318" s="32">
        <f t="shared" si="78"/>
        <v>10486195</v>
      </c>
      <c r="P318" s="34" t="str">
        <f>IF(NOT(AND(T317="",A318&lt;=S317)),"",IF(A318=入力!$B$15+1,"繰上返済後再計算","")&amp;IF(AND(入力!$B$13="有効",A318&gt;1,MOD(A318-1,60)=0),IF(A318=入力!$B$15+1,"・","")&amp;"5年見直し","")&amp;IF(AND(A318=入力!$B$11,A318&gt;1),IF(OR(A318=入力!$B$15+1,AND(入力!$B$13="有効",A318&gt;1,MOD(A318-1,60)=0)),"・","")&amp;"金利変更","")&amp;IF(AND(OR(AND(入力!$B$13="有効",A318&gt;1,MOD(A318-1,60)=0),AND(A318=入力!$B$11,A318&gt;1)),入力!$B$14="有効",IF(E318=0,ROUND(C318/MAX(1,S317-A318+1),0),ROUND(-PMT(E318/12,MAX(1,S317-A318+1),C318),0))&gt;ROUND(G317*1.25,0),NOT(A318=入力!$B$15+1)),"・上限適用",""))</f>
        <v/>
      </c>
      <c r="Q318" s="35" t="str">
        <f>IF(AND(T317="",A318&lt;=S317),入力!$B$13,"")</f>
        <v>有効</v>
      </c>
      <c r="R318" s="32" t="str">
        <f>IF(AND(AND(T317="",A318&lt;=S317),OR(AND(入力!$B$13="有効",A318&gt;1,MOD(A318-1,60)=0),AND(A318=入力!$B$11,A318&gt;1)),入力!$B$14="有効"),ROUND(G317*1.25,0),"")</f>
        <v/>
      </c>
      <c r="S318" s="36">
        <f>IF(A318=入力!$B$15,A318+入力!$B$19,S317)</f>
        <v>360</v>
      </c>
      <c r="T318" s="35" t="str">
        <f t="shared" si="79"/>
        <v/>
      </c>
      <c r="U318" s="3">
        <f t="shared" si="64"/>
        <v>0</v>
      </c>
      <c r="V318" s="3">
        <f t="shared" si="65"/>
        <v>0</v>
      </c>
      <c r="W318" s="3">
        <f t="shared" si="66"/>
        <v>0</v>
      </c>
      <c r="X318" s="3">
        <f t="shared" si="67"/>
        <v>0</v>
      </c>
      <c r="Y318" s="3">
        <f>IF(A318&lt;入力!$B$15,ABS(G318-何もしない_月次!G318),0)</f>
        <v>0</v>
      </c>
      <c r="Z318" s="3">
        <f t="shared" si="68"/>
        <v>0</v>
      </c>
      <c r="AA318">
        <f>ROUND(IF(A318=入力!$B$15+1,IF(E318=0,ROUND(C318/入力!$B$19,0),ROUND(-PMT(E318/12,入力!$B$19,C318),0)),IF(OR(AND(入力!$B$13="有効",A318&gt;1,MOD(A318-1,60)=0),AND(A318=入力!$B$11,A318&gt;1)),IF(入力!$B$14="有効",MIN(IF(E318=0,ROUND(C318/MAX(1,S317-A318+1),0),ROUND(-PMT(E318/12,MAX(1,S317-A318+1),C318),0)),ROUND(G317*1.25,0)),IF(E318=0,ROUND(C318/MAX(1,S317-A318+1),0),ROUND(-PMT(E318/12,MAX(1,S317-A318+1),C318),0))),G317)),0)</f>
        <v>116934</v>
      </c>
    </row>
    <row r="319" spans="1:27">
      <c r="A319" s="30">
        <f>314</f>
        <v>314</v>
      </c>
      <c r="B319" s="31">
        <f>EDATE(入力!$B$6,A319-1)</f>
        <v>55763</v>
      </c>
      <c r="C319" s="32">
        <f t="shared" si="69"/>
        <v>5230213</v>
      </c>
      <c r="D319" s="32">
        <f t="shared" si="70"/>
        <v>0</v>
      </c>
      <c r="E319" s="33">
        <f>IF(AND(T318="",A319&lt;=S318),IF(A319&lt;入力!$B$11,入力!$B$10,入力!$B$12),0)</f>
        <v>2.5000000000000001E-2</v>
      </c>
      <c r="F319" s="32">
        <f t="shared" si="71"/>
        <v>10896</v>
      </c>
      <c r="G319" s="32">
        <f>ROUND(IF(NOT(AND(T318="",A319&lt;=S318)),0,IF(A319=入力!$B$15+1,IF(E319=0,ROUND(C319/入力!$B$19,0),ROUND(-PMT(E319/12,入力!$B$19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),0)</f>
        <v>116934</v>
      </c>
      <c r="H319" s="32">
        <f t="shared" si="72"/>
        <v>116934</v>
      </c>
      <c r="I319" s="32">
        <f t="shared" si="73"/>
        <v>10896</v>
      </c>
      <c r="J319" s="32">
        <f t="shared" si="74"/>
        <v>0</v>
      </c>
      <c r="K319" s="32">
        <f t="shared" si="75"/>
        <v>0</v>
      </c>
      <c r="L319" s="32">
        <f t="shared" si="76"/>
        <v>106038</v>
      </c>
      <c r="M319" s="32">
        <f>IF(AND(AND(T318="",A319&lt;=S318),A319=入力!$B$15),ROUND(MIN(入力!$B$16,MAX(0,C319-L319)),0),0)</f>
        <v>0</v>
      </c>
      <c r="N319" s="32">
        <f t="shared" si="77"/>
        <v>5124175</v>
      </c>
      <c r="O319" s="32">
        <f t="shared" si="78"/>
        <v>10497091</v>
      </c>
      <c r="P319" s="34" t="str">
        <f>IF(NOT(AND(T318="",A319&lt;=S318)),"",IF(A319=入力!$B$15+1,"繰上返済後再計算","")&amp;IF(AND(入力!$B$13="有効",A319&gt;1,MOD(A319-1,60)=0),IF(A319=入力!$B$15+1,"・","")&amp;"5年見直し","")&amp;IF(AND(A319=入力!$B$11,A319&gt;1),IF(OR(A319=入力!$B$15+1,AND(入力!$B$13="有効",A319&gt;1,MOD(A319-1,60)=0)),"・","")&amp;"金利変更","")&amp;IF(AND(OR(AND(入力!$B$13="有効",A319&gt;1,MOD(A319-1,60)=0),AND(A319=入力!$B$11,A319&gt;1)),入力!$B$14="有効",IF(E319=0,ROUND(C319/MAX(1,S318-A319+1),0),ROUND(-PMT(E319/12,MAX(1,S318-A319+1),C319),0))&gt;ROUND(G318*1.25,0),NOT(A319=入力!$B$15+1)),"・上限適用",""))</f>
        <v/>
      </c>
      <c r="Q319" s="35" t="str">
        <f>IF(AND(T318="",A319&lt;=S318),入力!$B$13,"")</f>
        <v>有効</v>
      </c>
      <c r="R319" s="32" t="str">
        <f>IF(AND(AND(T318="",A319&lt;=S318),OR(AND(入力!$B$13="有効",A319&gt;1,MOD(A319-1,60)=0),AND(A319=入力!$B$11,A319&gt;1)),入力!$B$14="有効"),ROUND(G318*1.25,0),"")</f>
        <v/>
      </c>
      <c r="S319" s="36">
        <f>IF(A319=入力!$B$15,A319+入力!$B$19,S318)</f>
        <v>360</v>
      </c>
      <c r="T319" s="35" t="str">
        <f t="shared" si="79"/>
        <v/>
      </c>
      <c r="U319" s="3">
        <f t="shared" si="64"/>
        <v>0</v>
      </c>
      <c r="V319" s="3">
        <f t="shared" si="65"/>
        <v>0</v>
      </c>
      <c r="W319" s="3">
        <f t="shared" si="66"/>
        <v>0</v>
      </c>
      <c r="X319" s="3">
        <f t="shared" si="67"/>
        <v>0</v>
      </c>
      <c r="Y319" s="3">
        <f>IF(A319&lt;入力!$B$15,ABS(G319-何もしない_月次!G319),0)</f>
        <v>0</v>
      </c>
      <c r="Z319" s="3">
        <f t="shared" si="68"/>
        <v>0</v>
      </c>
      <c r="AA319">
        <f>ROUND(IF(A319=入力!$B$15+1,IF(E319=0,ROUND(C319/入力!$B$19,0),ROUND(-PMT(E319/12,入力!$B$19,C319),0)),IF(OR(AND(入力!$B$13="有効",A319&gt;1,MOD(A319-1,60)=0),AND(A319=入力!$B$11,A319&gt;1)),IF(入力!$B$14="有効",MIN(IF(E319=0,ROUND(C319/MAX(1,S318-A319+1),0),ROUND(-PMT(E319/12,MAX(1,S318-A319+1),C319),0)),ROUND(G318*1.25,0)),IF(E319=0,ROUND(C319/MAX(1,S318-A319+1),0),ROUND(-PMT(E319/12,MAX(1,S318-A319+1),C319),0))),G318)),0)</f>
        <v>116934</v>
      </c>
    </row>
    <row r="320" spans="1:27">
      <c r="A320" s="30">
        <f>315</f>
        <v>315</v>
      </c>
      <c r="B320" s="31">
        <f>EDATE(入力!$B$6,A320-1)</f>
        <v>55793</v>
      </c>
      <c r="C320" s="32">
        <f t="shared" si="69"/>
        <v>5124175</v>
      </c>
      <c r="D320" s="32">
        <f t="shared" si="70"/>
        <v>0</v>
      </c>
      <c r="E320" s="33">
        <f>IF(AND(T319="",A320&lt;=S319),IF(A320&lt;入力!$B$11,入力!$B$10,入力!$B$12),0)</f>
        <v>2.5000000000000001E-2</v>
      </c>
      <c r="F320" s="32">
        <f t="shared" si="71"/>
        <v>10675</v>
      </c>
      <c r="G320" s="32">
        <f>ROUND(IF(NOT(AND(T319="",A320&lt;=S319)),0,IF(A320=入力!$B$15+1,IF(E320=0,ROUND(C320/入力!$B$19,0),ROUND(-PMT(E320/12,入力!$B$19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),0)</f>
        <v>116934</v>
      </c>
      <c r="H320" s="32">
        <f t="shared" si="72"/>
        <v>116934</v>
      </c>
      <c r="I320" s="32">
        <f t="shared" si="73"/>
        <v>10675</v>
      </c>
      <c r="J320" s="32">
        <f t="shared" si="74"/>
        <v>0</v>
      </c>
      <c r="K320" s="32">
        <f t="shared" si="75"/>
        <v>0</v>
      </c>
      <c r="L320" s="32">
        <f t="shared" si="76"/>
        <v>106259</v>
      </c>
      <c r="M320" s="32">
        <f>IF(AND(AND(T319="",A320&lt;=S319),A320=入力!$B$15),ROUND(MIN(入力!$B$16,MAX(0,C320-L320)),0),0)</f>
        <v>0</v>
      </c>
      <c r="N320" s="32">
        <f t="shared" si="77"/>
        <v>5017916</v>
      </c>
      <c r="O320" s="32">
        <f t="shared" si="78"/>
        <v>10507766</v>
      </c>
      <c r="P320" s="34" t="str">
        <f>IF(NOT(AND(T319="",A320&lt;=S319)),"",IF(A320=入力!$B$15+1,"繰上返済後再計算","")&amp;IF(AND(入力!$B$13="有効",A320&gt;1,MOD(A320-1,60)=0),IF(A320=入力!$B$15+1,"・","")&amp;"5年見直し","")&amp;IF(AND(A320=入力!$B$11,A320&gt;1),IF(OR(A320=入力!$B$15+1,AND(入力!$B$13="有効",A320&gt;1,MOD(A320-1,60)=0)),"・","")&amp;"金利変更","")&amp;IF(AND(OR(AND(入力!$B$13="有効",A320&gt;1,MOD(A320-1,60)=0),AND(A320=入力!$B$11,A320&gt;1)),入力!$B$14="有効",IF(E320=0,ROUND(C320/MAX(1,S319-A320+1),0),ROUND(-PMT(E320/12,MAX(1,S319-A320+1),C320),0))&gt;ROUND(G319*1.25,0),NOT(A320=入力!$B$15+1)),"・上限適用",""))</f>
        <v/>
      </c>
      <c r="Q320" s="35" t="str">
        <f>IF(AND(T319="",A320&lt;=S319),入力!$B$13,"")</f>
        <v>有効</v>
      </c>
      <c r="R320" s="32" t="str">
        <f>IF(AND(AND(T319="",A320&lt;=S319),OR(AND(入力!$B$13="有効",A320&gt;1,MOD(A320-1,60)=0),AND(A320=入力!$B$11,A320&gt;1)),入力!$B$14="有効"),ROUND(G319*1.25,0),"")</f>
        <v/>
      </c>
      <c r="S320" s="36">
        <f>IF(A320=入力!$B$15,A320+入力!$B$19,S319)</f>
        <v>360</v>
      </c>
      <c r="T320" s="35" t="str">
        <f t="shared" si="79"/>
        <v/>
      </c>
      <c r="U320" s="3">
        <f t="shared" si="64"/>
        <v>0</v>
      </c>
      <c r="V320" s="3">
        <f t="shared" si="65"/>
        <v>0</v>
      </c>
      <c r="W320" s="3">
        <f t="shared" si="66"/>
        <v>0</v>
      </c>
      <c r="X320" s="3">
        <f t="shared" si="67"/>
        <v>0</v>
      </c>
      <c r="Y320" s="3">
        <f>IF(A320&lt;入力!$B$15,ABS(G320-何もしない_月次!G320),0)</f>
        <v>0</v>
      </c>
      <c r="Z320" s="3">
        <f t="shared" si="68"/>
        <v>0</v>
      </c>
      <c r="AA320">
        <f>ROUND(IF(A320=入力!$B$15+1,IF(E320=0,ROUND(C320/入力!$B$19,0),ROUND(-PMT(E320/12,入力!$B$19,C320),0)),IF(OR(AND(入力!$B$13="有効",A320&gt;1,MOD(A320-1,60)=0),AND(A320=入力!$B$11,A320&gt;1)),IF(入力!$B$14="有効",MIN(IF(E320=0,ROUND(C320/MAX(1,S319-A320+1),0),ROUND(-PMT(E320/12,MAX(1,S319-A320+1),C320),0)),ROUND(G319*1.25,0)),IF(E320=0,ROUND(C320/MAX(1,S319-A320+1),0),ROUND(-PMT(E320/12,MAX(1,S319-A320+1),C320),0))),G319)),0)</f>
        <v>116934</v>
      </c>
    </row>
    <row r="321" spans="1:27">
      <c r="A321" s="30">
        <f>316</f>
        <v>316</v>
      </c>
      <c r="B321" s="31">
        <f>EDATE(入力!$B$6,A321-1)</f>
        <v>55824</v>
      </c>
      <c r="C321" s="32">
        <f t="shared" si="69"/>
        <v>5017916</v>
      </c>
      <c r="D321" s="32">
        <f t="shared" si="70"/>
        <v>0</v>
      </c>
      <c r="E321" s="33">
        <f>IF(AND(T320="",A321&lt;=S320),IF(A321&lt;入力!$B$11,入力!$B$10,入力!$B$12),0)</f>
        <v>2.5000000000000001E-2</v>
      </c>
      <c r="F321" s="32">
        <f t="shared" si="71"/>
        <v>10454</v>
      </c>
      <c r="G321" s="32">
        <f>ROUND(IF(NOT(AND(T320="",A321&lt;=S320)),0,IF(A321=入力!$B$15+1,IF(E321=0,ROUND(C321/入力!$B$19,0),ROUND(-PMT(E321/12,入力!$B$19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),0)</f>
        <v>116934</v>
      </c>
      <c r="H321" s="32">
        <f t="shared" si="72"/>
        <v>116934</v>
      </c>
      <c r="I321" s="32">
        <f t="shared" si="73"/>
        <v>10454</v>
      </c>
      <c r="J321" s="32">
        <f t="shared" si="74"/>
        <v>0</v>
      </c>
      <c r="K321" s="32">
        <f t="shared" si="75"/>
        <v>0</v>
      </c>
      <c r="L321" s="32">
        <f t="shared" si="76"/>
        <v>106480</v>
      </c>
      <c r="M321" s="32">
        <f>IF(AND(AND(T320="",A321&lt;=S320),A321=入力!$B$15),ROUND(MIN(入力!$B$16,MAX(0,C321-L321)),0),0)</f>
        <v>0</v>
      </c>
      <c r="N321" s="32">
        <f t="shared" si="77"/>
        <v>4911436</v>
      </c>
      <c r="O321" s="32">
        <f t="shared" si="78"/>
        <v>10518220</v>
      </c>
      <c r="P321" s="34" t="str">
        <f>IF(NOT(AND(T320="",A321&lt;=S320)),"",IF(A321=入力!$B$15+1,"繰上返済後再計算","")&amp;IF(AND(入力!$B$13="有効",A321&gt;1,MOD(A321-1,60)=0),IF(A321=入力!$B$15+1,"・","")&amp;"5年見直し","")&amp;IF(AND(A321=入力!$B$11,A321&gt;1),IF(OR(A321=入力!$B$15+1,AND(入力!$B$13="有効",A321&gt;1,MOD(A321-1,60)=0)),"・","")&amp;"金利変更","")&amp;IF(AND(OR(AND(入力!$B$13="有効",A321&gt;1,MOD(A321-1,60)=0),AND(A321=入力!$B$11,A321&gt;1)),入力!$B$14="有効",IF(E321=0,ROUND(C321/MAX(1,S320-A321+1),0),ROUND(-PMT(E321/12,MAX(1,S320-A321+1),C321),0))&gt;ROUND(G320*1.25,0),NOT(A321=入力!$B$15+1)),"・上限適用",""))</f>
        <v/>
      </c>
      <c r="Q321" s="35" t="str">
        <f>IF(AND(T320="",A321&lt;=S320),入力!$B$13,"")</f>
        <v>有効</v>
      </c>
      <c r="R321" s="32" t="str">
        <f>IF(AND(AND(T320="",A321&lt;=S320),OR(AND(入力!$B$13="有効",A321&gt;1,MOD(A321-1,60)=0),AND(A321=入力!$B$11,A321&gt;1)),入力!$B$14="有効"),ROUND(G320*1.25,0),"")</f>
        <v/>
      </c>
      <c r="S321" s="36">
        <f>IF(A321=入力!$B$15,A321+入力!$B$19,S320)</f>
        <v>360</v>
      </c>
      <c r="T321" s="35" t="str">
        <f t="shared" si="79"/>
        <v/>
      </c>
      <c r="U321" s="3">
        <f t="shared" si="64"/>
        <v>0</v>
      </c>
      <c r="V321" s="3">
        <f t="shared" si="65"/>
        <v>0</v>
      </c>
      <c r="W321" s="3">
        <f t="shared" si="66"/>
        <v>0</v>
      </c>
      <c r="X321" s="3">
        <f t="shared" si="67"/>
        <v>0</v>
      </c>
      <c r="Y321" s="3">
        <f>IF(A321&lt;入力!$B$15,ABS(G321-何もしない_月次!G321),0)</f>
        <v>0</v>
      </c>
      <c r="Z321" s="3">
        <f t="shared" si="68"/>
        <v>0</v>
      </c>
      <c r="AA321">
        <f>ROUND(IF(A321=入力!$B$15+1,IF(E321=0,ROUND(C321/入力!$B$19,0),ROUND(-PMT(E321/12,入力!$B$19,C321),0)),IF(OR(AND(入力!$B$13="有効",A321&gt;1,MOD(A321-1,60)=0),AND(A321=入力!$B$11,A321&gt;1)),IF(入力!$B$14="有効",MIN(IF(E321=0,ROUND(C321/MAX(1,S320-A321+1),0),ROUND(-PMT(E321/12,MAX(1,S320-A321+1),C321),0)),ROUND(G320*1.25,0)),IF(E321=0,ROUND(C321/MAX(1,S320-A321+1),0),ROUND(-PMT(E321/12,MAX(1,S320-A321+1),C321),0))),G320)),0)</f>
        <v>116934</v>
      </c>
    </row>
    <row r="322" spans="1:27">
      <c r="A322" s="30">
        <f>317</f>
        <v>317</v>
      </c>
      <c r="B322" s="31">
        <f>EDATE(入力!$B$6,A322-1)</f>
        <v>55854</v>
      </c>
      <c r="C322" s="32">
        <f t="shared" si="69"/>
        <v>4911436</v>
      </c>
      <c r="D322" s="32">
        <f t="shared" si="70"/>
        <v>0</v>
      </c>
      <c r="E322" s="33">
        <f>IF(AND(T321="",A322&lt;=S321),IF(A322&lt;入力!$B$11,入力!$B$10,入力!$B$12),0)</f>
        <v>2.5000000000000001E-2</v>
      </c>
      <c r="F322" s="32">
        <f t="shared" si="71"/>
        <v>10232</v>
      </c>
      <c r="G322" s="32">
        <f>ROUND(IF(NOT(AND(T321="",A322&lt;=S321)),0,IF(A322=入力!$B$15+1,IF(E322=0,ROUND(C322/入力!$B$19,0),ROUND(-PMT(E322/12,入力!$B$19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),0)</f>
        <v>116934</v>
      </c>
      <c r="H322" s="32">
        <f t="shared" si="72"/>
        <v>116934</v>
      </c>
      <c r="I322" s="32">
        <f t="shared" si="73"/>
        <v>10232</v>
      </c>
      <c r="J322" s="32">
        <f t="shared" si="74"/>
        <v>0</v>
      </c>
      <c r="K322" s="32">
        <f t="shared" si="75"/>
        <v>0</v>
      </c>
      <c r="L322" s="32">
        <f t="shared" si="76"/>
        <v>106702</v>
      </c>
      <c r="M322" s="32">
        <f>IF(AND(AND(T321="",A322&lt;=S321),A322=入力!$B$15),ROUND(MIN(入力!$B$16,MAX(0,C322-L322)),0),0)</f>
        <v>0</v>
      </c>
      <c r="N322" s="32">
        <f t="shared" si="77"/>
        <v>4804734</v>
      </c>
      <c r="O322" s="32">
        <f t="shared" si="78"/>
        <v>10528452</v>
      </c>
      <c r="P322" s="34" t="str">
        <f>IF(NOT(AND(T321="",A322&lt;=S321)),"",IF(A322=入力!$B$15+1,"繰上返済後再計算","")&amp;IF(AND(入力!$B$13="有効",A322&gt;1,MOD(A322-1,60)=0),IF(A322=入力!$B$15+1,"・","")&amp;"5年見直し","")&amp;IF(AND(A322=入力!$B$11,A322&gt;1),IF(OR(A322=入力!$B$15+1,AND(入力!$B$13="有効",A322&gt;1,MOD(A322-1,60)=0)),"・","")&amp;"金利変更","")&amp;IF(AND(OR(AND(入力!$B$13="有効",A322&gt;1,MOD(A322-1,60)=0),AND(A322=入力!$B$11,A322&gt;1)),入力!$B$14="有効",IF(E322=0,ROUND(C322/MAX(1,S321-A322+1),0),ROUND(-PMT(E322/12,MAX(1,S321-A322+1),C322),0))&gt;ROUND(G321*1.25,0),NOT(A322=入力!$B$15+1)),"・上限適用",""))</f>
        <v/>
      </c>
      <c r="Q322" s="35" t="str">
        <f>IF(AND(T321="",A322&lt;=S321),入力!$B$13,"")</f>
        <v>有効</v>
      </c>
      <c r="R322" s="32" t="str">
        <f>IF(AND(AND(T321="",A322&lt;=S321),OR(AND(入力!$B$13="有効",A322&gt;1,MOD(A322-1,60)=0),AND(A322=入力!$B$11,A322&gt;1)),入力!$B$14="有効"),ROUND(G321*1.25,0),"")</f>
        <v/>
      </c>
      <c r="S322" s="36">
        <f>IF(A322=入力!$B$15,A322+入力!$B$19,S321)</f>
        <v>360</v>
      </c>
      <c r="T322" s="35" t="str">
        <f t="shared" si="79"/>
        <v/>
      </c>
      <c r="U322" s="3">
        <f t="shared" si="64"/>
        <v>0</v>
      </c>
      <c r="V322" s="3">
        <f t="shared" si="65"/>
        <v>0</v>
      </c>
      <c r="W322" s="3">
        <f t="shared" si="66"/>
        <v>0</v>
      </c>
      <c r="X322" s="3">
        <f t="shared" si="67"/>
        <v>0</v>
      </c>
      <c r="Y322" s="3">
        <f>IF(A322&lt;入力!$B$15,ABS(G322-何もしない_月次!G322),0)</f>
        <v>0</v>
      </c>
      <c r="Z322" s="3">
        <f t="shared" si="68"/>
        <v>0</v>
      </c>
      <c r="AA322">
        <f>ROUND(IF(A322=入力!$B$15+1,IF(E322=0,ROUND(C322/入力!$B$19,0),ROUND(-PMT(E322/12,入力!$B$19,C322),0)),IF(OR(AND(入力!$B$13="有効",A322&gt;1,MOD(A322-1,60)=0),AND(A322=入力!$B$11,A322&gt;1)),IF(入力!$B$14="有効",MIN(IF(E322=0,ROUND(C322/MAX(1,S321-A322+1),0),ROUND(-PMT(E322/12,MAX(1,S321-A322+1),C322),0)),ROUND(G321*1.25,0)),IF(E322=0,ROUND(C322/MAX(1,S321-A322+1),0),ROUND(-PMT(E322/12,MAX(1,S321-A322+1),C322),0))),G321)),0)</f>
        <v>116934</v>
      </c>
    </row>
    <row r="323" spans="1:27">
      <c r="A323" s="30">
        <f>318</f>
        <v>318</v>
      </c>
      <c r="B323" s="31">
        <f>EDATE(入力!$B$6,A323-1)</f>
        <v>55885</v>
      </c>
      <c r="C323" s="32">
        <f t="shared" si="69"/>
        <v>4804734</v>
      </c>
      <c r="D323" s="32">
        <f t="shared" si="70"/>
        <v>0</v>
      </c>
      <c r="E323" s="33">
        <f>IF(AND(T322="",A323&lt;=S322),IF(A323&lt;入力!$B$11,入力!$B$10,入力!$B$12),0)</f>
        <v>2.5000000000000001E-2</v>
      </c>
      <c r="F323" s="32">
        <f t="shared" si="71"/>
        <v>10010</v>
      </c>
      <c r="G323" s="32">
        <f>ROUND(IF(NOT(AND(T322="",A323&lt;=S322)),0,IF(A323=入力!$B$15+1,IF(E323=0,ROUND(C323/入力!$B$19,0),ROUND(-PMT(E323/12,入力!$B$19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),0)</f>
        <v>116934</v>
      </c>
      <c r="H323" s="32">
        <f t="shared" si="72"/>
        <v>116934</v>
      </c>
      <c r="I323" s="32">
        <f t="shared" si="73"/>
        <v>10010</v>
      </c>
      <c r="J323" s="32">
        <f t="shared" si="74"/>
        <v>0</v>
      </c>
      <c r="K323" s="32">
        <f t="shared" si="75"/>
        <v>0</v>
      </c>
      <c r="L323" s="32">
        <f t="shared" si="76"/>
        <v>106924</v>
      </c>
      <c r="M323" s="32">
        <f>IF(AND(AND(T322="",A323&lt;=S322),A323=入力!$B$15),ROUND(MIN(入力!$B$16,MAX(0,C323-L323)),0),0)</f>
        <v>0</v>
      </c>
      <c r="N323" s="32">
        <f t="shared" si="77"/>
        <v>4697810</v>
      </c>
      <c r="O323" s="32">
        <f t="shared" si="78"/>
        <v>10538462</v>
      </c>
      <c r="P323" s="34" t="str">
        <f>IF(NOT(AND(T322="",A323&lt;=S322)),"",IF(A323=入力!$B$15+1,"繰上返済後再計算","")&amp;IF(AND(入力!$B$13="有効",A323&gt;1,MOD(A323-1,60)=0),IF(A323=入力!$B$15+1,"・","")&amp;"5年見直し","")&amp;IF(AND(A323=入力!$B$11,A323&gt;1),IF(OR(A323=入力!$B$15+1,AND(入力!$B$13="有効",A323&gt;1,MOD(A323-1,60)=0)),"・","")&amp;"金利変更","")&amp;IF(AND(OR(AND(入力!$B$13="有効",A323&gt;1,MOD(A323-1,60)=0),AND(A323=入力!$B$11,A323&gt;1)),入力!$B$14="有効",IF(E323=0,ROUND(C323/MAX(1,S322-A323+1),0),ROUND(-PMT(E323/12,MAX(1,S322-A323+1),C323),0))&gt;ROUND(G322*1.25,0),NOT(A323=入力!$B$15+1)),"・上限適用",""))</f>
        <v/>
      </c>
      <c r="Q323" s="35" t="str">
        <f>IF(AND(T322="",A323&lt;=S322),入力!$B$13,"")</f>
        <v>有効</v>
      </c>
      <c r="R323" s="32" t="str">
        <f>IF(AND(AND(T322="",A323&lt;=S322),OR(AND(入力!$B$13="有効",A323&gt;1,MOD(A323-1,60)=0),AND(A323=入力!$B$11,A323&gt;1)),入力!$B$14="有効"),ROUND(G322*1.25,0),"")</f>
        <v/>
      </c>
      <c r="S323" s="36">
        <f>IF(A323=入力!$B$15,A323+入力!$B$19,S322)</f>
        <v>360</v>
      </c>
      <c r="T323" s="35" t="str">
        <f t="shared" si="79"/>
        <v/>
      </c>
      <c r="U323" s="3">
        <f t="shared" si="64"/>
        <v>0</v>
      </c>
      <c r="V323" s="3">
        <f t="shared" si="65"/>
        <v>0</v>
      </c>
      <c r="W323" s="3">
        <f t="shared" si="66"/>
        <v>0</v>
      </c>
      <c r="X323" s="3">
        <f t="shared" si="67"/>
        <v>0</v>
      </c>
      <c r="Y323" s="3">
        <f>IF(A323&lt;入力!$B$15,ABS(G323-何もしない_月次!G323),0)</f>
        <v>0</v>
      </c>
      <c r="Z323" s="3">
        <f t="shared" si="68"/>
        <v>0</v>
      </c>
      <c r="AA323">
        <f>ROUND(IF(A323=入力!$B$15+1,IF(E323=0,ROUND(C323/入力!$B$19,0),ROUND(-PMT(E323/12,入力!$B$19,C323),0)),IF(OR(AND(入力!$B$13="有効",A323&gt;1,MOD(A323-1,60)=0),AND(A323=入力!$B$11,A323&gt;1)),IF(入力!$B$14="有効",MIN(IF(E323=0,ROUND(C323/MAX(1,S322-A323+1),0),ROUND(-PMT(E323/12,MAX(1,S322-A323+1),C323),0)),ROUND(G322*1.25,0)),IF(E323=0,ROUND(C323/MAX(1,S322-A323+1),0),ROUND(-PMT(E323/12,MAX(1,S322-A323+1),C323),0))),G322)),0)</f>
        <v>116934</v>
      </c>
    </row>
    <row r="324" spans="1:27">
      <c r="A324" s="30">
        <f>319</f>
        <v>319</v>
      </c>
      <c r="B324" s="31">
        <f>EDATE(入力!$B$6,A324-1)</f>
        <v>55916</v>
      </c>
      <c r="C324" s="32">
        <f t="shared" si="69"/>
        <v>4697810</v>
      </c>
      <c r="D324" s="32">
        <f t="shared" si="70"/>
        <v>0</v>
      </c>
      <c r="E324" s="33">
        <f>IF(AND(T323="",A324&lt;=S323),IF(A324&lt;入力!$B$11,入力!$B$10,入力!$B$12),0)</f>
        <v>2.5000000000000001E-2</v>
      </c>
      <c r="F324" s="32">
        <f t="shared" si="71"/>
        <v>9787</v>
      </c>
      <c r="G324" s="32">
        <f>ROUND(IF(NOT(AND(T323="",A324&lt;=S323)),0,IF(A324=入力!$B$15+1,IF(E324=0,ROUND(C324/入力!$B$19,0),ROUND(-PMT(E324/12,入力!$B$19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),0)</f>
        <v>116934</v>
      </c>
      <c r="H324" s="32">
        <f t="shared" si="72"/>
        <v>116934</v>
      </c>
      <c r="I324" s="32">
        <f t="shared" si="73"/>
        <v>9787</v>
      </c>
      <c r="J324" s="32">
        <f t="shared" si="74"/>
        <v>0</v>
      </c>
      <c r="K324" s="32">
        <f t="shared" si="75"/>
        <v>0</v>
      </c>
      <c r="L324" s="32">
        <f t="shared" si="76"/>
        <v>107147</v>
      </c>
      <c r="M324" s="32">
        <f>IF(AND(AND(T323="",A324&lt;=S323),A324=入力!$B$15),ROUND(MIN(入力!$B$16,MAX(0,C324-L324)),0),0)</f>
        <v>0</v>
      </c>
      <c r="N324" s="32">
        <f t="shared" si="77"/>
        <v>4590663</v>
      </c>
      <c r="O324" s="32">
        <f t="shared" si="78"/>
        <v>10548249</v>
      </c>
      <c r="P324" s="34" t="str">
        <f>IF(NOT(AND(T323="",A324&lt;=S323)),"",IF(A324=入力!$B$15+1,"繰上返済後再計算","")&amp;IF(AND(入力!$B$13="有効",A324&gt;1,MOD(A324-1,60)=0),IF(A324=入力!$B$15+1,"・","")&amp;"5年見直し","")&amp;IF(AND(A324=入力!$B$11,A324&gt;1),IF(OR(A324=入力!$B$15+1,AND(入力!$B$13="有効",A324&gt;1,MOD(A324-1,60)=0)),"・","")&amp;"金利変更","")&amp;IF(AND(OR(AND(入力!$B$13="有効",A324&gt;1,MOD(A324-1,60)=0),AND(A324=入力!$B$11,A324&gt;1)),入力!$B$14="有効",IF(E324=0,ROUND(C324/MAX(1,S323-A324+1),0),ROUND(-PMT(E324/12,MAX(1,S323-A324+1),C324),0))&gt;ROUND(G323*1.25,0),NOT(A324=入力!$B$15+1)),"・上限適用",""))</f>
        <v/>
      </c>
      <c r="Q324" s="35" t="str">
        <f>IF(AND(T323="",A324&lt;=S323),入力!$B$13,"")</f>
        <v>有効</v>
      </c>
      <c r="R324" s="32" t="str">
        <f>IF(AND(AND(T323="",A324&lt;=S323),OR(AND(入力!$B$13="有効",A324&gt;1,MOD(A324-1,60)=0),AND(A324=入力!$B$11,A324&gt;1)),入力!$B$14="有効"),ROUND(G323*1.25,0),"")</f>
        <v/>
      </c>
      <c r="S324" s="36">
        <f>IF(A324=入力!$B$15,A324+入力!$B$19,S323)</f>
        <v>360</v>
      </c>
      <c r="T324" s="35" t="str">
        <f t="shared" si="79"/>
        <v/>
      </c>
      <c r="U324" s="3">
        <f t="shared" si="64"/>
        <v>0</v>
      </c>
      <c r="V324" s="3">
        <f t="shared" si="65"/>
        <v>0</v>
      </c>
      <c r="W324" s="3">
        <f t="shared" si="66"/>
        <v>0</v>
      </c>
      <c r="X324" s="3">
        <f t="shared" si="67"/>
        <v>0</v>
      </c>
      <c r="Y324" s="3">
        <f>IF(A324&lt;入力!$B$15,ABS(G324-何もしない_月次!G324),0)</f>
        <v>0</v>
      </c>
      <c r="Z324" s="3">
        <f t="shared" si="68"/>
        <v>0</v>
      </c>
      <c r="AA324">
        <f>ROUND(IF(A324=入力!$B$15+1,IF(E324=0,ROUND(C324/入力!$B$19,0),ROUND(-PMT(E324/12,入力!$B$19,C324),0)),IF(OR(AND(入力!$B$13="有効",A324&gt;1,MOD(A324-1,60)=0),AND(A324=入力!$B$11,A324&gt;1)),IF(入力!$B$14="有効",MIN(IF(E324=0,ROUND(C324/MAX(1,S323-A324+1),0),ROUND(-PMT(E324/12,MAX(1,S323-A324+1),C324),0)),ROUND(G323*1.25,0)),IF(E324=0,ROUND(C324/MAX(1,S323-A324+1),0),ROUND(-PMT(E324/12,MAX(1,S323-A324+1),C324),0))),G323)),0)</f>
        <v>116934</v>
      </c>
    </row>
    <row r="325" spans="1:27">
      <c r="A325" s="30">
        <f>320</f>
        <v>320</v>
      </c>
      <c r="B325" s="31">
        <f>EDATE(入力!$B$6,A325-1)</f>
        <v>55944</v>
      </c>
      <c r="C325" s="32">
        <f t="shared" si="69"/>
        <v>4590663</v>
      </c>
      <c r="D325" s="32">
        <f t="shared" si="70"/>
        <v>0</v>
      </c>
      <c r="E325" s="33">
        <f>IF(AND(T324="",A325&lt;=S324),IF(A325&lt;入力!$B$11,入力!$B$10,入力!$B$12),0)</f>
        <v>2.5000000000000001E-2</v>
      </c>
      <c r="F325" s="32">
        <f t="shared" si="71"/>
        <v>9564</v>
      </c>
      <c r="G325" s="32">
        <f>ROUND(IF(NOT(AND(T324="",A325&lt;=S324)),0,IF(A325=入力!$B$15+1,IF(E325=0,ROUND(C325/入力!$B$19,0),ROUND(-PMT(E325/12,入力!$B$19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),0)</f>
        <v>116934</v>
      </c>
      <c r="H325" s="32">
        <f t="shared" si="72"/>
        <v>116934</v>
      </c>
      <c r="I325" s="32">
        <f t="shared" si="73"/>
        <v>9564</v>
      </c>
      <c r="J325" s="32">
        <f t="shared" si="74"/>
        <v>0</v>
      </c>
      <c r="K325" s="32">
        <f t="shared" si="75"/>
        <v>0</v>
      </c>
      <c r="L325" s="32">
        <f t="shared" si="76"/>
        <v>107370</v>
      </c>
      <c r="M325" s="32">
        <f>IF(AND(AND(T324="",A325&lt;=S324),A325=入力!$B$15),ROUND(MIN(入力!$B$16,MAX(0,C325-L325)),0),0)</f>
        <v>0</v>
      </c>
      <c r="N325" s="32">
        <f t="shared" si="77"/>
        <v>4483293</v>
      </c>
      <c r="O325" s="32">
        <f t="shared" si="78"/>
        <v>10557813</v>
      </c>
      <c r="P325" s="34" t="str">
        <f>IF(NOT(AND(T324="",A325&lt;=S324)),"",IF(A325=入力!$B$15+1,"繰上返済後再計算","")&amp;IF(AND(入力!$B$13="有効",A325&gt;1,MOD(A325-1,60)=0),IF(A325=入力!$B$15+1,"・","")&amp;"5年見直し","")&amp;IF(AND(A325=入力!$B$11,A325&gt;1),IF(OR(A325=入力!$B$15+1,AND(入力!$B$13="有効",A325&gt;1,MOD(A325-1,60)=0)),"・","")&amp;"金利変更","")&amp;IF(AND(OR(AND(入力!$B$13="有効",A325&gt;1,MOD(A325-1,60)=0),AND(A325=入力!$B$11,A325&gt;1)),入力!$B$14="有効",IF(E325=0,ROUND(C325/MAX(1,S324-A325+1),0),ROUND(-PMT(E325/12,MAX(1,S324-A325+1),C325),0))&gt;ROUND(G324*1.25,0),NOT(A325=入力!$B$15+1)),"・上限適用",""))</f>
        <v/>
      </c>
      <c r="Q325" s="35" t="str">
        <f>IF(AND(T324="",A325&lt;=S324),入力!$B$13,"")</f>
        <v>有効</v>
      </c>
      <c r="R325" s="32" t="str">
        <f>IF(AND(AND(T324="",A325&lt;=S324),OR(AND(入力!$B$13="有効",A325&gt;1,MOD(A325-1,60)=0),AND(A325=入力!$B$11,A325&gt;1)),入力!$B$14="有効"),ROUND(G324*1.25,0),"")</f>
        <v/>
      </c>
      <c r="S325" s="36">
        <f>IF(A325=入力!$B$15,A325+入力!$B$19,S324)</f>
        <v>360</v>
      </c>
      <c r="T325" s="35" t="str">
        <f t="shared" si="79"/>
        <v/>
      </c>
      <c r="U325" s="3">
        <f t="shared" si="64"/>
        <v>0</v>
      </c>
      <c r="V325" s="3">
        <f t="shared" si="65"/>
        <v>0</v>
      </c>
      <c r="W325" s="3">
        <f t="shared" si="66"/>
        <v>0</v>
      </c>
      <c r="X325" s="3">
        <f t="shared" si="67"/>
        <v>0</v>
      </c>
      <c r="Y325" s="3">
        <f>IF(A325&lt;入力!$B$15,ABS(G325-何もしない_月次!G325),0)</f>
        <v>0</v>
      </c>
      <c r="Z325" s="3">
        <f t="shared" si="68"/>
        <v>0</v>
      </c>
      <c r="AA325">
        <f>ROUND(IF(A325=入力!$B$15+1,IF(E325=0,ROUND(C325/入力!$B$19,0),ROUND(-PMT(E325/12,入力!$B$19,C325),0)),IF(OR(AND(入力!$B$13="有効",A325&gt;1,MOD(A325-1,60)=0),AND(A325=入力!$B$11,A325&gt;1)),IF(入力!$B$14="有効",MIN(IF(E325=0,ROUND(C325/MAX(1,S324-A325+1),0),ROUND(-PMT(E325/12,MAX(1,S324-A325+1),C325),0)),ROUND(G324*1.25,0)),IF(E325=0,ROUND(C325/MAX(1,S324-A325+1),0),ROUND(-PMT(E325/12,MAX(1,S324-A325+1),C325),0))),G324)),0)</f>
        <v>116934</v>
      </c>
    </row>
    <row r="326" spans="1:27">
      <c r="A326" s="30">
        <f>321</f>
        <v>321</v>
      </c>
      <c r="B326" s="31">
        <f>EDATE(入力!$B$6,A326-1)</f>
        <v>55975</v>
      </c>
      <c r="C326" s="32">
        <f t="shared" si="69"/>
        <v>4483293</v>
      </c>
      <c r="D326" s="32">
        <f t="shared" si="70"/>
        <v>0</v>
      </c>
      <c r="E326" s="33">
        <f>IF(AND(T325="",A326&lt;=S325),IF(A326&lt;入力!$B$11,入力!$B$10,入力!$B$12),0)</f>
        <v>2.5000000000000001E-2</v>
      </c>
      <c r="F326" s="32">
        <f t="shared" si="71"/>
        <v>9340</v>
      </c>
      <c r="G326" s="32">
        <f>ROUND(IF(NOT(AND(T325="",A326&lt;=S325)),0,IF(A326=入力!$B$15+1,IF(E326=0,ROUND(C326/入力!$B$19,0),ROUND(-PMT(E326/12,入力!$B$19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),0)</f>
        <v>116934</v>
      </c>
      <c r="H326" s="32">
        <f t="shared" si="72"/>
        <v>116934</v>
      </c>
      <c r="I326" s="32">
        <f t="shared" si="73"/>
        <v>9340</v>
      </c>
      <c r="J326" s="32">
        <f t="shared" si="74"/>
        <v>0</v>
      </c>
      <c r="K326" s="32">
        <f t="shared" si="75"/>
        <v>0</v>
      </c>
      <c r="L326" s="32">
        <f t="shared" si="76"/>
        <v>107594</v>
      </c>
      <c r="M326" s="32">
        <f>IF(AND(AND(T325="",A326&lt;=S325),A326=入力!$B$15),ROUND(MIN(入力!$B$16,MAX(0,C326-L326)),0),0)</f>
        <v>0</v>
      </c>
      <c r="N326" s="32">
        <f t="shared" si="77"/>
        <v>4375699</v>
      </c>
      <c r="O326" s="32">
        <f t="shared" si="78"/>
        <v>10567153</v>
      </c>
      <c r="P326" s="34" t="str">
        <f>IF(NOT(AND(T325="",A326&lt;=S325)),"",IF(A326=入力!$B$15+1,"繰上返済後再計算","")&amp;IF(AND(入力!$B$13="有効",A326&gt;1,MOD(A326-1,60)=0),IF(A326=入力!$B$15+1,"・","")&amp;"5年見直し","")&amp;IF(AND(A326=入力!$B$11,A326&gt;1),IF(OR(A326=入力!$B$15+1,AND(入力!$B$13="有効",A326&gt;1,MOD(A326-1,60)=0)),"・","")&amp;"金利変更","")&amp;IF(AND(OR(AND(入力!$B$13="有効",A326&gt;1,MOD(A326-1,60)=0),AND(A326=入力!$B$11,A326&gt;1)),入力!$B$14="有効",IF(E326=0,ROUND(C326/MAX(1,S325-A326+1),0),ROUND(-PMT(E326/12,MAX(1,S325-A326+1),C326),0))&gt;ROUND(G325*1.25,0),NOT(A326=入力!$B$15+1)),"・上限適用",""))</f>
        <v/>
      </c>
      <c r="Q326" s="35" t="str">
        <f>IF(AND(T325="",A326&lt;=S325),入力!$B$13,"")</f>
        <v>有効</v>
      </c>
      <c r="R326" s="32" t="str">
        <f>IF(AND(AND(T325="",A326&lt;=S325),OR(AND(入力!$B$13="有効",A326&gt;1,MOD(A326-1,60)=0),AND(A326=入力!$B$11,A326&gt;1)),入力!$B$14="有効"),ROUND(G325*1.25,0),"")</f>
        <v/>
      </c>
      <c r="S326" s="36">
        <f>IF(A326=入力!$B$15,A326+入力!$B$19,S325)</f>
        <v>360</v>
      </c>
      <c r="T326" s="35" t="str">
        <f t="shared" si="79"/>
        <v/>
      </c>
      <c r="U326" s="3">
        <f t="shared" ref="U326:U389" si="80">ABS(I326-MIN(H326,D326+F326))</f>
        <v>0</v>
      </c>
      <c r="V326" s="3">
        <f t="shared" ref="V326:V389" si="81">ABS(L326-(H326-I326))</f>
        <v>0</v>
      </c>
      <c r="W326" s="3">
        <f t="shared" ref="W326:W389" si="82">ABS(K326-(D326+J326))</f>
        <v>0</v>
      </c>
      <c r="X326" s="3">
        <f t="shared" ref="X326:X389" si="83">ABS(F326-ROUND(F326,0))+ABS(G326-ROUND(G326,0))+ABS(H326-ROUND(H326,0))+ABS(I326-ROUND(I326,0))+ABS(J326-ROUND(J326,0))+ABS(K326-ROUND(K326,0))+ABS(L326-ROUND(L326,0))+ABS(M326-ROUND(M326,0))+ABS(N326-ROUND(N326,0))+ABS(O326-ROUND(O326,0))</f>
        <v>0</v>
      </c>
      <c r="Y326" s="3">
        <f>IF(A326&lt;入力!$B$15,ABS(G326-何もしない_月次!G326),0)</f>
        <v>0</v>
      </c>
      <c r="Z326" s="3">
        <f t="shared" ref="Z326:Z389" si="84">SUM(--ISERROR(A326),--ISERROR(B326),--ISERROR(C326),--ISERROR(D326),--ISERROR(E326),--ISERROR(F326),--ISERROR(G326),--ISERROR(H326),--ISERROR(I326),--ISERROR(J326),--ISERROR(K326),--ISERROR(L326),--ISERROR(M326),--ISERROR(N326),--ISERROR(O326),--ISERROR(P326),--ISERROR(Q326),--ISERROR(R326),--ISERROR(S326),--ISERROR(T326))</f>
        <v>0</v>
      </c>
      <c r="AA326">
        <f>ROUND(IF(A326=入力!$B$15+1,IF(E326=0,ROUND(C326/入力!$B$19,0),ROUND(-PMT(E326/12,入力!$B$19,C326),0)),IF(OR(AND(入力!$B$13="有効",A326&gt;1,MOD(A326-1,60)=0),AND(A326=入力!$B$11,A326&gt;1)),IF(入力!$B$14="有効",MIN(IF(E326=0,ROUND(C326/MAX(1,S325-A326+1),0),ROUND(-PMT(E326/12,MAX(1,S325-A326+1),C326),0)),ROUND(G325*1.25,0)),IF(E326=0,ROUND(C326/MAX(1,S325-A326+1),0),ROUND(-PMT(E326/12,MAX(1,S325-A326+1),C326),0))),G325)),0)</f>
        <v>116934</v>
      </c>
    </row>
    <row r="327" spans="1:27">
      <c r="A327" s="30">
        <f>322</f>
        <v>322</v>
      </c>
      <c r="B327" s="31">
        <f>EDATE(入力!$B$6,A327-1)</f>
        <v>56005</v>
      </c>
      <c r="C327" s="32">
        <f t="shared" ref="C327:C390" si="85">IF(AND(T326="",A327&lt;=S326),N326,0)</f>
        <v>4375699</v>
      </c>
      <c r="D327" s="32">
        <f t="shared" ref="D327:D390" si="86">IF(AND(T326="",A327&lt;=S326),K326,0)</f>
        <v>0</v>
      </c>
      <c r="E327" s="33">
        <f>IF(AND(T326="",A327&lt;=S326),IF(A327&lt;入力!$B$11,入力!$B$10,入力!$B$12),0)</f>
        <v>2.5000000000000001E-2</v>
      </c>
      <c r="F327" s="32">
        <f t="shared" ref="F327:F390" si="87">IF(AND(T326="",A327&lt;=S326),ROUND(C327*E327/12,0),0)</f>
        <v>9116</v>
      </c>
      <c r="G327" s="32">
        <f>ROUND(IF(NOT(AND(T326="",A327&lt;=S326)),0,IF(A327=入力!$B$15+1,IF(E327=0,ROUND(C327/入力!$B$19,0),ROUND(-PMT(E327/12,入力!$B$19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),0)</f>
        <v>116934</v>
      </c>
      <c r="H327" s="32">
        <f t="shared" ref="H327:H390" si="88">IF(AND(T326="",A327&lt;=S326),ROUND(MIN(G327,C327+D327+F327),0),0)</f>
        <v>116934</v>
      </c>
      <c r="I327" s="32">
        <f t="shared" ref="I327:I390" si="89">IF(AND(T326="",A327&lt;=S326),ROUND(MIN(H327,D327+F327),0),0)</f>
        <v>9116</v>
      </c>
      <c r="J327" s="32">
        <f t="shared" ref="J327:J390" si="90">IF(AND(T326="",A327&lt;=S326),ROUND(F327-I327,0),0)</f>
        <v>0</v>
      </c>
      <c r="K327" s="32">
        <f t="shared" ref="K327:K390" si="91">IF(AND(T326="",A327&lt;=S326),ROUND(D327+J327,0),0)</f>
        <v>0</v>
      </c>
      <c r="L327" s="32">
        <f t="shared" ref="L327:L390" si="92">IF(AND(T326="",A327&lt;=S326),ROUND(H327-I327,0),0)</f>
        <v>107818</v>
      </c>
      <c r="M327" s="32">
        <f>IF(AND(AND(T326="",A327&lt;=S326),A327=入力!$B$15),ROUND(MIN(入力!$B$16,MAX(0,C327-L327)),0),0)</f>
        <v>0</v>
      </c>
      <c r="N327" s="32">
        <f t="shared" ref="N327:N390" si="93">IF(AND(T326="",A327&lt;=S326),ROUND(MAX(0,C327-L327-M327),0),0)</f>
        <v>4267881</v>
      </c>
      <c r="O327" s="32">
        <f t="shared" ref="O327:O390" si="94">IF(AND(T326="",A327&lt;=S326),ROUND(O326+F327,0),O326)</f>
        <v>10576269</v>
      </c>
      <c r="P327" s="34" t="str">
        <f>IF(NOT(AND(T326="",A327&lt;=S326)),"",IF(A327=入力!$B$15+1,"繰上返済後再計算","")&amp;IF(AND(入力!$B$13="有効",A327&gt;1,MOD(A327-1,60)=0),IF(A327=入力!$B$15+1,"・","")&amp;"5年見直し","")&amp;IF(AND(A327=入力!$B$11,A327&gt;1),IF(OR(A327=入力!$B$15+1,AND(入力!$B$13="有効",A327&gt;1,MOD(A327-1,60)=0)),"・","")&amp;"金利変更","")&amp;IF(AND(OR(AND(入力!$B$13="有効",A327&gt;1,MOD(A327-1,60)=0),AND(A327=入力!$B$11,A327&gt;1)),入力!$B$14="有効",IF(E327=0,ROUND(C327/MAX(1,S326-A327+1),0),ROUND(-PMT(E327/12,MAX(1,S326-A327+1),C327),0))&gt;ROUND(G326*1.25,0),NOT(A327=入力!$B$15+1)),"・上限適用",""))</f>
        <v/>
      </c>
      <c r="Q327" s="35" t="str">
        <f>IF(AND(T326="",A327&lt;=S326),入力!$B$13,"")</f>
        <v>有効</v>
      </c>
      <c r="R327" s="32" t="str">
        <f>IF(AND(AND(T326="",A327&lt;=S326),OR(AND(入力!$B$13="有効",A327&gt;1,MOD(A327-1,60)=0),AND(A327=入力!$B$11,A327&gt;1)),入力!$B$14="有効"),ROUND(G326*1.25,0),"")</f>
        <v/>
      </c>
      <c r="S327" s="36">
        <f>IF(A327=入力!$B$15,A327+入力!$B$19,S326)</f>
        <v>360</v>
      </c>
      <c r="T327" s="35" t="str">
        <f t="shared" ref="T327:T390" si="95">IF(NOT(AND(T326="",A327&lt;=S326)),"",IF(AND(N327=0,K327=0),"完済",IF(A327=S327,"最終回清算","")))</f>
        <v/>
      </c>
      <c r="U327" s="3">
        <f t="shared" si="80"/>
        <v>0</v>
      </c>
      <c r="V327" s="3">
        <f t="shared" si="81"/>
        <v>0</v>
      </c>
      <c r="W327" s="3">
        <f t="shared" si="82"/>
        <v>0</v>
      </c>
      <c r="X327" s="3">
        <f t="shared" si="83"/>
        <v>0</v>
      </c>
      <c r="Y327" s="3">
        <f>IF(A327&lt;入力!$B$15,ABS(G327-何もしない_月次!G327),0)</f>
        <v>0</v>
      </c>
      <c r="Z327" s="3">
        <f t="shared" si="84"/>
        <v>0</v>
      </c>
      <c r="AA327">
        <f>ROUND(IF(A327=入力!$B$15+1,IF(E327=0,ROUND(C327/入力!$B$19,0),ROUND(-PMT(E327/12,入力!$B$19,C327),0)),IF(OR(AND(入力!$B$13="有効",A327&gt;1,MOD(A327-1,60)=0),AND(A327=入力!$B$11,A327&gt;1)),IF(入力!$B$14="有効",MIN(IF(E327=0,ROUND(C327/MAX(1,S326-A327+1),0),ROUND(-PMT(E327/12,MAX(1,S326-A327+1),C327),0)),ROUND(G326*1.25,0)),IF(E327=0,ROUND(C327/MAX(1,S326-A327+1),0),ROUND(-PMT(E327/12,MAX(1,S326-A327+1),C327),0))),G326)),0)</f>
        <v>116934</v>
      </c>
    </row>
    <row r="328" spans="1:27">
      <c r="A328" s="30">
        <f>323</f>
        <v>323</v>
      </c>
      <c r="B328" s="31">
        <f>EDATE(入力!$B$6,A328-1)</f>
        <v>56036</v>
      </c>
      <c r="C328" s="32">
        <f t="shared" si="85"/>
        <v>4267881</v>
      </c>
      <c r="D328" s="32">
        <f t="shared" si="86"/>
        <v>0</v>
      </c>
      <c r="E328" s="33">
        <f>IF(AND(T327="",A328&lt;=S327),IF(A328&lt;入力!$B$11,入力!$B$10,入力!$B$12),0)</f>
        <v>2.5000000000000001E-2</v>
      </c>
      <c r="F328" s="32">
        <f t="shared" si="87"/>
        <v>8891</v>
      </c>
      <c r="G328" s="32">
        <f>ROUND(IF(NOT(AND(T327="",A328&lt;=S327)),0,IF(A328=入力!$B$15+1,IF(E328=0,ROUND(C328/入力!$B$19,0),ROUND(-PMT(E328/12,入力!$B$19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),0)</f>
        <v>116934</v>
      </c>
      <c r="H328" s="32">
        <f t="shared" si="88"/>
        <v>116934</v>
      </c>
      <c r="I328" s="32">
        <f t="shared" si="89"/>
        <v>8891</v>
      </c>
      <c r="J328" s="32">
        <f t="shared" si="90"/>
        <v>0</v>
      </c>
      <c r="K328" s="32">
        <f t="shared" si="91"/>
        <v>0</v>
      </c>
      <c r="L328" s="32">
        <f t="shared" si="92"/>
        <v>108043</v>
      </c>
      <c r="M328" s="32">
        <f>IF(AND(AND(T327="",A328&lt;=S327),A328=入力!$B$15),ROUND(MIN(入力!$B$16,MAX(0,C328-L328)),0),0)</f>
        <v>0</v>
      </c>
      <c r="N328" s="32">
        <f t="shared" si="93"/>
        <v>4159838</v>
      </c>
      <c r="O328" s="32">
        <f t="shared" si="94"/>
        <v>10585160</v>
      </c>
      <c r="P328" s="34" t="str">
        <f>IF(NOT(AND(T327="",A328&lt;=S327)),"",IF(A328=入力!$B$15+1,"繰上返済後再計算","")&amp;IF(AND(入力!$B$13="有効",A328&gt;1,MOD(A328-1,60)=0),IF(A328=入力!$B$15+1,"・","")&amp;"5年見直し","")&amp;IF(AND(A328=入力!$B$11,A328&gt;1),IF(OR(A328=入力!$B$15+1,AND(入力!$B$13="有効",A328&gt;1,MOD(A328-1,60)=0)),"・","")&amp;"金利変更","")&amp;IF(AND(OR(AND(入力!$B$13="有効",A328&gt;1,MOD(A328-1,60)=0),AND(A328=入力!$B$11,A328&gt;1)),入力!$B$14="有効",IF(E328=0,ROUND(C328/MAX(1,S327-A328+1),0),ROUND(-PMT(E328/12,MAX(1,S327-A328+1),C328),0))&gt;ROUND(G327*1.25,0),NOT(A328=入力!$B$15+1)),"・上限適用",""))</f>
        <v/>
      </c>
      <c r="Q328" s="35" t="str">
        <f>IF(AND(T327="",A328&lt;=S327),入力!$B$13,"")</f>
        <v>有効</v>
      </c>
      <c r="R328" s="32" t="str">
        <f>IF(AND(AND(T327="",A328&lt;=S327),OR(AND(入力!$B$13="有効",A328&gt;1,MOD(A328-1,60)=0),AND(A328=入力!$B$11,A328&gt;1)),入力!$B$14="有効"),ROUND(G327*1.25,0),"")</f>
        <v/>
      </c>
      <c r="S328" s="36">
        <f>IF(A328=入力!$B$15,A328+入力!$B$19,S327)</f>
        <v>360</v>
      </c>
      <c r="T328" s="35" t="str">
        <f t="shared" si="95"/>
        <v/>
      </c>
      <c r="U328" s="3">
        <f t="shared" si="80"/>
        <v>0</v>
      </c>
      <c r="V328" s="3">
        <f t="shared" si="81"/>
        <v>0</v>
      </c>
      <c r="W328" s="3">
        <f t="shared" si="82"/>
        <v>0</v>
      </c>
      <c r="X328" s="3">
        <f t="shared" si="83"/>
        <v>0</v>
      </c>
      <c r="Y328" s="3">
        <f>IF(A328&lt;入力!$B$15,ABS(G328-何もしない_月次!G328),0)</f>
        <v>0</v>
      </c>
      <c r="Z328" s="3">
        <f t="shared" si="84"/>
        <v>0</v>
      </c>
      <c r="AA328">
        <f>ROUND(IF(A328=入力!$B$15+1,IF(E328=0,ROUND(C328/入力!$B$19,0),ROUND(-PMT(E328/12,入力!$B$19,C328),0)),IF(OR(AND(入力!$B$13="有効",A328&gt;1,MOD(A328-1,60)=0),AND(A328=入力!$B$11,A328&gt;1)),IF(入力!$B$14="有効",MIN(IF(E328=0,ROUND(C328/MAX(1,S327-A328+1),0),ROUND(-PMT(E328/12,MAX(1,S327-A328+1),C328),0)),ROUND(G327*1.25,0)),IF(E328=0,ROUND(C328/MAX(1,S327-A328+1),0),ROUND(-PMT(E328/12,MAX(1,S327-A328+1),C328),0))),G327)),0)</f>
        <v>116934</v>
      </c>
    </row>
    <row r="329" spans="1:27">
      <c r="A329" s="30">
        <f>324</f>
        <v>324</v>
      </c>
      <c r="B329" s="31">
        <f>EDATE(入力!$B$6,A329-1)</f>
        <v>56066</v>
      </c>
      <c r="C329" s="32">
        <f t="shared" si="85"/>
        <v>4159838</v>
      </c>
      <c r="D329" s="32">
        <f t="shared" si="86"/>
        <v>0</v>
      </c>
      <c r="E329" s="33">
        <f>IF(AND(T328="",A329&lt;=S328),IF(A329&lt;入力!$B$11,入力!$B$10,入力!$B$12),0)</f>
        <v>2.5000000000000001E-2</v>
      </c>
      <c r="F329" s="32">
        <f t="shared" si="87"/>
        <v>8666</v>
      </c>
      <c r="G329" s="32">
        <f>ROUND(IF(NOT(AND(T328="",A329&lt;=S328)),0,IF(A329=入力!$B$15+1,IF(E329=0,ROUND(C329/入力!$B$19,0),ROUND(-PMT(E329/12,入力!$B$19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),0)</f>
        <v>116934</v>
      </c>
      <c r="H329" s="32">
        <f t="shared" si="88"/>
        <v>116934</v>
      </c>
      <c r="I329" s="32">
        <f t="shared" si="89"/>
        <v>8666</v>
      </c>
      <c r="J329" s="32">
        <f t="shared" si="90"/>
        <v>0</v>
      </c>
      <c r="K329" s="32">
        <f t="shared" si="91"/>
        <v>0</v>
      </c>
      <c r="L329" s="32">
        <f t="shared" si="92"/>
        <v>108268</v>
      </c>
      <c r="M329" s="32">
        <f>IF(AND(AND(T328="",A329&lt;=S328),A329=入力!$B$15),ROUND(MIN(入力!$B$16,MAX(0,C329-L329)),0),0)</f>
        <v>0</v>
      </c>
      <c r="N329" s="32">
        <f t="shared" si="93"/>
        <v>4051570</v>
      </c>
      <c r="O329" s="32">
        <f t="shared" si="94"/>
        <v>10593826</v>
      </c>
      <c r="P329" s="34" t="str">
        <f>IF(NOT(AND(T328="",A329&lt;=S328)),"",IF(A329=入力!$B$15+1,"繰上返済後再計算","")&amp;IF(AND(入力!$B$13="有効",A329&gt;1,MOD(A329-1,60)=0),IF(A329=入力!$B$15+1,"・","")&amp;"5年見直し","")&amp;IF(AND(A329=入力!$B$11,A329&gt;1),IF(OR(A329=入力!$B$15+1,AND(入力!$B$13="有効",A329&gt;1,MOD(A329-1,60)=0)),"・","")&amp;"金利変更","")&amp;IF(AND(OR(AND(入力!$B$13="有効",A329&gt;1,MOD(A329-1,60)=0),AND(A329=入力!$B$11,A329&gt;1)),入力!$B$14="有効",IF(E329=0,ROUND(C329/MAX(1,S328-A329+1),0),ROUND(-PMT(E329/12,MAX(1,S328-A329+1),C329),0))&gt;ROUND(G328*1.25,0),NOT(A329=入力!$B$15+1)),"・上限適用",""))</f>
        <v/>
      </c>
      <c r="Q329" s="35" t="str">
        <f>IF(AND(T328="",A329&lt;=S328),入力!$B$13,"")</f>
        <v>有効</v>
      </c>
      <c r="R329" s="32" t="str">
        <f>IF(AND(AND(T328="",A329&lt;=S328),OR(AND(入力!$B$13="有効",A329&gt;1,MOD(A329-1,60)=0),AND(A329=入力!$B$11,A329&gt;1)),入力!$B$14="有効"),ROUND(G328*1.25,0),"")</f>
        <v/>
      </c>
      <c r="S329" s="36">
        <f>IF(A329=入力!$B$15,A329+入力!$B$19,S328)</f>
        <v>360</v>
      </c>
      <c r="T329" s="35" t="str">
        <f t="shared" si="95"/>
        <v/>
      </c>
      <c r="U329" s="3">
        <f t="shared" si="80"/>
        <v>0</v>
      </c>
      <c r="V329" s="3">
        <f t="shared" si="81"/>
        <v>0</v>
      </c>
      <c r="W329" s="3">
        <f t="shared" si="82"/>
        <v>0</v>
      </c>
      <c r="X329" s="3">
        <f t="shared" si="83"/>
        <v>0</v>
      </c>
      <c r="Y329" s="3">
        <f>IF(A329&lt;入力!$B$15,ABS(G329-何もしない_月次!G329),0)</f>
        <v>0</v>
      </c>
      <c r="Z329" s="3">
        <f t="shared" si="84"/>
        <v>0</v>
      </c>
      <c r="AA329">
        <f>ROUND(IF(A329=入力!$B$15+1,IF(E329=0,ROUND(C329/入力!$B$19,0),ROUND(-PMT(E329/12,入力!$B$19,C329),0)),IF(OR(AND(入力!$B$13="有効",A329&gt;1,MOD(A329-1,60)=0),AND(A329=入力!$B$11,A329&gt;1)),IF(入力!$B$14="有効",MIN(IF(E329=0,ROUND(C329/MAX(1,S328-A329+1),0),ROUND(-PMT(E329/12,MAX(1,S328-A329+1),C329),0)),ROUND(G328*1.25,0)),IF(E329=0,ROUND(C329/MAX(1,S328-A329+1),0),ROUND(-PMT(E329/12,MAX(1,S328-A329+1),C329),0))),G328)),0)</f>
        <v>116934</v>
      </c>
    </row>
    <row r="330" spans="1:27">
      <c r="A330" s="30">
        <f>325</f>
        <v>325</v>
      </c>
      <c r="B330" s="31">
        <f>EDATE(入力!$B$6,A330-1)</f>
        <v>56097</v>
      </c>
      <c r="C330" s="32">
        <f t="shared" si="85"/>
        <v>4051570</v>
      </c>
      <c r="D330" s="32">
        <f t="shared" si="86"/>
        <v>0</v>
      </c>
      <c r="E330" s="33">
        <f>IF(AND(T329="",A330&lt;=S329),IF(A330&lt;入力!$B$11,入力!$B$10,入力!$B$12),0)</f>
        <v>2.5000000000000001E-2</v>
      </c>
      <c r="F330" s="32">
        <f t="shared" si="87"/>
        <v>8441</v>
      </c>
      <c r="G330" s="32">
        <f>ROUND(IF(NOT(AND(T329="",A330&lt;=S329)),0,IF(A330=入力!$B$15+1,IF(E330=0,ROUND(C330/入力!$B$19,0),ROUND(-PMT(E330/12,入力!$B$19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),0)</f>
        <v>116934</v>
      </c>
      <c r="H330" s="32">
        <f t="shared" si="88"/>
        <v>116934</v>
      </c>
      <c r="I330" s="32">
        <f t="shared" si="89"/>
        <v>8441</v>
      </c>
      <c r="J330" s="32">
        <f t="shared" si="90"/>
        <v>0</v>
      </c>
      <c r="K330" s="32">
        <f t="shared" si="91"/>
        <v>0</v>
      </c>
      <c r="L330" s="32">
        <f t="shared" si="92"/>
        <v>108493</v>
      </c>
      <c r="M330" s="32">
        <f>IF(AND(AND(T329="",A330&lt;=S329),A330=入力!$B$15),ROUND(MIN(入力!$B$16,MAX(0,C330-L330)),0),0)</f>
        <v>0</v>
      </c>
      <c r="N330" s="32">
        <f t="shared" si="93"/>
        <v>3943077</v>
      </c>
      <c r="O330" s="32">
        <f t="shared" si="94"/>
        <v>10602267</v>
      </c>
      <c r="P330" s="34" t="str">
        <f>IF(NOT(AND(T329="",A330&lt;=S329)),"",IF(A330=入力!$B$15+1,"繰上返済後再計算","")&amp;IF(AND(入力!$B$13="有効",A330&gt;1,MOD(A330-1,60)=0),IF(A330=入力!$B$15+1,"・","")&amp;"5年見直し","")&amp;IF(AND(A330=入力!$B$11,A330&gt;1),IF(OR(A330=入力!$B$15+1,AND(入力!$B$13="有効",A330&gt;1,MOD(A330-1,60)=0)),"・","")&amp;"金利変更","")&amp;IF(AND(OR(AND(入力!$B$13="有効",A330&gt;1,MOD(A330-1,60)=0),AND(A330=入力!$B$11,A330&gt;1)),入力!$B$14="有効",IF(E330=0,ROUND(C330/MAX(1,S329-A330+1),0),ROUND(-PMT(E330/12,MAX(1,S329-A330+1),C330),0))&gt;ROUND(G329*1.25,0),NOT(A330=入力!$B$15+1)),"・上限適用",""))</f>
        <v/>
      </c>
      <c r="Q330" s="35" t="str">
        <f>IF(AND(T329="",A330&lt;=S329),入力!$B$13,"")</f>
        <v>有効</v>
      </c>
      <c r="R330" s="32" t="str">
        <f>IF(AND(AND(T329="",A330&lt;=S329),OR(AND(入力!$B$13="有効",A330&gt;1,MOD(A330-1,60)=0),AND(A330=入力!$B$11,A330&gt;1)),入力!$B$14="有効"),ROUND(G329*1.25,0),"")</f>
        <v/>
      </c>
      <c r="S330" s="36">
        <f>IF(A330=入力!$B$15,A330+入力!$B$19,S329)</f>
        <v>360</v>
      </c>
      <c r="T330" s="35" t="str">
        <f t="shared" si="95"/>
        <v/>
      </c>
      <c r="U330" s="3">
        <f t="shared" si="80"/>
        <v>0</v>
      </c>
      <c r="V330" s="3">
        <f t="shared" si="81"/>
        <v>0</v>
      </c>
      <c r="W330" s="3">
        <f t="shared" si="82"/>
        <v>0</v>
      </c>
      <c r="X330" s="3">
        <f t="shared" si="83"/>
        <v>0</v>
      </c>
      <c r="Y330" s="3">
        <f>IF(A330&lt;入力!$B$15,ABS(G330-何もしない_月次!G330),0)</f>
        <v>0</v>
      </c>
      <c r="Z330" s="3">
        <f t="shared" si="84"/>
        <v>0</v>
      </c>
      <c r="AA330">
        <f>ROUND(IF(A330=入力!$B$15+1,IF(E330=0,ROUND(C330/入力!$B$19,0),ROUND(-PMT(E330/12,入力!$B$19,C330),0)),IF(OR(AND(入力!$B$13="有効",A330&gt;1,MOD(A330-1,60)=0),AND(A330=入力!$B$11,A330&gt;1)),IF(入力!$B$14="有効",MIN(IF(E330=0,ROUND(C330/MAX(1,S329-A330+1),0),ROUND(-PMT(E330/12,MAX(1,S329-A330+1),C330),0)),ROUND(G329*1.25,0)),IF(E330=0,ROUND(C330/MAX(1,S329-A330+1),0),ROUND(-PMT(E330/12,MAX(1,S329-A330+1),C330),0))),G329)),0)</f>
        <v>116934</v>
      </c>
    </row>
    <row r="331" spans="1:27">
      <c r="A331" s="30">
        <f>326</f>
        <v>326</v>
      </c>
      <c r="B331" s="31">
        <f>EDATE(入力!$B$6,A331-1)</f>
        <v>56128</v>
      </c>
      <c r="C331" s="32">
        <f t="shared" si="85"/>
        <v>3943077</v>
      </c>
      <c r="D331" s="32">
        <f t="shared" si="86"/>
        <v>0</v>
      </c>
      <c r="E331" s="33">
        <f>IF(AND(T330="",A331&lt;=S330),IF(A331&lt;入力!$B$11,入力!$B$10,入力!$B$12),0)</f>
        <v>2.5000000000000001E-2</v>
      </c>
      <c r="F331" s="32">
        <f t="shared" si="87"/>
        <v>8215</v>
      </c>
      <c r="G331" s="32">
        <f>ROUND(IF(NOT(AND(T330="",A331&lt;=S330)),0,IF(A331=入力!$B$15+1,IF(E331=0,ROUND(C331/入力!$B$19,0),ROUND(-PMT(E331/12,入力!$B$19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),0)</f>
        <v>116934</v>
      </c>
      <c r="H331" s="32">
        <f t="shared" si="88"/>
        <v>116934</v>
      </c>
      <c r="I331" s="32">
        <f t="shared" si="89"/>
        <v>8215</v>
      </c>
      <c r="J331" s="32">
        <f t="shared" si="90"/>
        <v>0</v>
      </c>
      <c r="K331" s="32">
        <f t="shared" si="91"/>
        <v>0</v>
      </c>
      <c r="L331" s="32">
        <f t="shared" si="92"/>
        <v>108719</v>
      </c>
      <c r="M331" s="32">
        <f>IF(AND(AND(T330="",A331&lt;=S330),A331=入力!$B$15),ROUND(MIN(入力!$B$16,MAX(0,C331-L331)),0),0)</f>
        <v>0</v>
      </c>
      <c r="N331" s="32">
        <f t="shared" si="93"/>
        <v>3834358</v>
      </c>
      <c r="O331" s="32">
        <f t="shared" si="94"/>
        <v>10610482</v>
      </c>
      <c r="P331" s="34" t="str">
        <f>IF(NOT(AND(T330="",A331&lt;=S330)),"",IF(A331=入力!$B$15+1,"繰上返済後再計算","")&amp;IF(AND(入力!$B$13="有効",A331&gt;1,MOD(A331-1,60)=0),IF(A331=入力!$B$15+1,"・","")&amp;"5年見直し","")&amp;IF(AND(A331=入力!$B$11,A331&gt;1),IF(OR(A331=入力!$B$15+1,AND(入力!$B$13="有効",A331&gt;1,MOD(A331-1,60)=0)),"・","")&amp;"金利変更","")&amp;IF(AND(OR(AND(入力!$B$13="有効",A331&gt;1,MOD(A331-1,60)=0),AND(A331=入力!$B$11,A331&gt;1)),入力!$B$14="有効",IF(E331=0,ROUND(C331/MAX(1,S330-A331+1),0),ROUND(-PMT(E331/12,MAX(1,S330-A331+1),C331),0))&gt;ROUND(G330*1.25,0),NOT(A331=入力!$B$15+1)),"・上限適用",""))</f>
        <v/>
      </c>
      <c r="Q331" s="35" t="str">
        <f>IF(AND(T330="",A331&lt;=S330),入力!$B$13,"")</f>
        <v>有効</v>
      </c>
      <c r="R331" s="32" t="str">
        <f>IF(AND(AND(T330="",A331&lt;=S330),OR(AND(入力!$B$13="有効",A331&gt;1,MOD(A331-1,60)=0),AND(A331=入力!$B$11,A331&gt;1)),入力!$B$14="有効"),ROUND(G330*1.25,0),"")</f>
        <v/>
      </c>
      <c r="S331" s="36">
        <f>IF(A331=入力!$B$15,A331+入力!$B$19,S330)</f>
        <v>360</v>
      </c>
      <c r="T331" s="35" t="str">
        <f t="shared" si="95"/>
        <v/>
      </c>
      <c r="U331" s="3">
        <f t="shared" si="80"/>
        <v>0</v>
      </c>
      <c r="V331" s="3">
        <f t="shared" si="81"/>
        <v>0</v>
      </c>
      <c r="W331" s="3">
        <f t="shared" si="82"/>
        <v>0</v>
      </c>
      <c r="X331" s="3">
        <f t="shared" si="83"/>
        <v>0</v>
      </c>
      <c r="Y331" s="3">
        <f>IF(A331&lt;入力!$B$15,ABS(G331-何もしない_月次!G331),0)</f>
        <v>0</v>
      </c>
      <c r="Z331" s="3">
        <f t="shared" si="84"/>
        <v>0</v>
      </c>
      <c r="AA331">
        <f>ROUND(IF(A331=入力!$B$15+1,IF(E331=0,ROUND(C331/入力!$B$19,0),ROUND(-PMT(E331/12,入力!$B$19,C331),0)),IF(OR(AND(入力!$B$13="有効",A331&gt;1,MOD(A331-1,60)=0),AND(A331=入力!$B$11,A331&gt;1)),IF(入力!$B$14="有効",MIN(IF(E331=0,ROUND(C331/MAX(1,S330-A331+1),0),ROUND(-PMT(E331/12,MAX(1,S330-A331+1),C331),0)),ROUND(G330*1.25,0)),IF(E331=0,ROUND(C331/MAX(1,S330-A331+1),0),ROUND(-PMT(E331/12,MAX(1,S330-A331+1),C331),0))),G330)),0)</f>
        <v>116934</v>
      </c>
    </row>
    <row r="332" spans="1:27">
      <c r="A332" s="30">
        <f>327</f>
        <v>327</v>
      </c>
      <c r="B332" s="31">
        <f>EDATE(入力!$B$6,A332-1)</f>
        <v>56158</v>
      </c>
      <c r="C332" s="32">
        <f t="shared" si="85"/>
        <v>3834358</v>
      </c>
      <c r="D332" s="32">
        <f t="shared" si="86"/>
        <v>0</v>
      </c>
      <c r="E332" s="33">
        <f>IF(AND(T331="",A332&lt;=S331),IF(A332&lt;入力!$B$11,入力!$B$10,入力!$B$12),0)</f>
        <v>2.5000000000000001E-2</v>
      </c>
      <c r="F332" s="32">
        <f t="shared" si="87"/>
        <v>7988</v>
      </c>
      <c r="G332" s="32">
        <f>ROUND(IF(NOT(AND(T331="",A332&lt;=S331)),0,IF(A332=入力!$B$15+1,IF(E332=0,ROUND(C332/入力!$B$19,0),ROUND(-PMT(E332/12,入力!$B$19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),0)</f>
        <v>116934</v>
      </c>
      <c r="H332" s="32">
        <f t="shared" si="88"/>
        <v>116934</v>
      </c>
      <c r="I332" s="32">
        <f t="shared" si="89"/>
        <v>7988</v>
      </c>
      <c r="J332" s="32">
        <f t="shared" si="90"/>
        <v>0</v>
      </c>
      <c r="K332" s="32">
        <f t="shared" si="91"/>
        <v>0</v>
      </c>
      <c r="L332" s="32">
        <f t="shared" si="92"/>
        <v>108946</v>
      </c>
      <c r="M332" s="32">
        <f>IF(AND(AND(T331="",A332&lt;=S331),A332=入力!$B$15),ROUND(MIN(入力!$B$16,MAX(0,C332-L332)),0),0)</f>
        <v>0</v>
      </c>
      <c r="N332" s="32">
        <f t="shared" si="93"/>
        <v>3725412</v>
      </c>
      <c r="O332" s="32">
        <f t="shared" si="94"/>
        <v>10618470</v>
      </c>
      <c r="P332" s="34" t="str">
        <f>IF(NOT(AND(T331="",A332&lt;=S331)),"",IF(A332=入力!$B$15+1,"繰上返済後再計算","")&amp;IF(AND(入力!$B$13="有効",A332&gt;1,MOD(A332-1,60)=0),IF(A332=入力!$B$15+1,"・","")&amp;"5年見直し","")&amp;IF(AND(A332=入力!$B$11,A332&gt;1),IF(OR(A332=入力!$B$15+1,AND(入力!$B$13="有効",A332&gt;1,MOD(A332-1,60)=0)),"・","")&amp;"金利変更","")&amp;IF(AND(OR(AND(入力!$B$13="有効",A332&gt;1,MOD(A332-1,60)=0),AND(A332=入力!$B$11,A332&gt;1)),入力!$B$14="有効",IF(E332=0,ROUND(C332/MAX(1,S331-A332+1),0),ROUND(-PMT(E332/12,MAX(1,S331-A332+1),C332),0))&gt;ROUND(G331*1.25,0),NOT(A332=入力!$B$15+1)),"・上限適用",""))</f>
        <v/>
      </c>
      <c r="Q332" s="35" t="str">
        <f>IF(AND(T331="",A332&lt;=S331),入力!$B$13,"")</f>
        <v>有効</v>
      </c>
      <c r="R332" s="32" t="str">
        <f>IF(AND(AND(T331="",A332&lt;=S331),OR(AND(入力!$B$13="有効",A332&gt;1,MOD(A332-1,60)=0),AND(A332=入力!$B$11,A332&gt;1)),入力!$B$14="有効"),ROUND(G331*1.25,0),"")</f>
        <v/>
      </c>
      <c r="S332" s="36">
        <f>IF(A332=入力!$B$15,A332+入力!$B$19,S331)</f>
        <v>360</v>
      </c>
      <c r="T332" s="35" t="str">
        <f t="shared" si="95"/>
        <v/>
      </c>
      <c r="U332" s="3">
        <f t="shared" si="80"/>
        <v>0</v>
      </c>
      <c r="V332" s="3">
        <f t="shared" si="81"/>
        <v>0</v>
      </c>
      <c r="W332" s="3">
        <f t="shared" si="82"/>
        <v>0</v>
      </c>
      <c r="X332" s="3">
        <f t="shared" si="83"/>
        <v>0</v>
      </c>
      <c r="Y332" s="3">
        <f>IF(A332&lt;入力!$B$15,ABS(G332-何もしない_月次!G332),0)</f>
        <v>0</v>
      </c>
      <c r="Z332" s="3">
        <f t="shared" si="84"/>
        <v>0</v>
      </c>
      <c r="AA332">
        <f>ROUND(IF(A332=入力!$B$15+1,IF(E332=0,ROUND(C332/入力!$B$19,0),ROUND(-PMT(E332/12,入力!$B$19,C332),0)),IF(OR(AND(入力!$B$13="有効",A332&gt;1,MOD(A332-1,60)=0),AND(A332=入力!$B$11,A332&gt;1)),IF(入力!$B$14="有効",MIN(IF(E332=0,ROUND(C332/MAX(1,S331-A332+1),0),ROUND(-PMT(E332/12,MAX(1,S331-A332+1),C332),0)),ROUND(G331*1.25,0)),IF(E332=0,ROUND(C332/MAX(1,S331-A332+1),0),ROUND(-PMT(E332/12,MAX(1,S331-A332+1),C332),0))),G331)),0)</f>
        <v>116934</v>
      </c>
    </row>
    <row r="333" spans="1:27">
      <c r="A333" s="30">
        <f>328</f>
        <v>328</v>
      </c>
      <c r="B333" s="31">
        <f>EDATE(入力!$B$6,A333-1)</f>
        <v>56189</v>
      </c>
      <c r="C333" s="32">
        <f t="shared" si="85"/>
        <v>3725412</v>
      </c>
      <c r="D333" s="32">
        <f t="shared" si="86"/>
        <v>0</v>
      </c>
      <c r="E333" s="33">
        <f>IF(AND(T332="",A333&lt;=S332),IF(A333&lt;入力!$B$11,入力!$B$10,入力!$B$12),0)</f>
        <v>2.5000000000000001E-2</v>
      </c>
      <c r="F333" s="32">
        <f t="shared" si="87"/>
        <v>7761</v>
      </c>
      <c r="G333" s="32">
        <f>ROUND(IF(NOT(AND(T332="",A333&lt;=S332)),0,IF(A333=入力!$B$15+1,IF(E333=0,ROUND(C333/入力!$B$19,0),ROUND(-PMT(E333/12,入力!$B$19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),0)</f>
        <v>116934</v>
      </c>
      <c r="H333" s="32">
        <f t="shared" si="88"/>
        <v>116934</v>
      </c>
      <c r="I333" s="32">
        <f t="shared" si="89"/>
        <v>7761</v>
      </c>
      <c r="J333" s="32">
        <f t="shared" si="90"/>
        <v>0</v>
      </c>
      <c r="K333" s="32">
        <f t="shared" si="91"/>
        <v>0</v>
      </c>
      <c r="L333" s="32">
        <f t="shared" si="92"/>
        <v>109173</v>
      </c>
      <c r="M333" s="32">
        <f>IF(AND(AND(T332="",A333&lt;=S332),A333=入力!$B$15),ROUND(MIN(入力!$B$16,MAX(0,C333-L333)),0),0)</f>
        <v>0</v>
      </c>
      <c r="N333" s="32">
        <f t="shared" si="93"/>
        <v>3616239</v>
      </c>
      <c r="O333" s="32">
        <f t="shared" si="94"/>
        <v>10626231</v>
      </c>
      <c r="P333" s="34" t="str">
        <f>IF(NOT(AND(T332="",A333&lt;=S332)),"",IF(A333=入力!$B$15+1,"繰上返済後再計算","")&amp;IF(AND(入力!$B$13="有効",A333&gt;1,MOD(A333-1,60)=0),IF(A333=入力!$B$15+1,"・","")&amp;"5年見直し","")&amp;IF(AND(A333=入力!$B$11,A333&gt;1),IF(OR(A333=入力!$B$15+1,AND(入力!$B$13="有効",A333&gt;1,MOD(A333-1,60)=0)),"・","")&amp;"金利変更","")&amp;IF(AND(OR(AND(入力!$B$13="有効",A333&gt;1,MOD(A333-1,60)=0),AND(A333=入力!$B$11,A333&gt;1)),入力!$B$14="有効",IF(E333=0,ROUND(C333/MAX(1,S332-A333+1),0),ROUND(-PMT(E333/12,MAX(1,S332-A333+1),C333),0))&gt;ROUND(G332*1.25,0),NOT(A333=入力!$B$15+1)),"・上限適用",""))</f>
        <v/>
      </c>
      <c r="Q333" s="35" t="str">
        <f>IF(AND(T332="",A333&lt;=S332),入力!$B$13,"")</f>
        <v>有効</v>
      </c>
      <c r="R333" s="32" t="str">
        <f>IF(AND(AND(T332="",A333&lt;=S332),OR(AND(入力!$B$13="有効",A333&gt;1,MOD(A333-1,60)=0),AND(A333=入力!$B$11,A333&gt;1)),入力!$B$14="有効"),ROUND(G332*1.25,0),"")</f>
        <v/>
      </c>
      <c r="S333" s="36">
        <f>IF(A333=入力!$B$15,A333+入力!$B$19,S332)</f>
        <v>360</v>
      </c>
      <c r="T333" s="35" t="str">
        <f t="shared" si="95"/>
        <v/>
      </c>
      <c r="U333" s="3">
        <f t="shared" si="80"/>
        <v>0</v>
      </c>
      <c r="V333" s="3">
        <f t="shared" si="81"/>
        <v>0</v>
      </c>
      <c r="W333" s="3">
        <f t="shared" si="82"/>
        <v>0</v>
      </c>
      <c r="X333" s="3">
        <f t="shared" si="83"/>
        <v>0</v>
      </c>
      <c r="Y333" s="3">
        <f>IF(A333&lt;入力!$B$15,ABS(G333-何もしない_月次!G333),0)</f>
        <v>0</v>
      </c>
      <c r="Z333" s="3">
        <f t="shared" si="84"/>
        <v>0</v>
      </c>
      <c r="AA333">
        <f>ROUND(IF(A333=入力!$B$15+1,IF(E333=0,ROUND(C333/入力!$B$19,0),ROUND(-PMT(E333/12,入力!$B$19,C333),0)),IF(OR(AND(入力!$B$13="有効",A333&gt;1,MOD(A333-1,60)=0),AND(A333=入力!$B$11,A333&gt;1)),IF(入力!$B$14="有効",MIN(IF(E333=0,ROUND(C333/MAX(1,S332-A333+1),0),ROUND(-PMT(E333/12,MAX(1,S332-A333+1),C333),0)),ROUND(G332*1.25,0)),IF(E333=0,ROUND(C333/MAX(1,S332-A333+1),0),ROUND(-PMT(E333/12,MAX(1,S332-A333+1),C333),0))),G332)),0)</f>
        <v>116934</v>
      </c>
    </row>
    <row r="334" spans="1:27">
      <c r="A334" s="30">
        <f>329</f>
        <v>329</v>
      </c>
      <c r="B334" s="31">
        <f>EDATE(入力!$B$6,A334-1)</f>
        <v>56219</v>
      </c>
      <c r="C334" s="32">
        <f t="shared" si="85"/>
        <v>3616239</v>
      </c>
      <c r="D334" s="32">
        <f t="shared" si="86"/>
        <v>0</v>
      </c>
      <c r="E334" s="33">
        <f>IF(AND(T333="",A334&lt;=S333),IF(A334&lt;入力!$B$11,入力!$B$10,入力!$B$12),0)</f>
        <v>2.5000000000000001E-2</v>
      </c>
      <c r="F334" s="32">
        <f t="shared" si="87"/>
        <v>7534</v>
      </c>
      <c r="G334" s="32">
        <f>ROUND(IF(NOT(AND(T333="",A334&lt;=S333)),0,IF(A334=入力!$B$15+1,IF(E334=0,ROUND(C334/入力!$B$19,0),ROUND(-PMT(E334/12,入力!$B$19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),0)</f>
        <v>116934</v>
      </c>
      <c r="H334" s="32">
        <f t="shared" si="88"/>
        <v>116934</v>
      </c>
      <c r="I334" s="32">
        <f t="shared" si="89"/>
        <v>7534</v>
      </c>
      <c r="J334" s="32">
        <f t="shared" si="90"/>
        <v>0</v>
      </c>
      <c r="K334" s="32">
        <f t="shared" si="91"/>
        <v>0</v>
      </c>
      <c r="L334" s="32">
        <f t="shared" si="92"/>
        <v>109400</v>
      </c>
      <c r="M334" s="32">
        <f>IF(AND(AND(T333="",A334&lt;=S333),A334=入力!$B$15),ROUND(MIN(入力!$B$16,MAX(0,C334-L334)),0),0)</f>
        <v>0</v>
      </c>
      <c r="N334" s="32">
        <f t="shared" si="93"/>
        <v>3506839</v>
      </c>
      <c r="O334" s="32">
        <f t="shared" si="94"/>
        <v>10633765</v>
      </c>
      <c r="P334" s="34" t="str">
        <f>IF(NOT(AND(T333="",A334&lt;=S333)),"",IF(A334=入力!$B$15+1,"繰上返済後再計算","")&amp;IF(AND(入力!$B$13="有効",A334&gt;1,MOD(A334-1,60)=0),IF(A334=入力!$B$15+1,"・","")&amp;"5年見直し","")&amp;IF(AND(A334=入力!$B$11,A334&gt;1),IF(OR(A334=入力!$B$15+1,AND(入力!$B$13="有効",A334&gt;1,MOD(A334-1,60)=0)),"・","")&amp;"金利変更","")&amp;IF(AND(OR(AND(入力!$B$13="有効",A334&gt;1,MOD(A334-1,60)=0),AND(A334=入力!$B$11,A334&gt;1)),入力!$B$14="有効",IF(E334=0,ROUND(C334/MAX(1,S333-A334+1),0),ROUND(-PMT(E334/12,MAX(1,S333-A334+1),C334),0))&gt;ROUND(G333*1.25,0),NOT(A334=入力!$B$15+1)),"・上限適用",""))</f>
        <v/>
      </c>
      <c r="Q334" s="35" t="str">
        <f>IF(AND(T333="",A334&lt;=S333),入力!$B$13,"")</f>
        <v>有効</v>
      </c>
      <c r="R334" s="32" t="str">
        <f>IF(AND(AND(T333="",A334&lt;=S333),OR(AND(入力!$B$13="有効",A334&gt;1,MOD(A334-1,60)=0),AND(A334=入力!$B$11,A334&gt;1)),入力!$B$14="有効"),ROUND(G333*1.25,0),"")</f>
        <v/>
      </c>
      <c r="S334" s="36">
        <f>IF(A334=入力!$B$15,A334+入力!$B$19,S333)</f>
        <v>360</v>
      </c>
      <c r="T334" s="35" t="str">
        <f t="shared" si="95"/>
        <v/>
      </c>
      <c r="U334" s="3">
        <f t="shared" si="80"/>
        <v>0</v>
      </c>
      <c r="V334" s="3">
        <f t="shared" si="81"/>
        <v>0</v>
      </c>
      <c r="W334" s="3">
        <f t="shared" si="82"/>
        <v>0</v>
      </c>
      <c r="X334" s="3">
        <f t="shared" si="83"/>
        <v>0</v>
      </c>
      <c r="Y334" s="3">
        <f>IF(A334&lt;入力!$B$15,ABS(G334-何もしない_月次!G334),0)</f>
        <v>0</v>
      </c>
      <c r="Z334" s="3">
        <f t="shared" si="84"/>
        <v>0</v>
      </c>
      <c r="AA334">
        <f>ROUND(IF(A334=入力!$B$15+1,IF(E334=0,ROUND(C334/入力!$B$19,0),ROUND(-PMT(E334/12,入力!$B$19,C334),0)),IF(OR(AND(入力!$B$13="有効",A334&gt;1,MOD(A334-1,60)=0),AND(A334=入力!$B$11,A334&gt;1)),IF(入力!$B$14="有効",MIN(IF(E334=0,ROUND(C334/MAX(1,S333-A334+1),0),ROUND(-PMT(E334/12,MAX(1,S333-A334+1),C334),0)),ROUND(G333*1.25,0)),IF(E334=0,ROUND(C334/MAX(1,S333-A334+1),0),ROUND(-PMT(E334/12,MAX(1,S333-A334+1),C334),0))),G333)),0)</f>
        <v>116934</v>
      </c>
    </row>
    <row r="335" spans="1:27">
      <c r="A335" s="30">
        <f>330</f>
        <v>330</v>
      </c>
      <c r="B335" s="31">
        <f>EDATE(入力!$B$6,A335-1)</f>
        <v>56250</v>
      </c>
      <c r="C335" s="32">
        <f t="shared" si="85"/>
        <v>3506839</v>
      </c>
      <c r="D335" s="32">
        <f t="shared" si="86"/>
        <v>0</v>
      </c>
      <c r="E335" s="33">
        <f>IF(AND(T334="",A335&lt;=S334),IF(A335&lt;入力!$B$11,入力!$B$10,入力!$B$12),0)</f>
        <v>2.5000000000000001E-2</v>
      </c>
      <c r="F335" s="32">
        <f t="shared" si="87"/>
        <v>7306</v>
      </c>
      <c r="G335" s="32">
        <f>ROUND(IF(NOT(AND(T334="",A335&lt;=S334)),0,IF(A335=入力!$B$15+1,IF(E335=0,ROUND(C335/入力!$B$19,0),ROUND(-PMT(E335/12,入力!$B$19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),0)</f>
        <v>116934</v>
      </c>
      <c r="H335" s="32">
        <f t="shared" si="88"/>
        <v>116934</v>
      </c>
      <c r="I335" s="32">
        <f t="shared" si="89"/>
        <v>7306</v>
      </c>
      <c r="J335" s="32">
        <f t="shared" si="90"/>
        <v>0</v>
      </c>
      <c r="K335" s="32">
        <f t="shared" si="91"/>
        <v>0</v>
      </c>
      <c r="L335" s="32">
        <f t="shared" si="92"/>
        <v>109628</v>
      </c>
      <c r="M335" s="32">
        <f>IF(AND(AND(T334="",A335&lt;=S334),A335=入力!$B$15),ROUND(MIN(入力!$B$16,MAX(0,C335-L335)),0),0)</f>
        <v>0</v>
      </c>
      <c r="N335" s="32">
        <f t="shared" si="93"/>
        <v>3397211</v>
      </c>
      <c r="O335" s="32">
        <f t="shared" si="94"/>
        <v>10641071</v>
      </c>
      <c r="P335" s="34" t="str">
        <f>IF(NOT(AND(T334="",A335&lt;=S334)),"",IF(A335=入力!$B$15+1,"繰上返済後再計算","")&amp;IF(AND(入力!$B$13="有効",A335&gt;1,MOD(A335-1,60)=0),IF(A335=入力!$B$15+1,"・","")&amp;"5年見直し","")&amp;IF(AND(A335=入力!$B$11,A335&gt;1),IF(OR(A335=入力!$B$15+1,AND(入力!$B$13="有効",A335&gt;1,MOD(A335-1,60)=0)),"・","")&amp;"金利変更","")&amp;IF(AND(OR(AND(入力!$B$13="有効",A335&gt;1,MOD(A335-1,60)=0),AND(A335=入力!$B$11,A335&gt;1)),入力!$B$14="有効",IF(E335=0,ROUND(C335/MAX(1,S334-A335+1),0),ROUND(-PMT(E335/12,MAX(1,S334-A335+1),C335),0))&gt;ROUND(G334*1.25,0),NOT(A335=入力!$B$15+1)),"・上限適用",""))</f>
        <v/>
      </c>
      <c r="Q335" s="35" t="str">
        <f>IF(AND(T334="",A335&lt;=S334),入力!$B$13,"")</f>
        <v>有効</v>
      </c>
      <c r="R335" s="32" t="str">
        <f>IF(AND(AND(T334="",A335&lt;=S334),OR(AND(入力!$B$13="有効",A335&gt;1,MOD(A335-1,60)=0),AND(A335=入力!$B$11,A335&gt;1)),入力!$B$14="有効"),ROUND(G334*1.25,0),"")</f>
        <v/>
      </c>
      <c r="S335" s="36">
        <f>IF(A335=入力!$B$15,A335+入力!$B$19,S334)</f>
        <v>360</v>
      </c>
      <c r="T335" s="35" t="str">
        <f t="shared" si="95"/>
        <v/>
      </c>
      <c r="U335" s="3">
        <f t="shared" si="80"/>
        <v>0</v>
      </c>
      <c r="V335" s="3">
        <f t="shared" si="81"/>
        <v>0</v>
      </c>
      <c r="W335" s="3">
        <f t="shared" si="82"/>
        <v>0</v>
      </c>
      <c r="X335" s="3">
        <f t="shared" si="83"/>
        <v>0</v>
      </c>
      <c r="Y335" s="3">
        <f>IF(A335&lt;入力!$B$15,ABS(G335-何もしない_月次!G335),0)</f>
        <v>0</v>
      </c>
      <c r="Z335" s="3">
        <f t="shared" si="84"/>
        <v>0</v>
      </c>
      <c r="AA335">
        <f>ROUND(IF(A335=入力!$B$15+1,IF(E335=0,ROUND(C335/入力!$B$19,0),ROUND(-PMT(E335/12,入力!$B$19,C335),0)),IF(OR(AND(入力!$B$13="有効",A335&gt;1,MOD(A335-1,60)=0),AND(A335=入力!$B$11,A335&gt;1)),IF(入力!$B$14="有効",MIN(IF(E335=0,ROUND(C335/MAX(1,S334-A335+1),0),ROUND(-PMT(E335/12,MAX(1,S334-A335+1),C335),0)),ROUND(G334*1.25,0)),IF(E335=0,ROUND(C335/MAX(1,S334-A335+1),0),ROUND(-PMT(E335/12,MAX(1,S334-A335+1),C335),0))),G334)),0)</f>
        <v>116934</v>
      </c>
    </row>
    <row r="336" spans="1:27">
      <c r="A336" s="30">
        <f>331</f>
        <v>331</v>
      </c>
      <c r="B336" s="31">
        <f>EDATE(入力!$B$6,A336-1)</f>
        <v>56281</v>
      </c>
      <c r="C336" s="32">
        <f t="shared" si="85"/>
        <v>3397211</v>
      </c>
      <c r="D336" s="32">
        <f t="shared" si="86"/>
        <v>0</v>
      </c>
      <c r="E336" s="33">
        <f>IF(AND(T335="",A336&lt;=S335),IF(A336&lt;入力!$B$11,入力!$B$10,入力!$B$12),0)</f>
        <v>2.5000000000000001E-2</v>
      </c>
      <c r="F336" s="32">
        <f t="shared" si="87"/>
        <v>7078</v>
      </c>
      <c r="G336" s="32">
        <f>ROUND(IF(NOT(AND(T335="",A336&lt;=S335)),0,IF(A336=入力!$B$15+1,IF(E336=0,ROUND(C336/入力!$B$19,0),ROUND(-PMT(E336/12,入力!$B$19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),0)</f>
        <v>116934</v>
      </c>
      <c r="H336" s="32">
        <f t="shared" si="88"/>
        <v>116934</v>
      </c>
      <c r="I336" s="32">
        <f t="shared" si="89"/>
        <v>7078</v>
      </c>
      <c r="J336" s="32">
        <f t="shared" si="90"/>
        <v>0</v>
      </c>
      <c r="K336" s="32">
        <f t="shared" si="91"/>
        <v>0</v>
      </c>
      <c r="L336" s="32">
        <f t="shared" si="92"/>
        <v>109856</v>
      </c>
      <c r="M336" s="32">
        <f>IF(AND(AND(T335="",A336&lt;=S335),A336=入力!$B$15),ROUND(MIN(入力!$B$16,MAX(0,C336-L336)),0),0)</f>
        <v>0</v>
      </c>
      <c r="N336" s="32">
        <f t="shared" si="93"/>
        <v>3287355</v>
      </c>
      <c r="O336" s="32">
        <f t="shared" si="94"/>
        <v>10648149</v>
      </c>
      <c r="P336" s="34" t="str">
        <f>IF(NOT(AND(T335="",A336&lt;=S335)),"",IF(A336=入力!$B$15+1,"繰上返済後再計算","")&amp;IF(AND(入力!$B$13="有効",A336&gt;1,MOD(A336-1,60)=0),IF(A336=入力!$B$15+1,"・","")&amp;"5年見直し","")&amp;IF(AND(A336=入力!$B$11,A336&gt;1),IF(OR(A336=入力!$B$15+1,AND(入力!$B$13="有効",A336&gt;1,MOD(A336-1,60)=0)),"・","")&amp;"金利変更","")&amp;IF(AND(OR(AND(入力!$B$13="有効",A336&gt;1,MOD(A336-1,60)=0),AND(A336=入力!$B$11,A336&gt;1)),入力!$B$14="有効",IF(E336=0,ROUND(C336/MAX(1,S335-A336+1),0),ROUND(-PMT(E336/12,MAX(1,S335-A336+1),C336),0))&gt;ROUND(G335*1.25,0),NOT(A336=入力!$B$15+1)),"・上限適用",""))</f>
        <v/>
      </c>
      <c r="Q336" s="35" t="str">
        <f>IF(AND(T335="",A336&lt;=S335),入力!$B$13,"")</f>
        <v>有効</v>
      </c>
      <c r="R336" s="32" t="str">
        <f>IF(AND(AND(T335="",A336&lt;=S335),OR(AND(入力!$B$13="有効",A336&gt;1,MOD(A336-1,60)=0),AND(A336=入力!$B$11,A336&gt;1)),入力!$B$14="有効"),ROUND(G335*1.25,0),"")</f>
        <v/>
      </c>
      <c r="S336" s="36">
        <f>IF(A336=入力!$B$15,A336+入力!$B$19,S335)</f>
        <v>360</v>
      </c>
      <c r="T336" s="35" t="str">
        <f t="shared" si="95"/>
        <v/>
      </c>
      <c r="U336" s="3">
        <f t="shared" si="80"/>
        <v>0</v>
      </c>
      <c r="V336" s="3">
        <f t="shared" si="81"/>
        <v>0</v>
      </c>
      <c r="W336" s="3">
        <f t="shared" si="82"/>
        <v>0</v>
      </c>
      <c r="X336" s="3">
        <f t="shared" si="83"/>
        <v>0</v>
      </c>
      <c r="Y336" s="3">
        <f>IF(A336&lt;入力!$B$15,ABS(G336-何もしない_月次!G336),0)</f>
        <v>0</v>
      </c>
      <c r="Z336" s="3">
        <f t="shared" si="84"/>
        <v>0</v>
      </c>
      <c r="AA336">
        <f>ROUND(IF(A336=入力!$B$15+1,IF(E336=0,ROUND(C336/入力!$B$19,0),ROUND(-PMT(E336/12,入力!$B$19,C336),0)),IF(OR(AND(入力!$B$13="有効",A336&gt;1,MOD(A336-1,60)=0),AND(A336=入力!$B$11,A336&gt;1)),IF(入力!$B$14="有効",MIN(IF(E336=0,ROUND(C336/MAX(1,S335-A336+1),0),ROUND(-PMT(E336/12,MAX(1,S335-A336+1),C336),0)),ROUND(G335*1.25,0)),IF(E336=0,ROUND(C336/MAX(1,S335-A336+1),0),ROUND(-PMT(E336/12,MAX(1,S335-A336+1),C336),0))),G335)),0)</f>
        <v>116934</v>
      </c>
    </row>
    <row r="337" spans="1:27">
      <c r="A337" s="30">
        <f>332</f>
        <v>332</v>
      </c>
      <c r="B337" s="31">
        <f>EDATE(入力!$B$6,A337-1)</f>
        <v>56309</v>
      </c>
      <c r="C337" s="32">
        <f t="shared" si="85"/>
        <v>3287355</v>
      </c>
      <c r="D337" s="32">
        <f t="shared" si="86"/>
        <v>0</v>
      </c>
      <c r="E337" s="33">
        <f>IF(AND(T336="",A337&lt;=S336),IF(A337&lt;入力!$B$11,入力!$B$10,入力!$B$12),0)</f>
        <v>2.5000000000000001E-2</v>
      </c>
      <c r="F337" s="32">
        <f t="shared" si="87"/>
        <v>6849</v>
      </c>
      <c r="G337" s="32">
        <f>ROUND(IF(NOT(AND(T336="",A337&lt;=S336)),0,IF(A337=入力!$B$15+1,IF(E337=0,ROUND(C337/入力!$B$19,0),ROUND(-PMT(E337/12,入力!$B$19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),0)</f>
        <v>116934</v>
      </c>
      <c r="H337" s="32">
        <f t="shared" si="88"/>
        <v>116934</v>
      </c>
      <c r="I337" s="32">
        <f t="shared" si="89"/>
        <v>6849</v>
      </c>
      <c r="J337" s="32">
        <f t="shared" si="90"/>
        <v>0</v>
      </c>
      <c r="K337" s="32">
        <f t="shared" si="91"/>
        <v>0</v>
      </c>
      <c r="L337" s="32">
        <f t="shared" si="92"/>
        <v>110085</v>
      </c>
      <c r="M337" s="32">
        <f>IF(AND(AND(T336="",A337&lt;=S336),A337=入力!$B$15),ROUND(MIN(入力!$B$16,MAX(0,C337-L337)),0),0)</f>
        <v>0</v>
      </c>
      <c r="N337" s="32">
        <f t="shared" si="93"/>
        <v>3177270</v>
      </c>
      <c r="O337" s="32">
        <f t="shared" si="94"/>
        <v>10654998</v>
      </c>
      <c r="P337" s="34" t="str">
        <f>IF(NOT(AND(T336="",A337&lt;=S336)),"",IF(A337=入力!$B$15+1,"繰上返済後再計算","")&amp;IF(AND(入力!$B$13="有効",A337&gt;1,MOD(A337-1,60)=0),IF(A337=入力!$B$15+1,"・","")&amp;"5年見直し","")&amp;IF(AND(A337=入力!$B$11,A337&gt;1),IF(OR(A337=入力!$B$15+1,AND(入力!$B$13="有効",A337&gt;1,MOD(A337-1,60)=0)),"・","")&amp;"金利変更","")&amp;IF(AND(OR(AND(入力!$B$13="有効",A337&gt;1,MOD(A337-1,60)=0),AND(A337=入力!$B$11,A337&gt;1)),入力!$B$14="有効",IF(E337=0,ROUND(C337/MAX(1,S336-A337+1),0),ROUND(-PMT(E337/12,MAX(1,S336-A337+1),C337),0))&gt;ROUND(G336*1.25,0),NOT(A337=入力!$B$15+1)),"・上限適用",""))</f>
        <v/>
      </c>
      <c r="Q337" s="35" t="str">
        <f>IF(AND(T336="",A337&lt;=S336),入力!$B$13,"")</f>
        <v>有効</v>
      </c>
      <c r="R337" s="32" t="str">
        <f>IF(AND(AND(T336="",A337&lt;=S336),OR(AND(入力!$B$13="有効",A337&gt;1,MOD(A337-1,60)=0),AND(A337=入力!$B$11,A337&gt;1)),入力!$B$14="有効"),ROUND(G336*1.25,0),"")</f>
        <v/>
      </c>
      <c r="S337" s="36">
        <f>IF(A337=入力!$B$15,A337+入力!$B$19,S336)</f>
        <v>360</v>
      </c>
      <c r="T337" s="35" t="str">
        <f t="shared" si="95"/>
        <v/>
      </c>
      <c r="U337" s="3">
        <f t="shared" si="80"/>
        <v>0</v>
      </c>
      <c r="V337" s="3">
        <f t="shared" si="81"/>
        <v>0</v>
      </c>
      <c r="W337" s="3">
        <f t="shared" si="82"/>
        <v>0</v>
      </c>
      <c r="X337" s="3">
        <f t="shared" si="83"/>
        <v>0</v>
      </c>
      <c r="Y337" s="3">
        <f>IF(A337&lt;入力!$B$15,ABS(G337-何もしない_月次!G337),0)</f>
        <v>0</v>
      </c>
      <c r="Z337" s="3">
        <f t="shared" si="84"/>
        <v>0</v>
      </c>
      <c r="AA337">
        <f>ROUND(IF(A337=入力!$B$15+1,IF(E337=0,ROUND(C337/入力!$B$19,0),ROUND(-PMT(E337/12,入力!$B$19,C337),0)),IF(OR(AND(入力!$B$13="有効",A337&gt;1,MOD(A337-1,60)=0),AND(A337=入力!$B$11,A337&gt;1)),IF(入力!$B$14="有効",MIN(IF(E337=0,ROUND(C337/MAX(1,S336-A337+1),0),ROUND(-PMT(E337/12,MAX(1,S336-A337+1),C337),0)),ROUND(G336*1.25,0)),IF(E337=0,ROUND(C337/MAX(1,S336-A337+1),0),ROUND(-PMT(E337/12,MAX(1,S336-A337+1),C337),0))),G336)),0)</f>
        <v>116934</v>
      </c>
    </row>
    <row r="338" spans="1:27">
      <c r="A338" s="30">
        <f>333</f>
        <v>333</v>
      </c>
      <c r="B338" s="31">
        <f>EDATE(入力!$B$6,A338-1)</f>
        <v>56340</v>
      </c>
      <c r="C338" s="32">
        <f t="shared" si="85"/>
        <v>3177270</v>
      </c>
      <c r="D338" s="32">
        <f t="shared" si="86"/>
        <v>0</v>
      </c>
      <c r="E338" s="33">
        <f>IF(AND(T337="",A338&lt;=S337),IF(A338&lt;入力!$B$11,入力!$B$10,入力!$B$12),0)</f>
        <v>2.5000000000000001E-2</v>
      </c>
      <c r="F338" s="32">
        <f t="shared" si="87"/>
        <v>6619</v>
      </c>
      <c r="G338" s="32">
        <f>ROUND(IF(NOT(AND(T337="",A338&lt;=S337)),0,IF(A338=入力!$B$15+1,IF(E338=0,ROUND(C338/入力!$B$19,0),ROUND(-PMT(E338/12,入力!$B$19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),0)</f>
        <v>116934</v>
      </c>
      <c r="H338" s="32">
        <f t="shared" si="88"/>
        <v>116934</v>
      </c>
      <c r="I338" s="32">
        <f t="shared" si="89"/>
        <v>6619</v>
      </c>
      <c r="J338" s="32">
        <f t="shared" si="90"/>
        <v>0</v>
      </c>
      <c r="K338" s="32">
        <f t="shared" si="91"/>
        <v>0</v>
      </c>
      <c r="L338" s="32">
        <f t="shared" si="92"/>
        <v>110315</v>
      </c>
      <c r="M338" s="32">
        <f>IF(AND(AND(T337="",A338&lt;=S337),A338=入力!$B$15),ROUND(MIN(入力!$B$16,MAX(0,C338-L338)),0),0)</f>
        <v>0</v>
      </c>
      <c r="N338" s="32">
        <f t="shared" si="93"/>
        <v>3066955</v>
      </c>
      <c r="O338" s="32">
        <f t="shared" si="94"/>
        <v>10661617</v>
      </c>
      <c r="P338" s="34" t="str">
        <f>IF(NOT(AND(T337="",A338&lt;=S337)),"",IF(A338=入力!$B$15+1,"繰上返済後再計算","")&amp;IF(AND(入力!$B$13="有効",A338&gt;1,MOD(A338-1,60)=0),IF(A338=入力!$B$15+1,"・","")&amp;"5年見直し","")&amp;IF(AND(A338=入力!$B$11,A338&gt;1),IF(OR(A338=入力!$B$15+1,AND(入力!$B$13="有効",A338&gt;1,MOD(A338-1,60)=0)),"・","")&amp;"金利変更","")&amp;IF(AND(OR(AND(入力!$B$13="有効",A338&gt;1,MOD(A338-1,60)=0),AND(A338=入力!$B$11,A338&gt;1)),入力!$B$14="有効",IF(E338=0,ROUND(C338/MAX(1,S337-A338+1),0),ROUND(-PMT(E338/12,MAX(1,S337-A338+1),C338),0))&gt;ROUND(G337*1.25,0),NOT(A338=入力!$B$15+1)),"・上限適用",""))</f>
        <v/>
      </c>
      <c r="Q338" s="35" t="str">
        <f>IF(AND(T337="",A338&lt;=S337),入力!$B$13,"")</f>
        <v>有効</v>
      </c>
      <c r="R338" s="32" t="str">
        <f>IF(AND(AND(T337="",A338&lt;=S337),OR(AND(入力!$B$13="有効",A338&gt;1,MOD(A338-1,60)=0),AND(A338=入力!$B$11,A338&gt;1)),入力!$B$14="有効"),ROUND(G337*1.25,0),"")</f>
        <v/>
      </c>
      <c r="S338" s="36">
        <f>IF(A338=入力!$B$15,A338+入力!$B$19,S337)</f>
        <v>360</v>
      </c>
      <c r="T338" s="35" t="str">
        <f t="shared" si="95"/>
        <v/>
      </c>
      <c r="U338" s="3">
        <f t="shared" si="80"/>
        <v>0</v>
      </c>
      <c r="V338" s="3">
        <f t="shared" si="81"/>
        <v>0</v>
      </c>
      <c r="W338" s="3">
        <f t="shared" si="82"/>
        <v>0</v>
      </c>
      <c r="X338" s="3">
        <f t="shared" si="83"/>
        <v>0</v>
      </c>
      <c r="Y338" s="3">
        <f>IF(A338&lt;入力!$B$15,ABS(G338-何もしない_月次!G338),0)</f>
        <v>0</v>
      </c>
      <c r="Z338" s="3">
        <f t="shared" si="84"/>
        <v>0</v>
      </c>
      <c r="AA338">
        <f>ROUND(IF(A338=入力!$B$15+1,IF(E338=0,ROUND(C338/入力!$B$19,0),ROUND(-PMT(E338/12,入力!$B$19,C338),0)),IF(OR(AND(入力!$B$13="有効",A338&gt;1,MOD(A338-1,60)=0),AND(A338=入力!$B$11,A338&gt;1)),IF(入力!$B$14="有効",MIN(IF(E338=0,ROUND(C338/MAX(1,S337-A338+1),0),ROUND(-PMT(E338/12,MAX(1,S337-A338+1),C338),0)),ROUND(G337*1.25,0)),IF(E338=0,ROUND(C338/MAX(1,S337-A338+1),0),ROUND(-PMT(E338/12,MAX(1,S337-A338+1),C338),0))),G337)),0)</f>
        <v>116934</v>
      </c>
    </row>
    <row r="339" spans="1:27">
      <c r="A339" s="30">
        <f>334</f>
        <v>334</v>
      </c>
      <c r="B339" s="31">
        <f>EDATE(入力!$B$6,A339-1)</f>
        <v>56370</v>
      </c>
      <c r="C339" s="32">
        <f t="shared" si="85"/>
        <v>3066955</v>
      </c>
      <c r="D339" s="32">
        <f t="shared" si="86"/>
        <v>0</v>
      </c>
      <c r="E339" s="33">
        <f>IF(AND(T338="",A339&lt;=S338),IF(A339&lt;入力!$B$11,入力!$B$10,入力!$B$12),0)</f>
        <v>2.5000000000000001E-2</v>
      </c>
      <c r="F339" s="32">
        <f t="shared" si="87"/>
        <v>6389</v>
      </c>
      <c r="G339" s="32">
        <f>ROUND(IF(NOT(AND(T338="",A339&lt;=S338)),0,IF(A339=入力!$B$15+1,IF(E339=0,ROUND(C339/入力!$B$19,0),ROUND(-PMT(E339/12,入力!$B$19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),0)</f>
        <v>116934</v>
      </c>
      <c r="H339" s="32">
        <f t="shared" si="88"/>
        <v>116934</v>
      </c>
      <c r="I339" s="32">
        <f t="shared" si="89"/>
        <v>6389</v>
      </c>
      <c r="J339" s="32">
        <f t="shared" si="90"/>
        <v>0</v>
      </c>
      <c r="K339" s="32">
        <f t="shared" si="91"/>
        <v>0</v>
      </c>
      <c r="L339" s="32">
        <f t="shared" si="92"/>
        <v>110545</v>
      </c>
      <c r="M339" s="32">
        <f>IF(AND(AND(T338="",A339&lt;=S338),A339=入力!$B$15),ROUND(MIN(入力!$B$16,MAX(0,C339-L339)),0),0)</f>
        <v>0</v>
      </c>
      <c r="N339" s="32">
        <f t="shared" si="93"/>
        <v>2956410</v>
      </c>
      <c r="O339" s="32">
        <f t="shared" si="94"/>
        <v>10668006</v>
      </c>
      <c r="P339" s="34" t="str">
        <f>IF(NOT(AND(T338="",A339&lt;=S338)),"",IF(A339=入力!$B$15+1,"繰上返済後再計算","")&amp;IF(AND(入力!$B$13="有効",A339&gt;1,MOD(A339-1,60)=0),IF(A339=入力!$B$15+1,"・","")&amp;"5年見直し","")&amp;IF(AND(A339=入力!$B$11,A339&gt;1),IF(OR(A339=入力!$B$15+1,AND(入力!$B$13="有効",A339&gt;1,MOD(A339-1,60)=0)),"・","")&amp;"金利変更","")&amp;IF(AND(OR(AND(入力!$B$13="有効",A339&gt;1,MOD(A339-1,60)=0),AND(A339=入力!$B$11,A339&gt;1)),入力!$B$14="有効",IF(E339=0,ROUND(C339/MAX(1,S338-A339+1),0),ROUND(-PMT(E339/12,MAX(1,S338-A339+1),C339),0))&gt;ROUND(G338*1.25,0),NOT(A339=入力!$B$15+1)),"・上限適用",""))</f>
        <v/>
      </c>
      <c r="Q339" s="35" t="str">
        <f>IF(AND(T338="",A339&lt;=S338),入力!$B$13,"")</f>
        <v>有効</v>
      </c>
      <c r="R339" s="32" t="str">
        <f>IF(AND(AND(T338="",A339&lt;=S338),OR(AND(入力!$B$13="有効",A339&gt;1,MOD(A339-1,60)=0),AND(A339=入力!$B$11,A339&gt;1)),入力!$B$14="有効"),ROUND(G338*1.25,0),"")</f>
        <v/>
      </c>
      <c r="S339" s="36">
        <f>IF(A339=入力!$B$15,A339+入力!$B$19,S338)</f>
        <v>360</v>
      </c>
      <c r="T339" s="35" t="str">
        <f t="shared" si="95"/>
        <v/>
      </c>
      <c r="U339" s="3">
        <f t="shared" si="80"/>
        <v>0</v>
      </c>
      <c r="V339" s="3">
        <f t="shared" si="81"/>
        <v>0</v>
      </c>
      <c r="W339" s="3">
        <f t="shared" si="82"/>
        <v>0</v>
      </c>
      <c r="X339" s="3">
        <f t="shared" si="83"/>
        <v>0</v>
      </c>
      <c r="Y339" s="3">
        <f>IF(A339&lt;入力!$B$15,ABS(G339-何もしない_月次!G339),0)</f>
        <v>0</v>
      </c>
      <c r="Z339" s="3">
        <f t="shared" si="84"/>
        <v>0</v>
      </c>
      <c r="AA339">
        <f>ROUND(IF(A339=入力!$B$15+1,IF(E339=0,ROUND(C339/入力!$B$19,0),ROUND(-PMT(E339/12,入力!$B$19,C339),0)),IF(OR(AND(入力!$B$13="有効",A339&gt;1,MOD(A339-1,60)=0),AND(A339=入力!$B$11,A339&gt;1)),IF(入力!$B$14="有効",MIN(IF(E339=0,ROUND(C339/MAX(1,S338-A339+1),0),ROUND(-PMT(E339/12,MAX(1,S338-A339+1),C339),0)),ROUND(G338*1.25,0)),IF(E339=0,ROUND(C339/MAX(1,S338-A339+1),0),ROUND(-PMT(E339/12,MAX(1,S338-A339+1),C339),0))),G338)),0)</f>
        <v>116934</v>
      </c>
    </row>
    <row r="340" spans="1:27">
      <c r="A340" s="30">
        <f>335</f>
        <v>335</v>
      </c>
      <c r="B340" s="31">
        <f>EDATE(入力!$B$6,A340-1)</f>
        <v>56401</v>
      </c>
      <c r="C340" s="32">
        <f t="shared" si="85"/>
        <v>2956410</v>
      </c>
      <c r="D340" s="32">
        <f t="shared" si="86"/>
        <v>0</v>
      </c>
      <c r="E340" s="33">
        <f>IF(AND(T339="",A340&lt;=S339),IF(A340&lt;入力!$B$11,入力!$B$10,入力!$B$12),0)</f>
        <v>2.5000000000000001E-2</v>
      </c>
      <c r="F340" s="32">
        <f t="shared" si="87"/>
        <v>6159</v>
      </c>
      <c r="G340" s="32">
        <f>ROUND(IF(NOT(AND(T339="",A340&lt;=S339)),0,IF(A340=入力!$B$15+1,IF(E340=0,ROUND(C340/入力!$B$19,0),ROUND(-PMT(E340/12,入力!$B$19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),0)</f>
        <v>116934</v>
      </c>
      <c r="H340" s="32">
        <f t="shared" si="88"/>
        <v>116934</v>
      </c>
      <c r="I340" s="32">
        <f t="shared" si="89"/>
        <v>6159</v>
      </c>
      <c r="J340" s="32">
        <f t="shared" si="90"/>
        <v>0</v>
      </c>
      <c r="K340" s="32">
        <f t="shared" si="91"/>
        <v>0</v>
      </c>
      <c r="L340" s="32">
        <f t="shared" si="92"/>
        <v>110775</v>
      </c>
      <c r="M340" s="32">
        <f>IF(AND(AND(T339="",A340&lt;=S339),A340=入力!$B$15),ROUND(MIN(入力!$B$16,MAX(0,C340-L340)),0),0)</f>
        <v>0</v>
      </c>
      <c r="N340" s="32">
        <f t="shared" si="93"/>
        <v>2845635</v>
      </c>
      <c r="O340" s="32">
        <f t="shared" si="94"/>
        <v>10674165</v>
      </c>
      <c r="P340" s="34" t="str">
        <f>IF(NOT(AND(T339="",A340&lt;=S339)),"",IF(A340=入力!$B$15+1,"繰上返済後再計算","")&amp;IF(AND(入力!$B$13="有効",A340&gt;1,MOD(A340-1,60)=0),IF(A340=入力!$B$15+1,"・","")&amp;"5年見直し","")&amp;IF(AND(A340=入力!$B$11,A340&gt;1),IF(OR(A340=入力!$B$15+1,AND(入力!$B$13="有効",A340&gt;1,MOD(A340-1,60)=0)),"・","")&amp;"金利変更","")&amp;IF(AND(OR(AND(入力!$B$13="有効",A340&gt;1,MOD(A340-1,60)=0),AND(A340=入力!$B$11,A340&gt;1)),入力!$B$14="有効",IF(E340=0,ROUND(C340/MAX(1,S339-A340+1),0),ROUND(-PMT(E340/12,MAX(1,S339-A340+1),C340),0))&gt;ROUND(G339*1.25,0),NOT(A340=入力!$B$15+1)),"・上限適用",""))</f>
        <v/>
      </c>
      <c r="Q340" s="35" t="str">
        <f>IF(AND(T339="",A340&lt;=S339),入力!$B$13,"")</f>
        <v>有効</v>
      </c>
      <c r="R340" s="32" t="str">
        <f>IF(AND(AND(T339="",A340&lt;=S339),OR(AND(入力!$B$13="有効",A340&gt;1,MOD(A340-1,60)=0),AND(A340=入力!$B$11,A340&gt;1)),入力!$B$14="有効"),ROUND(G339*1.25,0),"")</f>
        <v/>
      </c>
      <c r="S340" s="36">
        <f>IF(A340=入力!$B$15,A340+入力!$B$19,S339)</f>
        <v>360</v>
      </c>
      <c r="T340" s="35" t="str">
        <f t="shared" si="95"/>
        <v/>
      </c>
      <c r="U340" s="3">
        <f t="shared" si="80"/>
        <v>0</v>
      </c>
      <c r="V340" s="3">
        <f t="shared" si="81"/>
        <v>0</v>
      </c>
      <c r="W340" s="3">
        <f t="shared" si="82"/>
        <v>0</v>
      </c>
      <c r="X340" s="3">
        <f t="shared" si="83"/>
        <v>0</v>
      </c>
      <c r="Y340" s="3">
        <f>IF(A340&lt;入力!$B$15,ABS(G340-何もしない_月次!G340),0)</f>
        <v>0</v>
      </c>
      <c r="Z340" s="3">
        <f t="shared" si="84"/>
        <v>0</v>
      </c>
      <c r="AA340">
        <f>ROUND(IF(A340=入力!$B$15+1,IF(E340=0,ROUND(C340/入力!$B$19,0),ROUND(-PMT(E340/12,入力!$B$19,C340),0)),IF(OR(AND(入力!$B$13="有効",A340&gt;1,MOD(A340-1,60)=0),AND(A340=入力!$B$11,A340&gt;1)),IF(入力!$B$14="有効",MIN(IF(E340=0,ROUND(C340/MAX(1,S339-A340+1),0),ROUND(-PMT(E340/12,MAX(1,S339-A340+1),C340),0)),ROUND(G339*1.25,0)),IF(E340=0,ROUND(C340/MAX(1,S339-A340+1),0),ROUND(-PMT(E340/12,MAX(1,S339-A340+1),C340),0))),G339)),0)</f>
        <v>116934</v>
      </c>
    </row>
    <row r="341" spans="1:27">
      <c r="A341" s="30">
        <f>336</f>
        <v>336</v>
      </c>
      <c r="B341" s="31">
        <f>EDATE(入力!$B$6,A341-1)</f>
        <v>56431</v>
      </c>
      <c r="C341" s="32">
        <f t="shared" si="85"/>
        <v>2845635</v>
      </c>
      <c r="D341" s="32">
        <f t="shared" si="86"/>
        <v>0</v>
      </c>
      <c r="E341" s="33">
        <f>IF(AND(T340="",A341&lt;=S340),IF(A341&lt;入力!$B$11,入力!$B$10,入力!$B$12),0)</f>
        <v>2.5000000000000001E-2</v>
      </c>
      <c r="F341" s="32">
        <f t="shared" si="87"/>
        <v>5928</v>
      </c>
      <c r="G341" s="32">
        <f>ROUND(IF(NOT(AND(T340="",A341&lt;=S340)),0,IF(A341=入力!$B$15+1,IF(E341=0,ROUND(C341/入力!$B$19,0),ROUND(-PMT(E341/12,入力!$B$19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),0)</f>
        <v>116934</v>
      </c>
      <c r="H341" s="32">
        <f t="shared" si="88"/>
        <v>116934</v>
      </c>
      <c r="I341" s="32">
        <f t="shared" si="89"/>
        <v>5928</v>
      </c>
      <c r="J341" s="32">
        <f t="shared" si="90"/>
        <v>0</v>
      </c>
      <c r="K341" s="32">
        <f t="shared" si="91"/>
        <v>0</v>
      </c>
      <c r="L341" s="32">
        <f t="shared" si="92"/>
        <v>111006</v>
      </c>
      <c r="M341" s="32">
        <f>IF(AND(AND(T340="",A341&lt;=S340),A341=入力!$B$15),ROUND(MIN(入力!$B$16,MAX(0,C341-L341)),0),0)</f>
        <v>0</v>
      </c>
      <c r="N341" s="32">
        <f t="shared" si="93"/>
        <v>2734629</v>
      </c>
      <c r="O341" s="32">
        <f t="shared" si="94"/>
        <v>10680093</v>
      </c>
      <c r="P341" s="34" t="str">
        <f>IF(NOT(AND(T340="",A341&lt;=S340)),"",IF(A341=入力!$B$15+1,"繰上返済後再計算","")&amp;IF(AND(入力!$B$13="有効",A341&gt;1,MOD(A341-1,60)=0),IF(A341=入力!$B$15+1,"・","")&amp;"5年見直し","")&amp;IF(AND(A341=入力!$B$11,A341&gt;1),IF(OR(A341=入力!$B$15+1,AND(入力!$B$13="有効",A341&gt;1,MOD(A341-1,60)=0)),"・","")&amp;"金利変更","")&amp;IF(AND(OR(AND(入力!$B$13="有効",A341&gt;1,MOD(A341-1,60)=0),AND(A341=入力!$B$11,A341&gt;1)),入力!$B$14="有効",IF(E341=0,ROUND(C341/MAX(1,S340-A341+1),0),ROUND(-PMT(E341/12,MAX(1,S340-A341+1),C341),0))&gt;ROUND(G340*1.25,0),NOT(A341=入力!$B$15+1)),"・上限適用",""))</f>
        <v/>
      </c>
      <c r="Q341" s="35" t="str">
        <f>IF(AND(T340="",A341&lt;=S340),入力!$B$13,"")</f>
        <v>有効</v>
      </c>
      <c r="R341" s="32" t="str">
        <f>IF(AND(AND(T340="",A341&lt;=S340),OR(AND(入力!$B$13="有効",A341&gt;1,MOD(A341-1,60)=0),AND(A341=入力!$B$11,A341&gt;1)),入力!$B$14="有効"),ROUND(G340*1.25,0),"")</f>
        <v/>
      </c>
      <c r="S341" s="36">
        <f>IF(A341=入力!$B$15,A341+入力!$B$19,S340)</f>
        <v>360</v>
      </c>
      <c r="T341" s="35" t="str">
        <f t="shared" si="95"/>
        <v/>
      </c>
      <c r="U341" s="3">
        <f t="shared" si="80"/>
        <v>0</v>
      </c>
      <c r="V341" s="3">
        <f t="shared" si="81"/>
        <v>0</v>
      </c>
      <c r="W341" s="3">
        <f t="shared" si="82"/>
        <v>0</v>
      </c>
      <c r="X341" s="3">
        <f t="shared" si="83"/>
        <v>0</v>
      </c>
      <c r="Y341" s="3">
        <f>IF(A341&lt;入力!$B$15,ABS(G341-何もしない_月次!G341),0)</f>
        <v>0</v>
      </c>
      <c r="Z341" s="3">
        <f t="shared" si="84"/>
        <v>0</v>
      </c>
      <c r="AA341">
        <f>ROUND(IF(A341=入力!$B$15+1,IF(E341=0,ROUND(C341/入力!$B$19,0),ROUND(-PMT(E341/12,入力!$B$19,C341),0)),IF(OR(AND(入力!$B$13="有効",A341&gt;1,MOD(A341-1,60)=0),AND(A341=入力!$B$11,A341&gt;1)),IF(入力!$B$14="有効",MIN(IF(E341=0,ROUND(C341/MAX(1,S340-A341+1),0),ROUND(-PMT(E341/12,MAX(1,S340-A341+1),C341),0)),ROUND(G340*1.25,0)),IF(E341=0,ROUND(C341/MAX(1,S340-A341+1),0),ROUND(-PMT(E341/12,MAX(1,S340-A341+1),C341),0))),G340)),0)</f>
        <v>116934</v>
      </c>
    </row>
    <row r="342" spans="1:27">
      <c r="A342" s="30">
        <f>337</f>
        <v>337</v>
      </c>
      <c r="B342" s="31">
        <f>EDATE(入力!$B$6,A342-1)</f>
        <v>56462</v>
      </c>
      <c r="C342" s="32">
        <f t="shared" si="85"/>
        <v>2734629</v>
      </c>
      <c r="D342" s="32">
        <f t="shared" si="86"/>
        <v>0</v>
      </c>
      <c r="E342" s="33">
        <f>IF(AND(T341="",A342&lt;=S341),IF(A342&lt;入力!$B$11,入力!$B$10,入力!$B$12),0)</f>
        <v>2.5000000000000001E-2</v>
      </c>
      <c r="F342" s="32">
        <f t="shared" si="87"/>
        <v>5697</v>
      </c>
      <c r="G342" s="32">
        <f>ROUND(IF(NOT(AND(T341="",A342&lt;=S341)),0,IF(A342=入力!$B$15+1,IF(E342=0,ROUND(C342/入力!$B$19,0),ROUND(-PMT(E342/12,入力!$B$19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),0)</f>
        <v>116934</v>
      </c>
      <c r="H342" s="32">
        <f t="shared" si="88"/>
        <v>116934</v>
      </c>
      <c r="I342" s="32">
        <f t="shared" si="89"/>
        <v>5697</v>
      </c>
      <c r="J342" s="32">
        <f t="shared" si="90"/>
        <v>0</v>
      </c>
      <c r="K342" s="32">
        <f t="shared" si="91"/>
        <v>0</v>
      </c>
      <c r="L342" s="32">
        <f t="shared" si="92"/>
        <v>111237</v>
      </c>
      <c r="M342" s="32">
        <f>IF(AND(AND(T341="",A342&lt;=S341),A342=入力!$B$15),ROUND(MIN(入力!$B$16,MAX(0,C342-L342)),0),0)</f>
        <v>0</v>
      </c>
      <c r="N342" s="32">
        <f t="shared" si="93"/>
        <v>2623392</v>
      </c>
      <c r="O342" s="32">
        <f t="shared" si="94"/>
        <v>10685790</v>
      </c>
      <c r="P342" s="34" t="str">
        <f>IF(NOT(AND(T341="",A342&lt;=S341)),"",IF(A342=入力!$B$15+1,"繰上返済後再計算","")&amp;IF(AND(入力!$B$13="有効",A342&gt;1,MOD(A342-1,60)=0),IF(A342=入力!$B$15+1,"・","")&amp;"5年見直し","")&amp;IF(AND(A342=入力!$B$11,A342&gt;1),IF(OR(A342=入力!$B$15+1,AND(入力!$B$13="有効",A342&gt;1,MOD(A342-1,60)=0)),"・","")&amp;"金利変更","")&amp;IF(AND(OR(AND(入力!$B$13="有効",A342&gt;1,MOD(A342-1,60)=0),AND(A342=入力!$B$11,A342&gt;1)),入力!$B$14="有効",IF(E342=0,ROUND(C342/MAX(1,S341-A342+1),0),ROUND(-PMT(E342/12,MAX(1,S341-A342+1),C342),0))&gt;ROUND(G341*1.25,0),NOT(A342=入力!$B$15+1)),"・上限適用",""))</f>
        <v/>
      </c>
      <c r="Q342" s="35" t="str">
        <f>IF(AND(T341="",A342&lt;=S341),入力!$B$13,"")</f>
        <v>有効</v>
      </c>
      <c r="R342" s="32" t="str">
        <f>IF(AND(AND(T341="",A342&lt;=S341),OR(AND(入力!$B$13="有効",A342&gt;1,MOD(A342-1,60)=0),AND(A342=入力!$B$11,A342&gt;1)),入力!$B$14="有効"),ROUND(G341*1.25,0),"")</f>
        <v/>
      </c>
      <c r="S342" s="36">
        <f>IF(A342=入力!$B$15,A342+入力!$B$19,S341)</f>
        <v>360</v>
      </c>
      <c r="T342" s="35" t="str">
        <f t="shared" si="95"/>
        <v/>
      </c>
      <c r="U342" s="3">
        <f t="shared" si="80"/>
        <v>0</v>
      </c>
      <c r="V342" s="3">
        <f t="shared" si="81"/>
        <v>0</v>
      </c>
      <c r="W342" s="3">
        <f t="shared" si="82"/>
        <v>0</v>
      </c>
      <c r="X342" s="3">
        <f t="shared" si="83"/>
        <v>0</v>
      </c>
      <c r="Y342" s="3">
        <f>IF(A342&lt;入力!$B$15,ABS(G342-何もしない_月次!G342),0)</f>
        <v>0</v>
      </c>
      <c r="Z342" s="3">
        <f t="shared" si="84"/>
        <v>0</v>
      </c>
      <c r="AA342">
        <f>ROUND(IF(A342=入力!$B$15+1,IF(E342=0,ROUND(C342/入力!$B$19,0),ROUND(-PMT(E342/12,入力!$B$19,C342),0)),IF(OR(AND(入力!$B$13="有効",A342&gt;1,MOD(A342-1,60)=0),AND(A342=入力!$B$11,A342&gt;1)),IF(入力!$B$14="有効",MIN(IF(E342=0,ROUND(C342/MAX(1,S341-A342+1),0),ROUND(-PMT(E342/12,MAX(1,S341-A342+1),C342),0)),ROUND(G341*1.25,0)),IF(E342=0,ROUND(C342/MAX(1,S341-A342+1),0),ROUND(-PMT(E342/12,MAX(1,S341-A342+1),C342),0))),G341)),0)</f>
        <v>116934</v>
      </c>
    </row>
    <row r="343" spans="1:27">
      <c r="A343" s="30">
        <f>338</f>
        <v>338</v>
      </c>
      <c r="B343" s="31">
        <f>EDATE(入力!$B$6,A343-1)</f>
        <v>56493</v>
      </c>
      <c r="C343" s="32">
        <f t="shared" si="85"/>
        <v>2623392</v>
      </c>
      <c r="D343" s="32">
        <f t="shared" si="86"/>
        <v>0</v>
      </c>
      <c r="E343" s="33">
        <f>IF(AND(T342="",A343&lt;=S342),IF(A343&lt;入力!$B$11,入力!$B$10,入力!$B$12),0)</f>
        <v>2.5000000000000001E-2</v>
      </c>
      <c r="F343" s="32">
        <f t="shared" si="87"/>
        <v>5465</v>
      </c>
      <c r="G343" s="32">
        <f>ROUND(IF(NOT(AND(T342="",A343&lt;=S342)),0,IF(A343=入力!$B$15+1,IF(E343=0,ROUND(C343/入力!$B$19,0),ROUND(-PMT(E343/12,入力!$B$19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),0)</f>
        <v>116934</v>
      </c>
      <c r="H343" s="32">
        <f t="shared" si="88"/>
        <v>116934</v>
      </c>
      <c r="I343" s="32">
        <f t="shared" si="89"/>
        <v>5465</v>
      </c>
      <c r="J343" s="32">
        <f t="shared" si="90"/>
        <v>0</v>
      </c>
      <c r="K343" s="32">
        <f t="shared" si="91"/>
        <v>0</v>
      </c>
      <c r="L343" s="32">
        <f t="shared" si="92"/>
        <v>111469</v>
      </c>
      <c r="M343" s="32">
        <f>IF(AND(AND(T342="",A343&lt;=S342),A343=入力!$B$15),ROUND(MIN(入力!$B$16,MAX(0,C343-L343)),0),0)</f>
        <v>0</v>
      </c>
      <c r="N343" s="32">
        <f t="shared" si="93"/>
        <v>2511923</v>
      </c>
      <c r="O343" s="32">
        <f t="shared" si="94"/>
        <v>10691255</v>
      </c>
      <c r="P343" s="34" t="str">
        <f>IF(NOT(AND(T342="",A343&lt;=S342)),"",IF(A343=入力!$B$15+1,"繰上返済後再計算","")&amp;IF(AND(入力!$B$13="有効",A343&gt;1,MOD(A343-1,60)=0),IF(A343=入力!$B$15+1,"・","")&amp;"5年見直し","")&amp;IF(AND(A343=入力!$B$11,A343&gt;1),IF(OR(A343=入力!$B$15+1,AND(入力!$B$13="有効",A343&gt;1,MOD(A343-1,60)=0)),"・","")&amp;"金利変更","")&amp;IF(AND(OR(AND(入力!$B$13="有効",A343&gt;1,MOD(A343-1,60)=0),AND(A343=入力!$B$11,A343&gt;1)),入力!$B$14="有効",IF(E343=0,ROUND(C343/MAX(1,S342-A343+1),0),ROUND(-PMT(E343/12,MAX(1,S342-A343+1),C343),0))&gt;ROUND(G342*1.25,0),NOT(A343=入力!$B$15+1)),"・上限適用",""))</f>
        <v/>
      </c>
      <c r="Q343" s="35" t="str">
        <f>IF(AND(T342="",A343&lt;=S342),入力!$B$13,"")</f>
        <v>有効</v>
      </c>
      <c r="R343" s="32" t="str">
        <f>IF(AND(AND(T342="",A343&lt;=S342),OR(AND(入力!$B$13="有効",A343&gt;1,MOD(A343-1,60)=0),AND(A343=入力!$B$11,A343&gt;1)),入力!$B$14="有効"),ROUND(G342*1.25,0),"")</f>
        <v/>
      </c>
      <c r="S343" s="36">
        <f>IF(A343=入力!$B$15,A343+入力!$B$19,S342)</f>
        <v>360</v>
      </c>
      <c r="T343" s="35" t="str">
        <f t="shared" si="95"/>
        <v/>
      </c>
      <c r="U343" s="3">
        <f t="shared" si="80"/>
        <v>0</v>
      </c>
      <c r="V343" s="3">
        <f t="shared" si="81"/>
        <v>0</v>
      </c>
      <c r="W343" s="3">
        <f t="shared" si="82"/>
        <v>0</v>
      </c>
      <c r="X343" s="3">
        <f t="shared" si="83"/>
        <v>0</v>
      </c>
      <c r="Y343" s="3">
        <f>IF(A343&lt;入力!$B$15,ABS(G343-何もしない_月次!G343),0)</f>
        <v>0</v>
      </c>
      <c r="Z343" s="3">
        <f t="shared" si="84"/>
        <v>0</v>
      </c>
      <c r="AA343">
        <f>ROUND(IF(A343=入力!$B$15+1,IF(E343=0,ROUND(C343/入力!$B$19,0),ROUND(-PMT(E343/12,入力!$B$19,C343),0)),IF(OR(AND(入力!$B$13="有効",A343&gt;1,MOD(A343-1,60)=0),AND(A343=入力!$B$11,A343&gt;1)),IF(入力!$B$14="有効",MIN(IF(E343=0,ROUND(C343/MAX(1,S342-A343+1),0),ROUND(-PMT(E343/12,MAX(1,S342-A343+1),C343),0)),ROUND(G342*1.25,0)),IF(E343=0,ROUND(C343/MAX(1,S342-A343+1),0),ROUND(-PMT(E343/12,MAX(1,S342-A343+1),C343),0))),G342)),0)</f>
        <v>116934</v>
      </c>
    </row>
    <row r="344" spans="1:27">
      <c r="A344" s="30">
        <f>339</f>
        <v>339</v>
      </c>
      <c r="B344" s="31">
        <f>EDATE(入力!$B$6,A344-1)</f>
        <v>56523</v>
      </c>
      <c r="C344" s="32">
        <f t="shared" si="85"/>
        <v>2511923</v>
      </c>
      <c r="D344" s="32">
        <f t="shared" si="86"/>
        <v>0</v>
      </c>
      <c r="E344" s="33">
        <f>IF(AND(T343="",A344&lt;=S343),IF(A344&lt;入力!$B$11,入力!$B$10,入力!$B$12),0)</f>
        <v>2.5000000000000001E-2</v>
      </c>
      <c r="F344" s="32">
        <f t="shared" si="87"/>
        <v>5233</v>
      </c>
      <c r="G344" s="32">
        <f>ROUND(IF(NOT(AND(T343="",A344&lt;=S343)),0,IF(A344=入力!$B$15+1,IF(E344=0,ROUND(C344/入力!$B$19,0),ROUND(-PMT(E344/12,入力!$B$19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),0)</f>
        <v>116934</v>
      </c>
      <c r="H344" s="32">
        <f t="shared" si="88"/>
        <v>116934</v>
      </c>
      <c r="I344" s="32">
        <f t="shared" si="89"/>
        <v>5233</v>
      </c>
      <c r="J344" s="32">
        <f t="shared" si="90"/>
        <v>0</v>
      </c>
      <c r="K344" s="32">
        <f t="shared" si="91"/>
        <v>0</v>
      </c>
      <c r="L344" s="32">
        <f t="shared" si="92"/>
        <v>111701</v>
      </c>
      <c r="M344" s="32">
        <f>IF(AND(AND(T343="",A344&lt;=S343),A344=入力!$B$15),ROUND(MIN(入力!$B$16,MAX(0,C344-L344)),0),0)</f>
        <v>0</v>
      </c>
      <c r="N344" s="32">
        <f t="shared" si="93"/>
        <v>2400222</v>
      </c>
      <c r="O344" s="32">
        <f t="shared" si="94"/>
        <v>10696488</v>
      </c>
      <c r="P344" s="34" t="str">
        <f>IF(NOT(AND(T343="",A344&lt;=S343)),"",IF(A344=入力!$B$15+1,"繰上返済後再計算","")&amp;IF(AND(入力!$B$13="有効",A344&gt;1,MOD(A344-1,60)=0),IF(A344=入力!$B$15+1,"・","")&amp;"5年見直し","")&amp;IF(AND(A344=入力!$B$11,A344&gt;1),IF(OR(A344=入力!$B$15+1,AND(入力!$B$13="有効",A344&gt;1,MOD(A344-1,60)=0)),"・","")&amp;"金利変更","")&amp;IF(AND(OR(AND(入力!$B$13="有効",A344&gt;1,MOD(A344-1,60)=0),AND(A344=入力!$B$11,A344&gt;1)),入力!$B$14="有効",IF(E344=0,ROUND(C344/MAX(1,S343-A344+1),0),ROUND(-PMT(E344/12,MAX(1,S343-A344+1),C344),0))&gt;ROUND(G343*1.25,0),NOT(A344=入力!$B$15+1)),"・上限適用",""))</f>
        <v/>
      </c>
      <c r="Q344" s="35" t="str">
        <f>IF(AND(T343="",A344&lt;=S343),入力!$B$13,"")</f>
        <v>有効</v>
      </c>
      <c r="R344" s="32" t="str">
        <f>IF(AND(AND(T343="",A344&lt;=S343),OR(AND(入力!$B$13="有効",A344&gt;1,MOD(A344-1,60)=0),AND(A344=入力!$B$11,A344&gt;1)),入力!$B$14="有効"),ROUND(G343*1.25,0),"")</f>
        <v/>
      </c>
      <c r="S344" s="36">
        <f>IF(A344=入力!$B$15,A344+入力!$B$19,S343)</f>
        <v>360</v>
      </c>
      <c r="T344" s="35" t="str">
        <f t="shared" si="95"/>
        <v/>
      </c>
      <c r="U344" s="3">
        <f t="shared" si="80"/>
        <v>0</v>
      </c>
      <c r="V344" s="3">
        <f t="shared" si="81"/>
        <v>0</v>
      </c>
      <c r="W344" s="3">
        <f t="shared" si="82"/>
        <v>0</v>
      </c>
      <c r="X344" s="3">
        <f t="shared" si="83"/>
        <v>0</v>
      </c>
      <c r="Y344" s="3">
        <f>IF(A344&lt;入力!$B$15,ABS(G344-何もしない_月次!G344),0)</f>
        <v>0</v>
      </c>
      <c r="Z344" s="3">
        <f t="shared" si="84"/>
        <v>0</v>
      </c>
      <c r="AA344">
        <f>ROUND(IF(A344=入力!$B$15+1,IF(E344=0,ROUND(C344/入力!$B$19,0),ROUND(-PMT(E344/12,入力!$B$19,C344),0)),IF(OR(AND(入力!$B$13="有効",A344&gt;1,MOD(A344-1,60)=0),AND(A344=入力!$B$11,A344&gt;1)),IF(入力!$B$14="有効",MIN(IF(E344=0,ROUND(C344/MAX(1,S343-A344+1),0),ROUND(-PMT(E344/12,MAX(1,S343-A344+1),C344),0)),ROUND(G343*1.25,0)),IF(E344=0,ROUND(C344/MAX(1,S343-A344+1),0),ROUND(-PMT(E344/12,MAX(1,S343-A344+1),C344),0))),G343)),0)</f>
        <v>116934</v>
      </c>
    </row>
    <row r="345" spans="1:27">
      <c r="A345" s="30">
        <f>340</f>
        <v>340</v>
      </c>
      <c r="B345" s="31">
        <f>EDATE(入力!$B$6,A345-1)</f>
        <v>56554</v>
      </c>
      <c r="C345" s="32">
        <f t="shared" si="85"/>
        <v>2400222</v>
      </c>
      <c r="D345" s="32">
        <f t="shared" si="86"/>
        <v>0</v>
      </c>
      <c r="E345" s="33">
        <f>IF(AND(T344="",A345&lt;=S344),IF(A345&lt;入力!$B$11,入力!$B$10,入力!$B$12),0)</f>
        <v>2.5000000000000001E-2</v>
      </c>
      <c r="F345" s="32">
        <f t="shared" si="87"/>
        <v>5000</v>
      </c>
      <c r="G345" s="32">
        <f>ROUND(IF(NOT(AND(T344="",A345&lt;=S344)),0,IF(A345=入力!$B$15+1,IF(E345=0,ROUND(C345/入力!$B$19,0),ROUND(-PMT(E345/12,入力!$B$19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),0)</f>
        <v>116934</v>
      </c>
      <c r="H345" s="32">
        <f t="shared" si="88"/>
        <v>116934</v>
      </c>
      <c r="I345" s="32">
        <f t="shared" si="89"/>
        <v>5000</v>
      </c>
      <c r="J345" s="32">
        <f t="shared" si="90"/>
        <v>0</v>
      </c>
      <c r="K345" s="32">
        <f t="shared" si="91"/>
        <v>0</v>
      </c>
      <c r="L345" s="32">
        <f t="shared" si="92"/>
        <v>111934</v>
      </c>
      <c r="M345" s="32">
        <f>IF(AND(AND(T344="",A345&lt;=S344),A345=入力!$B$15),ROUND(MIN(入力!$B$16,MAX(0,C345-L345)),0),0)</f>
        <v>0</v>
      </c>
      <c r="N345" s="32">
        <f t="shared" si="93"/>
        <v>2288288</v>
      </c>
      <c r="O345" s="32">
        <f t="shared" si="94"/>
        <v>10701488</v>
      </c>
      <c r="P345" s="34" t="str">
        <f>IF(NOT(AND(T344="",A345&lt;=S344)),"",IF(A345=入力!$B$15+1,"繰上返済後再計算","")&amp;IF(AND(入力!$B$13="有効",A345&gt;1,MOD(A345-1,60)=0),IF(A345=入力!$B$15+1,"・","")&amp;"5年見直し","")&amp;IF(AND(A345=入力!$B$11,A345&gt;1),IF(OR(A345=入力!$B$15+1,AND(入力!$B$13="有効",A345&gt;1,MOD(A345-1,60)=0)),"・","")&amp;"金利変更","")&amp;IF(AND(OR(AND(入力!$B$13="有効",A345&gt;1,MOD(A345-1,60)=0),AND(A345=入力!$B$11,A345&gt;1)),入力!$B$14="有効",IF(E345=0,ROUND(C345/MAX(1,S344-A345+1),0),ROUND(-PMT(E345/12,MAX(1,S344-A345+1),C345),0))&gt;ROUND(G344*1.25,0),NOT(A345=入力!$B$15+1)),"・上限適用",""))</f>
        <v/>
      </c>
      <c r="Q345" s="35" t="str">
        <f>IF(AND(T344="",A345&lt;=S344),入力!$B$13,"")</f>
        <v>有効</v>
      </c>
      <c r="R345" s="32" t="str">
        <f>IF(AND(AND(T344="",A345&lt;=S344),OR(AND(入力!$B$13="有効",A345&gt;1,MOD(A345-1,60)=0),AND(A345=入力!$B$11,A345&gt;1)),入力!$B$14="有効"),ROUND(G344*1.25,0),"")</f>
        <v/>
      </c>
      <c r="S345" s="36">
        <f>IF(A345=入力!$B$15,A345+入力!$B$19,S344)</f>
        <v>360</v>
      </c>
      <c r="T345" s="35" t="str">
        <f t="shared" si="95"/>
        <v/>
      </c>
      <c r="U345" s="3">
        <f t="shared" si="80"/>
        <v>0</v>
      </c>
      <c r="V345" s="3">
        <f t="shared" si="81"/>
        <v>0</v>
      </c>
      <c r="W345" s="3">
        <f t="shared" si="82"/>
        <v>0</v>
      </c>
      <c r="X345" s="3">
        <f t="shared" si="83"/>
        <v>0</v>
      </c>
      <c r="Y345" s="3">
        <f>IF(A345&lt;入力!$B$15,ABS(G345-何もしない_月次!G345),0)</f>
        <v>0</v>
      </c>
      <c r="Z345" s="3">
        <f t="shared" si="84"/>
        <v>0</v>
      </c>
      <c r="AA345">
        <f>ROUND(IF(A345=入力!$B$15+1,IF(E345=0,ROUND(C345/入力!$B$19,0),ROUND(-PMT(E345/12,入力!$B$19,C345),0)),IF(OR(AND(入力!$B$13="有効",A345&gt;1,MOD(A345-1,60)=0),AND(A345=入力!$B$11,A345&gt;1)),IF(入力!$B$14="有効",MIN(IF(E345=0,ROUND(C345/MAX(1,S344-A345+1),0),ROUND(-PMT(E345/12,MAX(1,S344-A345+1),C345),0)),ROUND(G344*1.25,0)),IF(E345=0,ROUND(C345/MAX(1,S344-A345+1),0),ROUND(-PMT(E345/12,MAX(1,S344-A345+1),C345),0))),G344)),0)</f>
        <v>116934</v>
      </c>
    </row>
    <row r="346" spans="1:27">
      <c r="A346" s="30">
        <f>341</f>
        <v>341</v>
      </c>
      <c r="B346" s="31">
        <f>EDATE(入力!$B$6,A346-1)</f>
        <v>56584</v>
      </c>
      <c r="C346" s="32">
        <f t="shared" si="85"/>
        <v>2288288</v>
      </c>
      <c r="D346" s="32">
        <f t="shared" si="86"/>
        <v>0</v>
      </c>
      <c r="E346" s="33">
        <f>IF(AND(T345="",A346&lt;=S345),IF(A346&lt;入力!$B$11,入力!$B$10,入力!$B$12),0)</f>
        <v>2.5000000000000001E-2</v>
      </c>
      <c r="F346" s="32">
        <f t="shared" si="87"/>
        <v>4767</v>
      </c>
      <c r="G346" s="32">
        <f>ROUND(IF(NOT(AND(T345="",A346&lt;=S345)),0,IF(A346=入力!$B$15+1,IF(E346=0,ROUND(C346/入力!$B$19,0),ROUND(-PMT(E346/12,入力!$B$19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),0)</f>
        <v>116934</v>
      </c>
      <c r="H346" s="32">
        <f t="shared" si="88"/>
        <v>116934</v>
      </c>
      <c r="I346" s="32">
        <f t="shared" si="89"/>
        <v>4767</v>
      </c>
      <c r="J346" s="32">
        <f t="shared" si="90"/>
        <v>0</v>
      </c>
      <c r="K346" s="32">
        <f t="shared" si="91"/>
        <v>0</v>
      </c>
      <c r="L346" s="32">
        <f t="shared" si="92"/>
        <v>112167</v>
      </c>
      <c r="M346" s="32">
        <f>IF(AND(AND(T345="",A346&lt;=S345),A346=入力!$B$15),ROUND(MIN(入力!$B$16,MAX(0,C346-L346)),0),0)</f>
        <v>0</v>
      </c>
      <c r="N346" s="32">
        <f t="shared" si="93"/>
        <v>2176121</v>
      </c>
      <c r="O346" s="32">
        <f t="shared" si="94"/>
        <v>10706255</v>
      </c>
      <c r="P346" s="34" t="str">
        <f>IF(NOT(AND(T345="",A346&lt;=S345)),"",IF(A346=入力!$B$15+1,"繰上返済後再計算","")&amp;IF(AND(入力!$B$13="有効",A346&gt;1,MOD(A346-1,60)=0),IF(A346=入力!$B$15+1,"・","")&amp;"5年見直し","")&amp;IF(AND(A346=入力!$B$11,A346&gt;1),IF(OR(A346=入力!$B$15+1,AND(入力!$B$13="有効",A346&gt;1,MOD(A346-1,60)=0)),"・","")&amp;"金利変更","")&amp;IF(AND(OR(AND(入力!$B$13="有効",A346&gt;1,MOD(A346-1,60)=0),AND(A346=入力!$B$11,A346&gt;1)),入力!$B$14="有効",IF(E346=0,ROUND(C346/MAX(1,S345-A346+1),0),ROUND(-PMT(E346/12,MAX(1,S345-A346+1),C346),0))&gt;ROUND(G345*1.25,0),NOT(A346=入力!$B$15+1)),"・上限適用",""))</f>
        <v/>
      </c>
      <c r="Q346" s="35" t="str">
        <f>IF(AND(T345="",A346&lt;=S345),入力!$B$13,"")</f>
        <v>有効</v>
      </c>
      <c r="R346" s="32" t="str">
        <f>IF(AND(AND(T345="",A346&lt;=S345),OR(AND(入力!$B$13="有効",A346&gt;1,MOD(A346-1,60)=0),AND(A346=入力!$B$11,A346&gt;1)),入力!$B$14="有効"),ROUND(G345*1.25,0),"")</f>
        <v/>
      </c>
      <c r="S346" s="36">
        <f>IF(A346=入力!$B$15,A346+入力!$B$19,S345)</f>
        <v>360</v>
      </c>
      <c r="T346" s="35" t="str">
        <f t="shared" si="95"/>
        <v/>
      </c>
      <c r="U346" s="3">
        <f t="shared" si="80"/>
        <v>0</v>
      </c>
      <c r="V346" s="3">
        <f t="shared" si="81"/>
        <v>0</v>
      </c>
      <c r="W346" s="3">
        <f t="shared" si="82"/>
        <v>0</v>
      </c>
      <c r="X346" s="3">
        <f t="shared" si="83"/>
        <v>0</v>
      </c>
      <c r="Y346" s="3">
        <f>IF(A346&lt;入力!$B$15,ABS(G346-何もしない_月次!G346),0)</f>
        <v>0</v>
      </c>
      <c r="Z346" s="3">
        <f t="shared" si="84"/>
        <v>0</v>
      </c>
      <c r="AA346">
        <f>ROUND(IF(A346=入力!$B$15+1,IF(E346=0,ROUND(C346/入力!$B$19,0),ROUND(-PMT(E346/12,入力!$B$19,C346),0)),IF(OR(AND(入力!$B$13="有効",A346&gt;1,MOD(A346-1,60)=0),AND(A346=入力!$B$11,A346&gt;1)),IF(入力!$B$14="有効",MIN(IF(E346=0,ROUND(C346/MAX(1,S345-A346+1),0),ROUND(-PMT(E346/12,MAX(1,S345-A346+1),C346),0)),ROUND(G345*1.25,0)),IF(E346=0,ROUND(C346/MAX(1,S345-A346+1),0),ROUND(-PMT(E346/12,MAX(1,S345-A346+1),C346),0))),G345)),0)</f>
        <v>116934</v>
      </c>
    </row>
    <row r="347" spans="1:27">
      <c r="A347" s="30">
        <f>342</f>
        <v>342</v>
      </c>
      <c r="B347" s="31">
        <f>EDATE(入力!$B$6,A347-1)</f>
        <v>56615</v>
      </c>
      <c r="C347" s="32">
        <f t="shared" si="85"/>
        <v>2176121</v>
      </c>
      <c r="D347" s="32">
        <f t="shared" si="86"/>
        <v>0</v>
      </c>
      <c r="E347" s="33">
        <f>IF(AND(T346="",A347&lt;=S346),IF(A347&lt;入力!$B$11,入力!$B$10,入力!$B$12),0)</f>
        <v>2.5000000000000001E-2</v>
      </c>
      <c r="F347" s="32">
        <f t="shared" si="87"/>
        <v>4534</v>
      </c>
      <c r="G347" s="32">
        <f>ROUND(IF(NOT(AND(T346="",A347&lt;=S346)),0,IF(A347=入力!$B$15+1,IF(E347=0,ROUND(C347/入力!$B$19,0),ROUND(-PMT(E347/12,入力!$B$19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),0)</f>
        <v>116934</v>
      </c>
      <c r="H347" s="32">
        <f t="shared" si="88"/>
        <v>116934</v>
      </c>
      <c r="I347" s="32">
        <f t="shared" si="89"/>
        <v>4534</v>
      </c>
      <c r="J347" s="32">
        <f t="shared" si="90"/>
        <v>0</v>
      </c>
      <c r="K347" s="32">
        <f t="shared" si="91"/>
        <v>0</v>
      </c>
      <c r="L347" s="32">
        <f t="shared" si="92"/>
        <v>112400</v>
      </c>
      <c r="M347" s="32">
        <f>IF(AND(AND(T346="",A347&lt;=S346),A347=入力!$B$15),ROUND(MIN(入力!$B$16,MAX(0,C347-L347)),0),0)</f>
        <v>0</v>
      </c>
      <c r="N347" s="32">
        <f t="shared" si="93"/>
        <v>2063721</v>
      </c>
      <c r="O347" s="32">
        <f t="shared" si="94"/>
        <v>10710789</v>
      </c>
      <c r="P347" s="34" t="str">
        <f>IF(NOT(AND(T346="",A347&lt;=S346)),"",IF(A347=入力!$B$15+1,"繰上返済後再計算","")&amp;IF(AND(入力!$B$13="有効",A347&gt;1,MOD(A347-1,60)=0),IF(A347=入力!$B$15+1,"・","")&amp;"5年見直し","")&amp;IF(AND(A347=入力!$B$11,A347&gt;1),IF(OR(A347=入力!$B$15+1,AND(入力!$B$13="有効",A347&gt;1,MOD(A347-1,60)=0)),"・","")&amp;"金利変更","")&amp;IF(AND(OR(AND(入力!$B$13="有効",A347&gt;1,MOD(A347-1,60)=0),AND(A347=入力!$B$11,A347&gt;1)),入力!$B$14="有効",IF(E347=0,ROUND(C347/MAX(1,S346-A347+1),0),ROUND(-PMT(E347/12,MAX(1,S346-A347+1),C347),0))&gt;ROUND(G346*1.25,0),NOT(A347=入力!$B$15+1)),"・上限適用",""))</f>
        <v/>
      </c>
      <c r="Q347" s="35" t="str">
        <f>IF(AND(T346="",A347&lt;=S346),入力!$B$13,"")</f>
        <v>有効</v>
      </c>
      <c r="R347" s="32" t="str">
        <f>IF(AND(AND(T346="",A347&lt;=S346),OR(AND(入力!$B$13="有効",A347&gt;1,MOD(A347-1,60)=0),AND(A347=入力!$B$11,A347&gt;1)),入力!$B$14="有効"),ROUND(G346*1.25,0),"")</f>
        <v/>
      </c>
      <c r="S347" s="36">
        <f>IF(A347=入力!$B$15,A347+入力!$B$19,S346)</f>
        <v>360</v>
      </c>
      <c r="T347" s="35" t="str">
        <f t="shared" si="95"/>
        <v/>
      </c>
      <c r="U347" s="3">
        <f t="shared" si="80"/>
        <v>0</v>
      </c>
      <c r="V347" s="3">
        <f t="shared" si="81"/>
        <v>0</v>
      </c>
      <c r="W347" s="3">
        <f t="shared" si="82"/>
        <v>0</v>
      </c>
      <c r="X347" s="3">
        <f t="shared" si="83"/>
        <v>0</v>
      </c>
      <c r="Y347" s="3">
        <f>IF(A347&lt;入力!$B$15,ABS(G347-何もしない_月次!G347),0)</f>
        <v>0</v>
      </c>
      <c r="Z347" s="3">
        <f t="shared" si="84"/>
        <v>0</v>
      </c>
      <c r="AA347">
        <f>ROUND(IF(A347=入力!$B$15+1,IF(E347=0,ROUND(C347/入力!$B$19,0),ROUND(-PMT(E347/12,入力!$B$19,C347),0)),IF(OR(AND(入力!$B$13="有効",A347&gt;1,MOD(A347-1,60)=0),AND(A347=入力!$B$11,A347&gt;1)),IF(入力!$B$14="有効",MIN(IF(E347=0,ROUND(C347/MAX(1,S346-A347+1),0),ROUND(-PMT(E347/12,MAX(1,S346-A347+1),C347),0)),ROUND(G346*1.25,0)),IF(E347=0,ROUND(C347/MAX(1,S346-A347+1),0),ROUND(-PMT(E347/12,MAX(1,S346-A347+1),C347),0))),G346)),0)</f>
        <v>116934</v>
      </c>
    </row>
    <row r="348" spans="1:27">
      <c r="A348" s="30">
        <f>343</f>
        <v>343</v>
      </c>
      <c r="B348" s="31">
        <f>EDATE(入力!$B$6,A348-1)</f>
        <v>56646</v>
      </c>
      <c r="C348" s="32">
        <f t="shared" si="85"/>
        <v>2063721</v>
      </c>
      <c r="D348" s="32">
        <f t="shared" si="86"/>
        <v>0</v>
      </c>
      <c r="E348" s="33">
        <f>IF(AND(T347="",A348&lt;=S347),IF(A348&lt;入力!$B$11,入力!$B$10,入力!$B$12),0)</f>
        <v>2.5000000000000001E-2</v>
      </c>
      <c r="F348" s="32">
        <f t="shared" si="87"/>
        <v>4299</v>
      </c>
      <c r="G348" s="32">
        <f>ROUND(IF(NOT(AND(T347="",A348&lt;=S347)),0,IF(A348=入力!$B$15+1,IF(E348=0,ROUND(C348/入力!$B$19,0),ROUND(-PMT(E348/12,入力!$B$19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),0)</f>
        <v>116934</v>
      </c>
      <c r="H348" s="32">
        <f t="shared" si="88"/>
        <v>116934</v>
      </c>
      <c r="I348" s="32">
        <f t="shared" si="89"/>
        <v>4299</v>
      </c>
      <c r="J348" s="32">
        <f t="shared" si="90"/>
        <v>0</v>
      </c>
      <c r="K348" s="32">
        <f t="shared" si="91"/>
        <v>0</v>
      </c>
      <c r="L348" s="32">
        <f t="shared" si="92"/>
        <v>112635</v>
      </c>
      <c r="M348" s="32">
        <f>IF(AND(AND(T347="",A348&lt;=S347),A348=入力!$B$15),ROUND(MIN(入力!$B$16,MAX(0,C348-L348)),0),0)</f>
        <v>0</v>
      </c>
      <c r="N348" s="32">
        <f t="shared" si="93"/>
        <v>1951086</v>
      </c>
      <c r="O348" s="32">
        <f t="shared" si="94"/>
        <v>10715088</v>
      </c>
      <c r="P348" s="34" t="str">
        <f>IF(NOT(AND(T347="",A348&lt;=S347)),"",IF(A348=入力!$B$15+1,"繰上返済後再計算","")&amp;IF(AND(入力!$B$13="有効",A348&gt;1,MOD(A348-1,60)=0),IF(A348=入力!$B$15+1,"・","")&amp;"5年見直し","")&amp;IF(AND(A348=入力!$B$11,A348&gt;1),IF(OR(A348=入力!$B$15+1,AND(入力!$B$13="有効",A348&gt;1,MOD(A348-1,60)=0)),"・","")&amp;"金利変更","")&amp;IF(AND(OR(AND(入力!$B$13="有効",A348&gt;1,MOD(A348-1,60)=0),AND(A348=入力!$B$11,A348&gt;1)),入力!$B$14="有効",IF(E348=0,ROUND(C348/MAX(1,S347-A348+1),0),ROUND(-PMT(E348/12,MAX(1,S347-A348+1),C348),0))&gt;ROUND(G347*1.25,0),NOT(A348=入力!$B$15+1)),"・上限適用",""))</f>
        <v/>
      </c>
      <c r="Q348" s="35" t="str">
        <f>IF(AND(T347="",A348&lt;=S347),入力!$B$13,"")</f>
        <v>有効</v>
      </c>
      <c r="R348" s="32" t="str">
        <f>IF(AND(AND(T347="",A348&lt;=S347),OR(AND(入力!$B$13="有効",A348&gt;1,MOD(A348-1,60)=0),AND(A348=入力!$B$11,A348&gt;1)),入力!$B$14="有効"),ROUND(G347*1.25,0),"")</f>
        <v/>
      </c>
      <c r="S348" s="36">
        <f>IF(A348=入力!$B$15,A348+入力!$B$19,S347)</f>
        <v>360</v>
      </c>
      <c r="T348" s="35" t="str">
        <f t="shared" si="95"/>
        <v/>
      </c>
      <c r="U348" s="3">
        <f t="shared" si="80"/>
        <v>0</v>
      </c>
      <c r="V348" s="3">
        <f t="shared" si="81"/>
        <v>0</v>
      </c>
      <c r="W348" s="3">
        <f t="shared" si="82"/>
        <v>0</v>
      </c>
      <c r="X348" s="3">
        <f t="shared" si="83"/>
        <v>0</v>
      </c>
      <c r="Y348" s="3">
        <f>IF(A348&lt;入力!$B$15,ABS(G348-何もしない_月次!G348),0)</f>
        <v>0</v>
      </c>
      <c r="Z348" s="3">
        <f t="shared" si="84"/>
        <v>0</v>
      </c>
      <c r="AA348">
        <f>ROUND(IF(A348=入力!$B$15+1,IF(E348=0,ROUND(C348/入力!$B$19,0),ROUND(-PMT(E348/12,入力!$B$19,C348),0)),IF(OR(AND(入力!$B$13="有効",A348&gt;1,MOD(A348-1,60)=0),AND(A348=入力!$B$11,A348&gt;1)),IF(入力!$B$14="有効",MIN(IF(E348=0,ROUND(C348/MAX(1,S347-A348+1),0),ROUND(-PMT(E348/12,MAX(1,S347-A348+1),C348),0)),ROUND(G347*1.25,0)),IF(E348=0,ROUND(C348/MAX(1,S347-A348+1),0),ROUND(-PMT(E348/12,MAX(1,S347-A348+1),C348),0))),G347)),0)</f>
        <v>116934</v>
      </c>
    </row>
    <row r="349" spans="1:27">
      <c r="A349" s="30">
        <f>344</f>
        <v>344</v>
      </c>
      <c r="B349" s="31">
        <f>EDATE(入力!$B$6,A349-1)</f>
        <v>56674</v>
      </c>
      <c r="C349" s="32">
        <f t="shared" si="85"/>
        <v>1951086</v>
      </c>
      <c r="D349" s="32">
        <f t="shared" si="86"/>
        <v>0</v>
      </c>
      <c r="E349" s="33">
        <f>IF(AND(T348="",A349&lt;=S348),IF(A349&lt;入力!$B$11,入力!$B$10,入力!$B$12),0)</f>
        <v>2.5000000000000001E-2</v>
      </c>
      <c r="F349" s="32">
        <f t="shared" si="87"/>
        <v>4065</v>
      </c>
      <c r="G349" s="32">
        <f>ROUND(IF(NOT(AND(T348="",A349&lt;=S348)),0,IF(A349=入力!$B$15+1,IF(E349=0,ROUND(C349/入力!$B$19,0),ROUND(-PMT(E349/12,入力!$B$19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),0)</f>
        <v>116934</v>
      </c>
      <c r="H349" s="32">
        <f t="shared" si="88"/>
        <v>116934</v>
      </c>
      <c r="I349" s="32">
        <f t="shared" si="89"/>
        <v>4065</v>
      </c>
      <c r="J349" s="32">
        <f t="shared" si="90"/>
        <v>0</v>
      </c>
      <c r="K349" s="32">
        <f t="shared" si="91"/>
        <v>0</v>
      </c>
      <c r="L349" s="32">
        <f t="shared" si="92"/>
        <v>112869</v>
      </c>
      <c r="M349" s="32">
        <f>IF(AND(AND(T348="",A349&lt;=S348),A349=入力!$B$15),ROUND(MIN(入力!$B$16,MAX(0,C349-L349)),0),0)</f>
        <v>0</v>
      </c>
      <c r="N349" s="32">
        <f t="shared" si="93"/>
        <v>1838217</v>
      </c>
      <c r="O349" s="32">
        <f t="shared" si="94"/>
        <v>10719153</v>
      </c>
      <c r="P349" s="34" t="str">
        <f>IF(NOT(AND(T348="",A349&lt;=S348)),"",IF(A349=入力!$B$15+1,"繰上返済後再計算","")&amp;IF(AND(入力!$B$13="有効",A349&gt;1,MOD(A349-1,60)=0),IF(A349=入力!$B$15+1,"・","")&amp;"5年見直し","")&amp;IF(AND(A349=入力!$B$11,A349&gt;1),IF(OR(A349=入力!$B$15+1,AND(入力!$B$13="有効",A349&gt;1,MOD(A349-1,60)=0)),"・","")&amp;"金利変更","")&amp;IF(AND(OR(AND(入力!$B$13="有効",A349&gt;1,MOD(A349-1,60)=0),AND(A349=入力!$B$11,A349&gt;1)),入力!$B$14="有効",IF(E349=0,ROUND(C349/MAX(1,S348-A349+1),0),ROUND(-PMT(E349/12,MAX(1,S348-A349+1),C349),0))&gt;ROUND(G348*1.25,0),NOT(A349=入力!$B$15+1)),"・上限適用",""))</f>
        <v/>
      </c>
      <c r="Q349" s="35" t="str">
        <f>IF(AND(T348="",A349&lt;=S348),入力!$B$13,"")</f>
        <v>有効</v>
      </c>
      <c r="R349" s="32" t="str">
        <f>IF(AND(AND(T348="",A349&lt;=S348),OR(AND(入力!$B$13="有効",A349&gt;1,MOD(A349-1,60)=0),AND(A349=入力!$B$11,A349&gt;1)),入力!$B$14="有効"),ROUND(G348*1.25,0),"")</f>
        <v/>
      </c>
      <c r="S349" s="36">
        <f>IF(A349=入力!$B$15,A349+入力!$B$19,S348)</f>
        <v>360</v>
      </c>
      <c r="T349" s="35" t="str">
        <f t="shared" si="95"/>
        <v/>
      </c>
      <c r="U349" s="3">
        <f t="shared" si="80"/>
        <v>0</v>
      </c>
      <c r="V349" s="3">
        <f t="shared" si="81"/>
        <v>0</v>
      </c>
      <c r="W349" s="3">
        <f t="shared" si="82"/>
        <v>0</v>
      </c>
      <c r="X349" s="3">
        <f t="shared" si="83"/>
        <v>0</v>
      </c>
      <c r="Y349" s="3">
        <f>IF(A349&lt;入力!$B$15,ABS(G349-何もしない_月次!G349),0)</f>
        <v>0</v>
      </c>
      <c r="Z349" s="3">
        <f t="shared" si="84"/>
        <v>0</v>
      </c>
      <c r="AA349">
        <f>ROUND(IF(A349=入力!$B$15+1,IF(E349=0,ROUND(C349/入力!$B$19,0),ROUND(-PMT(E349/12,入力!$B$19,C349),0)),IF(OR(AND(入力!$B$13="有効",A349&gt;1,MOD(A349-1,60)=0),AND(A349=入力!$B$11,A349&gt;1)),IF(入力!$B$14="有効",MIN(IF(E349=0,ROUND(C349/MAX(1,S348-A349+1),0),ROUND(-PMT(E349/12,MAX(1,S348-A349+1),C349),0)),ROUND(G348*1.25,0)),IF(E349=0,ROUND(C349/MAX(1,S348-A349+1),0),ROUND(-PMT(E349/12,MAX(1,S348-A349+1),C349),0))),G348)),0)</f>
        <v>116934</v>
      </c>
    </row>
    <row r="350" spans="1:27">
      <c r="A350" s="30">
        <f>345</f>
        <v>345</v>
      </c>
      <c r="B350" s="31">
        <f>EDATE(入力!$B$6,A350-1)</f>
        <v>56705</v>
      </c>
      <c r="C350" s="32">
        <f t="shared" si="85"/>
        <v>1838217</v>
      </c>
      <c r="D350" s="32">
        <f t="shared" si="86"/>
        <v>0</v>
      </c>
      <c r="E350" s="33">
        <f>IF(AND(T349="",A350&lt;=S349),IF(A350&lt;入力!$B$11,入力!$B$10,入力!$B$12),0)</f>
        <v>2.5000000000000001E-2</v>
      </c>
      <c r="F350" s="32">
        <f t="shared" si="87"/>
        <v>3830</v>
      </c>
      <c r="G350" s="32">
        <f>ROUND(IF(NOT(AND(T349="",A350&lt;=S349)),0,IF(A350=入力!$B$15+1,IF(E350=0,ROUND(C350/入力!$B$19,0),ROUND(-PMT(E350/12,入力!$B$19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),0)</f>
        <v>116934</v>
      </c>
      <c r="H350" s="32">
        <f t="shared" si="88"/>
        <v>116934</v>
      </c>
      <c r="I350" s="32">
        <f t="shared" si="89"/>
        <v>3830</v>
      </c>
      <c r="J350" s="32">
        <f t="shared" si="90"/>
        <v>0</v>
      </c>
      <c r="K350" s="32">
        <f t="shared" si="91"/>
        <v>0</v>
      </c>
      <c r="L350" s="32">
        <f t="shared" si="92"/>
        <v>113104</v>
      </c>
      <c r="M350" s="32">
        <f>IF(AND(AND(T349="",A350&lt;=S349),A350=入力!$B$15),ROUND(MIN(入力!$B$16,MAX(0,C350-L350)),0),0)</f>
        <v>0</v>
      </c>
      <c r="N350" s="32">
        <f t="shared" si="93"/>
        <v>1725113</v>
      </c>
      <c r="O350" s="32">
        <f t="shared" si="94"/>
        <v>10722983</v>
      </c>
      <c r="P350" s="34" t="str">
        <f>IF(NOT(AND(T349="",A350&lt;=S349)),"",IF(A350=入力!$B$15+1,"繰上返済後再計算","")&amp;IF(AND(入力!$B$13="有効",A350&gt;1,MOD(A350-1,60)=0),IF(A350=入力!$B$15+1,"・","")&amp;"5年見直し","")&amp;IF(AND(A350=入力!$B$11,A350&gt;1),IF(OR(A350=入力!$B$15+1,AND(入力!$B$13="有効",A350&gt;1,MOD(A350-1,60)=0)),"・","")&amp;"金利変更","")&amp;IF(AND(OR(AND(入力!$B$13="有効",A350&gt;1,MOD(A350-1,60)=0),AND(A350=入力!$B$11,A350&gt;1)),入力!$B$14="有効",IF(E350=0,ROUND(C350/MAX(1,S349-A350+1),0),ROUND(-PMT(E350/12,MAX(1,S349-A350+1),C350),0))&gt;ROUND(G349*1.25,0),NOT(A350=入力!$B$15+1)),"・上限適用",""))</f>
        <v/>
      </c>
      <c r="Q350" s="35" t="str">
        <f>IF(AND(T349="",A350&lt;=S349),入力!$B$13,"")</f>
        <v>有効</v>
      </c>
      <c r="R350" s="32" t="str">
        <f>IF(AND(AND(T349="",A350&lt;=S349),OR(AND(入力!$B$13="有効",A350&gt;1,MOD(A350-1,60)=0),AND(A350=入力!$B$11,A350&gt;1)),入力!$B$14="有効"),ROUND(G349*1.25,0),"")</f>
        <v/>
      </c>
      <c r="S350" s="36">
        <f>IF(A350=入力!$B$15,A350+入力!$B$19,S349)</f>
        <v>360</v>
      </c>
      <c r="T350" s="35" t="str">
        <f t="shared" si="95"/>
        <v/>
      </c>
      <c r="U350" s="3">
        <f t="shared" si="80"/>
        <v>0</v>
      </c>
      <c r="V350" s="3">
        <f t="shared" si="81"/>
        <v>0</v>
      </c>
      <c r="W350" s="3">
        <f t="shared" si="82"/>
        <v>0</v>
      </c>
      <c r="X350" s="3">
        <f t="shared" si="83"/>
        <v>0</v>
      </c>
      <c r="Y350" s="3">
        <f>IF(A350&lt;入力!$B$15,ABS(G350-何もしない_月次!G350),0)</f>
        <v>0</v>
      </c>
      <c r="Z350" s="3">
        <f t="shared" si="84"/>
        <v>0</v>
      </c>
      <c r="AA350">
        <f>ROUND(IF(A350=入力!$B$15+1,IF(E350=0,ROUND(C350/入力!$B$19,0),ROUND(-PMT(E350/12,入力!$B$19,C350),0)),IF(OR(AND(入力!$B$13="有効",A350&gt;1,MOD(A350-1,60)=0),AND(A350=入力!$B$11,A350&gt;1)),IF(入力!$B$14="有効",MIN(IF(E350=0,ROUND(C350/MAX(1,S349-A350+1),0),ROUND(-PMT(E350/12,MAX(1,S349-A350+1),C350),0)),ROUND(G349*1.25,0)),IF(E350=0,ROUND(C350/MAX(1,S349-A350+1),0),ROUND(-PMT(E350/12,MAX(1,S349-A350+1),C350),0))),G349)),0)</f>
        <v>116934</v>
      </c>
    </row>
    <row r="351" spans="1:27">
      <c r="A351" s="30">
        <f>346</f>
        <v>346</v>
      </c>
      <c r="B351" s="31">
        <f>EDATE(入力!$B$6,A351-1)</f>
        <v>56735</v>
      </c>
      <c r="C351" s="32">
        <f t="shared" si="85"/>
        <v>1725113</v>
      </c>
      <c r="D351" s="32">
        <f t="shared" si="86"/>
        <v>0</v>
      </c>
      <c r="E351" s="33">
        <f>IF(AND(T350="",A351&lt;=S350),IF(A351&lt;入力!$B$11,入力!$B$10,入力!$B$12),0)</f>
        <v>2.5000000000000001E-2</v>
      </c>
      <c r="F351" s="32">
        <f t="shared" si="87"/>
        <v>3594</v>
      </c>
      <c r="G351" s="32">
        <f>ROUND(IF(NOT(AND(T350="",A351&lt;=S350)),0,IF(A351=入力!$B$15+1,IF(E351=0,ROUND(C351/入力!$B$19,0),ROUND(-PMT(E351/12,入力!$B$19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),0)</f>
        <v>116934</v>
      </c>
      <c r="H351" s="32">
        <f t="shared" si="88"/>
        <v>116934</v>
      </c>
      <c r="I351" s="32">
        <f t="shared" si="89"/>
        <v>3594</v>
      </c>
      <c r="J351" s="32">
        <f t="shared" si="90"/>
        <v>0</v>
      </c>
      <c r="K351" s="32">
        <f t="shared" si="91"/>
        <v>0</v>
      </c>
      <c r="L351" s="32">
        <f t="shared" si="92"/>
        <v>113340</v>
      </c>
      <c r="M351" s="32">
        <f>IF(AND(AND(T350="",A351&lt;=S350),A351=入力!$B$15),ROUND(MIN(入力!$B$16,MAX(0,C351-L351)),0),0)</f>
        <v>0</v>
      </c>
      <c r="N351" s="32">
        <f t="shared" si="93"/>
        <v>1611773</v>
      </c>
      <c r="O351" s="32">
        <f t="shared" si="94"/>
        <v>10726577</v>
      </c>
      <c r="P351" s="34" t="str">
        <f>IF(NOT(AND(T350="",A351&lt;=S350)),"",IF(A351=入力!$B$15+1,"繰上返済後再計算","")&amp;IF(AND(入力!$B$13="有効",A351&gt;1,MOD(A351-1,60)=0),IF(A351=入力!$B$15+1,"・","")&amp;"5年見直し","")&amp;IF(AND(A351=入力!$B$11,A351&gt;1),IF(OR(A351=入力!$B$15+1,AND(入力!$B$13="有効",A351&gt;1,MOD(A351-1,60)=0)),"・","")&amp;"金利変更","")&amp;IF(AND(OR(AND(入力!$B$13="有効",A351&gt;1,MOD(A351-1,60)=0),AND(A351=入力!$B$11,A351&gt;1)),入力!$B$14="有効",IF(E351=0,ROUND(C351/MAX(1,S350-A351+1),0),ROUND(-PMT(E351/12,MAX(1,S350-A351+1),C351),0))&gt;ROUND(G350*1.25,0),NOT(A351=入力!$B$15+1)),"・上限適用",""))</f>
        <v/>
      </c>
      <c r="Q351" s="35" t="str">
        <f>IF(AND(T350="",A351&lt;=S350),入力!$B$13,"")</f>
        <v>有効</v>
      </c>
      <c r="R351" s="32" t="str">
        <f>IF(AND(AND(T350="",A351&lt;=S350),OR(AND(入力!$B$13="有効",A351&gt;1,MOD(A351-1,60)=0),AND(A351=入力!$B$11,A351&gt;1)),入力!$B$14="有効"),ROUND(G350*1.25,0),"")</f>
        <v/>
      </c>
      <c r="S351" s="36">
        <f>IF(A351=入力!$B$15,A351+入力!$B$19,S350)</f>
        <v>360</v>
      </c>
      <c r="T351" s="35" t="str">
        <f t="shared" si="95"/>
        <v/>
      </c>
      <c r="U351" s="3">
        <f t="shared" si="80"/>
        <v>0</v>
      </c>
      <c r="V351" s="3">
        <f t="shared" si="81"/>
        <v>0</v>
      </c>
      <c r="W351" s="3">
        <f t="shared" si="82"/>
        <v>0</v>
      </c>
      <c r="X351" s="3">
        <f t="shared" si="83"/>
        <v>0</v>
      </c>
      <c r="Y351" s="3">
        <f>IF(A351&lt;入力!$B$15,ABS(G351-何もしない_月次!G351),0)</f>
        <v>0</v>
      </c>
      <c r="Z351" s="3">
        <f t="shared" si="84"/>
        <v>0</v>
      </c>
      <c r="AA351">
        <f>ROUND(IF(A351=入力!$B$15+1,IF(E351=0,ROUND(C351/入力!$B$19,0),ROUND(-PMT(E351/12,入力!$B$19,C351),0)),IF(OR(AND(入力!$B$13="有効",A351&gt;1,MOD(A351-1,60)=0),AND(A351=入力!$B$11,A351&gt;1)),IF(入力!$B$14="有効",MIN(IF(E351=0,ROUND(C351/MAX(1,S350-A351+1),0),ROUND(-PMT(E351/12,MAX(1,S350-A351+1),C351),0)),ROUND(G350*1.25,0)),IF(E351=0,ROUND(C351/MAX(1,S350-A351+1),0),ROUND(-PMT(E351/12,MAX(1,S350-A351+1),C351),0))),G350)),0)</f>
        <v>116934</v>
      </c>
    </row>
    <row r="352" spans="1:27">
      <c r="A352" s="30">
        <f>347</f>
        <v>347</v>
      </c>
      <c r="B352" s="31">
        <f>EDATE(入力!$B$6,A352-1)</f>
        <v>56766</v>
      </c>
      <c r="C352" s="32">
        <f t="shared" si="85"/>
        <v>1611773</v>
      </c>
      <c r="D352" s="32">
        <f t="shared" si="86"/>
        <v>0</v>
      </c>
      <c r="E352" s="33">
        <f>IF(AND(T351="",A352&lt;=S351),IF(A352&lt;入力!$B$11,入力!$B$10,入力!$B$12),0)</f>
        <v>2.5000000000000001E-2</v>
      </c>
      <c r="F352" s="32">
        <f t="shared" si="87"/>
        <v>3358</v>
      </c>
      <c r="G352" s="32">
        <f>ROUND(IF(NOT(AND(T351="",A352&lt;=S351)),0,IF(A352=入力!$B$15+1,IF(E352=0,ROUND(C352/入力!$B$19,0),ROUND(-PMT(E352/12,入力!$B$19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),0)</f>
        <v>116934</v>
      </c>
      <c r="H352" s="32">
        <f t="shared" si="88"/>
        <v>116934</v>
      </c>
      <c r="I352" s="32">
        <f t="shared" si="89"/>
        <v>3358</v>
      </c>
      <c r="J352" s="32">
        <f t="shared" si="90"/>
        <v>0</v>
      </c>
      <c r="K352" s="32">
        <f t="shared" si="91"/>
        <v>0</v>
      </c>
      <c r="L352" s="32">
        <f t="shared" si="92"/>
        <v>113576</v>
      </c>
      <c r="M352" s="32">
        <f>IF(AND(AND(T351="",A352&lt;=S351),A352=入力!$B$15),ROUND(MIN(入力!$B$16,MAX(0,C352-L352)),0),0)</f>
        <v>0</v>
      </c>
      <c r="N352" s="32">
        <f t="shared" si="93"/>
        <v>1498197</v>
      </c>
      <c r="O352" s="32">
        <f t="shared" si="94"/>
        <v>10729935</v>
      </c>
      <c r="P352" s="34" t="str">
        <f>IF(NOT(AND(T351="",A352&lt;=S351)),"",IF(A352=入力!$B$15+1,"繰上返済後再計算","")&amp;IF(AND(入力!$B$13="有効",A352&gt;1,MOD(A352-1,60)=0),IF(A352=入力!$B$15+1,"・","")&amp;"5年見直し","")&amp;IF(AND(A352=入力!$B$11,A352&gt;1),IF(OR(A352=入力!$B$15+1,AND(入力!$B$13="有効",A352&gt;1,MOD(A352-1,60)=0)),"・","")&amp;"金利変更","")&amp;IF(AND(OR(AND(入力!$B$13="有効",A352&gt;1,MOD(A352-1,60)=0),AND(A352=入力!$B$11,A352&gt;1)),入力!$B$14="有効",IF(E352=0,ROUND(C352/MAX(1,S351-A352+1),0),ROUND(-PMT(E352/12,MAX(1,S351-A352+1),C352),0))&gt;ROUND(G351*1.25,0),NOT(A352=入力!$B$15+1)),"・上限適用",""))</f>
        <v/>
      </c>
      <c r="Q352" s="35" t="str">
        <f>IF(AND(T351="",A352&lt;=S351),入力!$B$13,"")</f>
        <v>有効</v>
      </c>
      <c r="R352" s="32" t="str">
        <f>IF(AND(AND(T351="",A352&lt;=S351),OR(AND(入力!$B$13="有効",A352&gt;1,MOD(A352-1,60)=0),AND(A352=入力!$B$11,A352&gt;1)),入力!$B$14="有効"),ROUND(G351*1.25,0),"")</f>
        <v/>
      </c>
      <c r="S352" s="36">
        <f>IF(A352=入力!$B$15,A352+入力!$B$19,S351)</f>
        <v>360</v>
      </c>
      <c r="T352" s="35" t="str">
        <f t="shared" si="95"/>
        <v/>
      </c>
      <c r="U352" s="3">
        <f t="shared" si="80"/>
        <v>0</v>
      </c>
      <c r="V352" s="3">
        <f t="shared" si="81"/>
        <v>0</v>
      </c>
      <c r="W352" s="3">
        <f t="shared" si="82"/>
        <v>0</v>
      </c>
      <c r="X352" s="3">
        <f t="shared" si="83"/>
        <v>0</v>
      </c>
      <c r="Y352" s="3">
        <f>IF(A352&lt;入力!$B$15,ABS(G352-何もしない_月次!G352),0)</f>
        <v>0</v>
      </c>
      <c r="Z352" s="3">
        <f t="shared" si="84"/>
        <v>0</v>
      </c>
      <c r="AA352">
        <f>ROUND(IF(A352=入力!$B$15+1,IF(E352=0,ROUND(C352/入力!$B$19,0),ROUND(-PMT(E352/12,入力!$B$19,C352),0)),IF(OR(AND(入力!$B$13="有効",A352&gt;1,MOD(A352-1,60)=0),AND(A352=入力!$B$11,A352&gt;1)),IF(入力!$B$14="有効",MIN(IF(E352=0,ROUND(C352/MAX(1,S351-A352+1),0),ROUND(-PMT(E352/12,MAX(1,S351-A352+1),C352),0)),ROUND(G351*1.25,0)),IF(E352=0,ROUND(C352/MAX(1,S351-A352+1),0),ROUND(-PMT(E352/12,MAX(1,S351-A352+1),C352),0))),G351)),0)</f>
        <v>116934</v>
      </c>
    </row>
    <row r="353" spans="1:27">
      <c r="A353" s="30">
        <f>348</f>
        <v>348</v>
      </c>
      <c r="B353" s="31">
        <f>EDATE(入力!$B$6,A353-1)</f>
        <v>56796</v>
      </c>
      <c r="C353" s="32">
        <f t="shared" si="85"/>
        <v>1498197</v>
      </c>
      <c r="D353" s="32">
        <f t="shared" si="86"/>
        <v>0</v>
      </c>
      <c r="E353" s="33">
        <f>IF(AND(T352="",A353&lt;=S352),IF(A353&lt;入力!$B$11,入力!$B$10,入力!$B$12),0)</f>
        <v>2.5000000000000001E-2</v>
      </c>
      <c r="F353" s="32">
        <f t="shared" si="87"/>
        <v>3121</v>
      </c>
      <c r="G353" s="32">
        <f>ROUND(IF(NOT(AND(T352="",A353&lt;=S352)),0,IF(A353=入力!$B$15+1,IF(E353=0,ROUND(C353/入力!$B$19,0),ROUND(-PMT(E353/12,入力!$B$19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),0)</f>
        <v>116934</v>
      </c>
      <c r="H353" s="32">
        <f t="shared" si="88"/>
        <v>116934</v>
      </c>
      <c r="I353" s="32">
        <f t="shared" si="89"/>
        <v>3121</v>
      </c>
      <c r="J353" s="32">
        <f t="shared" si="90"/>
        <v>0</v>
      </c>
      <c r="K353" s="32">
        <f t="shared" si="91"/>
        <v>0</v>
      </c>
      <c r="L353" s="32">
        <f t="shared" si="92"/>
        <v>113813</v>
      </c>
      <c r="M353" s="32">
        <f>IF(AND(AND(T352="",A353&lt;=S352),A353=入力!$B$15),ROUND(MIN(入力!$B$16,MAX(0,C353-L353)),0),0)</f>
        <v>0</v>
      </c>
      <c r="N353" s="32">
        <f t="shared" si="93"/>
        <v>1384384</v>
      </c>
      <c r="O353" s="32">
        <f t="shared" si="94"/>
        <v>10733056</v>
      </c>
      <c r="P353" s="34" t="str">
        <f>IF(NOT(AND(T352="",A353&lt;=S352)),"",IF(A353=入力!$B$15+1,"繰上返済後再計算","")&amp;IF(AND(入力!$B$13="有効",A353&gt;1,MOD(A353-1,60)=0),IF(A353=入力!$B$15+1,"・","")&amp;"5年見直し","")&amp;IF(AND(A353=入力!$B$11,A353&gt;1),IF(OR(A353=入力!$B$15+1,AND(入力!$B$13="有効",A353&gt;1,MOD(A353-1,60)=0)),"・","")&amp;"金利変更","")&amp;IF(AND(OR(AND(入力!$B$13="有効",A353&gt;1,MOD(A353-1,60)=0),AND(A353=入力!$B$11,A353&gt;1)),入力!$B$14="有効",IF(E353=0,ROUND(C353/MAX(1,S352-A353+1),0),ROUND(-PMT(E353/12,MAX(1,S352-A353+1),C353),0))&gt;ROUND(G352*1.25,0),NOT(A353=入力!$B$15+1)),"・上限適用",""))</f>
        <v/>
      </c>
      <c r="Q353" s="35" t="str">
        <f>IF(AND(T352="",A353&lt;=S352),入力!$B$13,"")</f>
        <v>有効</v>
      </c>
      <c r="R353" s="32" t="str">
        <f>IF(AND(AND(T352="",A353&lt;=S352),OR(AND(入力!$B$13="有効",A353&gt;1,MOD(A353-1,60)=0),AND(A353=入力!$B$11,A353&gt;1)),入力!$B$14="有効"),ROUND(G352*1.25,0),"")</f>
        <v/>
      </c>
      <c r="S353" s="36">
        <f>IF(A353=入力!$B$15,A353+入力!$B$19,S352)</f>
        <v>360</v>
      </c>
      <c r="T353" s="35" t="str">
        <f t="shared" si="95"/>
        <v/>
      </c>
      <c r="U353" s="3">
        <f t="shared" si="80"/>
        <v>0</v>
      </c>
      <c r="V353" s="3">
        <f t="shared" si="81"/>
        <v>0</v>
      </c>
      <c r="W353" s="3">
        <f t="shared" si="82"/>
        <v>0</v>
      </c>
      <c r="X353" s="3">
        <f t="shared" si="83"/>
        <v>0</v>
      </c>
      <c r="Y353" s="3">
        <f>IF(A353&lt;入力!$B$15,ABS(G353-何もしない_月次!G353),0)</f>
        <v>0</v>
      </c>
      <c r="Z353" s="3">
        <f t="shared" si="84"/>
        <v>0</v>
      </c>
      <c r="AA353">
        <f>ROUND(IF(A353=入力!$B$15+1,IF(E353=0,ROUND(C353/入力!$B$19,0),ROUND(-PMT(E353/12,入力!$B$19,C353),0)),IF(OR(AND(入力!$B$13="有効",A353&gt;1,MOD(A353-1,60)=0),AND(A353=入力!$B$11,A353&gt;1)),IF(入力!$B$14="有効",MIN(IF(E353=0,ROUND(C353/MAX(1,S352-A353+1),0),ROUND(-PMT(E353/12,MAX(1,S352-A353+1),C353),0)),ROUND(G352*1.25,0)),IF(E353=0,ROUND(C353/MAX(1,S352-A353+1),0),ROUND(-PMT(E353/12,MAX(1,S352-A353+1),C353),0))),G352)),0)</f>
        <v>116934</v>
      </c>
    </row>
    <row r="354" spans="1:27">
      <c r="A354" s="30">
        <f>349</f>
        <v>349</v>
      </c>
      <c r="B354" s="31">
        <f>EDATE(入力!$B$6,A354-1)</f>
        <v>56827</v>
      </c>
      <c r="C354" s="32">
        <f t="shared" si="85"/>
        <v>1384384</v>
      </c>
      <c r="D354" s="32">
        <f t="shared" si="86"/>
        <v>0</v>
      </c>
      <c r="E354" s="33">
        <f>IF(AND(T353="",A354&lt;=S353),IF(A354&lt;入力!$B$11,入力!$B$10,入力!$B$12),0)</f>
        <v>2.5000000000000001E-2</v>
      </c>
      <c r="F354" s="32">
        <f t="shared" si="87"/>
        <v>2884</v>
      </c>
      <c r="G354" s="32">
        <f>ROUND(IF(NOT(AND(T353="",A354&lt;=S353)),0,IF(A354=入力!$B$15+1,IF(E354=0,ROUND(C354/入力!$B$19,0),ROUND(-PMT(E354/12,入力!$B$19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),0)</f>
        <v>116934</v>
      </c>
      <c r="H354" s="32">
        <f t="shared" si="88"/>
        <v>116934</v>
      </c>
      <c r="I354" s="32">
        <f t="shared" si="89"/>
        <v>2884</v>
      </c>
      <c r="J354" s="32">
        <f t="shared" si="90"/>
        <v>0</v>
      </c>
      <c r="K354" s="32">
        <f t="shared" si="91"/>
        <v>0</v>
      </c>
      <c r="L354" s="32">
        <f t="shared" si="92"/>
        <v>114050</v>
      </c>
      <c r="M354" s="32">
        <f>IF(AND(AND(T353="",A354&lt;=S353),A354=入力!$B$15),ROUND(MIN(入力!$B$16,MAX(0,C354-L354)),0),0)</f>
        <v>0</v>
      </c>
      <c r="N354" s="32">
        <f t="shared" si="93"/>
        <v>1270334</v>
      </c>
      <c r="O354" s="32">
        <f t="shared" si="94"/>
        <v>10735940</v>
      </c>
      <c r="P354" s="34" t="str">
        <f>IF(NOT(AND(T353="",A354&lt;=S353)),"",IF(A354=入力!$B$15+1,"繰上返済後再計算","")&amp;IF(AND(入力!$B$13="有効",A354&gt;1,MOD(A354-1,60)=0),IF(A354=入力!$B$15+1,"・","")&amp;"5年見直し","")&amp;IF(AND(A354=入力!$B$11,A354&gt;1),IF(OR(A354=入力!$B$15+1,AND(入力!$B$13="有効",A354&gt;1,MOD(A354-1,60)=0)),"・","")&amp;"金利変更","")&amp;IF(AND(OR(AND(入力!$B$13="有効",A354&gt;1,MOD(A354-1,60)=0),AND(A354=入力!$B$11,A354&gt;1)),入力!$B$14="有効",IF(E354=0,ROUND(C354/MAX(1,S353-A354+1),0),ROUND(-PMT(E354/12,MAX(1,S353-A354+1),C354),0))&gt;ROUND(G353*1.25,0),NOT(A354=入力!$B$15+1)),"・上限適用",""))</f>
        <v/>
      </c>
      <c r="Q354" s="35" t="str">
        <f>IF(AND(T353="",A354&lt;=S353),入力!$B$13,"")</f>
        <v>有効</v>
      </c>
      <c r="R354" s="32" t="str">
        <f>IF(AND(AND(T353="",A354&lt;=S353),OR(AND(入力!$B$13="有効",A354&gt;1,MOD(A354-1,60)=0),AND(A354=入力!$B$11,A354&gt;1)),入力!$B$14="有効"),ROUND(G353*1.25,0),"")</f>
        <v/>
      </c>
      <c r="S354" s="36">
        <f>IF(A354=入力!$B$15,A354+入力!$B$19,S353)</f>
        <v>360</v>
      </c>
      <c r="T354" s="35" t="str">
        <f t="shared" si="95"/>
        <v/>
      </c>
      <c r="U354" s="3">
        <f t="shared" si="80"/>
        <v>0</v>
      </c>
      <c r="V354" s="3">
        <f t="shared" si="81"/>
        <v>0</v>
      </c>
      <c r="W354" s="3">
        <f t="shared" si="82"/>
        <v>0</v>
      </c>
      <c r="X354" s="3">
        <f t="shared" si="83"/>
        <v>0</v>
      </c>
      <c r="Y354" s="3">
        <f>IF(A354&lt;入力!$B$15,ABS(G354-何もしない_月次!G354),0)</f>
        <v>0</v>
      </c>
      <c r="Z354" s="3">
        <f t="shared" si="84"/>
        <v>0</v>
      </c>
      <c r="AA354">
        <f>ROUND(IF(A354=入力!$B$15+1,IF(E354=0,ROUND(C354/入力!$B$19,0),ROUND(-PMT(E354/12,入力!$B$19,C354),0)),IF(OR(AND(入力!$B$13="有効",A354&gt;1,MOD(A354-1,60)=0),AND(A354=入力!$B$11,A354&gt;1)),IF(入力!$B$14="有効",MIN(IF(E354=0,ROUND(C354/MAX(1,S353-A354+1),0),ROUND(-PMT(E354/12,MAX(1,S353-A354+1),C354),0)),ROUND(G353*1.25,0)),IF(E354=0,ROUND(C354/MAX(1,S353-A354+1),0),ROUND(-PMT(E354/12,MAX(1,S353-A354+1),C354),0))),G353)),0)</f>
        <v>116934</v>
      </c>
    </row>
    <row r="355" spans="1:27">
      <c r="A355" s="30">
        <f>350</f>
        <v>350</v>
      </c>
      <c r="B355" s="31">
        <f>EDATE(入力!$B$6,A355-1)</f>
        <v>56858</v>
      </c>
      <c r="C355" s="32">
        <f t="shared" si="85"/>
        <v>1270334</v>
      </c>
      <c r="D355" s="32">
        <f t="shared" si="86"/>
        <v>0</v>
      </c>
      <c r="E355" s="33">
        <f>IF(AND(T354="",A355&lt;=S354),IF(A355&lt;入力!$B$11,入力!$B$10,入力!$B$12),0)</f>
        <v>2.5000000000000001E-2</v>
      </c>
      <c r="F355" s="32">
        <f t="shared" si="87"/>
        <v>2647</v>
      </c>
      <c r="G355" s="32">
        <f>ROUND(IF(NOT(AND(T354="",A355&lt;=S354)),0,IF(A355=入力!$B$15+1,IF(E355=0,ROUND(C355/入力!$B$19,0),ROUND(-PMT(E355/12,入力!$B$19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),0)</f>
        <v>116934</v>
      </c>
      <c r="H355" s="32">
        <f t="shared" si="88"/>
        <v>116934</v>
      </c>
      <c r="I355" s="32">
        <f t="shared" si="89"/>
        <v>2647</v>
      </c>
      <c r="J355" s="32">
        <f t="shared" si="90"/>
        <v>0</v>
      </c>
      <c r="K355" s="32">
        <f t="shared" si="91"/>
        <v>0</v>
      </c>
      <c r="L355" s="32">
        <f t="shared" si="92"/>
        <v>114287</v>
      </c>
      <c r="M355" s="32">
        <f>IF(AND(AND(T354="",A355&lt;=S354),A355=入力!$B$15),ROUND(MIN(入力!$B$16,MAX(0,C355-L355)),0),0)</f>
        <v>0</v>
      </c>
      <c r="N355" s="32">
        <f t="shared" si="93"/>
        <v>1156047</v>
      </c>
      <c r="O355" s="32">
        <f t="shared" si="94"/>
        <v>10738587</v>
      </c>
      <c r="P355" s="34" t="str">
        <f>IF(NOT(AND(T354="",A355&lt;=S354)),"",IF(A355=入力!$B$15+1,"繰上返済後再計算","")&amp;IF(AND(入力!$B$13="有効",A355&gt;1,MOD(A355-1,60)=0),IF(A355=入力!$B$15+1,"・","")&amp;"5年見直し","")&amp;IF(AND(A355=入力!$B$11,A355&gt;1),IF(OR(A355=入力!$B$15+1,AND(入力!$B$13="有効",A355&gt;1,MOD(A355-1,60)=0)),"・","")&amp;"金利変更","")&amp;IF(AND(OR(AND(入力!$B$13="有効",A355&gt;1,MOD(A355-1,60)=0),AND(A355=入力!$B$11,A355&gt;1)),入力!$B$14="有効",IF(E355=0,ROUND(C355/MAX(1,S354-A355+1),0),ROUND(-PMT(E355/12,MAX(1,S354-A355+1),C355),0))&gt;ROUND(G354*1.25,0),NOT(A355=入力!$B$15+1)),"・上限適用",""))</f>
        <v/>
      </c>
      <c r="Q355" s="35" t="str">
        <f>IF(AND(T354="",A355&lt;=S354),入力!$B$13,"")</f>
        <v>有効</v>
      </c>
      <c r="R355" s="32" t="str">
        <f>IF(AND(AND(T354="",A355&lt;=S354),OR(AND(入力!$B$13="有効",A355&gt;1,MOD(A355-1,60)=0),AND(A355=入力!$B$11,A355&gt;1)),入力!$B$14="有効"),ROUND(G354*1.25,0),"")</f>
        <v/>
      </c>
      <c r="S355" s="36">
        <f>IF(A355=入力!$B$15,A355+入力!$B$19,S354)</f>
        <v>360</v>
      </c>
      <c r="T355" s="35" t="str">
        <f t="shared" si="95"/>
        <v/>
      </c>
      <c r="U355" s="3">
        <f t="shared" si="80"/>
        <v>0</v>
      </c>
      <c r="V355" s="3">
        <f t="shared" si="81"/>
        <v>0</v>
      </c>
      <c r="W355" s="3">
        <f t="shared" si="82"/>
        <v>0</v>
      </c>
      <c r="X355" s="3">
        <f t="shared" si="83"/>
        <v>0</v>
      </c>
      <c r="Y355" s="3">
        <f>IF(A355&lt;入力!$B$15,ABS(G355-何もしない_月次!G355),0)</f>
        <v>0</v>
      </c>
      <c r="Z355" s="3">
        <f t="shared" si="84"/>
        <v>0</v>
      </c>
      <c r="AA355">
        <f>ROUND(IF(A355=入力!$B$15+1,IF(E355=0,ROUND(C355/入力!$B$19,0),ROUND(-PMT(E355/12,入力!$B$19,C355),0)),IF(OR(AND(入力!$B$13="有効",A355&gt;1,MOD(A355-1,60)=0),AND(A355=入力!$B$11,A355&gt;1)),IF(入力!$B$14="有効",MIN(IF(E355=0,ROUND(C355/MAX(1,S354-A355+1),0),ROUND(-PMT(E355/12,MAX(1,S354-A355+1),C355),0)),ROUND(G354*1.25,0)),IF(E355=0,ROUND(C355/MAX(1,S354-A355+1),0),ROUND(-PMT(E355/12,MAX(1,S354-A355+1),C355),0))),G354)),0)</f>
        <v>116934</v>
      </c>
    </row>
    <row r="356" spans="1:27">
      <c r="A356" s="30">
        <f>351</f>
        <v>351</v>
      </c>
      <c r="B356" s="31">
        <f>EDATE(入力!$B$6,A356-1)</f>
        <v>56888</v>
      </c>
      <c r="C356" s="32">
        <f t="shared" si="85"/>
        <v>1156047</v>
      </c>
      <c r="D356" s="32">
        <f t="shared" si="86"/>
        <v>0</v>
      </c>
      <c r="E356" s="33">
        <f>IF(AND(T355="",A356&lt;=S355),IF(A356&lt;入力!$B$11,入力!$B$10,入力!$B$12),0)</f>
        <v>2.5000000000000001E-2</v>
      </c>
      <c r="F356" s="32">
        <f t="shared" si="87"/>
        <v>2408</v>
      </c>
      <c r="G356" s="32">
        <f>ROUND(IF(NOT(AND(T355="",A356&lt;=S355)),0,IF(A356=入力!$B$15+1,IF(E356=0,ROUND(C356/入力!$B$19,0),ROUND(-PMT(E356/12,入力!$B$19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),0)</f>
        <v>116934</v>
      </c>
      <c r="H356" s="32">
        <f t="shared" si="88"/>
        <v>116934</v>
      </c>
      <c r="I356" s="32">
        <f t="shared" si="89"/>
        <v>2408</v>
      </c>
      <c r="J356" s="32">
        <f t="shared" si="90"/>
        <v>0</v>
      </c>
      <c r="K356" s="32">
        <f t="shared" si="91"/>
        <v>0</v>
      </c>
      <c r="L356" s="32">
        <f t="shared" si="92"/>
        <v>114526</v>
      </c>
      <c r="M356" s="32">
        <f>IF(AND(AND(T355="",A356&lt;=S355),A356=入力!$B$15),ROUND(MIN(入力!$B$16,MAX(0,C356-L356)),0),0)</f>
        <v>0</v>
      </c>
      <c r="N356" s="32">
        <f t="shared" si="93"/>
        <v>1041521</v>
      </c>
      <c r="O356" s="32">
        <f t="shared" si="94"/>
        <v>10740995</v>
      </c>
      <c r="P356" s="34" t="str">
        <f>IF(NOT(AND(T355="",A356&lt;=S355)),"",IF(A356=入力!$B$15+1,"繰上返済後再計算","")&amp;IF(AND(入力!$B$13="有効",A356&gt;1,MOD(A356-1,60)=0),IF(A356=入力!$B$15+1,"・","")&amp;"5年見直し","")&amp;IF(AND(A356=入力!$B$11,A356&gt;1),IF(OR(A356=入力!$B$15+1,AND(入力!$B$13="有効",A356&gt;1,MOD(A356-1,60)=0)),"・","")&amp;"金利変更","")&amp;IF(AND(OR(AND(入力!$B$13="有効",A356&gt;1,MOD(A356-1,60)=0),AND(A356=入力!$B$11,A356&gt;1)),入力!$B$14="有効",IF(E356=0,ROUND(C356/MAX(1,S355-A356+1),0),ROUND(-PMT(E356/12,MAX(1,S355-A356+1),C356),0))&gt;ROUND(G355*1.25,0),NOT(A356=入力!$B$15+1)),"・上限適用",""))</f>
        <v/>
      </c>
      <c r="Q356" s="35" t="str">
        <f>IF(AND(T355="",A356&lt;=S355),入力!$B$13,"")</f>
        <v>有効</v>
      </c>
      <c r="R356" s="32" t="str">
        <f>IF(AND(AND(T355="",A356&lt;=S355),OR(AND(入力!$B$13="有効",A356&gt;1,MOD(A356-1,60)=0),AND(A356=入力!$B$11,A356&gt;1)),入力!$B$14="有効"),ROUND(G355*1.25,0),"")</f>
        <v/>
      </c>
      <c r="S356" s="36">
        <f>IF(A356=入力!$B$15,A356+入力!$B$19,S355)</f>
        <v>360</v>
      </c>
      <c r="T356" s="35" t="str">
        <f t="shared" si="95"/>
        <v/>
      </c>
      <c r="U356" s="3">
        <f t="shared" si="80"/>
        <v>0</v>
      </c>
      <c r="V356" s="3">
        <f t="shared" si="81"/>
        <v>0</v>
      </c>
      <c r="W356" s="3">
        <f t="shared" si="82"/>
        <v>0</v>
      </c>
      <c r="X356" s="3">
        <f t="shared" si="83"/>
        <v>0</v>
      </c>
      <c r="Y356" s="3">
        <f>IF(A356&lt;入力!$B$15,ABS(G356-何もしない_月次!G356),0)</f>
        <v>0</v>
      </c>
      <c r="Z356" s="3">
        <f t="shared" si="84"/>
        <v>0</v>
      </c>
      <c r="AA356">
        <f>ROUND(IF(A356=入力!$B$15+1,IF(E356=0,ROUND(C356/入力!$B$19,0),ROUND(-PMT(E356/12,入力!$B$19,C356),0)),IF(OR(AND(入力!$B$13="有効",A356&gt;1,MOD(A356-1,60)=0),AND(A356=入力!$B$11,A356&gt;1)),IF(入力!$B$14="有効",MIN(IF(E356=0,ROUND(C356/MAX(1,S355-A356+1),0),ROUND(-PMT(E356/12,MAX(1,S355-A356+1),C356),0)),ROUND(G355*1.25,0)),IF(E356=0,ROUND(C356/MAX(1,S355-A356+1),0),ROUND(-PMT(E356/12,MAX(1,S355-A356+1),C356),0))),G355)),0)</f>
        <v>116934</v>
      </c>
    </row>
    <row r="357" spans="1:27">
      <c r="A357" s="30">
        <f>352</f>
        <v>352</v>
      </c>
      <c r="B357" s="31">
        <f>EDATE(入力!$B$6,A357-1)</f>
        <v>56919</v>
      </c>
      <c r="C357" s="32">
        <f t="shared" si="85"/>
        <v>1041521</v>
      </c>
      <c r="D357" s="32">
        <f t="shared" si="86"/>
        <v>0</v>
      </c>
      <c r="E357" s="33">
        <f>IF(AND(T356="",A357&lt;=S356),IF(A357&lt;入力!$B$11,入力!$B$10,入力!$B$12),0)</f>
        <v>2.5000000000000001E-2</v>
      </c>
      <c r="F357" s="32">
        <f t="shared" si="87"/>
        <v>2170</v>
      </c>
      <c r="G357" s="32">
        <f>ROUND(IF(NOT(AND(T356="",A357&lt;=S356)),0,IF(A357=入力!$B$15+1,IF(E357=0,ROUND(C357/入力!$B$19,0),ROUND(-PMT(E357/12,入力!$B$19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),0)</f>
        <v>116934</v>
      </c>
      <c r="H357" s="32">
        <f t="shared" si="88"/>
        <v>116934</v>
      </c>
      <c r="I357" s="32">
        <f t="shared" si="89"/>
        <v>2170</v>
      </c>
      <c r="J357" s="32">
        <f t="shared" si="90"/>
        <v>0</v>
      </c>
      <c r="K357" s="32">
        <f t="shared" si="91"/>
        <v>0</v>
      </c>
      <c r="L357" s="32">
        <f t="shared" si="92"/>
        <v>114764</v>
      </c>
      <c r="M357" s="32">
        <f>IF(AND(AND(T356="",A357&lt;=S356),A357=入力!$B$15),ROUND(MIN(入力!$B$16,MAX(0,C357-L357)),0),0)</f>
        <v>0</v>
      </c>
      <c r="N357" s="32">
        <f t="shared" si="93"/>
        <v>926757</v>
      </c>
      <c r="O357" s="32">
        <f t="shared" si="94"/>
        <v>10743165</v>
      </c>
      <c r="P357" s="34" t="str">
        <f>IF(NOT(AND(T356="",A357&lt;=S356)),"",IF(A357=入力!$B$15+1,"繰上返済後再計算","")&amp;IF(AND(入力!$B$13="有効",A357&gt;1,MOD(A357-1,60)=0),IF(A357=入力!$B$15+1,"・","")&amp;"5年見直し","")&amp;IF(AND(A357=入力!$B$11,A357&gt;1),IF(OR(A357=入力!$B$15+1,AND(入力!$B$13="有効",A357&gt;1,MOD(A357-1,60)=0)),"・","")&amp;"金利変更","")&amp;IF(AND(OR(AND(入力!$B$13="有効",A357&gt;1,MOD(A357-1,60)=0),AND(A357=入力!$B$11,A357&gt;1)),入力!$B$14="有効",IF(E357=0,ROUND(C357/MAX(1,S356-A357+1),0),ROUND(-PMT(E357/12,MAX(1,S356-A357+1),C357),0))&gt;ROUND(G356*1.25,0),NOT(A357=入力!$B$15+1)),"・上限適用",""))</f>
        <v/>
      </c>
      <c r="Q357" s="35" t="str">
        <f>IF(AND(T356="",A357&lt;=S356),入力!$B$13,"")</f>
        <v>有効</v>
      </c>
      <c r="R357" s="32" t="str">
        <f>IF(AND(AND(T356="",A357&lt;=S356),OR(AND(入力!$B$13="有効",A357&gt;1,MOD(A357-1,60)=0),AND(A357=入力!$B$11,A357&gt;1)),入力!$B$14="有効"),ROUND(G356*1.25,0),"")</f>
        <v/>
      </c>
      <c r="S357" s="36">
        <f>IF(A357=入力!$B$15,A357+入力!$B$19,S356)</f>
        <v>360</v>
      </c>
      <c r="T357" s="35" t="str">
        <f t="shared" si="95"/>
        <v/>
      </c>
      <c r="U357" s="3">
        <f t="shared" si="80"/>
        <v>0</v>
      </c>
      <c r="V357" s="3">
        <f t="shared" si="81"/>
        <v>0</v>
      </c>
      <c r="W357" s="3">
        <f t="shared" si="82"/>
        <v>0</v>
      </c>
      <c r="X357" s="3">
        <f t="shared" si="83"/>
        <v>0</v>
      </c>
      <c r="Y357" s="3">
        <f>IF(A357&lt;入力!$B$15,ABS(G357-何もしない_月次!G357),0)</f>
        <v>0</v>
      </c>
      <c r="Z357" s="3">
        <f t="shared" si="84"/>
        <v>0</v>
      </c>
      <c r="AA357">
        <f>ROUND(IF(A357=入力!$B$15+1,IF(E357=0,ROUND(C357/入力!$B$19,0),ROUND(-PMT(E357/12,入力!$B$19,C357),0)),IF(OR(AND(入力!$B$13="有効",A357&gt;1,MOD(A357-1,60)=0),AND(A357=入力!$B$11,A357&gt;1)),IF(入力!$B$14="有効",MIN(IF(E357=0,ROUND(C357/MAX(1,S356-A357+1),0),ROUND(-PMT(E357/12,MAX(1,S356-A357+1),C357),0)),ROUND(G356*1.25,0)),IF(E357=0,ROUND(C357/MAX(1,S356-A357+1),0),ROUND(-PMT(E357/12,MAX(1,S356-A357+1),C357),0))),G356)),0)</f>
        <v>116934</v>
      </c>
    </row>
    <row r="358" spans="1:27">
      <c r="A358" s="30">
        <f>353</f>
        <v>353</v>
      </c>
      <c r="B358" s="31">
        <f>EDATE(入力!$B$6,A358-1)</f>
        <v>56949</v>
      </c>
      <c r="C358" s="32">
        <f t="shared" si="85"/>
        <v>926757</v>
      </c>
      <c r="D358" s="32">
        <f t="shared" si="86"/>
        <v>0</v>
      </c>
      <c r="E358" s="33">
        <f>IF(AND(T357="",A358&lt;=S357),IF(A358&lt;入力!$B$11,入力!$B$10,入力!$B$12),0)</f>
        <v>2.5000000000000001E-2</v>
      </c>
      <c r="F358" s="32">
        <f t="shared" si="87"/>
        <v>1931</v>
      </c>
      <c r="G358" s="32">
        <f>ROUND(IF(NOT(AND(T357="",A358&lt;=S357)),0,IF(A358=入力!$B$15+1,IF(E358=0,ROUND(C358/入力!$B$19,0),ROUND(-PMT(E358/12,入力!$B$19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),0)</f>
        <v>116934</v>
      </c>
      <c r="H358" s="32">
        <f t="shared" si="88"/>
        <v>116934</v>
      </c>
      <c r="I358" s="32">
        <f t="shared" si="89"/>
        <v>1931</v>
      </c>
      <c r="J358" s="32">
        <f t="shared" si="90"/>
        <v>0</v>
      </c>
      <c r="K358" s="32">
        <f t="shared" si="91"/>
        <v>0</v>
      </c>
      <c r="L358" s="32">
        <f t="shared" si="92"/>
        <v>115003</v>
      </c>
      <c r="M358" s="32">
        <f>IF(AND(AND(T357="",A358&lt;=S357),A358=入力!$B$15),ROUND(MIN(入力!$B$16,MAX(0,C358-L358)),0),0)</f>
        <v>0</v>
      </c>
      <c r="N358" s="32">
        <f t="shared" si="93"/>
        <v>811754</v>
      </c>
      <c r="O358" s="32">
        <f t="shared" si="94"/>
        <v>10745096</v>
      </c>
      <c r="P358" s="34" t="str">
        <f>IF(NOT(AND(T357="",A358&lt;=S357)),"",IF(A358=入力!$B$15+1,"繰上返済後再計算","")&amp;IF(AND(入力!$B$13="有効",A358&gt;1,MOD(A358-1,60)=0),IF(A358=入力!$B$15+1,"・","")&amp;"5年見直し","")&amp;IF(AND(A358=入力!$B$11,A358&gt;1),IF(OR(A358=入力!$B$15+1,AND(入力!$B$13="有効",A358&gt;1,MOD(A358-1,60)=0)),"・","")&amp;"金利変更","")&amp;IF(AND(OR(AND(入力!$B$13="有効",A358&gt;1,MOD(A358-1,60)=0),AND(A358=入力!$B$11,A358&gt;1)),入力!$B$14="有効",IF(E358=0,ROUND(C358/MAX(1,S357-A358+1),0),ROUND(-PMT(E358/12,MAX(1,S357-A358+1),C358),0))&gt;ROUND(G357*1.25,0),NOT(A358=入力!$B$15+1)),"・上限適用",""))</f>
        <v/>
      </c>
      <c r="Q358" s="35" t="str">
        <f>IF(AND(T357="",A358&lt;=S357),入力!$B$13,"")</f>
        <v>有効</v>
      </c>
      <c r="R358" s="32" t="str">
        <f>IF(AND(AND(T357="",A358&lt;=S357),OR(AND(入力!$B$13="有効",A358&gt;1,MOD(A358-1,60)=0),AND(A358=入力!$B$11,A358&gt;1)),入力!$B$14="有効"),ROUND(G357*1.25,0),"")</f>
        <v/>
      </c>
      <c r="S358" s="36">
        <f>IF(A358=入力!$B$15,A358+入力!$B$19,S357)</f>
        <v>360</v>
      </c>
      <c r="T358" s="35" t="str">
        <f t="shared" si="95"/>
        <v/>
      </c>
      <c r="U358" s="3">
        <f t="shared" si="80"/>
        <v>0</v>
      </c>
      <c r="V358" s="3">
        <f t="shared" si="81"/>
        <v>0</v>
      </c>
      <c r="W358" s="3">
        <f t="shared" si="82"/>
        <v>0</v>
      </c>
      <c r="X358" s="3">
        <f t="shared" si="83"/>
        <v>0</v>
      </c>
      <c r="Y358" s="3">
        <f>IF(A358&lt;入力!$B$15,ABS(G358-何もしない_月次!G358),0)</f>
        <v>0</v>
      </c>
      <c r="Z358" s="3">
        <f t="shared" si="84"/>
        <v>0</v>
      </c>
      <c r="AA358">
        <f>ROUND(IF(A358=入力!$B$15+1,IF(E358=0,ROUND(C358/入力!$B$19,0),ROUND(-PMT(E358/12,入力!$B$19,C358),0)),IF(OR(AND(入力!$B$13="有効",A358&gt;1,MOD(A358-1,60)=0),AND(A358=入力!$B$11,A358&gt;1)),IF(入力!$B$14="有効",MIN(IF(E358=0,ROUND(C358/MAX(1,S357-A358+1),0),ROUND(-PMT(E358/12,MAX(1,S357-A358+1),C358),0)),ROUND(G357*1.25,0)),IF(E358=0,ROUND(C358/MAX(1,S357-A358+1),0),ROUND(-PMT(E358/12,MAX(1,S357-A358+1),C358),0))),G357)),0)</f>
        <v>116934</v>
      </c>
    </row>
    <row r="359" spans="1:27">
      <c r="A359" s="30">
        <f>354</f>
        <v>354</v>
      </c>
      <c r="B359" s="31">
        <f>EDATE(入力!$B$6,A359-1)</f>
        <v>56980</v>
      </c>
      <c r="C359" s="32">
        <f t="shared" si="85"/>
        <v>811754</v>
      </c>
      <c r="D359" s="32">
        <f t="shared" si="86"/>
        <v>0</v>
      </c>
      <c r="E359" s="33">
        <f>IF(AND(T358="",A359&lt;=S358),IF(A359&lt;入力!$B$11,入力!$B$10,入力!$B$12),0)</f>
        <v>2.5000000000000001E-2</v>
      </c>
      <c r="F359" s="32">
        <f t="shared" si="87"/>
        <v>1691</v>
      </c>
      <c r="G359" s="32">
        <f>ROUND(IF(NOT(AND(T358="",A359&lt;=S358)),0,IF(A359=入力!$B$15+1,IF(E359=0,ROUND(C359/入力!$B$19,0),ROUND(-PMT(E359/12,入力!$B$19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),0)</f>
        <v>116934</v>
      </c>
      <c r="H359" s="32">
        <f t="shared" si="88"/>
        <v>116934</v>
      </c>
      <c r="I359" s="32">
        <f t="shared" si="89"/>
        <v>1691</v>
      </c>
      <c r="J359" s="32">
        <f t="shared" si="90"/>
        <v>0</v>
      </c>
      <c r="K359" s="32">
        <f t="shared" si="91"/>
        <v>0</v>
      </c>
      <c r="L359" s="32">
        <f t="shared" si="92"/>
        <v>115243</v>
      </c>
      <c r="M359" s="32">
        <f>IF(AND(AND(T358="",A359&lt;=S358),A359=入力!$B$15),ROUND(MIN(入力!$B$16,MAX(0,C359-L359)),0),0)</f>
        <v>0</v>
      </c>
      <c r="N359" s="32">
        <f t="shared" si="93"/>
        <v>696511</v>
      </c>
      <c r="O359" s="32">
        <f t="shared" si="94"/>
        <v>10746787</v>
      </c>
      <c r="P359" s="34" t="str">
        <f>IF(NOT(AND(T358="",A359&lt;=S358)),"",IF(A359=入力!$B$15+1,"繰上返済後再計算","")&amp;IF(AND(入力!$B$13="有効",A359&gt;1,MOD(A359-1,60)=0),IF(A359=入力!$B$15+1,"・","")&amp;"5年見直し","")&amp;IF(AND(A359=入力!$B$11,A359&gt;1),IF(OR(A359=入力!$B$15+1,AND(入力!$B$13="有効",A359&gt;1,MOD(A359-1,60)=0)),"・","")&amp;"金利変更","")&amp;IF(AND(OR(AND(入力!$B$13="有効",A359&gt;1,MOD(A359-1,60)=0),AND(A359=入力!$B$11,A359&gt;1)),入力!$B$14="有効",IF(E359=0,ROUND(C359/MAX(1,S358-A359+1),0),ROUND(-PMT(E359/12,MAX(1,S358-A359+1),C359),0))&gt;ROUND(G358*1.25,0),NOT(A359=入力!$B$15+1)),"・上限適用",""))</f>
        <v/>
      </c>
      <c r="Q359" s="35" t="str">
        <f>IF(AND(T358="",A359&lt;=S358),入力!$B$13,"")</f>
        <v>有効</v>
      </c>
      <c r="R359" s="32" t="str">
        <f>IF(AND(AND(T358="",A359&lt;=S358),OR(AND(入力!$B$13="有効",A359&gt;1,MOD(A359-1,60)=0),AND(A359=入力!$B$11,A359&gt;1)),入力!$B$14="有効"),ROUND(G358*1.25,0),"")</f>
        <v/>
      </c>
      <c r="S359" s="36">
        <f>IF(A359=入力!$B$15,A359+入力!$B$19,S358)</f>
        <v>360</v>
      </c>
      <c r="T359" s="35" t="str">
        <f t="shared" si="95"/>
        <v/>
      </c>
      <c r="U359" s="3">
        <f t="shared" si="80"/>
        <v>0</v>
      </c>
      <c r="V359" s="3">
        <f t="shared" si="81"/>
        <v>0</v>
      </c>
      <c r="W359" s="3">
        <f t="shared" si="82"/>
        <v>0</v>
      </c>
      <c r="X359" s="3">
        <f t="shared" si="83"/>
        <v>0</v>
      </c>
      <c r="Y359" s="3">
        <f>IF(A359&lt;入力!$B$15,ABS(G359-何もしない_月次!G359),0)</f>
        <v>0</v>
      </c>
      <c r="Z359" s="3">
        <f t="shared" si="84"/>
        <v>0</v>
      </c>
      <c r="AA359">
        <f>ROUND(IF(A359=入力!$B$15+1,IF(E359=0,ROUND(C359/入力!$B$19,0),ROUND(-PMT(E359/12,入力!$B$19,C359),0)),IF(OR(AND(入力!$B$13="有効",A359&gt;1,MOD(A359-1,60)=0),AND(A359=入力!$B$11,A359&gt;1)),IF(入力!$B$14="有効",MIN(IF(E359=0,ROUND(C359/MAX(1,S358-A359+1),0),ROUND(-PMT(E359/12,MAX(1,S358-A359+1),C359),0)),ROUND(G358*1.25,0)),IF(E359=0,ROUND(C359/MAX(1,S358-A359+1),0),ROUND(-PMT(E359/12,MAX(1,S358-A359+1),C359),0))),G358)),0)</f>
        <v>116934</v>
      </c>
    </row>
    <row r="360" spans="1:27">
      <c r="A360" s="30">
        <f>355</f>
        <v>355</v>
      </c>
      <c r="B360" s="31">
        <f>EDATE(入力!$B$6,A360-1)</f>
        <v>57011</v>
      </c>
      <c r="C360" s="32">
        <f t="shared" si="85"/>
        <v>696511</v>
      </c>
      <c r="D360" s="32">
        <f t="shared" si="86"/>
        <v>0</v>
      </c>
      <c r="E360" s="33">
        <f>IF(AND(T359="",A360&lt;=S359),IF(A360&lt;入力!$B$11,入力!$B$10,入力!$B$12),0)</f>
        <v>2.5000000000000001E-2</v>
      </c>
      <c r="F360" s="32">
        <f t="shared" si="87"/>
        <v>1451</v>
      </c>
      <c r="G360" s="32">
        <f>ROUND(IF(NOT(AND(T359="",A360&lt;=S359)),0,IF(A360=入力!$B$15+1,IF(E360=0,ROUND(C360/入力!$B$19,0),ROUND(-PMT(E360/12,入力!$B$19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),0)</f>
        <v>116934</v>
      </c>
      <c r="H360" s="32">
        <f t="shared" si="88"/>
        <v>116934</v>
      </c>
      <c r="I360" s="32">
        <f t="shared" si="89"/>
        <v>1451</v>
      </c>
      <c r="J360" s="32">
        <f t="shared" si="90"/>
        <v>0</v>
      </c>
      <c r="K360" s="32">
        <f t="shared" si="91"/>
        <v>0</v>
      </c>
      <c r="L360" s="32">
        <f t="shared" si="92"/>
        <v>115483</v>
      </c>
      <c r="M360" s="32">
        <f>IF(AND(AND(T359="",A360&lt;=S359),A360=入力!$B$15),ROUND(MIN(入力!$B$16,MAX(0,C360-L360)),0),0)</f>
        <v>0</v>
      </c>
      <c r="N360" s="32">
        <f t="shared" si="93"/>
        <v>581028</v>
      </c>
      <c r="O360" s="32">
        <f t="shared" si="94"/>
        <v>10748238</v>
      </c>
      <c r="P360" s="34" t="str">
        <f>IF(NOT(AND(T359="",A360&lt;=S359)),"",IF(A360=入力!$B$15+1,"繰上返済後再計算","")&amp;IF(AND(入力!$B$13="有効",A360&gt;1,MOD(A360-1,60)=0),IF(A360=入力!$B$15+1,"・","")&amp;"5年見直し","")&amp;IF(AND(A360=入力!$B$11,A360&gt;1),IF(OR(A360=入力!$B$15+1,AND(入力!$B$13="有効",A360&gt;1,MOD(A360-1,60)=0)),"・","")&amp;"金利変更","")&amp;IF(AND(OR(AND(入力!$B$13="有効",A360&gt;1,MOD(A360-1,60)=0),AND(A360=入力!$B$11,A360&gt;1)),入力!$B$14="有効",IF(E360=0,ROUND(C360/MAX(1,S359-A360+1),0),ROUND(-PMT(E360/12,MAX(1,S359-A360+1),C360),0))&gt;ROUND(G359*1.25,0),NOT(A360=入力!$B$15+1)),"・上限適用",""))</f>
        <v/>
      </c>
      <c r="Q360" s="35" t="str">
        <f>IF(AND(T359="",A360&lt;=S359),入力!$B$13,"")</f>
        <v>有効</v>
      </c>
      <c r="R360" s="32" t="str">
        <f>IF(AND(AND(T359="",A360&lt;=S359),OR(AND(入力!$B$13="有効",A360&gt;1,MOD(A360-1,60)=0),AND(A360=入力!$B$11,A360&gt;1)),入力!$B$14="有効"),ROUND(G359*1.25,0),"")</f>
        <v/>
      </c>
      <c r="S360" s="36">
        <f>IF(A360=入力!$B$15,A360+入力!$B$19,S359)</f>
        <v>360</v>
      </c>
      <c r="T360" s="35" t="str">
        <f t="shared" si="95"/>
        <v/>
      </c>
      <c r="U360" s="3">
        <f t="shared" si="80"/>
        <v>0</v>
      </c>
      <c r="V360" s="3">
        <f t="shared" si="81"/>
        <v>0</v>
      </c>
      <c r="W360" s="3">
        <f t="shared" si="82"/>
        <v>0</v>
      </c>
      <c r="X360" s="3">
        <f t="shared" si="83"/>
        <v>0</v>
      </c>
      <c r="Y360" s="3">
        <f>IF(A360&lt;入力!$B$15,ABS(G360-何もしない_月次!G360),0)</f>
        <v>0</v>
      </c>
      <c r="Z360" s="3">
        <f t="shared" si="84"/>
        <v>0</v>
      </c>
      <c r="AA360">
        <f>ROUND(IF(A360=入力!$B$15+1,IF(E360=0,ROUND(C360/入力!$B$19,0),ROUND(-PMT(E360/12,入力!$B$19,C360),0)),IF(OR(AND(入力!$B$13="有効",A360&gt;1,MOD(A360-1,60)=0),AND(A360=入力!$B$11,A360&gt;1)),IF(入力!$B$14="有効",MIN(IF(E360=0,ROUND(C360/MAX(1,S359-A360+1),0),ROUND(-PMT(E360/12,MAX(1,S359-A360+1),C360),0)),ROUND(G359*1.25,0)),IF(E360=0,ROUND(C360/MAX(1,S359-A360+1),0),ROUND(-PMT(E360/12,MAX(1,S359-A360+1),C360),0))),G359)),0)</f>
        <v>116934</v>
      </c>
    </row>
    <row r="361" spans="1:27">
      <c r="A361" s="30">
        <f>356</f>
        <v>356</v>
      </c>
      <c r="B361" s="31">
        <f>EDATE(入力!$B$6,A361-1)</f>
        <v>57040</v>
      </c>
      <c r="C361" s="32">
        <f t="shared" si="85"/>
        <v>581028</v>
      </c>
      <c r="D361" s="32">
        <f t="shared" si="86"/>
        <v>0</v>
      </c>
      <c r="E361" s="33">
        <f>IF(AND(T360="",A361&lt;=S360),IF(A361&lt;入力!$B$11,入力!$B$10,入力!$B$12),0)</f>
        <v>2.5000000000000001E-2</v>
      </c>
      <c r="F361" s="32">
        <f t="shared" si="87"/>
        <v>1210</v>
      </c>
      <c r="G361" s="32">
        <f>ROUND(IF(NOT(AND(T360="",A361&lt;=S360)),0,IF(A361=入力!$B$15+1,IF(E361=0,ROUND(C361/入力!$B$19,0),ROUND(-PMT(E361/12,入力!$B$19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),0)</f>
        <v>116934</v>
      </c>
      <c r="H361" s="32">
        <f t="shared" si="88"/>
        <v>116934</v>
      </c>
      <c r="I361" s="32">
        <f t="shared" si="89"/>
        <v>1210</v>
      </c>
      <c r="J361" s="32">
        <f t="shared" si="90"/>
        <v>0</v>
      </c>
      <c r="K361" s="32">
        <f t="shared" si="91"/>
        <v>0</v>
      </c>
      <c r="L361" s="32">
        <f t="shared" si="92"/>
        <v>115724</v>
      </c>
      <c r="M361" s="32">
        <f>IF(AND(AND(T360="",A361&lt;=S360),A361=入力!$B$15),ROUND(MIN(入力!$B$16,MAX(0,C361-L361)),0),0)</f>
        <v>0</v>
      </c>
      <c r="N361" s="32">
        <f t="shared" si="93"/>
        <v>465304</v>
      </c>
      <c r="O361" s="32">
        <f t="shared" si="94"/>
        <v>10749448</v>
      </c>
      <c r="P361" s="34" t="str">
        <f>IF(NOT(AND(T360="",A361&lt;=S360)),"",IF(A361=入力!$B$15+1,"繰上返済後再計算","")&amp;IF(AND(入力!$B$13="有効",A361&gt;1,MOD(A361-1,60)=0),IF(A361=入力!$B$15+1,"・","")&amp;"5年見直し","")&amp;IF(AND(A361=入力!$B$11,A361&gt;1),IF(OR(A361=入力!$B$15+1,AND(入力!$B$13="有効",A361&gt;1,MOD(A361-1,60)=0)),"・","")&amp;"金利変更","")&amp;IF(AND(OR(AND(入力!$B$13="有効",A361&gt;1,MOD(A361-1,60)=0),AND(A361=入力!$B$11,A361&gt;1)),入力!$B$14="有効",IF(E361=0,ROUND(C361/MAX(1,S360-A361+1),0),ROUND(-PMT(E361/12,MAX(1,S360-A361+1),C361),0))&gt;ROUND(G360*1.25,0),NOT(A361=入力!$B$15+1)),"・上限適用",""))</f>
        <v/>
      </c>
      <c r="Q361" s="35" t="str">
        <f>IF(AND(T360="",A361&lt;=S360),入力!$B$13,"")</f>
        <v>有効</v>
      </c>
      <c r="R361" s="32" t="str">
        <f>IF(AND(AND(T360="",A361&lt;=S360),OR(AND(入力!$B$13="有効",A361&gt;1,MOD(A361-1,60)=0),AND(A361=入力!$B$11,A361&gt;1)),入力!$B$14="有効"),ROUND(G360*1.25,0),"")</f>
        <v/>
      </c>
      <c r="S361" s="36">
        <f>IF(A361=入力!$B$15,A361+入力!$B$19,S360)</f>
        <v>360</v>
      </c>
      <c r="T361" s="35" t="str">
        <f t="shared" si="95"/>
        <v/>
      </c>
      <c r="U361" s="3">
        <f t="shared" si="80"/>
        <v>0</v>
      </c>
      <c r="V361" s="3">
        <f t="shared" si="81"/>
        <v>0</v>
      </c>
      <c r="W361" s="3">
        <f t="shared" si="82"/>
        <v>0</v>
      </c>
      <c r="X361" s="3">
        <f t="shared" si="83"/>
        <v>0</v>
      </c>
      <c r="Y361" s="3">
        <f>IF(A361&lt;入力!$B$15,ABS(G361-何もしない_月次!G361),0)</f>
        <v>0</v>
      </c>
      <c r="Z361" s="3">
        <f t="shared" si="84"/>
        <v>0</v>
      </c>
      <c r="AA361">
        <f>ROUND(IF(A361=入力!$B$15+1,IF(E361=0,ROUND(C361/入力!$B$19,0),ROUND(-PMT(E361/12,入力!$B$19,C361),0)),IF(OR(AND(入力!$B$13="有効",A361&gt;1,MOD(A361-1,60)=0),AND(A361=入力!$B$11,A361&gt;1)),IF(入力!$B$14="有効",MIN(IF(E361=0,ROUND(C361/MAX(1,S360-A361+1),0),ROUND(-PMT(E361/12,MAX(1,S360-A361+1),C361),0)),ROUND(G360*1.25,0)),IF(E361=0,ROUND(C361/MAX(1,S360-A361+1),0),ROUND(-PMT(E361/12,MAX(1,S360-A361+1),C361),0))),G360)),0)</f>
        <v>116934</v>
      </c>
    </row>
    <row r="362" spans="1:27">
      <c r="A362" s="30">
        <f>357</f>
        <v>357</v>
      </c>
      <c r="B362" s="31">
        <f>EDATE(入力!$B$6,A362-1)</f>
        <v>57071</v>
      </c>
      <c r="C362" s="32">
        <f t="shared" si="85"/>
        <v>465304</v>
      </c>
      <c r="D362" s="32">
        <f t="shared" si="86"/>
        <v>0</v>
      </c>
      <c r="E362" s="33">
        <f>IF(AND(T361="",A362&lt;=S361),IF(A362&lt;入力!$B$11,入力!$B$10,入力!$B$12),0)</f>
        <v>2.5000000000000001E-2</v>
      </c>
      <c r="F362" s="32">
        <f t="shared" si="87"/>
        <v>969</v>
      </c>
      <c r="G362" s="32">
        <f>ROUND(IF(NOT(AND(T361="",A362&lt;=S361)),0,IF(A362=入力!$B$15+1,IF(E362=0,ROUND(C362/入力!$B$19,0),ROUND(-PMT(E362/12,入力!$B$19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),0)</f>
        <v>116934</v>
      </c>
      <c r="H362" s="32">
        <f t="shared" si="88"/>
        <v>116934</v>
      </c>
      <c r="I362" s="32">
        <f t="shared" si="89"/>
        <v>969</v>
      </c>
      <c r="J362" s="32">
        <f t="shared" si="90"/>
        <v>0</v>
      </c>
      <c r="K362" s="32">
        <f t="shared" si="91"/>
        <v>0</v>
      </c>
      <c r="L362" s="32">
        <f t="shared" si="92"/>
        <v>115965</v>
      </c>
      <c r="M362" s="32">
        <f>IF(AND(AND(T361="",A362&lt;=S361),A362=入力!$B$15),ROUND(MIN(入力!$B$16,MAX(0,C362-L362)),0),0)</f>
        <v>0</v>
      </c>
      <c r="N362" s="32">
        <f t="shared" si="93"/>
        <v>349339</v>
      </c>
      <c r="O362" s="32">
        <f t="shared" si="94"/>
        <v>10750417</v>
      </c>
      <c r="P362" s="34" t="str">
        <f>IF(NOT(AND(T361="",A362&lt;=S361)),"",IF(A362=入力!$B$15+1,"繰上返済後再計算","")&amp;IF(AND(入力!$B$13="有効",A362&gt;1,MOD(A362-1,60)=0),IF(A362=入力!$B$15+1,"・","")&amp;"5年見直し","")&amp;IF(AND(A362=入力!$B$11,A362&gt;1),IF(OR(A362=入力!$B$15+1,AND(入力!$B$13="有効",A362&gt;1,MOD(A362-1,60)=0)),"・","")&amp;"金利変更","")&amp;IF(AND(OR(AND(入力!$B$13="有効",A362&gt;1,MOD(A362-1,60)=0),AND(A362=入力!$B$11,A362&gt;1)),入力!$B$14="有効",IF(E362=0,ROUND(C362/MAX(1,S361-A362+1),0),ROUND(-PMT(E362/12,MAX(1,S361-A362+1),C362),0))&gt;ROUND(G361*1.25,0),NOT(A362=入力!$B$15+1)),"・上限適用",""))</f>
        <v/>
      </c>
      <c r="Q362" s="35" t="str">
        <f>IF(AND(T361="",A362&lt;=S361),入力!$B$13,"")</f>
        <v>有効</v>
      </c>
      <c r="R362" s="32" t="str">
        <f>IF(AND(AND(T361="",A362&lt;=S361),OR(AND(入力!$B$13="有効",A362&gt;1,MOD(A362-1,60)=0),AND(A362=入力!$B$11,A362&gt;1)),入力!$B$14="有効"),ROUND(G361*1.25,0),"")</f>
        <v/>
      </c>
      <c r="S362" s="36">
        <f>IF(A362=入力!$B$15,A362+入力!$B$19,S361)</f>
        <v>360</v>
      </c>
      <c r="T362" s="35" t="str">
        <f t="shared" si="95"/>
        <v/>
      </c>
      <c r="U362" s="3">
        <f t="shared" si="80"/>
        <v>0</v>
      </c>
      <c r="V362" s="3">
        <f t="shared" si="81"/>
        <v>0</v>
      </c>
      <c r="W362" s="3">
        <f t="shared" si="82"/>
        <v>0</v>
      </c>
      <c r="X362" s="3">
        <f t="shared" si="83"/>
        <v>0</v>
      </c>
      <c r="Y362" s="3">
        <f>IF(A362&lt;入力!$B$15,ABS(G362-何もしない_月次!G362),0)</f>
        <v>0</v>
      </c>
      <c r="Z362" s="3">
        <f t="shared" si="84"/>
        <v>0</v>
      </c>
      <c r="AA362">
        <f>ROUND(IF(A362=入力!$B$15+1,IF(E362=0,ROUND(C362/入力!$B$19,0),ROUND(-PMT(E362/12,入力!$B$19,C362),0)),IF(OR(AND(入力!$B$13="有効",A362&gt;1,MOD(A362-1,60)=0),AND(A362=入力!$B$11,A362&gt;1)),IF(入力!$B$14="有効",MIN(IF(E362=0,ROUND(C362/MAX(1,S361-A362+1),0),ROUND(-PMT(E362/12,MAX(1,S361-A362+1),C362),0)),ROUND(G361*1.25,0)),IF(E362=0,ROUND(C362/MAX(1,S361-A362+1),0),ROUND(-PMT(E362/12,MAX(1,S361-A362+1),C362),0))),G361)),0)</f>
        <v>116934</v>
      </c>
    </row>
    <row r="363" spans="1:27">
      <c r="A363" s="30">
        <f>358</f>
        <v>358</v>
      </c>
      <c r="B363" s="31">
        <f>EDATE(入力!$B$6,A363-1)</f>
        <v>57101</v>
      </c>
      <c r="C363" s="32">
        <f t="shared" si="85"/>
        <v>349339</v>
      </c>
      <c r="D363" s="32">
        <f t="shared" si="86"/>
        <v>0</v>
      </c>
      <c r="E363" s="33">
        <f>IF(AND(T362="",A363&lt;=S362),IF(A363&lt;入力!$B$11,入力!$B$10,入力!$B$12),0)</f>
        <v>2.5000000000000001E-2</v>
      </c>
      <c r="F363" s="32">
        <f t="shared" si="87"/>
        <v>728</v>
      </c>
      <c r="G363" s="32">
        <f>ROUND(IF(NOT(AND(T362="",A363&lt;=S362)),0,IF(A363=入力!$B$15+1,IF(E363=0,ROUND(C363/入力!$B$19,0),ROUND(-PMT(E363/12,入力!$B$19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),0)</f>
        <v>116934</v>
      </c>
      <c r="H363" s="32">
        <f t="shared" si="88"/>
        <v>116934</v>
      </c>
      <c r="I363" s="32">
        <f t="shared" si="89"/>
        <v>728</v>
      </c>
      <c r="J363" s="32">
        <f t="shared" si="90"/>
        <v>0</v>
      </c>
      <c r="K363" s="32">
        <f t="shared" si="91"/>
        <v>0</v>
      </c>
      <c r="L363" s="32">
        <f t="shared" si="92"/>
        <v>116206</v>
      </c>
      <c r="M363" s="32">
        <f>IF(AND(AND(T362="",A363&lt;=S362),A363=入力!$B$15),ROUND(MIN(入力!$B$16,MAX(0,C363-L363)),0),0)</f>
        <v>0</v>
      </c>
      <c r="N363" s="32">
        <f t="shared" si="93"/>
        <v>233133</v>
      </c>
      <c r="O363" s="32">
        <f t="shared" si="94"/>
        <v>10751145</v>
      </c>
      <c r="P363" s="34" t="str">
        <f>IF(NOT(AND(T362="",A363&lt;=S362)),"",IF(A363=入力!$B$15+1,"繰上返済後再計算","")&amp;IF(AND(入力!$B$13="有効",A363&gt;1,MOD(A363-1,60)=0),IF(A363=入力!$B$15+1,"・","")&amp;"5年見直し","")&amp;IF(AND(A363=入力!$B$11,A363&gt;1),IF(OR(A363=入力!$B$15+1,AND(入力!$B$13="有効",A363&gt;1,MOD(A363-1,60)=0)),"・","")&amp;"金利変更","")&amp;IF(AND(OR(AND(入力!$B$13="有効",A363&gt;1,MOD(A363-1,60)=0),AND(A363=入力!$B$11,A363&gt;1)),入力!$B$14="有効",IF(E363=0,ROUND(C363/MAX(1,S362-A363+1),0),ROUND(-PMT(E363/12,MAX(1,S362-A363+1),C363),0))&gt;ROUND(G362*1.25,0),NOT(A363=入力!$B$15+1)),"・上限適用",""))</f>
        <v/>
      </c>
      <c r="Q363" s="35" t="str">
        <f>IF(AND(T362="",A363&lt;=S362),入力!$B$13,"")</f>
        <v>有効</v>
      </c>
      <c r="R363" s="32" t="str">
        <f>IF(AND(AND(T362="",A363&lt;=S362),OR(AND(入力!$B$13="有効",A363&gt;1,MOD(A363-1,60)=0),AND(A363=入力!$B$11,A363&gt;1)),入力!$B$14="有効"),ROUND(G362*1.25,0),"")</f>
        <v/>
      </c>
      <c r="S363" s="36">
        <f>IF(A363=入力!$B$15,A363+入力!$B$19,S362)</f>
        <v>360</v>
      </c>
      <c r="T363" s="35" t="str">
        <f t="shared" si="95"/>
        <v/>
      </c>
      <c r="U363" s="3">
        <f t="shared" si="80"/>
        <v>0</v>
      </c>
      <c r="V363" s="3">
        <f t="shared" si="81"/>
        <v>0</v>
      </c>
      <c r="W363" s="3">
        <f t="shared" si="82"/>
        <v>0</v>
      </c>
      <c r="X363" s="3">
        <f t="shared" si="83"/>
        <v>0</v>
      </c>
      <c r="Y363" s="3">
        <f>IF(A363&lt;入力!$B$15,ABS(G363-何もしない_月次!G363),0)</f>
        <v>0</v>
      </c>
      <c r="Z363" s="3">
        <f t="shared" si="84"/>
        <v>0</v>
      </c>
      <c r="AA363">
        <f>ROUND(IF(A363=入力!$B$15+1,IF(E363=0,ROUND(C363/入力!$B$19,0),ROUND(-PMT(E363/12,入力!$B$19,C363),0)),IF(OR(AND(入力!$B$13="有効",A363&gt;1,MOD(A363-1,60)=0),AND(A363=入力!$B$11,A363&gt;1)),IF(入力!$B$14="有効",MIN(IF(E363=0,ROUND(C363/MAX(1,S362-A363+1),0),ROUND(-PMT(E363/12,MAX(1,S362-A363+1),C363),0)),ROUND(G362*1.25,0)),IF(E363=0,ROUND(C363/MAX(1,S362-A363+1),0),ROUND(-PMT(E363/12,MAX(1,S362-A363+1),C363),0))),G362)),0)</f>
        <v>116934</v>
      </c>
    </row>
    <row r="364" spans="1:27">
      <c r="A364" s="30">
        <f>359</f>
        <v>359</v>
      </c>
      <c r="B364" s="31">
        <f>EDATE(入力!$B$6,A364-1)</f>
        <v>57132</v>
      </c>
      <c r="C364" s="32">
        <f t="shared" si="85"/>
        <v>233133</v>
      </c>
      <c r="D364" s="32">
        <f t="shared" si="86"/>
        <v>0</v>
      </c>
      <c r="E364" s="33">
        <f>IF(AND(T363="",A364&lt;=S363),IF(A364&lt;入力!$B$11,入力!$B$10,入力!$B$12),0)</f>
        <v>2.5000000000000001E-2</v>
      </c>
      <c r="F364" s="32">
        <f t="shared" si="87"/>
        <v>486</v>
      </c>
      <c r="G364" s="32">
        <f>ROUND(IF(NOT(AND(T363="",A364&lt;=S363)),0,IF(A364=入力!$B$15+1,IF(E364=0,ROUND(C364/入力!$B$19,0),ROUND(-PMT(E364/12,入力!$B$19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),0)</f>
        <v>116934</v>
      </c>
      <c r="H364" s="32">
        <f t="shared" si="88"/>
        <v>116934</v>
      </c>
      <c r="I364" s="32">
        <f t="shared" si="89"/>
        <v>486</v>
      </c>
      <c r="J364" s="32">
        <f t="shared" si="90"/>
        <v>0</v>
      </c>
      <c r="K364" s="32">
        <f t="shared" si="91"/>
        <v>0</v>
      </c>
      <c r="L364" s="32">
        <f t="shared" si="92"/>
        <v>116448</v>
      </c>
      <c r="M364" s="32">
        <f>IF(AND(AND(T363="",A364&lt;=S363),A364=入力!$B$15),ROUND(MIN(入力!$B$16,MAX(0,C364-L364)),0),0)</f>
        <v>0</v>
      </c>
      <c r="N364" s="32">
        <f t="shared" si="93"/>
        <v>116685</v>
      </c>
      <c r="O364" s="32">
        <f t="shared" si="94"/>
        <v>10751631</v>
      </c>
      <c r="P364" s="34" t="str">
        <f>IF(NOT(AND(T363="",A364&lt;=S363)),"",IF(A364=入力!$B$15+1,"繰上返済後再計算","")&amp;IF(AND(入力!$B$13="有効",A364&gt;1,MOD(A364-1,60)=0),IF(A364=入力!$B$15+1,"・","")&amp;"5年見直し","")&amp;IF(AND(A364=入力!$B$11,A364&gt;1),IF(OR(A364=入力!$B$15+1,AND(入力!$B$13="有効",A364&gt;1,MOD(A364-1,60)=0)),"・","")&amp;"金利変更","")&amp;IF(AND(OR(AND(入力!$B$13="有効",A364&gt;1,MOD(A364-1,60)=0),AND(A364=入力!$B$11,A364&gt;1)),入力!$B$14="有効",IF(E364=0,ROUND(C364/MAX(1,S363-A364+1),0),ROUND(-PMT(E364/12,MAX(1,S363-A364+1),C364),0))&gt;ROUND(G363*1.25,0),NOT(A364=入力!$B$15+1)),"・上限適用",""))</f>
        <v/>
      </c>
      <c r="Q364" s="35" t="str">
        <f>IF(AND(T363="",A364&lt;=S363),入力!$B$13,"")</f>
        <v>有効</v>
      </c>
      <c r="R364" s="32" t="str">
        <f>IF(AND(AND(T363="",A364&lt;=S363),OR(AND(入力!$B$13="有効",A364&gt;1,MOD(A364-1,60)=0),AND(A364=入力!$B$11,A364&gt;1)),入力!$B$14="有効"),ROUND(G363*1.25,0),"")</f>
        <v/>
      </c>
      <c r="S364" s="36">
        <f>IF(A364=入力!$B$15,A364+入力!$B$19,S363)</f>
        <v>360</v>
      </c>
      <c r="T364" s="35" t="str">
        <f t="shared" si="95"/>
        <v/>
      </c>
      <c r="U364" s="3">
        <f t="shared" si="80"/>
        <v>0</v>
      </c>
      <c r="V364" s="3">
        <f t="shared" si="81"/>
        <v>0</v>
      </c>
      <c r="W364" s="3">
        <f t="shared" si="82"/>
        <v>0</v>
      </c>
      <c r="X364" s="3">
        <f t="shared" si="83"/>
        <v>0</v>
      </c>
      <c r="Y364" s="3">
        <f>IF(A364&lt;入力!$B$15,ABS(G364-何もしない_月次!G364),0)</f>
        <v>0</v>
      </c>
      <c r="Z364" s="3">
        <f t="shared" si="84"/>
        <v>0</v>
      </c>
      <c r="AA364">
        <f>ROUND(IF(A364=入力!$B$15+1,IF(E364=0,ROUND(C364/入力!$B$19,0),ROUND(-PMT(E364/12,入力!$B$19,C364),0)),IF(OR(AND(入力!$B$13="有効",A364&gt;1,MOD(A364-1,60)=0),AND(A364=入力!$B$11,A364&gt;1)),IF(入力!$B$14="有効",MIN(IF(E364=0,ROUND(C364/MAX(1,S363-A364+1),0),ROUND(-PMT(E364/12,MAX(1,S363-A364+1),C364),0)),ROUND(G363*1.25,0)),IF(E364=0,ROUND(C364/MAX(1,S363-A364+1),0),ROUND(-PMT(E364/12,MAX(1,S363-A364+1),C364),0))),G363)),0)</f>
        <v>116934</v>
      </c>
    </row>
    <row r="365" spans="1:27">
      <c r="A365" s="30">
        <f>360</f>
        <v>360</v>
      </c>
      <c r="B365" s="31">
        <f>EDATE(入力!$B$6,A365-1)</f>
        <v>57162</v>
      </c>
      <c r="C365" s="32">
        <f t="shared" si="85"/>
        <v>116685</v>
      </c>
      <c r="D365" s="32">
        <f t="shared" si="86"/>
        <v>0</v>
      </c>
      <c r="E365" s="33">
        <f>IF(AND(T364="",A365&lt;=S364),IF(A365&lt;入力!$B$11,入力!$B$10,入力!$B$12),0)</f>
        <v>2.5000000000000001E-2</v>
      </c>
      <c r="F365" s="32">
        <f t="shared" si="87"/>
        <v>243</v>
      </c>
      <c r="G365" s="32">
        <f>ROUND(IF(NOT(AND(T364="",A365&lt;=S364)),0,IF(A365=入力!$B$15+1,IF(E365=0,ROUND(C365/入力!$B$19,0),ROUND(-PMT(E365/12,入力!$B$19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),0)</f>
        <v>116934</v>
      </c>
      <c r="H365" s="32">
        <f t="shared" si="88"/>
        <v>116928</v>
      </c>
      <c r="I365" s="32">
        <f t="shared" si="89"/>
        <v>243</v>
      </c>
      <c r="J365" s="32">
        <f t="shared" si="90"/>
        <v>0</v>
      </c>
      <c r="K365" s="32">
        <f t="shared" si="91"/>
        <v>0</v>
      </c>
      <c r="L365" s="32">
        <f t="shared" si="92"/>
        <v>116685</v>
      </c>
      <c r="M365" s="32">
        <f>IF(AND(AND(T364="",A365&lt;=S364),A365=入力!$B$15),ROUND(MIN(入力!$B$16,MAX(0,C365-L365)),0),0)</f>
        <v>0</v>
      </c>
      <c r="N365" s="32">
        <f t="shared" si="93"/>
        <v>0</v>
      </c>
      <c r="O365" s="32">
        <f t="shared" si="94"/>
        <v>10751874</v>
      </c>
      <c r="P365" s="34" t="str">
        <f>IF(NOT(AND(T364="",A365&lt;=S364)),"",IF(A365=入力!$B$15+1,"繰上返済後再計算","")&amp;IF(AND(入力!$B$13="有効",A365&gt;1,MOD(A365-1,60)=0),IF(A365=入力!$B$15+1,"・","")&amp;"5年見直し","")&amp;IF(AND(A365=入力!$B$11,A365&gt;1),IF(OR(A365=入力!$B$15+1,AND(入力!$B$13="有効",A365&gt;1,MOD(A365-1,60)=0)),"・","")&amp;"金利変更","")&amp;IF(AND(OR(AND(入力!$B$13="有効",A365&gt;1,MOD(A365-1,60)=0),AND(A365=入力!$B$11,A365&gt;1)),入力!$B$14="有効",IF(E365=0,ROUND(C365/MAX(1,S364-A365+1),0),ROUND(-PMT(E365/12,MAX(1,S364-A365+1),C365),0))&gt;ROUND(G364*1.25,0),NOT(A365=入力!$B$15+1)),"・上限適用",""))</f>
        <v/>
      </c>
      <c r="Q365" s="35" t="str">
        <f>IF(AND(T364="",A365&lt;=S364),入力!$B$13,"")</f>
        <v>有効</v>
      </c>
      <c r="R365" s="32" t="str">
        <f>IF(AND(AND(T364="",A365&lt;=S364),OR(AND(入力!$B$13="有効",A365&gt;1,MOD(A365-1,60)=0),AND(A365=入力!$B$11,A365&gt;1)),入力!$B$14="有効"),ROUND(G364*1.25,0),"")</f>
        <v/>
      </c>
      <c r="S365" s="36">
        <f>IF(A365=入力!$B$15,A365+入力!$B$19,S364)</f>
        <v>360</v>
      </c>
      <c r="T365" s="35" t="str">
        <f t="shared" si="95"/>
        <v>完済</v>
      </c>
      <c r="U365" s="3">
        <f t="shared" si="80"/>
        <v>0</v>
      </c>
      <c r="V365" s="3">
        <f t="shared" si="81"/>
        <v>0</v>
      </c>
      <c r="W365" s="3">
        <f t="shared" si="82"/>
        <v>0</v>
      </c>
      <c r="X365" s="3">
        <f t="shared" si="83"/>
        <v>0</v>
      </c>
      <c r="Y365" s="3">
        <f>IF(A365&lt;入力!$B$15,ABS(G365-何もしない_月次!G365),0)</f>
        <v>0</v>
      </c>
      <c r="Z365" s="3">
        <f t="shared" si="84"/>
        <v>0</v>
      </c>
      <c r="AA365">
        <f>ROUND(IF(A365=入力!$B$15+1,IF(E365=0,ROUND(C365/入力!$B$19,0),ROUND(-PMT(E365/12,入力!$B$19,C365),0)),IF(OR(AND(入力!$B$13="有効",A365&gt;1,MOD(A365-1,60)=0),AND(A365=入力!$B$11,A365&gt;1)),IF(入力!$B$14="有効",MIN(IF(E365=0,ROUND(C365/MAX(1,S364-A365+1),0),ROUND(-PMT(E365/12,MAX(1,S364-A365+1),C365),0)),ROUND(G364*1.25,0)),IF(E365=0,ROUND(C365/MAX(1,S364-A365+1),0),ROUND(-PMT(E365/12,MAX(1,S364-A365+1),C365),0))),G364)),0)</f>
        <v>116934</v>
      </c>
    </row>
    <row r="366" spans="1:27">
      <c r="A366" s="30">
        <f>361</f>
        <v>361</v>
      </c>
      <c r="B366" s="31">
        <f>EDATE(入力!$B$6,A366-1)</f>
        <v>57193</v>
      </c>
      <c r="C366" s="32">
        <f t="shared" si="85"/>
        <v>0</v>
      </c>
      <c r="D366" s="32">
        <f t="shared" si="86"/>
        <v>0</v>
      </c>
      <c r="E366" s="33">
        <f>IF(AND(T365="",A366&lt;=S365),IF(A366&lt;入力!$B$11,入力!$B$10,入力!$B$12),0)</f>
        <v>0</v>
      </c>
      <c r="F366" s="32">
        <f t="shared" si="87"/>
        <v>0</v>
      </c>
      <c r="G366" s="32">
        <f>ROUND(IF(NOT(AND(T365="",A366&lt;=S365)),0,IF(A366=入力!$B$15+1,IF(E366=0,ROUND(C366/入力!$B$19,0),ROUND(-PMT(E366/12,入力!$B$19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),0)</f>
        <v>0</v>
      </c>
      <c r="H366" s="32">
        <f t="shared" si="88"/>
        <v>0</v>
      </c>
      <c r="I366" s="32">
        <f t="shared" si="89"/>
        <v>0</v>
      </c>
      <c r="J366" s="32">
        <f t="shared" si="90"/>
        <v>0</v>
      </c>
      <c r="K366" s="32">
        <f t="shared" si="91"/>
        <v>0</v>
      </c>
      <c r="L366" s="32">
        <f t="shared" si="92"/>
        <v>0</v>
      </c>
      <c r="M366" s="32">
        <f>IF(AND(AND(T365="",A366&lt;=S365),A366=入力!$B$15),ROUND(MIN(入力!$B$16,MAX(0,C366-L366)),0),0)</f>
        <v>0</v>
      </c>
      <c r="N366" s="32">
        <f t="shared" si="93"/>
        <v>0</v>
      </c>
      <c r="O366" s="32">
        <f t="shared" si="94"/>
        <v>10751874</v>
      </c>
      <c r="P366" s="34" t="str">
        <f>IF(NOT(AND(T365="",A366&lt;=S365)),"",IF(A366=入力!$B$15+1,"繰上返済後再計算","")&amp;IF(AND(入力!$B$13="有効",A366&gt;1,MOD(A366-1,60)=0),IF(A366=入力!$B$15+1,"・","")&amp;"5年見直し","")&amp;IF(AND(A366=入力!$B$11,A366&gt;1),IF(OR(A366=入力!$B$15+1,AND(入力!$B$13="有効",A366&gt;1,MOD(A366-1,60)=0)),"・","")&amp;"金利変更","")&amp;IF(AND(OR(AND(入力!$B$13="有効",A366&gt;1,MOD(A366-1,60)=0),AND(A366=入力!$B$11,A366&gt;1)),入力!$B$14="有効",IF(E366=0,ROUND(C366/MAX(1,S365-A366+1),0),ROUND(-PMT(E366/12,MAX(1,S365-A366+1),C366),0))&gt;ROUND(G365*1.25,0),NOT(A366=入力!$B$15+1)),"・上限適用",""))</f>
        <v/>
      </c>
      <c r="Q366" s="35" t="str">
        <f>IF(AND(T365="",A366&lt;=S365),入力!$B$13,"")</f>
        <v/>
      </c>
      <c r="R366" s="32" t="str">
        <f>IF(AND(AND(T365="",A366&lt;=S365),OR(AND(入力!$B$13="有効",A366&gt;1,MOD(A366-1,60)=0),AND(A366=入力!$B$11,A366&gt;1)),入力!$B$14="有効"),ROUND(G365*1.25,0),"")</f>
        <v/>
      </c>
      <c r="S366" s="36">
        <f>IF(A366=入力!$B$15,A366+入力!$B$19,S365)</f>
        <v>360</v>
      </c>
      <c r="T366" s="35" t="str">
        <f t="shared" si="95"/>
        <v/>
      </c>
      <c r="U366" s="3">
        <f t="shared" si="80"/>
        <v>0</v>
      </c>
      <c r="V366" s="3">
        <f t="shared" si="81"/>
        <v>0</v>
      </c>
      <c r="W366" s="3">
        <f t="shared" si="82"/>
        <v>0</v>
      </c>
      <c r="X366" s="3">
        <f t="shared" si="83"/>
        <v>0</v>
      </c>
      <c r="Y366" s="3">
        <f>IF(A366&lt;入力!$B$15,ABS(G366-何もしない_月次!G366),0)</f>
        <v>0</v>
      </c>
      <c r="Z366" s="3">
        <f t="shared" si="84"/>
        <v>0</v>
      </c>
      <c r="AA366">
        <f>ROUND(IF(A366=入力!$B$15+1,IF(E366=0,ROUND(C366/入力!$B$19,0),ROUND(-PMT(E366/12,入力!$B$19,C366),0)),IF(OR(AND(入力!$B$13="有効",A366&gt;1,MOD(A366-1,60)=0),AND(A366=入力!$B$11,A366&gt;1)),IF(入力!$B$14="有効",MIN(IF(E366=0,ROUND(C366/MAX(1,S365-A366+1),0),ROUND(-PMT(E366/12,MAX(1,S365-A366+1),C366),0)),ROUND(G365*1.25,0)),IF(E366=0,ROUND(C366/MAX(1,S365-A366+1),0),ROUND(-PMT(E366/12,MAX(1,S365-A366+1),C366),0))),G365)),0)</f>
        <v>0</v>
      </c>
    </row>
    <row r="367" spans="1:27">
      <c r="A367" s="30">
        <f>362</f>
        <v>362</v>
      </c>
      <c r="B367" s="31">
        <f>EDATE(入力!$B$6,A367-1)</f>
        <v>57224</v>
      </c>
      <c r="C367" s="32">
        <f t="shared" si="85"/>
        <v>0</v>
      </c>
      <c r="D367" s="32">
        <f t="shared" si="86"/>
        <v>0</v>
      </c>
      <c r="E367" s="33">
        <f>IF(AND(T366="",A367&lt;=S366),IF(A367&lt;入力!$B$11,入力!$B$10,入力!$B$12),0)</f>
        <v>0</v>
      </c>
      <c r="F367" s="32">
        <f t="shared" si="87"/>
        <v>0</v>
      </c>
      <c r="G367" s="32">
        <f>ROUND(IF(NOT(AND(T366="",A367&lt;=S366)),0,IF(A367=入力!$B$15+1,IF(E367=0,ROUND(C367/入力!$B$19,0),ROUND(-PMT(E367/12,入力!$B$19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),0)</f>
        <v>0</v>
      </c>
      <c r="H367" s="32">
        <f t="shared" si="88"/>
        <v>0</v>
      </c>
      <c r="I367" s="32">
        <f t="shared" si="89"/>
        <v>0</v>
      </c>
      <c r="J367" s="32">
        <f t="shared" si="90"/>
        <v>0</v>
      </c>
      <c r="K367" s="32">
        <f t="shared" si="91"/>
        <v>0</v>
      </c>
      <c r="L367" s="32">
        <f t="shared" si="92"/>
        <v>0</v>
      </c>
      <c r="M367" s="32">
        <f>IF(AND(AND(T366="",A367&lt;=S366),A367=入力!$B$15),ROUND(MIN(入力!$B$16,MAX(0,C367-L367)),0),0)</f>
        <v>0</v>
      </c>
      <c r="N367" s="32">
        <f t="shared" si="93"/>
        <v>0</v>
      </c>
      <c r="O367" s="32">
        <f t="shared" si="94"/>
        <v>10751874</v>
      </c>
      <c r="P367" s="34" t="str">
        <f>IF(NOT(AND(T366="",A367&lt;=S366)),"",IF(A367=入力!$B$15+1,"繰上返済後再計算","")&amp;IF(AND(入力!$B$13="有効",A367&gt;1,MOD(A367-1,60)=0),IF(A367=入力!$B$15+1,"・","")&amp;"5年見直し","")&amp;IF(AND(A367=入力!$B$11,A367&gt;1),IF(OR(A367=入力!$B$15+1,AND(入力!$B$13="有効",A367&gt;1,MOD(A367-1,60)=0)),"・","")&amp;"金利変更","")&amp;IF(AND(OR(AND(入力!$B$13="有効",A367&gt;1,MOD(A367-1,60)=0),AND(A367=入力!$B$11,A367&gt;1)),入力!$B$14="有効",IF(E367=0,ROUND(C367/MAX(1,S366-A367+1),0),ROUND(-PMT(E367/12,MAX(1,S366-A367+1),C367),0))&gt;ROUND(G366*1.25,0),NOT(A367=入力!$B$15+1)),"・上限適用",""))</f>
        <v/>
      </c>
      <c r="Q367" s="35" t="str">
        <f>IF(AND(T366="",A367&lt;=S366),入力!$B$13,"")</f>
        <v/>
      </c>
      <c r="R367" s="32" t="str">
        <f>IF(AND(AND(T366="",A367&lt;=S366),OR(AND(入力!$B$13="有効",A367&gt;1,MOD(A367-1,60)=0),AND(A367=入力!$B$11,A367&gt;1)),入力!$B$14="有効"),ROUND(G366*1.25,0),"")</f>
        <v/>
      </c>
      <c r="S367" s="36">
        <f>IF(A367=入力!$B$15,A367+入力!$B$19,S366)</f>
        <v>360</v>
      </c>
      <c r="T367" s="35" t="str">
        <f t="shared" si="95"/>
        <v/>
      </c>
      <c r="U367" s="3">
        <f t="shared" si="80"/>
        <v>0</v>
      </c>
      <c r="V367" s="3">
        <f t="shared" si="81"/>
        <v>0</v>
      </c>
      <c r="W367" s="3">
        <f t="shared" si="82"/>
        <v>0</v>
      </c>
      <c r="X367" s="3">
        <f t="shared" si="83"/>
        <v>0</v>
      </c>
      <c r="Y367" s="3">
        <f>IF(A367&lt;入力!$B$15,ABS(G367-何もしない_月次!G367),0)</f>
        <v>0</v>
      </c>
      <c r="Z367" s="3">
        <f t="shared" si="84"/>
        <v>0</v>
      </c>
      <c r="AA367">
        <f>ROUND(IF(A367=入力!$B$15+1,IF(E367=0,ROUND(C367/入力!$B$19,0),ROUND(-PMT(E367/12,入力!$B$19,C367),0)),IF(OR(AND(入力!$B$13="有効",A367&gt;1,MOD(A367-1,60)=0),AND(A367=入力!$B$11,A367&gt;1)),IF(入力!$B$14="有効",MIN(IF(E367=0,ROUND(C367/MAX(1,S366-A367+1),0),ROUND(-PMT(E367/12,MAX(1,S366-A367+1),C367),0)),ROUND(G366*1.25,0)),IF(E367=0,ROUND(C367/MAX(1,S366-A367+1),0),ROUND(-PMT(E367/12,MAX(1,S366-A367+1),C367),0))),G366)),0)</f>
        <v>0</v>
      </c>
    </row>
    <row r="368" spans="1:27">
      <c r="A368" s="30">
        <f>363</f>
        <v>363</v>
      </c>
      <c r="B368" s="31">
        <f>EDATE(入力!$B$6,A368-1)</f>
        <v>57254</v>
      </c>
      <c r="C368" s="32">
        <f t="shared" si="85"/>
        <v>0</v>
      </c>
      <c r="D368" s="32">
        <f t="shared" si="86"/>
        <v>0</v>
      </c>
      <c r="E368" s="33">
        <f>IF(AND(T367="",A368&lt;=S367),IF(A368&lt;入力!$B$11,入力!$B$10,入力!$B$12),0)</f>
        <v>0</v>
      </c>
      <c r="F368" s="32">
        <f t="shared" si="87"/>
        <v>0</v>
      </c>
      <c r="G368" s="32">
        <f>ROUND(IF(NOT(AND(T367="",A368&lt;=S367)),0,IF(A368=入力!$B$15+1,IF(E368=0,ROUND(C368/入力!$B$19,0),ROUND(-PMT(E368/12,入力!$B$19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),0)</f>
        <v>0</v>
      </c>
      <c r="H368" s="32">
        <f t="shared" si="88"/>
        <v>0</v>
      </c>
      <c r="I368" s="32">
        <f t="shared" si="89"/>
        <v>0</v>
      </c>
      <c r="J368" s="32">
        <f t="shared" si="90"/>
        <v>0</v>
      </c>
      <c r="K368" s="32">
        <f t="shared" si="91"/>
        <v>0</v>
      </c>
      <c r="L368" s="32">
        <f t="shared" si="92"/>
        <v>0</v>
      </c>
      <c r="M368" s="32">
        <f>IF(AND(AND(T367="",A368&lt;=S367),A368=入力!$B$15),ROUND(MIN(入力!$B$16,MAX(0,C368-L368)),0),0)</f>
        <v>0</v>
      </c>
      <c r="N368" s="32">
        <f t="shared" si="93"/>
        <v>0</v>
      </c>
      <c r="O368" s="32">
        <f t="shared" si="94"/>
        <v>10751874</v>
      </c>
      <c r="P368" s="34" t="str">
        <f>IF(NOT(AND(T367="",A368&lt;=S367)),"",IF(A368=入力!$B$15+1,"繰上返済後再計算","")&amp;IF(AND(入力!$B$13="有効",A368&gt;1,MOD(A368-1,60)=0),IF(A368=入力!$B$15+1,"・","")&amp;"5年見直し","")&amp;IF(AND(A368=入力!$B$11,A368&gt;1),IF(OR(A368=入力!$B$15+1,AND(入力!$B$13="有効",A368&gt;1,MOD(A368-1,60)=0)),"・","")&amp;"金利変更","")&amp;IF(AND(OR(AND(入力!$B$13="有効",A368&gt;1,MOD(A368-1,60)=0),AND(A368=入力!$B$11,A368&gt;1)),入力!$B$14="有効",IF(E368=0,ROUND(C368/MAX(1,S367-A368+1),0),ROUND(-PMT(E368/12,MAX(1,S367-A368+1),C368),0))&gt;ROUND(G367*1.25,0),NOT(A368=入力!$B$15+1)),"・上限適用",""))</f>
        <v/>
      </c>
      <c r="Q368" s="35" t="str">
        <f>IF(AND(T367="",A368&lt;=S367),入力!$B$13,"")</f>
        <v/>
      </c>
      <c r="R368" s="32" t="str">
        <f>IF(AND(AND(T367="",A368&lt;=S367),OR(AND(入力!$B$13="有効",A368&gt;1,MOD(A368-1,60)=0),AND(A368=入力!$B$11,A368&gt;1)),入力!$B$14="有効"),ROUND(G367*1.25,0),"")</f>
        <v/>
      </c>
      <c r="S368" s="36">
        <f>IF(A368=入力!$B$15,A368+入力!$B$19,S367)</f>
        <v>360</v>
      </c>
      <c r="T368" s="35" t="str">
        <f t="shared" si="95"/>
        <v/>
      </c>
      <c r="U368" s="3">
        <f t="shared" si="80"/>
        <v>0</v>
      </c>
      <c r="V368" s="3">
        <f t="shared" si="81"/>
        <v>0</v>
      </c>
      <c r="W368" s="3">
        <f t="shared" si="82"/>
        <v>0</v>
      </c>
      <c r="X368" s="3">
        <f t="shared" si="83"/>
        <v>0</v>
      </c>
      <c r="Y368" s="3">
        <f>IF(A368&lt;入力!$B$15,ABS(G368-何もしない_月次!G368),0)</f>
        <v>0</v>
      </c>
      <c r="Z368" s="3">
        <f t="shared" si="84"/>
        <v>0</v>
      </c>
      <c r="AA368">
        <f>ROUND(IF(A368=入力!$B$15+1,IF(E368=0,ROUND(C368/入力!$B$19,0),ROUND(-PMT(E368/12,入力!$B$19,C368),0)),IF(OR(AND(入力!$B$13="有効",A368&gt;1,MOD(A368-1,60)=0),AND(A368=入力!$B$11,A368&gt;1)),IF(入力!$B$14="有効",MIN(IF(E368=0,ROUND(C368/MAX(1,S367-A368+1),0),ROUND(-PMT(E368/12,MAX(1,S367-A368+1),C368),0)),ROUND(G367*1.25,0)),IF(E368=0,ROUND(C368/MAX(1,S367-A368+1),0),ROUND(-PMT(E368/12,MAX(1,S367-A368+1),C368),0))),G367)),0)</f>
        <v>0</v>
      </c>
    </row>
    <row r="369" spans="1:27">
      <c r="A369" s="30">
        <f>364</f>
        <v>364</v>
      </c>
      <c r="B369" s="31">
        <f>EDATE(入力!$B$6,A369-1)</f>
        <v>57285</v>
      </c>
      <c r="C369" s="32">
        <f t="shared" si="85"/>
        <v>0</v>
      </c>
      <c r="D369" s="32">
        <f t="shared" si="86"/>
        <v>0</v>
      </c>
      <c r="E369" s="33">
        <f>IF(AND(T368="",A369&lt;=S368),IF(A369&lt;入力!$B$11,入力!$B$10,入力!$B$12),0)</f>
        <v>0</v>
      </c>
      <c r="F369" s="32">
        <f t="shared" si="87"/>
        <v>0</v>
      </c>
      <c r="G369" s="32">
        <f>ROUND(IF(NOT(AND(T368="",A369&lt;=S368)),0,IF(A369=入力!$B$15+1,IF(E369=0,ROUND(C369/入力!$B$19,0),ROUND(-PMT(E369/12,入力!$B$19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),0)</f>
        <v>0</v>
      </c>
      <c r="H369" s="32">
        <f t="shared" si="88"/>
        <v>0</v>
      </c>
      <c r="I369" s="32">
        <f t="shared" si="89"/>
        <v>0</v>
      </c>
      <c r="J369" s="32">
        <f t="shared" si="90"/>
        <v>0</v>
      </c>
      <c r="K369" s="32">
        <f t="shared" si="91"/>
        <v>0</v>
      </c>
      <c r="L369" s="32">
        <f t="shared" si="92"/>
        <v>0</v>
      </c>
      <c r="M369" s="32">
        <f>IF(AND(AND(T368="",A369&lt;=S368),A369=入力!$B$15),ROUND(MIN(入力!$B$16,MAX(0,C369-L369)),0),0)</f>
        <v>0</v>
      </c>
      <c r="N369" s="32">
        <f t="shared" si="93"/>
        <v>0</v>
      </c>
      <c r="O369" s="32">
        <f t="shared" si="94"/>
        <v>10751874</v>
      </c>
      <c r="P369" s="34" t="str">
        <f>IF(NOT(AND(T368="",A369&lt;=S368)),"",IF(A369=入力!$B$15+1,"繰上返済後再計算","")&amp;IF(AND(入力!$B$13="有効",A369&gt;1,MOD(A369-1,60)=0),IF(A369=入力!$B$15+1,"・","")&amp;"5年見直し","")&amp;IF(AND(A369=入力!$B$11,A369&gt;1),IF(OR(A369=入力!$B$15+1,AND(入力!$B$13="有効",A369&gt;1,MOD(A369-1,60)=0)),"・","")&amp;"金利変更","")&amp;IF(AND(OR(AND(入力!$B$13="有効",A369&gt;1,MOD(A369-1,60)=0),AND(A369=入力!$B$11,A369&gt;1)),入力!$B$14="有効",IF(E369=0,ROUND(C369/MAX(1,S368-A369+1),0),ROUND(-PMT(E369/12,MAX(1,S368-A369+1),C369),0))&gt;ROUND(G368*1.25,0),NOT(A369=入力!$B$15+1)),"・上限適用",""))</f>
        <v/>
      </c>
      <c r="Q369" s="35" t="str">
        <f>IF(AND(T368="",A369&lt;=S368),入力!$B$13,"")</f>
        <v/>
      </c>
      <c r="R369" s="32" t="str">
        <f>IF(AND(AND(T368="",A369&lt;=S368),OR(AND(入力!$B$13="有効",A369&gt;1,MOD(A369-1,60)=0),AND(A369=入力!$B$11,A369&gt;1)),入力!$B$14="有効"),ROUND(G368*1.25,0),"")</f>
        <v/>
      </c>
      <c r="S369" s="36">
        <f>IF(A369=入力!$B$15,A369+入力!$B$19,S368)</f>
        <v>360</v>
      </c>
      <c r="T369" s="35" t="str">
        <f t="shared" si="95"/>
        <v/>
      </c>
      <c r="U369" s="3">
        <f t="shared" si="80"/>
        <v>0</v>
      </c>
      <c r="V369" s="3">
        <f t="shared" si="81"/>
        <v>0</v>
      </c>
      <c r="W369" s="3">
        <f t="shared" si="82"/>
        <v>0</v>
      </c>
      <c r="X369" s="3">
        <f t="shared" si="83"/>
        <v>0</v>
      </c>
      <c r="Y369" s="3">
        <f>IF(A369&lt;入力!$B$15,ABS(G369-何もしない_月次!G369),0)</f>
        <v>0</v>
      </c>
      <c r="Z369" s="3">
        <f t="shared" si="84"/>
        <v>0</v>
      </c>
      <c r="AA369">
        <f>ROUND(IF(A369=入力!$B$15+1,IF(E369=0,ROUND(C369/入力!$B$19,0),ROUND(-PMT(E369/12,入力!$B$19,C369),0)),IF(OR(AND(入力!$B$13="有効",A369&gt;1,MOD(A369-1,60)=0),AND(A369=入力!$B$11,A369&gt;1)),IF(入力!$B$14="有効",MIN(IF(E369=0,ROUND(C369/MAX(1,S368-A369+1),0),ROUND(-PMT(E369/12,MAX(1,S368-A369+1),C369),0)),ROUND(G368*1.25,0)),IF(E369=0,ROUND(C369/MAX(1,S368-A369+1),0),ROUND(-PMT(E369/12,MAX(1,S368-A369+1),C369),0))),G368)),0)</f>
        <v>0</v>
      </c>
    </row>
    <row r="370" spans="1:27">
      <c r="A370" s="30">
        <f>365</f>
        <v>365</v>
      </c>
      <c r="B370" s="31">
        <f>EDATE(入力!$B$6,A370-1)</f>
        <v>57315</v>
      </c>
      <c r="C370" s="32">
        <f t="shared" si="85"/>
        <v>0</v>
      </c>
      <c r="D370" s="32">
        <f t="shared" si="86"/>
        <v>0</v>
      </c>
      <c r="E370" s="33">
        <f>IF(AND(T369="",A370&lt;=S369),IF(A370&lt;入力!$B$11,入力!$B$10,入力!$B$12),0)</f>
        <v>0</v>
      </c>
      <c r="F370" s="32">
        <f t="shared" si="87"/>
        <v>0</v>
      </c>
      <c r="G370" s="32">
        <f>ROUND(IF(NOT(AND(T369="",A370&lt;=S369)),0,IF(A370=入力!$B$15+1,IF(E370=0,ROUND(C370/入力!$B$19,0),ROUND(-PMT(E370/12,入力!$B$19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),0)</f>
        <v>0</v>
      </c>
      <c r="H370" s="32">
        <f t="shared" si="88"/>
        <v>0</v>
      </c>
      <c r="I370" s="32">
        <f t="shared" si="89"/>
        <v>0</v>
      </c>
      <c r="J370" s="32">
        <f t="shared" si="90"/>
        <v>0</v>
      </c>
      <c r="K370" s="32">
        <f t="shared" si="91"/>
        <v>0</v>
      </c>
      <c r="L370" s="32">
        <f t="shared" si="92"/>
        <v>0</v>
      </c>
      <c r="M370" s="32">
        <f>IF(AND(AND(T369="",A370&lt;=S369),A370=入力!$B$15),ROUND(MIN(入力!$B$16,MAX(0,C370-L370)),0),0)</f>
        <v>0</v>
      </c>
      <c r="N370" s="32">
        <f t="shared" si="93"/>
        <v>0</v>
      </c>
      <c r="O370" s="32">
        <f t="shared" si="94"/>
        <v>10751874</v>
      </c>
      <c r="P370" s="34" t="str">
        <f>IF(NOT(AND(T369="",A370&lt;=S369)),"",IF(A370=入力!$B$15+1,"繰上返済後再計算","")&amp;IF(AND(入力!$B$13="有効",A370&gt;1,MOD(A370-1,60)=0),IF(A370=入力!$B$15+1,"・","")&amp;"5年見直し","")&amp;IF(AND(A370=入力!$B$11,A370&gt;1),IF(OR(A370=入力!$B$15+1,AND(入力!$B$13="有効",A370&gt;1,MOD(A370-1,60)=0)),"・","")&amp;"金利変更","")&amp;IF(AND(OR(AND(入力!$B$13="有効",A370&gt;1,MOD(A370-1,60)=0),AND(A370=入力!$B$11,A370&gt;1)),入力!$B$14="有効",IF(E370=0,ROUND(C370/MAX(1,S369-A370+1),0),ROUND(-PMT(E370/12,MAX(1,S369-A370+1),C370),0))&gt;ROUND(G369*1.25,0),NOT(A370=入力!$B$15+1)),"・上限適用",""))</f>
        <v/>
      </c>
      <c r="Q370" s="35" t="str">
        <f>IF(AND(T369="",A370&lt;=S369),入力!$B$13,"")</f>
        <v/>
      </c>
      <c r="R370" s="32" t="str">
        <f>IF(AND(AND(T369="",A370&lt;=S369),OR(AND(入力!$B$13="有効",A370&gt;1,MOD(A370-1,60)=0),AND(A370=入力!$B$11,A370&gt;1)),入力!$B$14="有効"),ROUND(G369*1.25,0),"")</f>
        <v/>
      </c>
      <c r="S370" s="36">
        <f>IF(A370=入力!$B$15,A370+入力!$B$19,S369)</f>
        <v>360</v>
      </c>
      <c r="T370" s="35" t="str">
        <f t="shared" si="95"/>
        <v/>
      </c>
      <c r="U370" s="3">
        <f t="shared" si="80"/>
        <v>0</v>
      </c>
      <c r="V370" s="3">
        <f t="shared" si="81"/>
        <v>0</v>
      </c>
      <c r="W370" s="3">
        <f t="shared" si="82"/>
        <v>0</v>
      </c>
      <c r="X370" s="3">
        <f t="shared" si="83"/>
        <v>0</v>
      </c>
      <c r="Y370" s="3">
        <f>IF(A370&lt;入力!$B$15,ABS(G370-何もしない_月次!G370),0)</f>
        <v>0</v>
      </c>
      <c r="Z370" s="3">
        <f t="shared" si="84"/>
        <v>0</v>
      </c>
      <c r="AA370">
        <f>ROUND(IF(A370=入力!$B$15+1,IF(E370=0,ROUND(C370/入力!$B$19,0),ROUND(-PMT(E370/12,入力!$B$19,C370),0)),IF(OR(AND(入力!$B$13="有効",A370&gt;1,MOD(A370-1,60)=0),AND(A370=入力!$B$11,A370&gt;1)),IF(入力!$B$14="有効",MIN(IF(E370=0,ROUND(C370/MAX(1,S369-A370+1),0),ROUND(-PMT(E370/12,MAX(1,S369-A370+1),C370),0)),ROUND(G369*1.25,0)),IF(E370=0,ROUND(C370/MAX(1,S369-A370+1),0),ROUND(-PMT(E370/12,MAX(1,S369-A370+1),C370),0))),G369)),0)</f>
        <v>0</v>
      </c>
    </row>
    <row r="371" spans="1:27">
      <c r="A371" s="30">
        <f>366</f>
        <v>366</v>
      </c>
      <c r="B371" s="31">
        <f>EDATE(入力!$B$6,A371-1)</f>
        <v>57346</v>
      </c>
      <c r="C371" s="32">
        <f t="shared" si="85"/>
        <v>0</v>
      </c>
      <c r="D371" s="32">
        <f t="shared" si="86"/>
        <v>0</v>
      </c>
      <c r="E371" s="33">
        <f>IF(AND(T370="",A371&lt;=S370),IF(A371&lt;入力!$B$11,入力!$B$10,入力!$B$12),0)</f>
        <v>0</v>
      </c>
      <c r="F371" s="32">
        <f t="shared" si="87"/>
        <v>0</v>
      </c>
      <c r="G371" s="32">
        <f>ROUND(IF(NOT(AND(T370="",A371&lt;=S370)),0,IF(A371=入力!$B$15+1,IF(E371=0,ROUND(C371/入力!$B$19,0),ROUND(-PMT(E371/12,入力!$B$19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),0)</f>
        <v>0</v>
      </c>
      <c r="H371" s="32">
        <f t="shared" si="88"/>
        <v>0</v>
      </c>
      <c r="I371" s="32">
        <f t="shared" si="89"/>
        <v>0</v>
      </c>
      <c r="J371" s="32">
        <f t="shared" si="90"/>
        <v>0</v>
      </c>
      <c r="K371" s="32">
        <f t="shared" si="91"/>
        <v>0</v>
      </c>
      <c r="L371" s="32">
        <f t="shared" si="92"/>
        <v>0</v>
      </c>
      <c r="M371" s="32">
        <f>IF(AND(AND(T370="",A371&lt;=S370),A371=入力!$B$15),ROUND(MIN(入力!$B$16,MAX(0,C371-L371)),0),0)</f>
        <v>0</v>
      </c>
      <c r="N371" s="32">
        <f t="shared" si="93"/>
        <v>0</v>
      </c>
      <c r="O371" s="32">
        <f t="shared" si="94"/>
        <v>10751874</v>
      </c>
      <c r="P371" s="34" t="str">
        <f>IF(NOT(AND(T370="",A371&lt;=S370)),"",IF(A371=入力!$B$15+1,"繰上返済後再計算","")&amp;IF(AND(入力!$B$13="有効",A371&gt;1,MOD(A371-1,60)=0),IF(A371=入力!$B$15+1,"・","")&amp;"5年見直し","")&amp;IF(AND(A371=入力!$B$11,A371&gt;1),IF(OR(A371=入力!$B$15+1,AND(入力!$B$13="有効",A371&gt;1,MOD(A371-1,60)=0)),"・","")&amp;"金利変更","")&amp;IF(AND(OR(AND(入力!$B$13="有効",A371&gt;1,MOD(A371-1,60)=0),AND(A371=入力!$B$11,A371&gt;1)),入力!$B$14="有効",IF(E371=0,ROUND(C371/MAX(1,S370-A371+1),0),ROUND(-PMT(E371/12,MAX(1,S370-A371+1),C371),0))&gt;ROUND(G370*1.25,0),NOT(A371=入力!$B$15+1)),"・上限適用",""))</f>
        <v/>
      </c>
      <c r="Q371" s="35" t="str">
        <f>IF(AND(T370="",A371&lt;=S370),入力!$B$13,"")</f>
        <v/>
      </c>
      <c r="R371" s="32" t="str">
        <f>IF(AND(AND(T370="",A371&lt;=S370),OR(AND(入力!$B$13="有効",A371&gt;1,MOD(A371-1,60)=0),AND(A371=入力!$B$11,A371&gt;1)),入力!$B$14="有効"),ROUND(G370*1.25,0),"")</f>
        <v/>
      </c>
      <c r="S371" s="36">
        <f>IF(A371=入力!$B$15,A371+入力!$B$19,S370)</f>
        <v>360</v>
      </c>
      <c r="T371" s="35" t="str">
        <f t="shared" si="95"/>
        <v/>
      </c>
      <c r="U371" s="3">
        <f t="shared" si="80"/>
        <v>0</v>
      </c>
      <c r="V371" s="3">
        <f t="shared" si="81"/>
        <v>0</v>
      </c>
      <c r="W371" s="3">
        <f t="shared" si="82"/>
        <v>0</v>
      </c>
      <c r="X371" s="3">
        <f t="shared" si="83"/>
        <v>0</v>
      </c>
      <c r="Y371" s="3">
        <f>IF(A371&lt;入力!$B$15,ABS(G371-何もしない_月次!G371),0)</f>
        <v>0</v>
      </c>
      <c r="Z371" s="3">
        <f t="shared" si="84"/>
        <v>0</v>
      </c>
      <c r="AA371">
        <f>ROUND(IF(A371=入力!$B$15+1,IF(E371=0,ROUND(C371/入力!$B$19,0),ROUND(-PMT(E371/12,入力!$B$19,C371),0)),IF(OR(AND(入力!$B$13="有効",A371&gt;1,MOD(A371-1,60)=0),AND(A371=入力!$B$11,A371&gt;1)),IF(入力!$B$14="有効",MIN(IF(E371=0,ROUND(C371/MAX(1,S370-A371+1),0),ROUND(-PMT(E371/12,MAX(1,S370-A371+1),C371),0)),ROUND(G370*1.25,0)),IF(E371=0,ROUND(C371/MAX(1,S370-A371+1),0),ROUND(-PMT(E371/12,MAX(1,S370-A371+1),C371),0))),G370)),0)</f>
        <v>0</v>
      </c>
    </row>
    <row r="372" spans="1:27">
      <c r="A372" s="30">
        <f>367</f>
        <v>367</v>
      </c>
      <c r="B372" s="31">
        <f>EDATE(入力!$B$6,A372-1)</f>
        <v>57377</v>
      </c>
      <c r="C372" s="32">
        <f t="shared" si="85"/>
        <v>0</v>
      </c>
      <c r="D372" s="32">
        <f t="shared" si="86"/>
        <v>0</v>
      </c>
      <c r="E372" s="33">
        <f>IF(AND(T371="",A372&lt;=S371),IF(A372&lt;入力!$B$11,入力!$B$10,入力!$B$12),0)</f>
        <v>0</v>
      </c>
      <c r="F372" s="32">
        <f t="shared" si="87"/>
        <v>0</v>
      </c>
      <c r="G372" s="32">
        <f>ROUND(IF(NOT(AND(T371="",A372&lt;=S371)),0,IF(A372=入力!$B$15+1,IF(E372=0,ROUND(C372/入力!$B$19,0),ROUND(-PMT(E372/12,入力!$B$19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),0)</f>
        <v>0</v>
      </c>
      <c r="H372" s="32">
        <f t="shared" si="88"/>
        <v>0</v>
      </c>
      <c r="I372" s="32">
        <f t="shared" si="89"/>
        <v>0</v>
      </c>
      <c r="J372" s="32">
        <f t="shared" si="90"/>
        <v>0</v>
      </c>
      <c r="K372" s="32">
        <f t="shared" si="91"/>
        <v>0</v>
      </c>
      <c r="L372" s="32">
        <f t="shared" si="92"/>
        <v>0</v>
      </c>
      <c r="M372" s="32">
        <f>IF(AND(AND(T371="",A372&lt;=S371),A372=入力!$B$15),ROUND(MIN(入力!$B$16,MAX(0,C372-L372)),0),0)</f>
        <v>0</v>
      </c>
      <c r="N372" s="32">
        <f t="shared" si="93"/>
        <v>0</v>
      </c>
      <c r="O372" s="32">
        <f t="shared" si="94"/>
        <v>10751874</v>
      </c>
      <c r="P372" s="34" t="str">
        <f>IF(NOT(AND(T371="",A372&lt;=S371)),"",IF(A372=入力!$B$15+1,"繰上返済後再計算","")&amp;IF(AND(入力!$B$13="有効",A372&gt;1,MOD(A372-1,60)=0),IF(A372=入力!$B$15+1,"・","")&amp;"5年見直し","")&amp;IF(AND(A372=入力!$B$11,A372&gt;1),IF(OR(A372=入力!$B$15+1,AND(入力!$B$13="有効",A372&gt;1,MOD(A372-1,60)=0)),"・","")&amp;"金利変更","")&amp;IF(AND(OR(AND(入力!$B$13="有効",A372&gt;1,MOD(A372-1,60)=0),AND(A372=入力!$B$11,A372&gt;1)),入力!$B$14="有効",IF(E372=0,ROUND(C372/MAX(1,S371-A372+1),0),ROUND(-PMT(E372/12,MAX(1,S371-A372+1),C372),0))&gt;ROUND(G371*1.25,0),NOT(A372=入力!$B$15+1)),"・上限適用",""))</f>
        <v/>
      </c>
      <c r="Q372" s="35" t="str">
        <f>IF(AND(T371="",A372&lt;=S371),入力!$B$13,"")</f>
        <v/>
      </c>
      <c r="R372" s="32" t="str">
        <f>IF(AND(AND(T371="",A372&lt;=S371),OR(AND(入力!$B$13="有効",A372&gt;1,MOD(A372-1,60)=0),AND(A372=入力!$B$11,A372&gt;1)),入力!$B$14="有効"),ROUND(G371*1.25,0),"")</f>
        <v/>
      </c>
      <c r="S372" s="36">
        <f>IF(A372=入力!$B$15,A372+入力!$B$19,S371)</f>
        <v>360</v>
      </c>
      <c r="T372" s="35" t="str">
        <f t="shared" si="95"/>
        <v/>
      </c>
      <c r="U372" s="3">
        <f t="shared" si="80"/>
        <v>0</v>
      </c>
      <c r="V372" s="3">
        <f t="shared" si="81"/>
        <v>0</v>
      </c>
      <c r="W372" s="3">
        <f t="shared" si="82"/>
        <v>0</v>
      </c>
      <c r="X372" s="3">
        <f t="shared" si="83"/>
        <v>0</v>
      </c>
      <c r="Y372" s="3">
        <f>IF(A372&lt;入力!$B$15,ABS(G372-何もしない_月次!G372),0)</f>
        <v>0</v>
      </c>
      <c r="Z372" s="3">
        <f t="shared" si="84"/>
        <v>0</v>
      </c>
      <c r="AA372">
        <f>ROUND(IF(A372=入力!$B$15+1,IF(E372=0,ROUND(C372/入力!$B$19,0),ROUND(-PMT(E372/12,入力!$B$19,C372),0)),IF(OR(AND(入力!$B$13="有効",A372&gt;1,MOD(A372-1,60)=0),AND(A372=入力!$B$11,A372&gt;1)),IF(入力!$B$14="有効",MIN(IF(E372=0,ROUND(C372/MAX(1,S371-A372+1),0),ROUND(-PMT(E372/12,MAX(1,S371-A372+1),C372),0)),ROUND(G371*1.25,0)),IF(E372=0,ROUND(C372/MAX(1,S371-A372+1),0),ROUND(-PMT(E372/12,MAX(1,S371-A372+1),C372),0))),G371)),0)</f>
        <v>0</v>
      </c>
    </row>
    <row r="373" spans="1:27">
      <c r="A373" s="30">
        <f>368</f>
        <v>368</v>
      </c>
      <c r="B373" s="31">
        <f>EDATE(入力!$B$6,A373-1)</f>
        <v>57405</v>
      </c>
      <c r="C373" s="32">
        <f t="shared" si="85"/>
        <v>0</v>
      </c>
      <c r="D373" s="32">
        <f t="shared" si="86"/>
        <v>0</v>
      </c>
      <c r="E373" s="33">
        <f>IF(AND(T372="",A373&lt;=S372),IF(A373&lt;入力!$B$11,入力!$B$10,入力!$B$12),0)</f>
        <v>0</v>
      </c>
      <c r="F373" s="32">
        <f t="shared" si="87"/>
        <v>0</v>
      </c>
      <c r="G373" s="32">
        <f>ROUND(IF(NOT(AND(T372="",A373&lt;=S372)),0,IF(A373=入力!$B$15+1,IF(E373=0,ROUND(C373/入力!$B$19,0),ROUND(-PMT(E373/12,入力!$B$19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),0)</f>
        <v>0</v>
      </c>
      <c r="H373" s="32">
        <f t="shared" si="88"/>
        <v>0</v>
      </c>
      <c r="I373" s="32">
        <f t="shared" si="89"/>
        <v>0</v>
      </c>
      <c r="J373" s="32">
        <f t="shared" si="90"/>
        <v>0</v>
      </c>
      <c r="K373" s="32">
        <f t="shared" si="91"/>
        <v>0</v>
      </c>
      <c r="L373" s="32">
        <f t="shared" si="92"/>
        <v>0</v>
      </c>
      <c r="M373" s="32">
        <f>IF(AND(AND(T372="",A373&lt;=S372),A373=入力!$B$15),ROUND(MIN(入力!$B$16,MAX(0,C373-L373)),0),0)</f>
        <v>0</v>
      </c>
      <c r="N373" s="32">
        <f t="shared" si="93"/>
        <v>0</v>
      </c>
      <c r="O373" s="32">
        <f t="shared" si="94"/>
        <v>10751874</v>
      </c>
      <c r="P373" s="34" t="str">
        <f>IF(NOT(AND(T372="",A373&lt;=S372)),"",IF(A373=入力!$B$15+1,"繰上返済後再計算","")&amp;IF(AND(入力!$B$13="有効",A373&gt;1,MOD(A373-1,60)=0),IF(A373=入力!$B$15+1,"・","")&amp;"5年見直し","")&amp;IF(AND(A373=入力!$B$11,A373&gt;1),IF(OR(A373=入力!$B$15+1,AND(入力!$B$13="有効",A373&gt;1,MOD(A373-1,60)=0)),"・","")&amp;"金利変更","")&amp;IF(AND(OR(AND(入力!$B$13="有効",A373&gt;1,MOD(A373-1,60)=0),AND(A373=入力!$B$11,A373&gt;1)),入力!$B$14="有効",IF(E373=0,ROUND(C373/MAX(1,S372-A373+1),0),ROUND(-PMT(E373/12,MAX(1,S372-A373+1),C373),0))&gt;ROUND(G372*1.25,0),NOT(A373=入力!$B$15+1)),"・上限適用",""))</f>
        <v/>
      </c>
      <c r="Q373" s="35" t="str">
        <f>IF(AND(T372="",A373&lt;=S372),入力!$B$13,"")</f>
        <v/>
      </c>
      <c r="R373" s="32" t="str">
        <f>IF(AND(AND(T372="",A373&lt;=S372),OR(AND(入力!$B$13="有効",A373&gt;1,MOD(A373-1,60)=0),AND(A373=入力!$B$11,A373&gt;1)),入力!$B$14="有効"),ROUND(G372*1.25,0),"")</f>
        <v/>
      </c>
      <c r="S373" s="36">
        <f>IF(A373=入力!$B$15,A373+入力!$B$19,S372)</f>
        <v>360</v>
      </c>
      <c r="T373" s="35" t="str">
        <f t="shared" si="95"/>
        <v/>
      </c>
      <c r="U373" s="3">
        <f t="shared" si="80"/>
        <v>0</v>
      </c>
      <c r="V373" s="3">
        <f t="shared" si="81"/>
        <v>0</v>
      </c>
      <c r="W373" s="3">
        <f t="shared" si="82"/>
        <v>0</v>
      </c>
      <c r="X373" s="3">
        <f t="shared" si="83"/>
        <v>0</v>
      </c>
      <c r="Y373" s="3">
        <f>IF(A373&lt;入力!$B$15,ABS(G373-何もしない_月次!G373),0)</f>
        <v>0</v>
      </c>
      <c r="Z373" s="3">
        <f t="shared" si="84"/>
        <v>0</v>
      </c>
      <c r="AA373">
        <f>ROUND(IF(A373=入力!$B$15+1,IF(E373=0,ROUND(C373/入力!$B$19,0),ROUND(-PMT(E373/12,入力!$B$19,C373),0)),IF(OR(AND(入力!$B$13="有効",A373&gt;1,MOD(A373-1,60)=0),AND(A373=入力!$B$11,A373&gt;1)),IF(入力!$B$14="有効",MIN(IF(E373=0,ROUND(C373/MAX(1,S372-A373+1),0),ROUND(-PMT(E373/12,MAX(1,S372-A373+1),C373),0)),ROUND(G372*1.25,0)),IF(E373=0,ROUND(C373/MAX(1,S372-A373+1),0),ROUND(-PMT(E373/12,MAX(1,S372-A373+1),C373),0))),G372)),0)</f>
        <v>0</v>
      </c>
    </row>
    <row r="374" spans="1:27">
      <c r="A374" s="30">
        <f>369</f>
        <v>369</v>
      </c>
      <c r="B374" s="31">
        <f>EDATE(入力!$B$6,A374-1)</f>
        <v>57436</v>
      </c>
      <c r="C374" s="32">
        <f t="shared" si="85"/>
        <v>0</v>
      </c>
      <c r="D374" s="32">
        <f t="shared" si="86"/>
        <v>0</v>
      </c>
      <c r="E374" s="33">
        <f>IF(AND(T373="",A374&lt;=S373),IF(A374&lt;入力!$B$11,入力!$B$10,入力!$B$12),0)</f>
        <v>0</v>
      </c>
      <c r="F374" s="32">
        <f t="shared" si="87"/>
        <v>0</v>
      </c>
      <c r="G374" s="32">
        <f>ROUND(IF(NOT(AND(T373="",A374&lt;=S373)),0,IF(A374=入力!$B$15+1,IF(E374=0,ROUND(C374/入力!$B$19,0),ROUND(-PMT(E374/12,入力!$B$19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),0)</f>
        <v>0</v>
      </c>
      <c r="H374" s="32">
        <f t="shared" si="88"/>
        <v>0</v>
      </c>
      <c r="I374" s="32">
        <f t="shared" si="89"/>
        <v>0</v>
      </c>
      <c r="J374" s="32">
        <f t="shared" si="90"/>
        <v>0</v>
      </c>
      <c r="K374" s="32">
        <f t="shared" si="91"/>
        <v>0</v>
      </c>
      <c r="L374" s="32">
        <f t="shared" si="92"/>
        <v>0</v>
      </c>
      <c r="M374" s="32">
        <f>IF(AND(AND(T373="",A374&lt;=S373),A374=入力!$B$15),ROUND(MIN(入力!$B$16,MAX(0,C374-L374)),0),0)</f>
        <v>0</v>
      </c>
      <c r="N374" s="32">
        <f t="shared" si="93"/>
        <v>0</v>
      </c>
      <c r="O374" s="32">
        <f t="shared" si="94"/>
        <v>10751874</v>
      </c>
      <c r="P374" s="34" t="str">
        <f>IF(NOT(AND(T373="",A374&lt;=S373)),"",IF(A374=入力!$B$15+1,"繰上返済後再計算","")&amp;IF(AND(入力!$B$13="有効",A374&gt;1,MOD(A374-1,60)=0),IF(A374=入力!$B$15+1,"・","")&amp;"5年見直し","")&amp;IF(AND(A374=入力!$B$11,A374&gt;1),IF(OR(A374=入力!$B$15+1,AND(入力!$B$13="有効",A374&gt;1,MOD(A374-1,60)=0)),"・","")&amp;"金利変更","")&amp;IF(AND(OR(AND(入力!$B$13="有効",A374&gt;1,MOD(A374-1,60)=0),AND(A374=入力!$B$11,A374&gt;1)),入力!$B$14="有効",IF(E374=0,ROUND(C374/MAX(1,S373-A374+1),0),ROUND(-PMT(E374/12,MAX(1,S373-A374+1),C374),0))&gt;ROUND(G373*1.25,0),NOT(A374=入力!$B$15+1)),"・上限適用",""))</f>
        <v/>
      </c>
      <c r="Q374" s="35" t="str">
        <f>IF(AND(T373="",A374&lt;=S373),入力!$B$13,"")</f>
        <v/>
      </c>
      <c r="R374" s="32" t="str">
        <f>IF(AND(AND(T373="",A374&lt;=S373),OR(AND(入力!$B$13="有効",A374&gt;1,MOD(A374-1,60)=0),AND(A374=入力!$B$11,A374&gt;1)),入力!$B$14="有効"),ROUND(G373*1.25,0),"")</f>
        <v/>
      </c>
      <c r="S374" s="36">
        <f>IF(A374=入力!$B$15,A374+入力!$B$19,S373)</f>
        <v>360</v>
      </c>
      <c r="T374" s="35" t="str">
        <f t="shared" si="95"/>
        <v/>
      </c>
      <c r="U374" s="3">
        <f t="shared" si="80"/>
        <v>0</v>
      </c>
      <c r="V374" s="3">
        <f t="shared" si="81"/>
        <v>0</v>
      </c>
      <c r="W374" s="3">
        <f t="shared" si="82"/>
        <v>0</v>
      </c>
      <c r="X374" s="3">
        <f t="shared" si="83"/>
        <v>0</v>
      </c>
      <c r="Y374" s="3">
        <f>IF(A374&lt;入力!$B$15,ABS(G374-何もしない_月次!G374),0)</f>
        <v>0</v>
      </c>
      <c r="Z374" s="3">
        <f t="shared" si="84"/>
        <v>0</v>
      </c>
      <c r="AA374">
        <f>ROUND(IF(A374=入力!$B$15+1,IF(E374=0,ROUND(C374/入力!$B$19,0),ROUND(-PMT(E374/12,入力!$B$19,C374),0)),IF(OR(AND(入力!$B$13="有効",A374&gt;1,MOD(A374-1,60)=0),AND(A374=入力!$B$11,A374&gt;1)),IF(入力!$B$14="有効",MIN(IF(E374=0,ROUND(C374/MAX(1,S373-A374+1),0),ROUND(-PMT(E374/12,MAX(1,S373-A374+1),C374),0)),ROUND(G373*1.25,0)),IF(E374=0,ROUND(C374/MAX(1,S373-A374+1),0),ROUND(-PMT(E374/12,MAX(1,S373-A374+1),C374),0))),G373)),0)</f>
        <v>0</v>
      </c>
    </row>
    <row r="375" spans="1:27">
      <c r="A375" s="30">
        <f>370</f>
        <v>370</v>
      </c>
      <c r="B375" s="31">
        <f>EDATE(入力!$B$6,A375-1)</f>
        <v>57466</v>
      </c>
      <c r="C375" s="32">
        <f t="shared" si="85"/>
        <v>0</v>
      </c>
      <c r="D375" s="32">
        <f t="shared" si="86"/>
        <v>0</v>
      </c>
      <c r="E375" s="33">
        <f>IF(AND(T374="",A375&lt;=S374),IF(A375&lt;入力!$B$11,入力!$B$10,入力!$B$12),0)</f>
        <v>0</v>
      </c>
      <c r="F375" s="32">
        <f t="shared" si="87"/>
        <v>0</v>
      </c>
      <c r="G375" s="32">
        <f>ROUND(IF(NOT(AND(T374="",A375&lt;=S374)),0,IF(A375=入力!$B$15+1,IF(E375=0,ROUND(C375/入力!$B$19,0),ROUND(-PMT(E375/12,入力!$B$19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),0)</f>
        <v>0</v>
      </c>
      <c r="H375" s="32">
        <f t="shared" si="88"/>
        <v>0</v>
      </c>
      <c r="I375" s="32">
        <f t="shared" si="89"/>
        <v>0</v>
      </c>
      <c r="J375" s="32">
        <f t="shared" si="90"/>
        <v>0</v>
      </c>
      <c r="K375" s="32">
        <f t="shared" si="91"/>
        <v>0</v>
      </c>
      <c r="L375" s="32">
        <f t="shared" si="92"/>
        <v>0</v>
      </c>
      <c r="M375" s="32">
        <f>IF(AND(AND(T374="",A375&lt;=S374),A375=入力!$B$15),ROUND(MIN(入力!$B$16,MAX(0,C375-L375)),0),0)</f>
        <v>0</v>
      </c>
      <c r="N375" s="32">
        <f t="shared" si="93"/>
        <v>0</v>
      </c>
      <c r="O375" s="32">
        <f t="shared" si="94"/>
        <v>10751874</v>
      </c>
      <c r="P375" s="34" t="str">
        <f>IF(NOT(AND(T374="",A375&lt;=S374)),"",IF(A375=入力!$B$15+1,"繰上返済後再計算","")&amp;IF(AND(入力!$B$13="有効",A375&gt;1,MOD(A375-1,60)=0),IF(A375=入力!$B$15+1,"・","")&amp;"5年見直し","")&amp;IF(AND(A375=入力!$B$11,A375&gt;1),IF(OR(A375=入力!$B$15+1,AND(入力!$B$13="有効",A375&gt;1,MOD(A375-1,60)=0)),"・","")&amp;"金利変更","")&amp;IF(AND(OR(AND(入力!$B$13="有効",A375&gt;1,MOD(A375-1,60)=0),AND(A375=入力!$B$11,A375&gt;1)),入力!$B$14="有効",IF(E375=0,ROUND(C375/MAX(1,S374-A375+1),0),ROUND(-PMT(E375/12,MAX(1,S374-A375+1),C375),0))&gt;ROUND(G374*1.25,0),NOT(A375=入力!$B$15+1)),"・上限適用",""))</f>
        <v/>
      </c>
      <c r="Q375" s="35" t="str">
        <f>IF(AND(T374="",A375&lt;=S374),入力!$B$13,"")</f>
        <v/>
      </c>
      <c r="R375" s="32" t="str">
        <f>IF(AND(AND(T374="",A375&lt;=S374),OR(AND(入力!$B$13="有効",A375&gt;1,MOD(A375-1,60)=0),AND(A375=入力!$B$11,A375&gt;1)),入力!$B$14="有効"),ROUND(G374*1.25,0),"")</f>
        <v/>
      </c>
      <c r="S375" s="36">
        <f>IF(A375=入力!$B$15,A375+入力!$B$19,S374)</f>
        <v>360</v>
      </c>
      <c r="T375" s="35" t="str">
        <f t="shared" si="95"/>
        <v/>
      </c>
      <c r="U375" s="3">
        <f t="shared" si="80"/>
        <v>0</v>
      </c>
      <c r="V375" s="3">
        <f t="shared" si="81"/>
        <v>0</v>
      </c>
      <c r="W375" s="3">
        <f t="shared" si="82"/>
        <v>0</v>
      </c>
      <c r="X375" s="3">
        <f t="shared" si="83"/>
        <v>0</v>
      </c>
      <c r="Y375" s="3">
        <f>IF(A375&lt;入力!$B$15,ABS(G375-何もしない_月次!G375),0)</f>
        <v>0</v>
      </c>
      <c r="Z375" s="3">
        <f t="shared" si="84"/>
        <v>0</v>
      </c>
      <c r="AA375">
        <f>ROUND(IF(A375=入力!$B$15+1,IF(E375=0,ROUND(C375/入力!$B$19,0),ROUND(-PMT(E375/12,入力!$B$19,C375),0)),IF(OR(AND(入力!$B$13="有効",A375&gt;1,MOD(A375-1,60)=0),AND(A375=入力!$B$11,A375&gt;1)),IF(入力!$B$14="有効",MIN(IF(E375=0,ROUND(C375/MAX(1,S374-A375+1),0),ROUND(-PMT(E375/12,MAX(1,S374-A375+1),C375),0)),ROUND(G374*1.25,0)),IF(E375=0,ROUND(C375/MAX(1,S374-A375+1),0),ROUND(-PMT(E375/12,MAX(1,S374-A375+1),C375),0))),G374)),0)</f>
        <v>0</v>
      </c>
    </row>
    <row r="376" spans="1:27">
      <c r="A376" s="30">
        <f>371</f>
        <v>371</v>
      </c>
      <c r="B376" s="31">
        <f>EDATE(入力!$B$6,A376-1)</f>
        <v>57497</v>
      </c>
      <c r="C376" s="32">
        <f t="shared" si="85"/>
        <v>0</v>
      </c>
      <c r="D376" s="32">
        <f t="shared" si="86"/>
        <v>0</v>
      </c>
      <c r="E376" s="33">
        <f>IF(AND(T375="",A376&lt;=S375),IF(A376&lt;入力!$B$11,入力!$B$10,入力!$B$12),0)</f>
        <v>0</v>
      </c>
      <c r="F376" s="32">
        <f t="shared" si="87"/>
        <v>0</v>
      </c>
      <c r="G376" s="32">
        <f>ROUND(IF(NOT(AND(T375="",A376&lt;=S375)),0,IF(A376=入力!$B$15+1,IF(E376=0,ROUND(C376/入力!$B$19,0),ROUND(-PMT(E376/12,入力!$B$19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),0)</f>
        <v>0</v>
      </c>
      <c r="H376" s="32">
        <f t="shared" si="88"/>
        <v>0</v>
      </c>
      <c r="I376" s="32">
        <f t="shared" si="89"/>
        <v>0</v>
      </c>
      <c r="J376" s="32">
        <f t="shared" si="90"/>
        <v>0</v>
      </c>
      <c r="K376" s="32">
        <f t="shared" si="91"/>
        <v>0</v>
      </c>
      <c r="L376" s="32">
        <f t="shared" si="92"/>
        <v>0</v>
      </c>
      <c r="M376" s="32">
        <f>IF(AND(AND(T375="",A376&lt;=S375),A376=入力!$B$15),ROUND(MIN(入力!$B$16,MAX(0,C376-L376)),0),0)</f>
        <v>0</v>
      </c>
      <c r="N376" s="32">
        <f t="shared" si="93"/>
        <v>0</v>
      </c>
      <c r="O376" s="32">
        <f t="shared" si="94"/>
        <v>10751874</v>
      </c>
      <c r="P376" s="34" t="str">
        <f>IF(NOT(AND(T375="",A376&lt;=S375)),"",IF(A376=入力!$B$15+1,"繰上返済後再計算","")&amp;IF(AND(入力!$B$13="有効",A376&gt;1,MOD(A376-1,60)=0),IF(A376=入力!$B$15+1,"・","")&amp;"5年見直し","")&amp;IF(AND(A376=入力!$B$11,A376&gt;1),IF(OR(A376=入力!$B$15+1,AND(入力!$B$13="有効",A376&gt;1,MOD(A376-1,60)=0)),"・","")&amp;"金利変更","")&amp;IF(AND(OR(AND(入力!$B$13="有効",A376&gt;1,MOD(A376-1,60)=0),AND(A376=入力!$B$11,A376&gt;1)),入力!$B$14="有効",IF(E376=0,ROUND(C376/MAX(1,S375-A376+1),0),ROUND(-PMT(E376/12,MAX(1,S375-A376+1),C376),0))&gt;ROUND(G375*1.25,0),NOT(A376=入力!$B$15+1)),"・上限適用",""))</f>
        <v/>
      </c>
      <c r="Q376" s="35" t="str">
        <f>IF(AND(T375="",A376&lt;=S375),入力!$B$13,"")</f>
        <v/>
      </c>
      <c r="R376" s="32" t="str">
        <f>IF(AND(AND(T375="",A376&lt;=S375),OR(AND(入力!$B$13="有効",A376&gt;1,MOD(A376-1,60)=0),AND(A376=入力!$B$11,A376&gt;1)),入力!$B$14="有効"),ROUND(G375*1.25,0),"")</f>
        <v/>
      </c>
      <c r="S376" s="36">
        <f>IF(A376=入力!$B$15,A376+入力!$B$19,S375)</f>
        <v>360</v>
      </c>
      <c r="T376" s="35" t="str">
        <f t="shared" si="95"/>
        <v/>
      </c>
      <c r="U376" s="3">
        <f t="shared" si="80"/>
        <v>0</v>
      </c>
      <c r="V376" s="3">
        <f t="shared" si="81"/>
        <v>0</v>
      </c>
      <c r="W376" s="3">
        <f t="shared" si="82"/>
        <v>0</v>
      </c>
      <c r="X376" s="3">
        <f t="shared" si="83"/>
        <v>0</v>
      </c>
      <c r="Y376" s="3">
        <f>IF(A376&lt;入力!$B$15,ABS(G376-何もしない_月次!G376),0)</f>
        <v>0</v>
      </c>
      <c r="Z376" s="3">
        <f t="shared" si="84"/>
        <v>0</v>
      </c>
      <c r="AA376">
        <f>ROUND(IF(A376=入力!$B$15+1,IF(E376=0,ROUND(C376/入力!$B$19,0),ROUND(-PMT(E376/12,入力!$B$19,C376),0)),IF(OR(AND(入力!$B$13="有効",A376&gt;1,MOD(A376-1,60)=0),AND(A376=入力!$B$11,A376&gt;1)),IF(入力!$B$14="有効",MIN(IF(E376=0,ROUND(C376/MAX(1,S375-A376+1),0),ROUND(-PMT(E376/12,MAX(1,S375-A376+1),C376),0)),ROUND(G375*1.25,0)),IF(E376=0,ROUND(C376/MAX(1,S375-A376+1),0),ROUND(-PMT(E376/12,MAX(1,S375-A376+1),C376),0))),G375)),0)</f>
        <v>0</v>
      </c>
    </row>
    <row r="377" spans="1:27">
      <c r="A377" s="30">
        <f>372</f>
        <v>372</v>
      </c>
      <c r="B377" s="31">
        <f>EDATE(入力!$B$6,A377-1)</f>
        <v>57527</v>
      </c>
      <c r="C377" s="32">
        <f t="shared" si="85"/>
        <v>0</v>
      </c>
      <c r="D377" s="32">
        <f t="shared" si="86"/>
        <v>0</v>
      </c>
      <c r="E377" s="33">
        <f>IF(AND(T376="",A377&lt;=S376),IF(A377&lt;入力!$B$11,入力!$B$10,入力!$B$12),0)</f>
        <v>0</v>
      </c>
      <c r="F377" s="32">
        <f t="shared" si="87"/>
        <v>0</v>
      </c>
      <c r="G377" s="32">
        <f>ROUND(IF(NOT(AND(T376="",A377&lt;=S376)),0,IF(A377=入力!$B$15+1,IF(E377=0,ROUND(C377/入力!$B$19,0),ROUND(-PMT(E377/12,入力!$B$19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),0)</f>
        <v>0</v>
      </c>
      <c r="H377" s="32">
        <f t="shared" si="88"/>
        <v>0</v>
      </c>
      <c r="I377" s="32">
        <f t="shared" si="89"/>
        <v>0</v>
      </c>
      <c r="J377" s="32">
        <f t="shared" si="90"/>
        <v>0</v>
      </c>
      <c r="K377" s="32">
        <f t="shared" si="91"/>
        <v>0</v>
      </c>
      <c r="L377" s="32">
        <f t="shared" si="92"/>
        <v>0</v>
      </c>
      <c r="M377" s="32">
        <f>IF(AND(AND(T376="",A377&lt;=S376),A377=入力!$B$15),ROUND(MIN(入力!$B$16,MAX(0,C377-L377)),0),0)</f>
        <v>0</v>
      </c>
      <c r="N377" s="32">
        <f t="shared" si="93"/>
        <v>0</v>
      </c>
      <c r="O377" s="32">
        <f t="shared" si="94"/>
        <v>10751874</v>
      </c>
      <c r="P377" s="34" t="str">
        <f>IF(NOT(AND(T376="",A377&lt;=S376)),"",IF(A377=入力!$B$15+1,"繰上返済後再計算","")&amp;IF(AND(入力!$B$13="有効",A377&gt;1,MOD(A377-1,60)=0),IF(A377=入力!$B$15+1,"・","")&amp;"5年見直し","")&amp;IF(AND(A377=入力!$B$11,A377&gt;1),IF(OR(A377=入力!$B$15+1,AND(入力!$B$13="有効",A377&gt;1,MOD(A377-1,60)=0)),"・","")&amp;"金利変更","")&amp;IF(AND(OR(AND(入力!$B$13="有効",A377&gt;1,MOD(A377-1,60)=0),AND(A377=入力!$B$11,A377&gt;1)),入力!$B$14="有効",IF(E377=0,ROUND(C377/MAX(1,S376-A377+1),0),ROUND(-PMT(E377/12,MAX(1,S376-A377+1),C377),0))&gt;ROUND(G376*1.25,0),NOT(A377=入力!$B$15+1)),"・上限適用",""))</f>
        <v/>
      </c>
      <c r="Q377" s="35" t="str">
        <f>IF(AND(T376="",A377&lt;=S376),入力!$B$13,"")</f>
        <v/>
      </c>
      <c r="R377" s="32" t="str">
        <f>IF(AND(AND(T376="",A377&lt;=S376),OR(AND(入力!$B$13="有効",A377&gt;1,MOD(A377-1,60)=0),AND(A377=入力!$B$11,A377&gt;1)),入力!$B$14="有効"),ROUND(G376*1.25,0),"")</f>
        <v/>
      </c>
      <c r="S377" s="36">
        <f>IF(A377=入力!$B$15,A377+入力!$B$19,S376)</f>
        <v>360</v>
      </c>
      <c r="T377" s="35" t="str">
        <f t="shared" si="95"/>
        <v/>
      </c>
      <c r="U377" s="3">
        <f t="shared" si="80"/>
        <v>0</v>
      </c>
      <c r="V377" s="3">
        <f t="shared" si="81"/>
        <v>0</v>
      </c>
      <c r="W377" s="3">
        <f t="shared" si="82"/>
        <v>0</v>
      </c>
      <c r="X377" s="3">
        <f t="shared" si="83"/>
        <v>0</v>
      </c>
      <c r="Y377" s="3">
        <f>IF(A377&lt;入力!$B$15,ABS(G377-何もしない_月次!G377),0)</f>
        <v>0</v>
      </c>
      <c r="Z377" s="3">
        <f t="shared" si="84"/>
        <v>0</v>
      </c>
      <c r="AA377">
        <f>ROUND(IF(A377=入力!$B$15+1,IF(E377=0,ROUND(C377/入力!$B$19,0),ROUND(-PMT(E377/12,入力!$B$19,C377),0)),IF(OR(AND(入力!$B$13="有効",A377&gt;1,MOD(A377-1,60)=0),AND(A377=入力!$B$11,A377&gt;1)),IF(入力!$B$14="有効",MIN(IF(E377=0,ROUND(C377/MAX(1,S376-A377+1),0),ROUND(-PMT(E377/12,MAX(1,S376-A377+1),C377),0)),ROUND(G376*1.25,0)),IF(E377=0,ROUND(C377/MAX(1,S376-A377+1),0),ROUND(-PMT(E377/12,MAX(1,S376-A377+1),C377),0))),G376)),0)</f>
        <v>0</v>
      </c>
    </row>
    <row r="378" spans="1:27">
      <c r="A378" s="30">
        <f>373</f>
        <v>373</v>
      </c>
      <c r="B378" s="31">
        <f>EDATE(入力!$B$6,A378-1)</f>
        <v>57558</v>
      </c>
      <c r="C378" s="32">
        <f t="shared" si="85"/>
        <v>0</v>
      </c>
      <c r="D378" s="32">
        <f t="shared" si="86"/>
        <v>0</v>
      </c>
      <c r="E378" s="33">
        <f>IF(AND(T377="",A378&lt;=S377),IF(A378&lt;入力!$B$11,入力!$B$10,入力!$B$12),0)</f>
        <v>0</v>
      </c>
      <c r="F378" s="32">
        <f t="shared" si="87"/>
        <v>0</v>
      </c>
      <c r="G378" s="32">
        <f>ROUND(IF(NOT(AND(T377="",A378&lt;=S377)),0,IF(A378=入力!$B$15+1,IF(E378=0,ROUND(C378/入力!$B$19,0),ROUND(-PMT(E378/12,入力!$B$19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),0)</f>
        <v>0</v>
      </c>
      <c r="H378" s="32">
        <f t="shared" si="88"/>
        <v>0</v>
      </c>
      <c r="I378" s="32">
        <f t="shared" si="89"/>
        <v>0</v>
      </c>
      <c r="J378" s="32">
        <f t="shared" si="90"/>
        <v>0</v>
      </c>
      <c r="K378" s="32">
        <f t="shared" si="91"/>
        <v>0</v>
      </c>
      <c r="L378" s="32">
        <f t="shared" si="92"/>
        <v>0</v>
      </c>
      <c r="M378" s="32">
        <f>IF(AND(AND(T377="",A378&lt;=S377),A378=入力!$B$15),ROUND(MIN(入力!$B$16,MAX(0,C378-L378)),0),0)</f>
        <v>0</v>
      </c>
      <c r="N378" s="32">
        <f t="shared" si="93"/>
        <v>0</v>
      </c>
      <c r="O378" s="32">
        <f t="shared" si="94"/>
        <v>10751874</v>
      </c>
      <c r="P378" s="34" t="str">
        <f>IF(NOT(AND(T377="",A378&lt;=S377)),"",IF(A378=入力!$B$15+1,"繰上返済後再計算","")&amp;IF(AND(入力!$B$13="有効",A378&gt;1,MOD(A378-1,60)=0),IF(A378=入力!$B$15+1,"・","")&amp;"5年見直し","")&amp;IF(AND(A378=入力!$B$11,A378&gt;1),IF(OR(A378=入力!$B$15+1,AND(入力!$B$13="有効",A378&gt;1,MOD(A378-1,60)=0)),"・","")&amp;"金利変更","")&amp;IF(AND(OR(AND(入力!$B$13="有効",A378&gt;1,MOD(A378-1,60)=0),AND(A378=入力!$B$11,A378&gt;1)),入力!$B$14="有効",IF(E378=0,ROUND(C378/MAX(1,S377-A378+1),0),ROUND(-PMT(E378/12,MAX(1,S377-A378+1),C378),0))&gt;ROUND(G377*1.25,0),NOT(A378=入力!$B$15+1)),"・上限適用",""))</f>
        <v/>
      </c>
      <c r="Q378" s="35" t="str">
        <f>IF(AND(T377="",A378&lt;=S377),入力!$B$13,"")</f>
        <v/>
      </c>
      <c r="R378" s="32" t="str">
        <f>IF(AND(AND(T377="",A378&lt;=S377),OR(AND(入力!$B$13="有効",A378&gt;1,MOD(A378-1,60)=0),AND(A378=入力!$B$11,A378&gt;1)),入力!$B$14="有効"),ROUND(G377*1.25,0),"")</f>
        <v/>
      </c>
      <c r="S378" s="36">
        <f>IF(A378=入力!$B$15,A378+入力!$B$19,S377)</f>
        <v>360</v>
      </c>
      <c r="T378" s="35" t="str">
        <f t="shared" si="95"/>
        <v/>
      </c>
      <c r="U378" s="3">
        <f t="shared" si="80"/>
        <v>0</v>
      </c>
      <c r="V378" s="3">
        <f t="shared" si="81"/>
        <v>0</v>
      </c>
      <c r="W378" s="3">
        <f t="shared" si="82"/>
        <v>0</v>
      </c>
      <c r="X378" s="3">
        <f t="shared" si="83"/>
        <v>0</v>
      </c>
      <c r="Y378" s="3">
        <f>IF(A378&lt;入力!$B$15,ABS(G378-何もしない_月次!G378),0)</f>
        <v>0</v>
      </c>
      <c r="Z378" s="3">
        <f t="shared" si="84"/>
        <v>0</v>
      </c>
      <c r="AA378">
        <f>ROUND(IF(A378=入力!$B$15+1,IF(E378=0,ROUND(C378/入力!$B$19,0),ROUND(-PMT(E378/12,入力!$B$19,C378),0)),IF(OR(AND(入力!$B$13="有効",A378&gt;1,MOD(A378-1,60)=0),AND(A378=入力!$B$11,A378&gt;1)),IF(入力!$B$14="有効",MIN(IF(E378=0,ROUND(C378/MAX(1,S377-A378+1),0),ROUND(-PMT(E378/12,MAX(1,S377-A378+1),C378),0)),ROUND(G377*1.25,0)),IF(E378=0,ROUND(C378/MAX(1,S377-A378+1),0),ROUND(-PMT(E378/12,MAX(1,S377-A378+1),C378),0))),G377)),0)</f>
        <v>0</v>
      </c>
    </row>
    <row r="379" spans="1:27">
      <c r="A379" s="30">
        <f>374</f>
        <v>374</v>
      </c>
      <c r="B379" s="31">
        <f>EDATE(入力!$B$6,A379-1)</f>
        <v>57589</v>
      </c>
      <c r="C379" s="32">
        <f t="shared" si="85"/>
        <v>0</v>
      </c>
      <c r="D379" s="32">
        <f t="shared" si="86"/>
        <v>0</v>
      </c>
      <c r="E379" s="33">
        <f>IF(AND(T378="",A379&lt;=S378),IF(A379&lt;入力!$B$11,入力!$B$10,入力!$B$12),0)</f>
        <v>0</v>
      </c>
      <c r="F379" s="32">
        <f t="shared" si="87"/>
        <v>0</v>
      </c>
      <c r="G379" s="32">
        <f>ROUND(IF(NOT(AND(T378="",A379&lt;=S378)),0,IF(A379=入力!$B$15+1,IF(E379=0,ROUND(C379/入力!$B$19,0),ROUND(-PMT(E379/12,入力!$B$19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),0)</f>
        <v>0</v>
      </c>
      <c r="H379" s="32">
        <f t="shared" si="88"/>
        <v>0</v>
      </c>
      <c r="I379" s="32">
        <f t="shared" si="89"/>
        <v>0</v>
      </c>
      <c r="J379" s="32">
        <f t="shared" si="90"/>
        <v>0</v>
      </c>
      <c r="K379" s="32">
        <f t="shared" si="91"/>
        <v>0</v>
      </c>
      <c r="L379" s="32">
        <f t="shared" si="92"/>
        <v>0</v>
      </c>
      <c r="M379" s="32">
        <f>IF(AND(AND(T378="",A379&lt;=S378),A379=入力!$B$15),ROUND(MIN(入力!$B$16,MAX(0,C379-L379)),0),0)</f>
        <v>0</v>
      </c>
      <c r="N379" s="32">
        <f t="shared" si="93"/>
        <v>0</v>
      </c>
      <c r="O379" s="32">
        <f t="shared" si="94"/>
        <v>10751874</v>
      </c>
      <c r="P379" s="34" t="str">
        <f>IF(NOT(AND(T378="",A379&lt;=S378)),"",IF(A379=入力!$B$15+1,"繰上返済後再計算","")&amp;IF(AND(入力!$B$13="有効",A379&gt;1,MOD(A379-1,60)=0),IF(A379=入力!$B$15+1,"・","")&amp;"5年見直し","")&amp;IF(AND(A379=入力!$B$11,A379&gt;1),IF(OR(A379=入力!$B$15+1,AND(入力!$B$13="有効",A379&gt;1,MOD(A379-1,60)=0)),"・","")&amp;"金利変更","")&amp;IF(AND(OR(AND(入力!$B$13="有効",A379&gt;1,MOD(A379-1,60)=0),AND(A379=入力!$B$11,A379&gt;1)),入力!$B$14="有効",IF(E379=0,ROUND(C379/MAX(1,S378-A379+1),0),ROUND(-PMT(E379/12,MAX(1,S378-A379+1),C379),0))&gt;ROUND(G378*1.25,0),NOT(A379=入力!$B$15+1)),"・上限適用",""))</f>
        <v/>
      </c>
      <c r="Q379" s="35" t="str">
        <f>IF(AND(T378="",A379&lt;=S378),入力!$B$13,"")</f>
        <v/>
      </c>
      <c r="R379" s="32" t="str">
        <f>IF(AND(AND(T378="",A379&lt;=S378),OR(AND(入力!$B$13="有効",A379&gt;1,MOD(A379-1,60)=0),AND(A379=入力!$B$11,A379&gt;1)),入力!$B$14="有効"),ROUND(G378*1.25,0),"")</f>
        <v/>
      </c>
      <c r="S379" s="36">
        <f>IF(A379=入力!$B$15,A379+入力!$B$19,S378)</f>
        <v>360</v>
      </c>
      <c r="T379" s="35" t="str">
        <f t="shared" si="95"/>
        <v/>
      </c>
      <c r="U379" s="3">
        <f t="shared" si="80"/>
        <v>0</v>
      </c>
      <c r="V379" s="3">
        <f t="shared" si="81"/>
        <v>0</v>
      </c>
      <c r="W379" s="3">
        <f t="shared" si="82"/>
        <v>0</v>
      </c>
      <c r="X379" s="3">
        <f t="shared" si="83"/>
        <v>0</v>
      </c>
      <c r="Y379" s="3">
        <f>IF(A379&lt;入力!$B$15,ABS(G379-何もしない_月次!G379),0)</f>
        <v>0</v>
      </c>
      <c r="Z379" s="3">
        <f t="shared" si="84"/>
        <v>0</v>
      </c>
      <c r="AA379">
        <f>ROUND(IF(A379=入力!$B$15+1,IF(E379=0,ROUND(C379/入力!$B$19,0),ROUND(-PMT(E379/12,入力!$B$19,C379),0)),IF(OR(AND(入力!$B$13="有効",A379&gt;1,MOD(A379-1,60)=0),AND(A379=入力!$B$11,A379&gt;1)),IF(入力!$B$14="有効",MIN(IF(E379=0,ROUND(C379/MAX(1,S378-A379+1),0),ROUND(-PMT(E379/12,MAX(1,S378-A379+1),C379),0)),ROUND(G378*1.25,0)),IF(E379=0,ROUND(C379/MAX(1,S378-A379+1),0),ROUND(-PMT(E379/12,MAX(1,S378-A379+1),C379),0))),G378)),0)</f>
        <v>0</v>
      </c>
    </row>
    <row r="380" spans="1:27">
      <c r="A380" s="30">
        <f>375</f>
        <v>375</v>
      </c>
      <c r="B380" s="31">
        <f>EDATE(入力!$B$6,A380-1)</f>
        <v>57619</v>
      </c>
      <c r="C380" s="32">
        <f t="shared" si="85"/>
        <v>0</v>
      </c>
      <c r="D380" s="32">
        <f t="shared" si="86"/>
        <v>0</v>
      </c>
      <c r="E380" s="33">
        <f>IF(AND(T379="",A380&lt;=S379),IF(A380&lt;入力!$B$11,入力!$B$10,入力!$B$12),0)</f>
        <v>0</v>
      </c>
      <c r="F380" s="32">
        <f t="shared" si="87"/>
        <v>0</v>
      </c>
      <c r="G380" s="32">
        <f>ROUND(IF(NOT(AND(T379="",A380&lt;=S379)),0,IF(A380=入力!$B$15+1,IF(E380=0,ROUND(C380/入力!$B$19,0),ROUND(-PMT(E380/12,入力!$B$19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),0)</f>
        <v>0</v>
      </c>
      <c r="H380" s="32">
        <f t="shared" si="88"/>
        <v>0</v>
      </c>
      <c r="I380" s="32">
        <f t="shared" si="89"/>
        <v>0</v>
      </c>
      <c r="J380" s="32">
        <f t="shared" si="90"/>
        <v>0</v>
      </c>
      <c r="K380" s="32">
        <f t="shared" si="91"/>
        <v>0</v>
      </c>
      <c r="L380" s="32">
        <f t="shared" si="92"/>
        <v>0</v>
      </c>
      <c r="M380" s="32">
        <f>IF(AND(AND(T379="",A380&lt;=S379),A380=入力!$B$15),ROUND(MIN(入力!$B$16,MAX(0,C380-L380)),0),0)</f>
        <v>0</v>
      </c>
      <c r="N380" s="32">
        <f t="shared" si="93"/>
        <v>0</v>
      </c>
      <c r="O380" s="32">
        <f t="shared" si="94"/>
        <v>10751874</v>
      </c>
      <c r="P380" s="34" t="str">
        <f>IF(NOT(AND(T379="",A380&lt;=S379)),"",IF(A380=入力!$B$15+1,"繰上返済後再計算","")&amp;IF(AND(入力!$B$13="有効",A380&gt;1,MOD(A380-1,60)=0),IF(A380=入力!$B$15+1,"・","")&amp;"5年見直し","")&amp;IF(AND(A380=入力!$B$11,A380&gt;1),IF(OR(A380=入力!$B$15+1,AND(入力!$B$13="有効",A380&gt;1,MOD(A380-1,60)=0)),"・","")&amp;"金利変更","")&amp;IF(AND(OR(AND(入力!$B$13="有効",A380&gt;1,MOD(A380-1,60)=0),AND(A380=入力!$B$11,A380&gt;1)),入力!$B$14="有効",IF(E380=0,ROUND(C380/MAX(1,S379-A380+1),0),ROUND(-PMT(E380/12,MAX(1,S379-A380+1),C380),0))&gt;ROUND(G379*1.25,0),NOT(A380=入力!$B$15+1)),"・上限適用",""))</f>
        <v/>
      </c>
      <c r="Q380" s="35" t="str">
        <f>IF(AND(T379="",A380&lt;=S379),入力!$B$13,"")</f>
        <v/>
      </c>
      <c r="R380" s="32" t="str">
        <f>IF(AND(AND(T379="",A380&lt;=S379),OR(AND(入力!$B$13="有効",A380&gt;1,MOD(A380-1,60)=0),AND(A380=入力!$B$11,A380&gt;1)),入力!$B$14="有効"),ROUND(G379*1.25,0),"")</f>
        <v/>
      </c>
      <c r="S380" s="36">
        <f>IF(A380=入力!$B$15,A380+入力!$B$19,S379)</f>
        <v>360</v>
      </c>
      <c r="T380" s="35" t="str">
        <f t="shared" si="95"/>
        <v/>
      </c>
      <c r="U380" s="3">
        <f t="shared" si="80"/>
        <v>0</v>
      </c>
      <c r="V380" s="3">
        <f t="shared" si="81"/>
        <v>0</v>
      </c>
      <c r="W380" s="3">
        <f t="shared" si="82"/>
        <v>0</v>
      </c>
      <c r="X380" s="3">
        <f t="shared" si="83"/>
        <v>0</v>
      </c>
      <c r="Y380" s="3">
        <f>IF(A380&lt;入力!$B$15,ABS(G380-何もしない_月次!G380),0)</f>
        <v>0</v>
      </c>
      <c r="Z380" s="3">
        <f t="shared" si="84"/>
        <v>0</v>
      </c>
      <c r="AA380">
        <f>ROUND(IF(A380=入力!$B$15+1,IF(E380=0,ROUND(C380/入力!$B$19,0),ROUND(-PMT(E380/12,入力!$B$19,C380),0)),IF(OR(AND(入力!$B$13="有効",A380&gt;1,MOD(A380-1,60)=0),AND(A380=入力!$B$11,A380&gt;1)),IF(入力!$B$14="有効",MIN(IF(E380=0,ROUND(C380/MAX(1,S379-A380+1),0),ROUND(-PMT(E380/12,MAX(1,S379-A380+1),C380),0)),ROUND(G379*1.25,0)),IF(E380=0,ROUND(C380/MAX(1,S379-A380+1),0),ROUND(-PMT(E380/12,MAX(1,S379-A380+1),C380),0))),G379)),0)</f>
        <v>0</v>
      </c>
    </row>
    <row r="381" spans="1:27">
      <c r="A381" s="30">
        <f>376</f>
        <v>376</v>
      </c>
      <c r="B381" s="31">
        <f>EDATE(入力!$B$6,A381-1)</f>
        <v>57650</v>
      </c>
      <c r="C381" s="32">
        <f t="shared" si="85"/>
        <v>0</v>
      </c>
      <c r="D381" s="32">
        <f t="shared" si="86"/>
        <v>0</v>
      </c>
      <c r="E381" s="33">
        <f>IF(AND(T380="",A381&lt;=S380),IF(A381&lt;入力!$B$11,入力!$B$10,入力!$B$12),0)</f>
        <v>0</v>
      </c>
      <c r="F381" s="32">
        <f t="shared" si="87"/>
        <v>0</v>
      </c>
      <c r="G381" s="32">
        <f>ROUND(IF(NOT(AND(T380="",A381&lt;=S380)),0,IF(A381=入力!$B$15+1,IF(E381=0,ROUND(C381/入力!$B$19,0),ROUND(-PMT(E381/12,入力!$B$19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),0)</f>
        <v>0</v>
      </c>
      <c r="H381" s="32">
        <f t="shared" si="88"/>
        <v>0</v>
      </c>
      <c r="I381" s="32">
        <f t="shared" si="89"/>
        <v>0</v>
      </c>
      <c r="J381" s="32">
        <f t="shared" si="90"/>
        <v>0</v>
      </c>
      <c r="K381" s="32">
        <f t="shared" si="91"/>
        <v>0</v>
      </c>
      <c r="L381" s="32">
        <f t="shared" si="92"/>
        <v>0</v>
      </c>
      <c r="M381" s="32">
        <f>IF(AND(AND(T380="",A381&lt;=S380),A381=入力!$B$15),ROUND(MIN(入力!$B$16,MAX(0,C381-L381)),0),0)</f>
        <v>0</v>
      </c>
      <c r="N381" s="32">
        <f t="shared" si="93"/>
        <v>0</v>
      </c>
      <c r="O381" s="32">
        <f t="shared" si="94"/>
        <v>10751874</v>
      </c>
      <c r="P381" s="34" t="str">
        <f>IF(NOT(AND(T380="",A381&lt;=S380)),"",IF(A381=入力!$B$15+1,"繰上返済後再計算","")&amp;IF(AND(入力!$B$13="有効",A381&gt;1,MOD(A381-1,60)=0),IF(A381=入力!$B$15+1,"・","")&amp;"5年見直し","")&amp;IF(AND(A381=入力!$B$11,A381&gt;1),IF(OR(A381=入力!$B$15+1,AND(入力!$B$13="有効",A381&gt;1,MOD(A381-1,60)=0)),"・","")&amp;"金利変更","")&amp;IF(AND(OR(AND(入力!$B$13="有効",A381&gt;1,MOD(A381-1,60)=0),AND(A381=入力!$B$11,A381&gt;1)),入力!$B$14="有効",IF(E381=0,ROUND(C381/MAX(1,S380-A381+1),0),ROUND(-PMT(E381/12,MAX(1,S380-A381+1),C381),0))&gt;ROUND(G380*1.25,0),NOT(A381=入力!$B$15+1)),"・上限適用",""))</f>
        <v/>
      </c>
      <c r="Q381" s="35" t="str">
        <f>IF(AND(T380="",A381&lt;=S380),入力!$B$13,"")</f>
        <v/>
      </c>
      <c r="R381" s="32" t="str">
        <f>IF(AND(AND(T380="",A381&lt;=S380),OR(AND(入力!$B$13="有効",A381&gt;1,MOD(A381-1,60)=0),AND(A381=入力!$B$11,A381&gt;1)),入力!$B$14="有効"),ROUND(G380*1.25,0),"")</f>
        <v/>
      </c>
      <c r="S381" s="36">
        <f>IF(A381=入力!$B$15,A381+入力!$B$19,S380)</f>
        <v>360</v>
      </c>
      <c r="T381" s="35" t="str">
        <f t="shared" si="95"/>
        <v/>
      </c>
      <c r="U381" s="3">
        <f t="shared" si="80"/>
        <v>0</v>
      </c>
      <c r="V381" s="3">
        <f t="shared" si="81"/>
        <v>0</v>
      </c>
      <c r="W381" s="3">
        <f t="shared" si="82"/>
        <v>0</v>
      </c>
      <c r="X381" s="3">
        <f t="shared" si="83"/>
        <v>0</v>
      </c>
      <c r="Y381" s="3">
        <f>IF(A381&lt;入力!$B$15,ABS(G381-何もしない_月次!G381),0)</f>
        <v>0</v>
      </c>
      <c r="Z381" s="3">
        <f t="shared" si="84"/>
        <v>0</v>
      </c>
      <c r="AA381">
        <f>ROUND(IF(A381=入力!$B$15+1,IF(E381=0,ROUND(C381/入力!$B$19,0),ROUND(-PMT(E381/12,入力!$B$19,C381),0)),IF(OR(AND(入力!$B$13="有効",A381&gt;1,MOD(A381-1,60)=0),AND(A381=入力!$B$11,A381&gt;1)),IF(入力!$B$14="有効",MIN(IF(E381=0,ROUND(C381/MAX(1,S380-A381+1),0),ROUND(-PMT(E381/12,MAX(1,S380-A381+1),C381),0)),ROUND(G380*1.25,0)),IF(E381=0,ROUND(C381/MAX(1,S380-A381+1),0),ROUND(-PMT(E381/12,MAX(1,S380-A381+1),C381),0))),G380)),0)</f>
        <v>0</v>
      </c>
    </row>
    <row r="382" spans="1:27">
      <c r="A382" s="30">
        <f>377</f>
        <v>377</v>
      </c>
      <c r="B382" s="31">
        <f>EDATE(入力!$B$6,A382-1)</f>
        <v>57680</v>
      </c>
      <c r="C382" s="32">
        <f t="shared" si="85"/>
        <v>0</v>
      </c>
      <c r="D382" s="32">
        <f t="shared" si="86"/>
        <v>0</v>
      </c>
      <c r="E382" s="33">
        <f>IF(AND(T381="",A382&lt;=S381),IF(A382&lt;入力!$B$11,入力!$B$10,入力!$B$12),0)</f>
        <v>0</v>
      </c>
      <c r="F382" s="32">
        <f t="shared" si="87"/>
        <v>0</v>
      </c>
      <c r="G382" s="32">
        <f>ROUND(IF(NOT(AND(T381="",A382&lt;=S381)),0,IF(A382=入力!$B$15+1,IF(E382=0,ROUND(C382/入力!$B$19,0),ROUND(-PMT(E382/12,入力!$B$19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),0)</f>
        <v>0</v>
      </c>
      <c r="H382" s="32">
        <f t="shared" si="88"/>
        <v>0</v>
      </c>
      <c r="I382" s="32">
        <f t="shared" si="89"/>
        <v>0</v>
      </c>
      <c r="J382" s="32">
        <f t="shared" si="90"/>
        <v>0</v>
      </c>
      <c r="K382" s="32">
        <f t="shared" si="91"/>
        <v>0</v>
      </c>
      <c r="L382" s="32">
        <f t="shared" si="92"/>
        <v>0</v>
      </c>
      <c r="M382" s="32">
        <f>IF(AND(AND(T381="",A382&lt;=S381),A382=入力!$B$15),ROUND(MIN(入力!$B$16,MAX(0,C382-L382)),0),0)</f>
        <v>0</v>
      </c>
      <c r="N382" s="32">
        <f t="shared" si="93"/>
        <v>0</v>
      </c>
      <c r="O382" s="32">
        <f t="shared" si="94"/>
        <v>10751874</v>
      </c>
      <c r="P382" s="34" t="str">
        <f>IF(NOT(AND(T381="",A382&lt;=S381)),"",IF(A382=入力!$B$15+1,"繰上返済後再計算","")&amp;IF(AND(入力!$B$13="有効",A382&gt;1,MOD(A382-1,60)=0),IF(A382=入力!$B$15+1,"・","")&amp;"5年見直し","")&amp;IF(AND(A382=入力!$B$11,A382&gt;1),IF(OR(A382=入力!$B$15+1,AND(入力!$B$13="有効",A382&gt;1,MOD(A382-1,60)=0)),"・","")&amp;"金利変更","")&amp;IF(AND(OR(AND(入力!$B$13="有効",A382&gt;1,MOD(A382-1,60)=0),AND(A382=入力!$B$11,A382&gt;1)),入力!$B$14="有効",IF(E382=0,ROUND(C382/MAX(1,S381-A382+1),0),ROUND(-PMT(E382/12,MAX(1,S381-A382+1),C382),0))&gt;ROUND(G381*1.25,0),NOT(A382=入力!$B$15+1)),"・上限適用",""))</f>
        <v/>
      </c>
      <c r="Q382" s="35" t="str">
        <f>IF(AND(T381="",A382&lt;=S381),入力!$B$13,"")</f>
        <v/>
      </c>
      <c r="R382" s="32" t="str">
        <f>IF(AND(AND(T381="",A382&lt;=S381),OR(AND(入力!$B$13="有効",A382&gt;1,MOD(A382-1,60)=0),AND(A382=入力!$B$11,A382&gt;1)),入力!$B$14="有効"),ROUND(G381*1.25,0),"")</f>
        <v/>
      </c>
      <c r="S382" s="36">
        <f>IF(A382=入力!$B$15,A382+入力!$B$19,S381)</f>
        <v>360</v>
      </c>
      <c r="T382" s="35" t="str">
        <f t="shared" si="95"/>
        <v/>
      </c>
      <c r="U382" s="3">
        <f t="shared" si="80"/>
        <v>0</v>
      </c>
      <c r="V382" s="3">
        <f t="shared" si="81"/>
        <v>0</v>
      </c>
      <c r="W382" s="3">
        <f t="shared" si="82"/>
        <v>0</v>
      </c>
      <c r="X382" s="3">
        <f t="shared" si="83"/>
        <v>0</v>
      </c>
      <c r="Y382" s="3">
        <f>IF(A382&lt;入力!$B$15,ABS(G382-何もしない_月次!G382),0)</f>
        <v>0</v>
      </c>
      <c r="Z382" s="3">
        <f t="shared" si="84"/>
        <v>0</v>
      </c>
      <c r="AA382">
        <f>ROUND(IF(A382=入力!$B$15+1,IF(E382=0,ROUND(C382/入力!$B$19,0),ROUND(-PMT(E382/12,入力!$B$19,C382),0)),IF(OR(AND(入力!$B$13="有効",A382&gt;1,MOD(A382-1,60)=0),AND(A382=入力!$B$11,A382&gt;1)),IF(入力!$B$14="有効",MIN(IF(E382=0,ROUND(C382/MAX(1,S381-A382+1),0),ROUND(-PMT(E382/12,MAX(1,S381-A382+1),C382),0)),ROUND(G381*1.25,0)),IF(E382=0,ROUND(C382/MAX(1,S381-A382+1),0),ROUND(-PMT(E382/12,MAX(1,S381-A382+1),C382),0))),G381)),0)</f>
        <v>0</v>
      </c>
    </row>
    <row r="383" spans="1:27">
      <c r="A383" s="30">
        <f>378</f>
        <v>378</v>
      </c>
      <c r="B383" s="31">
        <f>EDATE(入力!$B$6,A383-1)</f>
        <v>57711</v>
      </c>
      <c r="C383" s="32">
        <f t="shared" si="85"/>
        <v>0</v>
      </c>
      <c r="D383" s="32">
        <f t="shared" si="86"/>
        <v>0</v>
      </c>
      <c r="E383" s="33">
        <f>IF(AND(T382="",A383&lt;=S382),IF(A383&lt;入力!$B$11,入力!$B$10,入力!$B$12),0)</f>
        <v>0</v>
      </c>
      <c r="F383" s="32">
        <f t="shared" si="87"/>
        <v>0</v>
      </c>
      <c r="G383" s="32">
        <f>ROUND(IF(NOT(AND(T382="",A383&lt;=S382)),0,IF(A383=入力!$B$15+1,IF(E383=0,ROUND(C383/入力!$B$19,0),ROUND(-PMT(E383/12,入力!$B$19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),0)</f>
        <v>0</v>
      </c>
      <c r="H383" s="32">
        <f t="shared" si="88"/>
        <v>0</v>
      </c>
      <c r="I383" s="32">
        <f t="shared" si="89"/>
        <v>0</v>
      </c>
      <c r="J383" s="32">
        <f t="shared" si="90"/>
        <v>0</v>
      </c>
      <c r="K383" s="32">
        <f t="shared" si="91"/>
        <v>0</v>
      </c>
      <c r="L383" s="32">
        <f t="shared" si="92"/>
        <v>0</v>
      </c>
      <c r="M383" s="32">
        <f>IF(AND(AND(T382="",A383&lt;=S382),A383=入力!$B$15),ROUND(MIN(入力!$B$16,MAX(0,C383-L383)),0),0)</f>
        <v>0</v>
      </c>
      <c r="N383" s="32">
        <f t="shared" si="93"/>
        <v>0</v>
      </c>
      <c r="O383" s="32">
        <f t="shared" si="94"/>
        <v>10751874</v>
      </c>
      <c r="P383" s="34" t="str">
        <f>IF(NOT(AND(T382="",A383&lt;=S382)),"",IF(A383=入力!$B$15+1,"繰上返済後再計算","")&amp;IF(AND(入力!$B$13="有効",A383&gt;1,MOD(A383-1,60)=0),IF(A383=入力!$B$15+1,"・","")&amp;"5年見直し","")&amp;IF(AND(A383=入力!$B$11,A383&gt;1),IF(OR(A383=入力!$B$15+1,AND(入力!$B$13="有効",A383&gt;1,MOD(A383-1,60)=0)),"・","")&amp;"金利変更","")&amp;IF(AND(OR(AND(入力!$B$13="有効",A383&gt;1,MOD(A383-1,60)=0),AND(A383=入力!$B$11,A383&gt;1)),入力!$B$14="有効",IF(E383=0,ROUND(C383/MAX(1,S382-A383+1),0),ROUND(-PMT(E383/12,MAX(1,S382-A383+1),C383),0))&gt;ROUND(G382*1.25,0),NOT(A383=入力!$B$15+1)),"・上限適用",""))</f>
        <v/>
      </c>
      <c r="Q383" s="35" t="str">
        <f>IF(AND(T382="",A383&lt;=S382),入力!$B$13,"")</f>
        <v/>
      </c>
      <c r="R383" s="32" t="str">
        <f>IF(AND(AND(T382="",A383&lt;=S382),OR(AND(入力!$B$13="有効",A383&gt;1,MOD(A383-1,60)=0),AND(A383=入力!$B$11,A383&gt;1)),入力!$B$14="有効"),ROUND(G382*1.25,0),"")</f>
        <v/>
      </c>
      <c r="S383" s="36">
        <f>IF(A383=入力!$B$15,A383+入力!$B$19,S382)</f>
        <v>360</v>
      </c>
      <c r="T383" s="35" t="str">
        <f t="shared" si="95"/>
        <v/>
      </c>
      <c r="U383" s="3">
        <f t="shared" si="80"/>
        <v>0</v>
      </c>
      <c r="V383" s="3">
        <f t="shared" si="81"/>
        <v>0</v>
      </c>
      <c r="W383" s="3">
        <f t="shared" si="82"/>
        <v>0</v>
      </c>
      <c r="X383" s="3">
        <f t="shared" si="83"/>
        <v>0</v>
      </c>
      <c r="Y383" s="3">
        <f>IF(A383&lt;入力!$B$15,ABS(G383-何もしない_月次!G383),0)</f>
        <v>0</v>
      </c>
      <c r="Z383" s="3">
        <f t="shared" si="84"/>
        <v>0</v>
      </c>
      <c r="AA383">
        <f>ROUND(IF(A383=入力!$B$15+1,IF(E383=0,ROUND(C383/入力!$B$19,0),ROUND(-PMT(E383/12,入力!$B$19,C383),0)),IF(OR(AND(入力!$B$13="有効",A383&gt;1,MOD(A383-1,60)=0),AND(A383=入力!$B$11,A383&gt;1)),IF(入力!$B$14="有効",MIN(IF(E383=0,ROUND(C383/MAX(1,S382-A383+1),0),ROUND(-PMT(E383/12,MAX(1,S382-A383+1),C383),0)),ROUND(G382*1.25,0)),IF(E383=0,ROUND(C383/MAX(1,S382-A383+1),0),ROUND(-PMT(E383/12,MAX(1,S382-A383+1),C383),0))),G382)),0)</f>
        <v>0</v>
      </c>
    </row>
    <row r="384" spans="1:27">
      <c r="A384" s="30">
        <f>379</f>
        <v>379</v>
      </c>
      <c r="B384" s="31">
        <f>EDATE(入力!$B$6,A384-1)</f>
        <v>57742</v>
      </c>
      <c r="C384" s="32">
        <f t="shared" si="85"/>
        <v>0</v>
      </c>
      <c r="D384" s="32">
        <f t="shared" si="86"/>
        <v>0</v>
      </c>
      <c r="E384" s="33">
        <f>IF(AND(T383="",A384&lt;=S383),IF(A384&lt;入力!$B$11,入力!$B$10,入力!$B$12),0)</f>
        <v>0</v>
      </c>
      <c r="F384" s="32">
        <f t="shared" si="87"/>
        <v>0</v>
      </c>
      <c r="G384" s="32">
        <f>ROUND(IF(NOT(AND(T383="",A384&lt;=S383)),0,IF(A384=入力!$B$15+1,IF(E384=0,ROUND(C384/入力!$B$19,0),ROUND(-PMT(E384/12,入力!$B$19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),0)</f>
        <v>0</v>
      </c>
      <c r="H384" s="32">
        <f t="shared" si="88"/>
        <v>0</v>
      </c>
      <c r="I384" s="32">
        <f t="shared" si="89"/>
        <v>0</v>
      </c>
      <c r="J384" s="32">
        <f t="shared" si="90"/>
        <v>0</v>
      </c>
      <c r="K384" s="32">
        <f t="shared" si="91"/>
        <v>0</v>
      </c>
      <c r="L384" s="32">
        <f t="shared" si="92"/>
        <v>0</v>
      </c>
      <c r="M384" s="32">
        <f>IF(AND(AND(T383="",A384&lt;=S383),A384=入力!$B$15),ROUND(MIN(入力!$B$16,MAX(0,C384-L384)),0),0)</f>
        <v>0</v>
      </c>
      <c r="N384" s="32">
        <f t="shared" si="93"/>
        <v>0</v>
      </c>
      <c r="O384" s="32">
        <f t="shared" si="94"/>
        <v>10751874</v>
      </c>
      <c r="P384" s="34" t="str">
        <f>IF(NOT(AND(T383="",A384&lt;=S383)),"",IF(A384=入力!$B$15+1,"繰上返済後再計算","")&amp;IF(AND(入力!$B$13="有効",A384&gt;1,MOD(A384-1,60)=0),IF(A384=入力!$B$15+1,"・","")&amp;"5年見直し","")&amp;IF(AND(A384=入力!$B$11,A384&gt;1),IF(OR(A384=入力!$B$15+1,AND(入力!$B$13="有効",A384&gt;1,MOD(A384-1,60)=0)),"・","")&amp;"金利変更","")&amp;IF(AND(OR(AND(入力!$B$13="有効",A384&gt;1,MOD(A384-1,60)=0),AND(A384=入力!$B$11,A384&gt;1)),入力!$B$14="有効",IF(E384=0,ROUND(C384/MAX(1,S383-A384+1),0),ROUND(-PMT(E384/12,MAX(1,S383-A384+1),C384),0))&gt;ROUND(G383*1.25,0),NOT(A384=入力!$B$15+1)),"・上限適用",""))</f>
        <v/>
      </c>
      <c r="Q384" s="35" t="str">
        <f>IF(AND(T383="",A384&lt;=S383),入力!$B$13,"")</f>
        <v/>
      </c>
      <c r="R384" s="32" t="str">
        <f>IF(AND(AND(T383="",A384&lt;=S383),OR(AND(入力!$B$13="有効",A384&gt;1,MOD(A384-1,60)=0),AND(A384=入力!$B$11,A384&gt;1)),入力!$B$14="有効"),ROUND(G383*1.25,0),"")</f>
        <v/>
      </c>
      <c r="S384" s="36">
        <f>IF(A384=入力!$B$15,A384+入力!$B$19,S383)</f>
        <v>360</v>
      </c>
      <c r="T384" s="35" t="str">
        <f t="shared" si="95"/>
        <v/>
      </c>
      <c r="U384" s="3">
        <f t="shared" si="80"/>
        <v>0</v>
      </c>
      <c r="V384" s="3">
        <f t="shared" si="81"/>
        <v>0</v>
      </c>
      <c r="W384" s="3">
        <f t="shared" si="82"/>
        <v>0</v>
      </c>
      <c r="X384" s="3">
        <f t="shared" si="83"/>
        <v>0</v>
      </c>
      <c r="Y384" s="3">
        <f>IF(A384&lt;入力!$B$15,ABS(G384-何もしない_月次!G384),0)</f>
        <v>0</v>
      </c>
      <c r="Z384" s="3">
        <f t="shared" si="84"/>
        <v>0</v>
      </c>
      <c r="AA384">
        <f>ROUND(IF(A384=入力!$B$15+1,IF(E384=0,ROUND(C384/入力!$B$19,0),ROUND(-PMT(E384/12,入力!$B$19,C384),0)),IF(OR(AND(入力!$B$13="有効",A384&gt;1,MOD(A384-1,60)=0),AND(A384=入力!$B$11,A384&gt;1)),IF(入力!$B$14="有効",MIN(IF(E384=0,ROUND(C384/MAX(1,S383-A384+1),0),ROUND(-PMT(E384/12,MAX(1,S383-A384+1),C384),0)),ROUND(G383*1.25,0)),IF(E384=0,ROUND(C384/MAX(1,S383-A384+1),0),ROUND(-PMT(E384/12,MAX(1,S383-A384+1),C384),0))),G383)),0)</f>
        <v>0</v>
      </c>
    </row>
    <row r="385" spans="1:27">
      <c r="A385" s="30">
        <f>380</f>
        <v>380</v>
      </c>
      <c r="B385" s="31">
        <f>EDATE(入力!$B$6,A385-1)</f>
        <v>57770</v>
      </c>
      <c r="C385" s="32">
        <f t="shared" si="85"/>
        <v>0</v>
      </c>
      <c r="D385" s="32">
        <f t="shared" si="86"/>
        <v>0</v>
      </c>
      <c r="E385" s="33">
        <f>IF(AND(T384="",A385&lt;=S384),IF(A385&lt;入力!$B$11,入力!$B$10,入力!$B$12),0)</f>
        <v>0</v>
      </c>
      <c r="F385" s="32">
        <f t="shared" si="87"/>
        <v>0</v>
      </c>
      <c r="G385" s="32">
        <f>ROUND(IF(NOT(AND(T384="",A385&lt;=S384)),0,IF(A385=入力!$B$15+1,IF(E385=0,ROUND(C385/入力!$B$19,0),ROUND(-PMT(E385/12,入力!$B$19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),0)</f>
        <v>0</v>
      </c>
      <c r="H385" s="32">
        <f t="shared" si="88"/>
        <v>0</v>
      </c>
      <c r="I385" s="32">
        <f t="shared" si="89"/>
        <v>0</v>
      </c>
      <c r="J385" s="32">
        <f t="shared" si="90"/>
        <v>0</v>
      </c>
      <c r="K385" s="32">
        <f t="shared" si="91"/>
        <v>0</v>
      </c>
      <c r="L385" s="32">
        <f t="shared" si="92"/>
        <v>0</v>
      </c>
      <c r="M385" s="32">
        <f>IF(AND(AND(T384="",A385&lt;=S384),A385=入力!$B$15),ROUND(MIN(入力!$B$16,MAX(0,C385-L385)),0),0)</f>
        <v>0</v>
      </c>
      <c r="N385" s="32">
        <f t="shared" si="93"/>
        <v>0</v>
      </c>
      <c r="O385" s="32">
        <f t="shared" si="94"/>
        <v>10751874</v>
      </c>
      <c r="P385" s="34" t="str">
        <f>IF(NOT(AND(T384="",A385&lt;=S384)),"",IF(A385=入力!$B$15+1,"繰上返済後再計算","")&amp;IF(AND(入力!$B$13="有効",A385&gt;1,MOD(A385-1,60)=0),IF(A385=入力!$B$15+1,"・","")&amp;"5年見直し","")&amp;IF(AND(A385=入力!$B$11,A385&gt;1),IF(OR(A385=入力!$B$15+1,AND(入力!$B$13="有効",A385&gt;1,MOD(A385-1,60)=0)),"・","")&amp;"金利変更","")&amp;IF(AND(OR(AND(入力!$B$13="有効",A385&gt;1,MOD(A385-1,60)=0),AND(A385=入力!$B$11,A385&gt;1)),入力!$B$14="有効",IF(E385=0,ROUND(C385/MAX(1,S384-A385+1),0),ROUND(-PMT(E385/12,MAX(1,S384-A385+1),C385),0))&gt;ROUND(G384*1.25,0),NOT(A385=入力!$B$15+1)),"・上限適用",""))</f>
        <v/>
      </c>
      <c r="Q385" s="35" t="str">
        <f>IF(AND(T384="",A385&lt;=S384),入力!$B$13,"")</f>
        <v/>
      </c>
      <c r="R385" s="32" t="str">
        <f>IF(AND(AND(T384="",A385&lt;=S384),OR(AND(入力!$B$13="有効",A385&gt;1,MOD(A385-1,60)=0),AND(A385=入力!$B$11,A385&gt;1)),入力!$B$14="有効"),ROUND(G384*1.25,0),"")</f>
        <v/>
      </c>
      <c r="S385" s="36">
        <f>IF(A385=入力!$B$15,A385+入力!$B$19,S384)</f>
        <v>360</v>
      </c>
      <c r="T385" s="35" t="str">
        <f t="shared" si="95"/>
        <v/>
      </c>
      <c r="U385" s="3">
        <f t="shared" si="80"/>
        <v>0</v>
      </c>
      <c r="V385" s="3">
        <f t="shared" si="81"/>
        <v>0</v>
      </c>
      <c r="W385" s="3">
        <f t="shared" si="82"/>
        <v>0</v>
      </c>
      <c r="X385" s="3">
        <f t="shared" si="83"/>
        <v>0</v>
      </c>
      <c r="Y385" s="3">
        <f>IF(A385&lt;入力!$B$15,ABS(G385-何もしない_月次!G385),0)</f>
        <v>0</v>
      </c>
      <c r="Z385" s="3">
        <f t="shared" si="84"/>
        <v>0</v>
      </c>
      <c r="AA385">
        <f>ROUND(IF(A385=入力!$B$15+1,IF(E385=0,ROUND(C385/入力!$B$19,0),ROUND(-PMT(E385/12,入力!$B$19,C385),0)),IF(OR(AND(入力!$B$13="有効",A385&gt;1,MOD(A385-1,60)=0),AND(A385=入力!$B$11,A385&gt;1)),IF(入力!$B$14="有効",MIN(IF(E385=0,ROUND(C385/MAX(1,S384-A385+1),0),ROUND(-PMT(E385/12,MAX(1,S384-A385+1),C385),0)),ROUND(G384*1.25,0)),IF(E385=0,ROUND(C385/MAX(1,S384-A385+1),0),ROUND(-PMT(E385/12,MAX(1,S384-A385+1),C385),0))),G384)),0)</f>
        <v>0</v>
      </c>
    </row>
    <row r="386" spans="1:27">
      <c r="A386" s="30">
        <f>381</f>
        <v>381</v>
      </c>
      <c r="B386" s="31">
        <f>EDATE(入力!$B$6,A386-1)</f>
        <v>57801</v>
      </c>
      <c r="C386" s="32">
        <f t="shared" si="85"/>
        <v>0</v>
      </c>
      <c r="D386" s="32">
        <f t="shared" si="86"/>
        <v>0</v>
      </c>
      <c r="E386" s="33">
        <f>IF(AND(T385="",A386&lt;=S385),IF(A386&lt;入力!$B$11,入力!$B$10,入力!$B$12),0)</f>
        <v>0</v>
      </c>
      <c r="F386" s="32">
        <f t="shared" si="87"/>
        <v>0</v>
      </c>
      <c r="G386" s="32">
        <f>ROUND(IF(NOT(AND(T385="",A386&lt;=S385)),0,IF(A386=入力!$B$15+1,IF(E386=0,ROUND(C386/入力!$B$19,0),ROUND(-PMT(E386/12,入力!$B$19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),0)</f>
        <v>0</v>
      </c>
      <c r="H386" s="32">
        <f t="shared" si="88"/>
        <v>0</v>
      </c>
      <c r="I386" s="32">
        <f t="shared" si="89"/>
        <v>0</v>
      </c>
      <c r="J386" s="32">
        <f t="shared" si="90"/>
        <v>0</v>
      </c>
      <c r="K386" s="32">
        <f t="shared" si="91"/>
        <v>0</v>
      </c>
      <c r="L386" s="32">
        <f t="shared" si="92"/>
        <v>0</v>
      </c>
      <c r="M386" s="32">
        <f>IF(AND(AND(T385="",A386&lt;=S385),A386=入力!$B$15),ROUND(MIN(入力!$B$16,MAX(0,C386-L386)),0),0)</f>
        <v>0</v>
      </c>
      <c r="N386" s="32">
        <f t="shared" si="93"/>
        <v>0</v>
      </c>
      <c r="O386" s="32">
        <f t="shared" si="94"/>
        <v>10751874</v>
      </c>
      <c r="P386" s="34" t="str">
        <f>IF(NOT(AND(T385="",A386&lt;=S385)),"",IF(A386=入力!$B$15+1,"繰上返済後再計算","")&amp;IF(AND(入力!$B$13="有効",A386&gt;1,MOD(A386-1,60)=0),IF(A386=入力!$B$15+1,"・","")&amp;"5年見直し","")&amp;IF(AND(A386=入力!$B$11,A386&gt;1),IF(OR(A386=入力!$B$15+1,AND(入力!$B$13="有効",A386&gt;1,MOD(A386-1,60)=0)),"・","")&amp;"金利変更","")&amp;IF(AND(OR(AND(入力!$B$13="有効",A386&gt;1,MOD(A386-1,60)=0),AND(A386=入力!$B$11,A386&gt;1)),入力!$B$14="有効",IF(E386=0,ROUND(C386/MAX(1,S385-A386+1),0),ROUND(-PMT(E386/12,MAX(1,S385-A386+1),C386),0))&gt;ROUND(G385*1.25,0),NOT(A386=入力!$B$15+1)),"・上限適用",""))</f>
        <v/>
      </c>
      <c r="Q386" s="35" t="str">
        <f>IF(AND(T385="",A386&lt;=S385),入力!$B$13,"")</f>
        <v/>
      </c>
      <c r="R386" s="32" t="str">
        <f>IF(AND(AND(T385="",A386&lt;=S385),OR(AND(入力!$B$13="有効",A386&gt;1,MOD(A386-1,60)=0),AND(A386=入力!$B$11,A386&gt;1)),入力!$B$14="有効"),ROUND(G385*1.25,0),"")</f>
        <v/>
      </c>
      <c r="S386" s="36">
        <f>IF(A386=入力!$B$15,A386+入力!$B$19,S385)</f>
        <v>360</v>
      </c>
      <c r="T386" s="35" t="str">
        <f t="shared" si="95"/>
        <v/>
      </c>
      <c r="U386" s="3">
        <f t="shared" si="80"/>
        <v>0</v>
      </c>
      <c r="V386" s="3">
        <f t="shared" si="81"/>
        <v>0</v>
      </c>
      <c r="W386" s="3">
        <f t="shared" si="82"/>
        <v>0</v>
      </c>
      <c r="X386" s="3">
        <f t="shared" si="83"/>
        <v>0</v>
      </c>
      <c r="Y386" s="3">
        <f>IF(A386&lt;入力!$B$15,ABS(G386-何もしない_月次!G386),0)</f>
        <v>0</v>
      </c>
      <c r="Z386" s="3">
        <f t="shared" si="84"/>
        <v>0</v>
      </c>
      <c r="AA386">
        <f>ROUND(IF(A386=入力!$B$15+1,IF(E386=0,ROUND(C386/入力!$B$19,0),ROUND(-PMT(E386/12,入力!$B$19,C386),0)),IF(OR(AND(入力!$B$13="有効",A386&gt;1,MOD(A386-1,60)=0),AND(A386=入力!$B$11,A386&gt;1)),IF(入力!$B$14="有効",MIN(IF(E386=0,ROUND(C386/MAX(1,S385-A386+1),0),ROUND(-PMT(E386/12,MAX(1,S385-A386+1),C386),0)),ROUND(G385*1.25,0)),IF(E386=0,ROUND(C386/MAX(1,S385-A386+1),0),ROUND(-PMT(E386/12,MAX(1,S385-A386+1),C386),0))),G385)),0)</f>
        <v>0</v>
      </c>
    </row>
    <row r="387" spans="1:27">
      <c r="A387" s="30">
        <f>382</f>
        <v>382</v>
      </c>
      <c r="B387" s="31">
        <f>EDATE(入力!$B$6,A387-1)</f>
        <v>57831</v>
      </c>
      <c r="C387" s="32">
        <f t="shared" si="85"/>
        <v>0</v>
      </c>
      <c r="D387" s="32">
        <f t="shared" si="86"/>
        <v>0</v>
      </c>
      <c r="E387" s="33">
        <f>IF(AND(T386="",A387&lt;=S386),IF(A387&lt;入力!$B$11,入力!$B$10,入力!$B$12),0)</f>
        <v>0</v>
      </c>
      <c r="F387" s="32">
        <f t="shared" si="87"/>
        <v>0</v>
      </c>
      <c r="G387" s="32">
        <f>ROUND(IF(NOT(AND(T386="",A387&lt;=S386)),0,IF(A387=入力!$B$15+1,IF(E387=0,ROUND(C387/入力!$B$19,0),ROUND(-PMT(E387/12,入力!$B$19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),0)</f>
        <v>0</v>
      </c>
      <c r="H387" s="32">
        <f t="shared" si="88"/>
        <v>0</v>
      </c>
      <c r="I387" s="32">
        <f t="shared" si="89"/>
        <v>0</v>
      </c>
      <c r="J387" s="32">
        <f t="shared" si="90"/>
        <v>0</v>
      </c>
      <c r="K387" s="32">
        <f t="shared" si="91"/>
        <v>0</v>
      </c>
      <c r="L387" s="32">
        <f t="shared" si="92"/>
        <v>0</v>
      </c>
      <c r="M387" s="32">
        <f>IF(AND(AND(T386="",A387&lt;=S386),A387=入力!$B$15),ROUND(MIN(入力!$B$16,MAX(0,C387-L387)),0),0)</f>
        <v>0</v>
      </c>
      <c r="N387" s="32">
        <f t="shared" si="93"/>
        <v>0</v>
      </c>
      <c r="O387" s="32">
        <f t="shared" si="94"/>
        <v>10751874</v>
      </c>
      <c r="P387" s="34" t="str">
        <f>IF(NOT(AND(T386="",A387&lt;=S386)),"",IF(A387=入力!$B$15+1,"繰上返済後再計算","")&amp;IF(AND(入力!$B$13="有効",A387&gt;1,MOD(A387-1,60)=0),IF(A387=入力!$B$15+1,"・","")&amp;"5年見直し","")&amp;IF(AND(A387=入力!$B$11,A387&gt;1),IF(OR(A387=入力!$B$15+1,AND(入力!$B$13="有効",A387&gt;1,MOD(A387-1,60)=0)),"・","")&amp;"金利変更","")&amp;IF(AND(OR(AND(入力!$B$13="有効",A387&gt;1,MOD(A387-1,60)=0),AND(A387=入力!$B$11,A387&gt;1)),入力!$B$14="有効",IF(E387=0,ROUND(C387/MAX(1,S386-A387+1),0),ROUND(-PMT(E387/12,MAX(1,S386-A387+1),C387),0))&gt;ROUND(G386*1.25,0),NOT(A387=入力!$B$15+1)),"・上限適用",""))</f>
        <v/>
      </c>
      <c r="Q387" s="35" t="str">
        <f>IF(AND(T386="",A387&lt;=S386),入力!$B$13,"")</f>
        <v/>
      </c>
      <c r="R387" s="32" t="str">
        <f>IF(AND(AND(T386="",A387&lt;=S386),OR(AND(入力!$B$13="有効",A387&gt;1,MOD(A387-1,60)=0),AND(A387=入力!$B$11,A387&gt;1)),入力!$B$14="有効"),ROUND(G386*1.25,0),"")</f>
        <v/>
      </c>
      <c r="S387" s="36">
        <f>IF(A387=入力!$B$15,A387+入力!$B$19,S386)</f>
        <v>360</v>
      </c>
      <c r="T387" s="35" t="str">
        <f t="shared" si="95"/>
        <v/>
      </c>
      <c r="U387" s="3">
        <f t="shared" si="80"/>
        <v>0</v>
      </c>
      <c r="V387" s="3">
        <f t="shared" si="81"/>
        <v>0</v>
      </c>
      <c r="W387" s="3">
        <f t="shared" si="82"/>
        <v>0</v>
      </c>
      <c r="X387" s="3">
        <f t="shared" si="83"/>
        <v>0</v>
      </c>
      <c r="Y387" s="3">
        <f>IF(A387&lt;入力!$B$15,ABS(G387-何もしない_月次!G387),0)</f>
        <v>0</v>
      </c>
      <c r="Z387" s="3">
        <f t="shared" si="84"/>
        <v>0</v>
      </c>
      <c r="AA387">
        <f>ROUND(IF(A387=入力!$B$15+1,IF(E387=0,ROUND(C387/入力!$B$19,0),ROUND(-PMT(E387/12,入力!$B$19,C387),0)),IF(OR(AND(入力!$B$13="有効",A387&gt;1,MOD(A387-1,60)=0),AND(A387=入力!$B$11,A387&gt;1)),IF(入力!$B$14="有効",MIN(IF(E387=0,ROUND(C387/MAX(1,S386-A387+1),0),ROUND(-PMT(E387/12,MAX(1,S386-A387+1),C387),0)),ROUND(G386*1.25,0)),IF(E387=0,ROUND(C387/MAX(1,S386-A387+1),0),ROUND(-PMT(E387/12,MAX(1,S386-A387+1),C387),0))),G386)),0)</f>
        <v>0</v>
      </c>
    </row>
    <row r="388" spans="1:27">
      <c r="A388" s="30">
        <f>383</f>
        <v>383</v>
      </c>
      <c r="B388" s="31">
        <f>EDATE(入力!$B$6,A388-1)</f>
        <v>57862</v>
      </c>
      <c r="C388" s="32">
        <f t="shared" si="85"/>
        <v>0</v>
      </c>
      <c r="D388" s="32">
        <f t="shared" si="86"/>
        <v>0</v>
      </c>
      <c r="E388" s="33">
        <f>IF(AND(T387="",A388&lt;=S387),IF(A388&lt;入力!$B$11,入力!$B$10,入力!$B$12),0)</f>
        <v>0</v>
      </c>
      <c r="F388" s="32">
        <f t="shared" si="87"/>
        <v>0</v>
      </c>
      <c r="G388" s="32">
        <f>ROUND(IF(NOT(AND(T387="",A388&lt;=S387)),0,IF(A388=入力!$B$15+1,IF(E388=0,ROUND(C388/入力!$B$19,0),ROUND(-PMT(E388/12,入力!$B$19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),0)</f>
        <v>0</v>
      </c>
      <c r="H388" s="32">
        <f t="shared" si="88"/>
        <v>0</v>
      </c>
      <c r="I388" s="32">
        <f t="shared" si="89"/>
        <v>0</v>
      </c>
      <c r="J388" s="32">
        <f t="shared" si="90"/>
        <v>0</v>
      </c>
      <c r="K388" s="32">
        <f t="shared" si="91"/>
        <v>0</v>
      </c>
      <c r="L388" s="32">
        <f t="shared" si="92"/>
        <v>0</v>
      </c>
      <c r="M388" s="32">
        <f>IF(AND(AND(T387="",A388&lt;=S387),A388=入力!$B$15),ROUND(MIN(入力!$B$16,MAX(0,C388-L388)),0),0)</f>
        <v>0</v>
      </c>
      <c r="N388" s="32">
        <f t="shared" si="93"/>
        <v>0</v>
      </c>
      <c r="O388" s="32">
        <f t="shared" si="94"/>
        <v>10751874</v>
      </c>
      <c r="P388" s="34" t="str">
        <f>IF(NOT(AND(T387="",A388&lt;=S387)),"",IF(A388=入力!$B$15+1,"繰上返済後再計算","")&amp;IF(AND(入力!$B$13="有効",A388&gt;1,MOD(A388-1,60)=0),IF(A388=入力!$B$15+1,"・","")&amp;"5年見直し","")&amp;IF(AND(A388=入力!$B$11,A388&gt;1),IF(OR(A388=入力!$B$15+1,AND(入力!$B$13="有効",A388&gt;1,MOD(A388-1,60)=0)),"・","")&amp;"金利変更","")&amp;IF(AND(OR(AND(入力!$B$13="有効",A388&gt;1,MOD(A388-1,60)=0),AND(A388=入力!$B$11,A388&gt;1)),入力!$B$14="有効",IF(E388=0,ROUND(C388/MAX(1,S387-A388+1),0),ROUND(-PMT(E388/12,MAX(1,S387-A388+1),C388),0))&gt;ROUND(G387*1.25,0),NOT(A388=入力!$B$15+1)),"・上限適用",""))</f>
        <v/>
      </c>
      <c r="Q388" s="35" t="str">
        <f>IF(AND(T387="",A388&lt;=S387),入力!$B$13,"")</f>
        <v/>
      </c>
      <c r="R388" s="32" t="str">
        <f>IF(AND(AND(T387="",A388&lt;=S387),OR(AND(入力!$B$13="有効",A388&gt;1,MOD(A388-1,60)=0),AND(A388=入力!$B$11,A388&gt;1)),入力!$B$14="有効"),ROUND(G387*1.25,0),"")</f>
        <v/>
      </c>
      <c r="S388" s="36">
        <f>IF(A388=入力!$B$15,A388+入力!$B$19,S387)</f>
        <v>360</v>
      </c>
      <c r="T388" s="35" t="str">
        <f t="shared" si="95"/>
        <v/>
      </c>
      <c r="U388" s="3">
        <f t="shared" si="80"/>
        <v>0</v>
      </c>
      <c r="V388" s="3">
        <f t="shared" si="81"/>
        <v>0</v>
      </c>
      <c r="W388" s="3">
        <f t="shared" si="82"/>
        <v>0</v>
      </c>
      <c r="X388" s="3">
        <f t="shared" si="83"/>
        <v>0</v>
      </c>
      <c r="Y388" s="3">
        <f>IF(A388&lt;入力!$B$15,ABS(G388-何もしない_月次!G388),0)</f>
        <v>0</v>
      </c>
      <c r="Z388" s="3">
        <f t="shared" si="84"/>
        <v>0</v>
      </c>
      <c r="AA388">
        <f>ROUND(IF(A388=入力!$B$15+1,IF(E388=0,ROUND(C388/入力!$B$19,0),ROUND(-PMT(E388/12,入力!$B$19,C388),0)),IF(OR(AND(入力!$B$13="有効",A388&gt;1,MOD(A388-1,60)=0),AND(A388=入力!$B$11,A388&gt;1)),IF(入力!$B$14="有効",MIN(IF(E388=0,ROUND(C388/MAX(1,S387-A388+1),0),ROUND(-PMT(E388/12,MAX(1,S387-A388+1),C388),0)),ROUND(G387*1.25,0)),IF(E388=0,ROUND(C388/MAX(1,S387-A388+1),0),ROUND(-PMT(E388/12,MAX(1,S387-A388+1),C388),0))),G387)),0)</f>
        <v>0</v>
      </c>
    </row>
    <row r="389" spans="1:27">
      <c r="A389" s="30">
        <f>384</f>
        <v>384</v>
      </c>
      <c r="B389" s="31">
        <f>EDATE(入力!$B$6,A389-1)</f>
        <v>57892</v>
      </c>
      <c r="C389" s="32">
        <f t="shared" si="85"/>
        <v>0</v>
      </c>
      <c r="D389" s="32">
        <f t="shared" si="86"/>
        <v>0</v>
      </c>
      <c r="E389" s="33">
        <f>IF(AND(T388="",A389&lt;=S388),IF(A389&lt;入力!$B$11,入力!$B$10,入力!$B$12),0)</f>
        <v>0</v>
      </c>
      <c r="F389" s="32">
        <f t="shared" si="87"/>
        <v>0</v>
      </c>
      <c r="G389" s="32">
        <f>ROUND(IF(NOT(AND(T388="",A389&lt;=S388)),0,IF(A389=入力!$B$15+1,IF(E389=0,ROUND(C389/入力!$B$19,0),ROUND(-PMT(E389/12,入力!$B$19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),0)</f>
        <v>0</v>
      </c>
      <c r="H389" s="32">
        <f t="shared" si="88"/>
        <v>0</v>
      </c>
      <c r="I389" s="32">
        <f t="shared" si="89"/>
        <v>0</v>
      </c>
      <c r="J389" s="32">
        <f t="shared" si="90"/>
        <v>0</v>
      </c>
      <c r="K389" s="32">
        <f t="shared" si="91"/>
        <v>0</v>
      </c>
      <c r="L389" s="32">
        <f t="shared" si="92"/>
        <v>0</v>
      </c>
      <c r="M389" s="32">
        <f>IF(AND(AND(T388="",A389&lt;=S388),A389=入力!$B$15),ROUND(MIN(入力!$B$16,MAX(0,C389-L389)),0),0)</f>
        <v>0</v>
      </c>
      <c r="N389" s="32">
        <f t="shared" si="93"/>
        <v>0</v>
      </c>
      <c r="O389" s="32">
        <f t="shared" si="94"/>
        <v>10751874</v>
      </c>
      <c r="P389" s="34" t="str">
        <f>IF(NOT(AND(T388="",A389&lt;=S388)),"",IF(A389=入力!$B$15+1,"繰上返済後再計算","")&amp;IF(AND(入力!$B$13="有効",A389&gt;1,MOD(A389-1,60)=0),IF(A389=入力!$B$15+1,"・","")&amp;"5年見直し","")&amp;IF(AND(A389=入力!$B$11,A389&gt;1),IF(OR(A389=入力!$B$15+1,AND(入力!$B$13="有効",A389&gt;1,MOD(A389-1,60)=0)),"・","")&amp;"金利変更","")&amp;IF(AND(OR(AND(入力!$B$13="有効",A389&gt;1,MOD(A389-1,60)=0),AND(A389=入力!$B$11,A389&gt;1)),入力!$B$14="有効",IF(E389=0,ROUND(C389/MAX(1,S388-A389+1),0),ROUND(-PMT(E389/12,MAX(1,S388-A389+1),C389),0))&gt;ROUND(G388*1.25,0),NOT(A389=入力!$B$15+1)),"・上限適用",""))</f>
        <v/>
      </c>
      <c r="Q389" s="35" t="str">
        <f>IF(AND(T388="",A389&lt;=S388),入力!$B$13,"")</f>
        <v/>
      </c>
      <c r="R389" s="32" t="str">
        <f>IF(AND(AND(T388="",A389&lt;=S388),OR(AND(入力!$B$13="有効",A389&gt;1,MOD(A389-1,60)=0),AND(A389=入力!$B$11,A389&gt;1)),入力!$B$14="有効"),ROUND(G388*1.25,0),"")</f>
        <v/>
      </c>
      <c r="S389" s="36">
        <f>IF(A389=入力!$B$15,A389+入力!$B$19,S388)</f>
        <v>360</v>
      </c>
      <c r="T389" s="35" t="str">
        <f t="shared" si="95"/>
        <v/>
      </c>
      <c r="U389" s="3">
        <f t="shared" si="80"/>
        <v>0</v>
      </c>
      <c r="V389" s="3">
        <f t="shared" si="81"/>
        <v>0</v>
      </c>
      <c r="W389" s="3">
        <f t="shared" si="82"/>
        <v>0</v>
      </c>
      <c r="X389" s="3">
        <f t="shared" si="83"/>
        <v>0</v>
      </c>
      <c r="Y389" s="3">
        <f>IF(A389&lt;入力!$B$15,ABS(G389-何もしない_月次!G389),0)</f>
        <v>0</v>
      </c>
      <c r="Z389" s="3">
        <f t="shared" si="84"/>
        <v>0</v>
      </c>
      <c r="AA389">
        <f>ROUND(IF(A389=入力!$B$15+1,IF(E389=0,ROUND(C389/入力!$B$19,0),ROUND(-PMT(E389/12,入力!$B$19,C389),0)),IF(OR(AND(入力!$B$13="有効",A389&gt;1,MOD(A389-1,60)=0),AND(A389=入力!$B$11,A389&gt;1)),IF(入力!$B$14="有効",MIN(IF(E389=0,ROUND(C389/MAX(1,S388-A389+1),0),ROUND(-PMT(E389/12,MAX(1,S388-A389+1),C389),0)),ROUND(G388*1.25,0)),IF(E389=0,ROUND(C389/MAX(1,S388-A389+1),0),ROUND(-PMT(E389/12,MAX(1,S388-A389+1),C389),0))),G388)),0)</f>
        <v>0</v>
      </c>
    </row>
    <row r="390" spans="1:27">
      <c r="A390" s="30">
        <f>385</f>
        <v>385</v>
      </c>
      <c r="B390" s="31">
        <f>EDATE(入力!$B$6,A390-1)</f>
        <v>57923</v>
      </c>
      <c r="C390" s="32">
        <f t="shared" si="85"/>
        <v>0</v>
      </c>
      <c r="D390" s="32">
        <f t="shared" si="86"/>
        <v>0</v>
      </c>
      <c r="E390" s="33">
        <f>IF(AND(T389="",A390&lt;=S389),IF(A390&lt;入力!$B$11,入力!$B$10,入力!$B$12),0)</f>
        <v>0</v>
      </c>
      <c r="F390" s="32">
        <f t="shared" si="87"/>
        <v>0</v>
      </c>
      <c r="G390" s="32">
        <f>ROUND(IF(NOT(AND(T389="",A390&lt;=S389)),0,IF(A390=入力!$B$15+1,IF(E390=0,ROUND(C390/入力!$B$19,0),ROUND(-PMT(E390/12,入力!$B$19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),0)</f>
        <v>0</v>
      </c>
      <c r="H390" s="32">
        <f t="shared" si="88"/>
        <v>0</v>
      </c>
      <c r="I390" s="32">
        <f t="shared" si="89"/>
        <v>0</v>
      </c>
      <c r="J390" s="32">
        <f t="shared" si="90"/>
        <v>0</v>
      </c>
      <c r="K390" s="32">
        <f t="shared" si="91"/>
        <v>0</v>
      </c>
      <c r="L390" s="32">
        <f t="shared" si="92"/>
        <v>0</v>
      </c>
      <c r="M390" s="32">
        <f>IF(AND(AND(T389="",A390&lt;=S389),A390=入力!$B$15),ROUND(MIN(入力!$B$16,MAX(0,C390-L390)),0),0)</f>
        <v>0</v>
      </c>
      <c r="N390" s="32">
        <f t="shared" si="93"/>
        <v>0</v>
      </c>
      <c r="O390" s="32">
        <f t="shared" si="94"/>
        <v>10751874</v>
      </c>
      <c r="P390" s="34" t="str">
        <f>IF(NOT(AND(T389="",A390&lt;=S389)),"",IF(A390=入力!$B$15+1,"繰上返済後再計算","")&amp;IF(AND(入力!$B$13="有効",A390&gt;1,MOD(A390-1,60)=0),IF(A390=入力!$B$15+1,"・","")&amp;"5年見直し","")&amp;IF(AND(A390=入力!$B$11,A390&gt;1),IF(OR(A390=入力!$B$15+1,AND(入力!$B$13="有効",A390&gt;1,MOD(A390-1,60)=0)),"・","")&amp;"金利変更","")&amp;IF(AND(OR(AND(入力!$B$13="有効",A390&gt;1,MOD(A390-1,60)=0),AND(A390=入力!$B$11,A390&gt;1)),入力!$B$14="有効",IF(E390=0,ROUND(C390/MAX(1,S389-A390+1),0),ROUND(-PMT(E390/12,MAX(1,S389-A390+1),C390),0))&gt;ROUND(G389*1.25,0),NOT(A390=入力!$B$15+1)),"・上限適用",""))</f>
        <v/>
      </c>
      <c r="Q390" s="35" t="str">
        <f>IF(AND(T389="",A390&lt;=S389),入力!$B$13,"")</f>
        <v/>
      </c>
      <c r="R390" s="32" t="str">
        <f>IF(AND(AND(T389="",A390&lt;=S389),OR(AND(入力!$B$13="有効",A390&gt;1,MOD(A390-1,60)=0),AND(A390=入力!$B$11,A390&gt;1)),入力!$B$14="有効"),ROUND(G389*1.25,0),"")</f>
        <v/>
      </c>
      <c r="S390" s="36">
        <f>IF(A390=入力!$B$15,A390+入力!$B$19,S389)</f>
        <v>360</v>
      </c>
      <c r="T390" s="35" t="str">
        <f t="shared" si="95"/>
        <v/>
      </c>
      <c r="U390" s="3">
        <f t="shared" ref="U390:U453" si="96">ABS(I390-MIN(H390,D390+F390))</f>
        <v>0</v>
      </c>
      <c r="V390" s="3">
        <f t="shared" ref="V390:V453" si="97">ABS(L390-(H390-I390))</f>
        <v>0</v>
      </c>
      <c r="W390" s="3">
        <f t="shared" ref="W390:W453" si="98">ABS(K390-(D390+J390))</f>
        <v>0</v>
      </c>
      <c r="X390" s="3">
        <f t="shared" ref="X390:X453" si="99">ABS(F390-ROUND(F390,0))+ABS(G390-ROUND(G390,0))+ABS(H390-ROUND(H390,0))+ABS(I390-ROUND(I390,0))+ABS(J390-ROUND(J390,0))+ABS(K390-ROUND(K390,0))+ABS(L390-ROUND(L390,0))+ABS(M390-ROUND(M390,0))+ABS(N390-ROUND(N390,0))+ABS(O390-ROUND(O390,0))</f>
        <v>0</v>
      </c>
      <c r="Y390" s="3">
        <f>IF(A390&lt;入力!$B$15,ABS(G390-何もしない_月次!G390),0)</f>
        <v>0</v>
      </c>
      <c r="Z390" s="3">
        <f t="shared" ref="Z390:Z453" si="100">SUM(--ISERROR(A390),--ISERROR(B390),--ISERROR(C390),--ISERROR(D390),--ISERROR(E390),--ISERROR(F390),--ISERROR(G390),--ISERROR(H390),--ISERROR(I390),--ISERROR(J390),--ISERROR(K390),--ISERROR(L390),--ISERROR(M390),--ISERROR(N390),--ISERROR(O390),--ISERROR(P390),--ISERROR(Q390),--ISERROR(R390),--ISERROR(S390),--ISERROR(T390))</f>
        <v>0</v>
      </c>
      <c r="AA390">
        <f>ROUND(IF(A390=入力!$B$15+1,IF(E390=0,ROUND(C390/入力!$B$19,0),ROUND(-PMT(E390/12,入力!$B$19,C390),0)),IF(OR(AND(入力!$B$13="有効",A390&gt;1,MOD(A390-1,60)=0),AND(A390=入力!$B$11,A390&gt;1)),IF(入力!$B$14="有効",MIN(IF(E390=0,ROUND(C390/MAX(1,S389-A390+1),0),ROUND(-PMT(E390/12,MAX(1,S389-A390+1),C390),0)),ROUND(G389*1.25,0)),IF(E390=0,ROUND(C390/MAX(1,S389-A390+1),0),ROUND(-PMT(E390/12,MAX(1,S389-A390+1),C390),0))),G389)),0)</f>
        <v>0</v>
      </c>
    </row>
    <row r="391" spans="1:27">
      <c r="A391" s="30">
        <f>386</f>
        <v>386</v>
      </c>
      <c r="B391" s="31">
        <f>EDATE(入力!$B$6,A391-1)</f>
        <v>57954</v>
      </c>
      <c r="C391" s="32">
        <f t="shared" ref="C391:C454" si="101">IF(AND(T390="",A391&lt;=S390),N390,0)</f>
        <v>0</v>
      </c>
      <c r="D391" s="32">
        <f t="shared" ref="D391:D454" si="102">IF(AND(T390="",A391&lt;=S390),K390,0)</f>
        <v>0</v>
      </c>
      <c r="E391" s="33">
        <f>IF(AND(T390="",A391&lt;=S390),IF(A391&lt;入力!$B$11,入力!$B$10,入力!$B$12),0)</f>
        <v>0</v>
      </c>
      <c r="F391" s="32">
        <f t="shared" ref="F391:F454" si="103">IF(AND(T390="",A391&lt;=S390),ROUND(C391*E391/12,0),0)</f>
        <v>0</v>
      </c>
      <c r="G391" s="32">
        <f>ROUND(IF(NOT(AND(T390="",A391&lt;=S390)),0,IF(A391=入力!$B$15+1,IF(E391=0,ROUND(C391/入力!$B$19,0),ROUND(-PMT(E391/12,入力!$B$19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),0)</f>
        <v>0</v>
      </c>
      <c r="H391" s="32">
        <f t="shared" ref="H391:H454" si="104">IF(AND(T390="",A391&lt;=S390),ROUND(MIN(G391,C391+D391+F391),0),0)</f>
        <v>0</v>
      </c>
      <c r="I391" s="32">
        <f t="shared" ref="I391:I454" si="105">IF(AND(T390="",A391&lt;=S390),ROUND(MIN(H391,D391+F391),0),0)</f>
        <v>0</v>
      </c>
      <c r="J391" s="32">
        <f t="shared" ref="J391:J454" si="106">IF(AND(T390="",A391&lt;=S390),ROUND(F391-I391,0),0)</f>
        <v>0</v>
      </c>
      <c r="K391" s="32">
        <f t="shared" ref="K391:K454" si="107">IF(AND(T390="",A391&lt;=S390),ROUND(D391+J391,0),0)</f>
        <v>0</v>
      </c>
      <c r="L391" s="32">
        <f t="shared" ref="L391:L454" si="108">IF(AND(T390="",A391&lt;=S390),ROUND(H391-I391,0),0)</f>
        <v>0</v>
      </c>
      <c r="M391" s="32">
        <f>IF(AND(AND(T390="",A391&lt;=S390),A391=入力!$B$15),ROUND(MIN(入力!$B$16,MAX(0,C391-L391)),0),0)</f>
        <v>0</v>
      </c>
      <c r="N391" s="32">
        <f t="shared" ref="N391:N454" si="109">IF(AND(T390="",A391&lt;=S390),ROUND(MAX(0,C391-L391-M391),0),0)</f>
        <v>0</v>
      </c>
      <c r="O391" s="32">
        <f t="shared" ref="O391:O454" si="110">IF(AND(T390="",A391&lt;=S390),ROUND(O390+F391,0),O390)</f>
        <v>10751874</v>
      </c>
      <c r="P391" s="34" t="str">
        <f>IF(NOT(AND(T390="",A391&lt;=S390)),"",IF(A391=入力!$B$15+1,"繰上返済後再計算","")&amp;IF(AND(入力!$B$13="有効",A391&gt;1,MOD(A391-1,60)=0),IF(A391=入力!$B$15+1,"・","")&amp;"5年見直し","")&amp;IF(AND(A391=入力!$B$11,A391&gt;1),IF(OR(A391=入力!$B$15+1,AND(入力!$B$13="有効",A391&gt;1,MOD(A391-1,60)=0)),"・","")&amp;"金利変更","")&amp;IF(AND(OR(AND(入力!$B$13="有効",A391&gt;1,MOD(A391-1,60)=0),AND(A391=入力!$B$11,A391&gt;1)),入力!$B$14="有効",IF(E391=0,ROUND(C391/MAX(1,S390-A391+1),0),ROUND(-PMT(E391/12,MAX(1,S390-A391+1),C391),0))&gt;ROUND(G390*1.25,0),NOT(A391=入力!$B$15+1)),"・上限適用",""))</f>
        <v/>
      </c>
      <c r="Q391" s="35" t="str">
        <f>IF(AND(T390="",A391&lt;=S390),入力!$B$13,"")</f>
        <v/>
      </c>
      <c r="R391" s="32" t="str">
        <f>IF(AND(AND(T390="",A391&lt;=S390),OR(AND(入力!$B$13="有効",A391&gt;1,MOD(A391-1,60)=0),AND(A391=入力!$B$11,A391&gt;1)),入力!$B$14="有効"),ROUND(G390*1.25,0),"")</f>
        <v/>
      </c>
      <c r="S391" s="36">
        <f>IF(A391=入力!$B$15,A391+入力!$B$19,S390)</f>
        <v>360</v>
      </c>
      <c r="T391" s="35" t="str">
        <f t="shared" ref="T391:T454" si="111">IF(NOT(AND(T390="",A391&lt;=S390)),"",IF(AND(N391=0,K391=0),"完済",IF(A391=S391,"最終回清算","")))</f>
        <v/>
      </c>
      <c r="U391" s="3">
        <f t="shared" si="96"/>
        <v>0</v>
      </c>
      <c r="V391" s="3">
        <f t="shared" si="97"/>
        <v>0</v>
      </c>
      <c r="W391" s="3">
        <f t="shared" si="98"/>
        <v>0</v>
      </c>
      <c r="X391" s="3">
        <f t="shared" si="99"/>
        <v>0</v>
      </c>
      <c r="Y391" s="3">
        <f>IF(A391&lt;入力!$B$15,ABS(G391-何もしない_月次!G391),0)</f>
        <v>0</v>
      </c>
      <c r="Z391" s="3">
        <f t="shared" si="100"/>
        <v>0</v>
      </c>
      <c r="AA391">
        <f>ROUND(IF(A391=入力!$B$15+1,IF(E391=0,ROUND(C391/入力!$B$19,0),ROUND(-PMT(E391/12,入力!$B$19,C391),0)),IF(OR(AND(入力!$B$13="有効",A391&gt;1,MOD(A391-1,60)=0),AND(A391=入力!$B$11,A391&gt;1)),IF(入力!$B$14="有効",MIN(IF(E391=0,ROUND(C391/MAX(1,S390-A391+1),0),ROUND(-PMT(E391/12,MAX(1,S390-A391+1),C391),0)),ROUND(G390*1.25,0)),IF(E391=0,ROUND(C391/MAX(1,S390-A391+1),0),ROUND(-PMT(E391/12,MAX(1,S390-A391+1),C391),0))),G390)),0)</f>
        <v>0</v>
      </c>
    </row>
    <row r="392" spans="1:27">
      <c r="A392" s="30">
        <f>387</f>
        <v>387</v>
      </c>
      <c r="B392" s="31">
        <f>EDATE(入力!$B$6,A392-1)</f>
        <v>57984</v>
      </c>
      <c r="C392" s="32">
        <f t="shared" si="101"/>
        <v>0</v>
      </c>
      <c r="D392" s="32">
        <f t="shared" si="102"/>
        <v>0</v>
      </c>
      <c r="E392" s="33">
        <f>IF(AND(T391="",A392&lt;=S391),IF(A392&lt;入力!$B$11,入力!$B$10,入力!$B$12),0)</f>
        <v>0</v>
      </c>
      <c r="F392" s="32">
        <f t="shared" si="103"/>
        <v>0</v>
      </c>
      <c r="G392" s="32">
        <f>ROUND(IF(NOT(AND(T391="",A392&lt;=S391)),0,IF(A392=入力!$B$15+1,IF(E392=0,ROUND(C392/入力!$B$19,0),ROUND(-PMT(E392/12,入力!$B$19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),0)</f>
        <v>0</v>
      </c>
      <c r="H392" s="32">
        <f t="shared" si="104"/>
        <v>0</v>
      </c>
      <c r="I392" s="32">
        <f t="shared" si="105"/>
        <v>0</v>
      </c>
      <c r="J392" s="32">
        <f t="shared" si="106"/>
        <v>0</v>
      </c>
      <c r="K392" s="32">
        <f t="shared" si="107"/>
        <v>0</v>
      </c>
      <c r="L392" s="32">
        <f t="shared" si="108"/>
        <v>0</v>
      </c>
      <c r="M392" s="32">
        <f>IF(AND(AND(T391="",A392&lt;=S391),A392=入力!$B$15),ROUND(MIN(入力!$B$16,MAX(0,C392-L392)),0),0)</f>
        <v>0</v>
      </c>
      <c r="N392" s="32">
        <f t="shared" si="109"/>
        <v>0</v>
      </c>
      <c r="O392" s="32">
        <f t="shared" si="110"/>
        <v>10751874</v>
      </c>
      <c r="P392" s="34" t="str">
        <f>IF(NOT(AND(T391="",A392&lt;=S391)),"",IF(A392=入力!$B$15+1,"繰上返済後再計算","")&amp;IF(AND(入力!$B$13="有効",A392&gt;1,MOD(A392-1,60)=0),IF(A392=入力!$B$15+1,"・","")&amp;"5年見直し","")&amp;IF(AND(A392=入力!$B$11,A392&gt;1),IF(OR(A392=入力!$B$15+1,AND(入力!$B$13="有効",A392&gt;1,MOD(A392-1,60)=0)),"・","")&amp;"金利変更","")&amp;IF(AND(OR(AND(入力!$B$13="有効",A392&gt;1,MOD(A392-1,60)=0),AND(A392=入力!$B$11,A392&gt;1)),入力!$B$14="有効",IF(E392=0,ROUND(C392/MAX(1,S391-A392+1),0),ROUND(-PMT(E392/12,MAX(1,S391-A392+1),C392),0))&gt;ROUND(G391*1.25,0),NOT(A392=入力!$B$15+1)),"・上限適用",""))</f>
        <v/>
      </c>
      <c r="Q392" s="35" t="str">
        <f>IF(AND(T391="",A392&lt;=S391),入力!$B$13,"")</f>
        <v/>
      </c>
      <c r="R392" s="32" t="str">
        <f>IF(AND(AND(T391="",A392&lt;=S391),OR(AND(入力!$B$13="有効",A392&gt;1,MOD(A392-1,60)=0),AND(A392=入力!$B$11,A392&gt;1)),入力!$B$14="有効"),ROUND(G391*1.25,0),"")</f>
        <v/>
      </c>
      <c r="S392" s="36">
        <f>IF(A392=入力!$B$15,A392+入力!$B$19,S391)</f>
        <v>360</v>
      </c>
      <c r="T392" s="35" t="str">
        <f t="shared" si="111"/>
        <v/>
      </c>
      <c r="U392" s="3">
        <f t="shared" si="96"/>
        <v>0</v>
      </c>
      <c r="V392" s="3">
        <f t="shared" si="97"/>
        <v>0</v>
      </c>
      <c r="W392" s="3">
        <f t="shared" si="98"/>
        <v>0</v>
      </c>
      <c r="X392" s="3">
        <f t="shared" si="99"/>
        <v>0</v>
      </c>
      <c r="Y392" s="3">
        <f>IF(A392&lt;入力!$B$15,ABS(G392-何もしない_月次!G392),0)</f>
        <v>0</v>
      </c>
      <c r="Z392" s="3">
        <f t="shared" si="100"/>
        <v>0</v>
      </c>
      <c r="AA392">
        <f>ROUND(IF(A392=入力!$B$15+1,IF(E392=0,ROUND(C392/入力!$B$19,0),ROUND(-PMT(E392/12,入力!$B$19,C392),0)),IF(OR(AND(入力!$B$13="有効",A392&gt;1,MOD(A392-1,60)=0),AND(A392=入力!$B$11,A392&gt;1)),IF(入力!$B$14="有効",MIN(IF(E392=0,ROUND(C392/MAX(1,S391-A392+1),0),ROUND(-PMT(E392/12,MAX(1,S391-A392+1),C392),0)),ROUND(G391*1.25,0)),IF(E392=0,ROUND(C392/MAX(1,S391-A392+1),0),ROUND(-PMT(E392/12,MAX(1,S391-A392+1),C392),0))),G391)),0)</f>
        <v>0</v>
      </c>
    </row>
    <row r="393" spans="1:27">
      <c r="A393" s="30">
        <f>388</f>
        <v>388</v>
      </c>
      <c r="B393" s="31">
        <f>EDATE(入力!$B$6,A393-1)</f>
        <v>58015</v>
      </c>
      <c r="C393" s="32">
        <f t="shared" si="101"/>
        <v>0</v>
      </c>
      <c r="D393" s="32">
        <f t="shared" si="102"/>
        <v>0</v>
      </c>
      <c r="E393" s="33">
        <f>IF(AND(T392="",A393&lt;=S392),IF(A393&lt;入力!$B$11,入力!$B$10,入力!$B$12),0)</f>
        <v>0</v>
      </c>
      <c r="F393" s="32">
        <f t="shared" si="103"/>
        <v>0</v>
      </c>
      <c r="G393" s="32">
        <f>ROUND(IF(NOT(AND(T392="",A393&lt;=S392)),0,IF(A393=入力!$B$15+1,IF(E393=0,ROUND(C393/入力!$B$19,0),ROUND(-PMT(E393/12,入力!$B$19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),0)</f>
        <v>0</v>
      </c>
      <c r="H393" s="32">
        <f t="shared" si="104"/>
        <v>0</v>
      </c>
      <c r="I393" s="32">
        <f t="shared" si="105"/>
        <v>0</v>
      </c>
      <c r="J393" s="32">
        <f t="shared" si="106"/>
        <v>0</v>
      </c>
      <c r="K393" s="32">
        <f t="shared" si="107"/>
        <v>0</v>
      </c>
      <c r="L393" s="32">
        <f t="shared" si="108"/>
        <v>0</v>
      </c>
      <c r="M393" s="32">
        <f>IF(AND(AND(T392="",A393&lt;=S392),A393=入力!$B$15),ROUND(MIN(入力!$B$16,MAX(0,C393-L393)),0),0)</f>
        <v>0</v>
      </c>
      <c r="N393" s="32">
        <f t="shared" si="109"/>
        <v>0</v>
      </c>
      <c r="O393" s="32">
        <f t="shared" si="110"/>
        <v>10751874</v>
      </c>
      <c r="P393" s="34" t="str">
        <f>IF(NOT(AND(T392="",A393&lt;=S392)),"",IF(A393=入力!$B$15+1,"繰上返済後再計算","")&amp;IF(AND(入力!$B$13="有効",A393&gt;1,MOD(A393-1,60)=0),IF(A393=入力!$B$15+1,"・","")&amp;"5年見直し","")&amp;IF(AND(A393=入力!$B$11,A393&gt;1),IF(OR(A393=入力!$B$15+1,AND(入力!$B$13="有効",A393&gt;1,MOD(A393-1,60)=0)),"・","")&amp;"金利変更","")&amp;IF(AND(OR(AND(入力!$B$13="有効",A393&gt;1,MOD(A393-1,60)=0),AND(A393=入力!$B$11,A393&gt;1)),入力!$B$14="有効",IF(E393=0,ROUND(C393/MAX(1,S392-A393+1),0),ROUND(-PMT(E393/12,MAX(1,S392-A393+1),C393),0))&gt;ROUND(G392*1.25,0),NOT(A393=入力!$B$15+1)),"・上限適用",""))</f>
        <v/>
      </c>
      <c r="Q393" s="35" t="str">
        <f>IF(AND(T392="",A393&lt;=S392),入力!$B$13,"")</f>
        <v/>
      </c>
      <c r="R393" s="32" t="str">
        <f>IF(AND(AND(T392="",A393&lt;=S392),OR(AND(入力!$B$13="有効",A393&gt;1,MOD(A393-1,60)=0),AND(A393=入力!$B$11,A393&gt;1)),入力!$B$14="有効"),ROUND(G392*1.25,0),"")</f>
        <v/>
      </c>
      <c r="S393" s="36">
        <f>IF(A393=入力!$B$15,A393+入力!$B$19,S392)</f>
        <v>360</v>
      </c>
      <c r="T393" s="35" t="str">
        <f t="shared" si="111"/>
        <v/>
      </c>
      <c r="U393" s="3">
        <f t="shared" si="96"/>
        <v>0</v>
      </c>
      <c r="V393" s="3">
        <f t="shared" si="97"/>
        <v>0</v>
      </c>
      <c r="W393" s="3">
        <f t="shared" si="98"/>
        <v>0</v>
      </c>
      <c r="X393" s="3">
        <f t="shared" si="99"/>
        <v>0</v>
      </c>
      <c r="Y393" s="3">
        <f>IF(A393&lt;入力!$B$15,ABS(G393-何もしない_月次!G393),0)</f>
        <v>0</v>
      </c>
      <c r="Z393" s="3">
        <f t="shared" si="100"/>
        <v>0</v>
      </c>
      <c r="AA393">
        <f>ROUND(IF(A393=入力!$B$15+1,IF(E393=0,ROUND(C393/入力!$B$19,0),ROUND(-PMT(E393/12,入力!$B$19,C393),0)),IF(OR(AND(入力!$B$13="有効",A393&gt;1,MOD(A393-1,60)=0),AND(A393=入力!$B$11,A393&gt;1)),IF(入力!$B$14="有効",MIN(IF(E393=0,ROUND(C393/MAX(1,S392-A393+1),0),ROUND(-PMT(E393/12,MAX(1,S392-A393+1),C393),0)),ROUND(G392*1.25,0)),IF(E393=0,ROUND(C393/MAX(1,S392-A393+1),0),ROUND(-PMT(E393/12,MAX(1,S392-A393+1),C393),0))),G392)),0)</f>
        <v>0</v>
      </c>
    </row>
    <row r="394" spans="1:27">
      <c r="A394" s="30">
        <f>389</f>
        <v>389</v>
      </c>
      <c r="B394" s="31">
        <f>EDATE(入力!$B$6,A394-1)</f>
        <v>58045</v>
      </c>
      <c r="C394" s="32">
        <f t="shared" si="101"/>
        <v>0</v>
      </c>
      <c r="D394" s="32">
        <f t="shared" si="102"/>
        <v>0</v>
      </c>
      <c r="E394" s="33">
        <f>IF(AND(T393="",A394&lt;=S393),IF(A394&lt;入力!$B$11,入力!$B$10,入力!$B$12),0)</f>
        <v>0</v>
      </c>
      <c r="F394" s="32">
        <f t="shared" si="103"/>
        <v>0</v>
      </c>
      <c r="G394" s="32">
        <f>ROUND(IF(NOT(AND(T393="",A394&lt;=S393)),0,IF(A394=入力!$B$15+1,IF(E394=0,ROUND(C394/入力!$B$19,0),ROUND(-PMT(E394/12,入力!$B$19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),0)</f>
        <v>0</v>
      </c>
      <c r="H394" s="32">
        <f t="shared" si="104"/>
        <v>0</v>
      </c>
      <c r="I394" s="32">
        <f t="shared" si="105"/>
        <v>0</v>
      </c>
      <c r="J394" s="32">
        <f t="shared" si="106"/>
        <v>0</v>
      </c>
      <c r="K394" s="32">
        <f t="shared" si="107"/>
        <v>0</v>
      </c>
      <c r="L394" s="32">
        <f t="shared" si="108"/>
        <v>0</v>
      </c>
      <c r="M394" s="32">
        <f>IF(AND(AND(T393="",A394&lt;=S393),A394=入力!$B$15),ROUND(MIN(入力!$B$16,MAX(0,C394-L394)),0),0)</f>
        <v>0</v>
      </c>
      <c r="N394" s="32">
        <f t="shared" si="109"/>
        <v>0</v>
      </c>
      <c r="O394" s="32">
        <f t="shared" si="110"/>
        <v>10751874</v>
      </c>
      <c r="P394" s="34" t="str">
        <f>IF(NOT(AND(T393="",A394&lt;=S393)),"",IF(A394=入力!$B$15+1,"繰上返済後再計算","")&amp;IF(AND(入力!$B$13="有効",A394&gt;1,MOD(A394-1,60)=0),IF(A394=入力!$B$15+1,"・","")&amp;"5年見直し","")&amp;IF(AND(A394=入力!$B$11,A394&gt;1),IF(OR(A394=入力!$B$15+1,AND(入力!$B$13="有効",A394&gt;1,MOD(A394-1,60)=0)),"・","")&amp;"金利変更","")&amp;IF(AND(OR(AND(入力!$B$13="有効",A394&gt;1,MOD(A394-1,60)=0),AND(A394=入力!$B$11,A394&gt;1)),入力!$B$14="有効",IF(E394=0,ROUND(C394/MAX(1,S393-A394+1),0),ROUND(-PMT(E394/12,MAX(1,S393-A394+1),C394),0))&gt;ROUND(G393*1.25,0),NOT(A394=入力!$B$15+1)),"・上限適用",""))</f>
        <v/>
      </c>
      <c r="Q394" s="35" t="str">
        <f>IF(AND(T393="",A394&lt;=S393),入力!$B$13,"")</f>
        <v/>
      </c>
      <c r="R394" s="32" t="str">
        <f>IF(AND(AND(T393="",A394&lt;=S393),OR(AND(入力!$B$13="有効",A394&gt;1,MOD(A394-1,60)=0),AND(A394=入力!$B$11,A394&gt;1)),入力!$B$14="有効"),ROUND(G393*1.25,0),"")</f>
        <v/>
      </c>
      <c r="S394" s="36">
        <f>IF(A394=入力!$B$15,A394+入力!$B$19,S393)</f>
        <v>360</v>
      </c>
      <c r="T394" s="35" t="str">
        <f t="shared" si="111"/>
        <v/>
      </c>
      <c r="U394" s="3">
        <f t="shared" si="96"/>
        <v>0</v>
      </c>
      <c r="V394" s="3">
        <f t="shared" si="97"/>
        <v>0</v>
      </c>
      <c r="W394" s="3">
        <f t="shared" si="98"/>
        <v>0</v>
      </c>
      <c r="X394" s="3">
        <f t="shared" si="99"/>
        <v>0</v>
      </c>
      <c r="Y394" s="3">
        <f>IF(A394&lt;入力!$B$15,ABS(G394-何もしない_月次!G394),0)</f>
        <v>0</v>
      </c>
      <c r="Z394" s="3">
        <f t="shared" si="100"/>
        <v>0</v>
      </c>
      <c r="AA394">
        <f>ROUND(IF(A394=入力!$B$15+1,IF(E394=0,ROUND(C394/入力!$B$19,0),ROUND(-PMT(E394/12,入力!$B$19,C394),0)),IF(OR(AND(入力!$B$13="有効",A394&gt;1,MOD(A394-1,60)=0),AND(A394=入力!$B$11,A394&gt;1)),IF(入力!$B$14="有効",MIN(IF(E394=0,ROUND(C394/MAX(1,S393-A394+1),0),ROUND(-PMT(E394/12,MAX(1,S393-A394+1),C394),0)),ROUND(G393*1.25,0)),IF(E394=0,ROUND(C394/MAX(1,S393-A394+1),0),ROUND(-PMT(E394/12,MAX(1,S393-A394+1),C394),0))),G393)),0)</f>
        <v>0</v>
      </c>
    </row>
    <row r="395" spans="1:27">
      <c r="A395" s="30">
        <f>390</f>
        <v>390</v>
      </c>
      <c r="B395" s="31">
        <f>EDATE(入力!$B$6,A395-1)</f>
        <v>58076</v>
      </c>
      <c r="C395" s="32">
        <f t="shared" si="101"/>
        <v>0</v>
      </c>
      <c r="D395" s="32">
        <f t="shared" si="102"/>
        <v>0</v>
      </c>
      <c r="E395" s="33">
        <f>IF(AND(T394="",A395&lt;=S394),IF(A395&lt;入力!$B$11,入力!$B$10,入力!$B$12),0)</f>
        <v>0</v>
      </c>
      <c r="F395" s="32">
        <f t="shared" si="103"/>
        <v>0</v>
      </c>
      <c r="G395" s="32">
        <f>ROUND(IF(NOT(AND(T394="",A395&lt;=S394)),0,IF(A395=入力!$B$15+1,IF(E395=0,ROUND(C395/入力!$B$19,0),ROUND(-PMT(E395/12,入力!$B$19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),0)</f>
        <v>0</v>
      </c>
      <c r="H395" s="32">
        <f t="shared" si="104"/>
        <v>0</v>
      </c>
      <c r="I395" s="32">
        <f t="shared" si="105"/>
        <v>0</v>
      </c>
      <c r="J395" s="32">
        <f t="shared" si="106"/>
        <v>0</v>
      </c>
      <c r="K395" s="32">
        <f t="shared" si="107"/>
        <v>0</v>
      </c>
      <c r="L395" s="32">
        <f t="shared" si="108"/>
        <v>0</v>
      </c>
      <c r="M395" s="32">
        <f>IF(AND(AND(T394="",A395&lt;=S394),A395=入力!$B$15),ROUND(MIN(入力!$B$16,MAX(0,C395-L395)),0),0)</f>
        <v>0</v>
      </c>
      <c r="N395" s="32">
        <f t="shared" si="109"/>
        <v>0</v>
      </c>
      <c r="O395" s="32">
        <f t="shared" si="110"/>
        <v>10751874</v>
      </c>
      <c r="P395" s="34" t="str">
        <f>IF(NOT(AND(T394="",A395&lt;=S394)),"",IF(A395=入力!$B$15+1,"繰上返済後再計算","")&amp;IF(AND(入力!$B$13="有効",A395&gt;1,MOD(A395-1,60)=0),IF(A395=入力!$B$15+1,"・","")&amp;"5年見直し","")&amp;IF(AND(A395=入力!$B$11,A395&gt;1),IF(OR(A395=入力!$B$15+1,AND(入力!$B$13="有効",A395&gt;1,MOD(A395-1,60)=0)),"・","")&amp;"金利変更","")&amp;IF(AND(OR(AND(入力!$B$13="有効",A395&gt;1,MOD(A395-1,60)=0),AND(A395=入力!$B$11,A395&gt;1)),入力!$B$14="有効",IF(E395=0,ROUND(C395/MAX(1,S394-A395+1),0),ROUND(-PMT(E395/12,MAX(1,S394-A395+1),C395),0))&gt;ROUND(G394*1.25,0),NOT(A395=入力!$B$15+1)),"・上限適用",""))</f>
        <v/>
      </c>
      <c r="Q395" s="35" t="str">
        <f>IF(AND(T394="",A395&lt;=S394),入力!$B$13,"")</f>
        <v/>
      </c>
      <c r="R395" s="32" t="str">
        <f>IF(AND(AND(T394="",A395&lt;=S394),OR(AND(入力!$B$13="有効",A395&gt;1,MOD(A395-1,60)=0),AND(A395=入力!$B$11,A395&gt;1)),入力!$B$14="有効"),ROUND(G394*1.25,0),"")</f>
        <v/>
      </c>
      <c r="S395" s="36">
        <f>IF(A395=入力!$B$15,A395+入力!$B$19,S394)</f>
        <v>360</v>
      </c>
      <c r="T395" s="35" t="str">
        <f t="shared" si="111"/>
        <v/>
      </c>
      <c r="U395" s="3">
        <f t="shared" si="96"/>
        <v>0</v>
      </c>
      <c r="V395" s="3">
        <f t="shared" si="97"/>
        <v>0</v>
      </c>
      <c r="W395" s="3">
        <f t="shared" si="98"/>
        <v>0</v>
      </c>
      <c r="X395" s="3">
        <f t="shared" si="99"/>
        <v>0</v>
      </c>
      <c r="Y395" s="3">
        <f>IF(A395&lt;入力!$B$15,ABS(G395-何もしない_月次!G395),0)</f>
        <v>0</v>
      </c>
      <c r="Z395" s="3">
        <f t="shared" si="100"/>
        <v>0</v>
      </c>
      <c r="AA395">
        <f>ROUND(IF(A395=入力!$B$15+1,IF(E395=0,ROUND(C395/入力!$B$19,0),ROUND(-PMT(E395/12,入力!$B$19,C395),0)),IF(OR(AND(入力!$B$13="有効",A395&gt;1,MOD(A395-1,60)=0),AND(A395=入力!$B$11,A395&gt;1)),IF(入力!$B$14="有効",MIN(IF(E395=0,ROUND(C395/MAX(1,S394-A395+1),0),ROUND(-PMT(E395/12,MAX(1,S394-A395+1),C395),0)),ROUND(G394*1.25,0)),IF(E395=0,ROUND(C395/MAX(1,S394-A395+1),0),ROUND(-PMT(E395/12,MAX(1,S394-A395+1),C395),0))),G394)),0)</f>
        <v>0</v>
      </c>
    </row>
    <row r="396" spans="1:27">
      <c r="A396" s="30">
        <f>391</f>
        <v>391</v>
      </c>
      <c r="B396" s="31">
        <f>EDATE(入力!$B$6,A396-1)</f>
        <v>58107</v>
      </c>
      <c r="C396" s="32">
        <f t="shared" si="101"/>
        <v>0</v>
      </c>
      <c r="D396" s="32">
        <f t="shared" si="102"/>
        <v>0</v>
      </c>
      <c r="E396" s="33">
        <f>IF(AND(T395="",A396&lt;=S395),IF(A396&lt;入力!$B$11,入力!$B$10,入力!$B$12),0)</f>
        <v>0</v>
      </c>
      <c r="F396" s="32">
        <f t="shared" si="103"/>
        <v>0</v>
      </c>
      <c r="G396" s="32">
        <f>ROUND(IF(NOT(AND(T395="",A396&lt;=S395)),0,IF(A396=入力!$B$15+1,IF(E396=0,ROUND(C396/入力!$B$19,0),ROUND(-PMT(E396/12,入力!$B$19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),0)</f>
        <v>0</v>
      </c>
      <c r="H396" s="32">
        <f t="shared" si="104"/>
        <v>0</v>
      </c>
      <c r="I396" s="32">
        <f t="shared" si="105"/>
        <v>0</v>
      </c>
      <c r="J396" s="32">
        <f t="shared" si="106"/>
        <v>0</v>
      </c>
      <c r="K396" s="32">
        <f t="shared" si="107"/>
        <v>0</v>
      </c>
      <c r="L396" s="32">
        <f t="shared" si="108"/>
        <v>0</v>
      </c>
      <c r="M396" s="32">
        <f>IF(AND(AND(T395="",A396&lt;=S395),A396=入力!$B$15),ROUND(MIN(入力!$B$16,MAX(0,C396-L396)),0),0)</f>
        <v>0</v>
      </c>
      <c r="N396" s="32">
        <f t="shared" si="109"/>
        <v>0</v>
      </c>
      <c r="O396" s="32">
        <f t="shared" si="110"/>
        <v>10751874</v>
      </c>
      <c r="P396" s="34" t="str">
        <f>IF(NOT(AND(T395="",A396&lt;=S395)),"",IF(A396=入力!$B$15+1,"繰上返済後再計算","")&amp;IF(AND(入力!$B$13="有効",A396&gt;1,MOD(A396-1,60)=0),IF(A396=入力!$B$15+1,"・","")&amp;"5年見直し","")&amp;IF(AND(A396=入力!$B$11,A396&gt;1),IF(OR(A396=入力!$B$15+1,AND(入力!$B$13="有効",A396&gt;1,MOD(A396-1,60)=0)),"・","")&amp;"金利変更","")&amp;IF(AND(OR(AND(入力!$B$13="有効",A396&gt;1,MOD(A396-1,60)=0),AND(A396=入力!$B$11,A396&gt;1)),入力!$B$14="有効",IF(E396=0,ROUND(C396/MAX(1,S395-A396+1),0),ROUND(-PMT(E396/12,MAX(1,S395-A396+1),C396),0))&gt;ROUND(G395*1.25,0),NOT(A396=入力!$B$15+1)),"・上限適用",""))</f>
        <v/>
      </c>
      <c r="Q396" s="35" t="str">
        <f>IF(AND(T395="",A396&lt;=S395),入力!$B$13,"")</f>
        <v/>
      </c>
      <c r="R396" s="32" t="str">
        <f>IF(AND(AND(T395="",A396&lt;=S395),OR(AND(入力!$B$13="有効",A396&gt;1,MOD(A396-1,60)=0),AND(A396=入力!$B$11,A396&gt;1)),入力!$B$14="有効"),ROUND(G395*1.25,0),"")</f>
        <v/>
      </c>
      <c r="S396" s="36">
        <f>IF(A396=入力!$B$15,A396+入力!$B$19,S395)</f>
        <v>360</v>
      </c>
      <c r="T396" s="35" t="str">
        <f t="shared" si="111"/>
        <v/>
      </c>
      <c r="U396" s="3">
        <f t="shared" si="96"/>
        <v>0</v>
      </c>
      <c r="V396" s="3">
        <f t="shared" si="97"/>
        <v>0</v>
      </c>
      <c r="W396" s="3">
        <f t="shared" si="98"/>
        <v>0</v>
      </c>
      <c r="X396" s="3">
        <f t="shared" si="99"/>
        <v>0</v>
      </c>
      <c r="Y396" s="3">
        <f>IF(A396&lt;入力!$B$15,ABS(G396-何もしない_月次!G396),0)</f>
        <v>0</v>
      </c>
      <c r="Z396" s="3">
        <f t="shared" si="100"/>
        <v>0</v>
      </c>
      <c r="AA396">
        <f>ROUND(IF(A396=入力!$B$15+1,IF(E396=0,ROUND(C396/入力!$B$19,0),ROUND(-PMT(E396/12,入力!$B$19,C396),0)),IF(OR(AND(入力!$B$13="有効",A396&gt;1,MOD(A396-1,60)=0),AND(A396=入力!$B$11,A396&gt;1)),IF(入力!$B$14="有効",MIN(IF(E396=0,ROUND(C396/MAX(1,S395-A396+1),0),ROUND(-PMT(E396/12,MAX(1,S395-A396+1),C396),0)),ROUND(G395*1.25,0)),IF(E396=0,ROUND(C396/MAX(1,S395-A396+1),0),ROUND(-PMT(E396/12,MAX(1,S395-A396+1),C396),0))),G395)),0)</f>
        <v>0</v>
      </c>
    </row>
    <row r="397" spans="1:27">
      <c r="A397" s="30">
        <f>392</f>
        <v>392</v>
      </c>
      <c r="B397" s="31">
        <f>EDATE(入力!$B$6,A397-1)</f>
        <v>58135</v>
      </c>
      <c r="C397" s="32">
        <f t="shared" si="101"/>
        <v>0</v>
      </c>
      <c r="D397" s="32">
        <f t="shared" si="102"/>
        <v>0</v>
      </c>
      <c r="E397" s="33">
        <f>IF(AND(T396="",A397&lt;=S396),IF(A397&lt;入力!$B$11,入力!$B$10,入力!$B$12),0)</f>
        <v>0</v>
      </c>
      <c r="F397" s="32">
        <f t="shared" si="103"/>
        <v>0</v>
      </c>
      <c r="G397" s="32">
        <f>ROUND(IF(NOT(AND(T396="",A397&lt;=S396)),0,IF(A397=入力!$B$15+1,IF(E397=0,ROUND(C397/入力!$B$19,0),ROUND(-PMT(E397/12,入力!$B$19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),0)</f>
        <v>0</v>
      </c>
      <c r="H397" s="32">
        <f t="shared" si="104"/>
        <v>0</v>
      </c>
      <c r="I397" s="32">
        <f t="shared" si="105"/>
        <v>0</v>
      </c>
      <c r="J397" s="32">
        <f t="shared" si="106"/>
        <v>0</v>
      </c>
      <c r="K397" s="32">
        <f t="shared" si="107"/>
        <v>0</v>
      </c>
      <c r="L397" s="32">
        <f t="shared" si="108"/>
        <v>0</v>
      </c>
      <c r="M397" s="32">
        <f>IF(AND(AND(T396="",A397&lt;=S396),A397=入力!$B$15),ROUND(MIN(入力!$B$16,MAX(0,C397-L397)),0),0)</f>
        <v>0</v>
      </c>
      <c r="N397" s="32">
        <f t="shared" si="109"/>
        <v>0</v>
      </c>
      <c r="O397" s="32">
        <f t="shared" si="110"/>
        <v>10751874</v>
      </c>
      <c r="P397" s="34" t="str">
        <f>IF(NOT(AND(T396="",A397&lt;=S396)),"",IF(A397=入力!$B$15+1,"繰上返済後再計算","")&amp;IF(AND(入力!$B$13="有効",A397&gt;1,MOD(A397-1,60)=0),IF(A397=入力!$B$15+1,"・","")&amp;"5年見直し","")&amp;IF(AND(A397=入力!$B$11,A397&gt;1),IF(OR(A397=入力!$B$15+1,AND(入力!$B$13="有効",A397&gt;1,MOD(A397-1,60)=0)),"・","")&amp;"金利変更","")&amp;IF(AND(OR(AND(入力!$B$13="有効",A397&gt;1,MOD(A397-1,60)=0),AND(A397=入力!$B$11,A397&gt;1)),入力!$B$14="有効",IF(E397=0,ROUND(C397/MAX(1,S396-A397+1),0),ROUND(-PMT(E397/12,MAX(1,S396-A397+1),C397),0))&gt;ROUND(G396*1.25,0),NOT(A397=入力!$B$15+1)),"・上限適用",""))</f>
        <v/>
      </c>
      <c r="Q397" s="35" t="str">
        <f>IF(AND(T396="",A397&lt;=S396),入力!$B$13,"")</f>
        <v/>
      </c>
      <c r="R397" s="32" t="str">
        <f>IF(AND(AND(T396="",A397&lt;=S396),OR(AND(入力!$B$13="有効",A397&gt;1,MOD(A397-1,60)=0),AND(A397=入力!$B$11,A397&gt;1)),入力!$B$14="有効"),ROUND(G396*1.25,0),"")</f>
        <v/>
      </c>
      <c r="S397" s="36">
        <f>IF(A397=入力!$B$15,A397+入力!$B$19,S396)</f>
        <v>360</v>
      </c>
      <c r="T397" s="35" t="str">
        <f t="shared" si="111"/>
        <v/>
      </c>
      <c r="U397" s="3">
        <f t="shared" si="96"/>
        <v>0</v>
      </c>
      <c r="V397" s="3">
        <f t="shared" si="97"/>
        <v>0</v>
      </c>
      <c r="W397" s="3">
        <f t="shared" si="98"/>
        <v>0</v>
      </c>
      <c r="X397" s="3">
        <f t="shared" si="99"/>
        <v>0</v>
      </c>
      <c r="Y397" s="3">
        <f>IF(A397&lt;入力!$B$15,ABS(G397-何もしない_月次!G397),0)</f>
        <v>0</v>
      </c>
      <c r="Z397" s="3">
        <f t="shared" si="100"/>
        <v>0</v>
      </c>
      <c r="AA397">
        <f>ROUND(IF(A397=入力!$B$15+1,IF(E397=0,ROUND(C397/入力!$B$19,0),ROUND(-PMT(E397/12,入力!$B$19,C397),0)),IF(OR(AND(入力!$B$13="有効",A397&gt;1,MOD(A397-1,60)=0),AND(A397=入力!$B$11,A397&gt;1)),IF(入力!$B$14="有効",MIN(IF(E397=0,ROUND(C397/MAX(1,S396-A397+1),0),ROUND(-PMT(E397/12,MAX(1,S396-A397+1),C397),0)),ROUND(G396*1.25,0)),IF(E397=0,ROUND(C397/MAX(1,S396-A397+1),0),ROUND(-PMT(E397/12,MAX(1,S396-A397+1),C397),0))),G396)),0)</f>
        <v>0</v>
      </c>
    </row>
    <row r="398" spans="1:27">
      <c r="A398" s="30">
        <f>393</f>
        <v>393</v>
      </c>
      <c r="B398" s="31">
        <f>EDATE(入力!$B$6,A398-1)</f>
        <v>58166</v>
      </c>
      <c r="C398" s="32">
        <f t="shared" si="101"/>
        <v>0</v>
      </c>
      <c r="D398" s="32">
        <f t="shared" si="102"/>
        <v>0</v>
      </c>
      <c r="E398" s="33">
        <f>IF(AND(T397="",A398&lt;=S397),IF(A398&lt;入力!$B$11,入力!$B$10,入力!$B$12),0)</f>
        <v>0</v>
      </c>
      <c r="F398" s="32">
        <f t="shared" si="103"/>
        <v>0</v>
      </c>
      <c r="G398" s="32">
        <f>ROUND(IF(NOT(AND(T397="",A398&lt;=S397)),0,IF(A398=入力!$B$15+1,IF(E398=0,ROUND(C398/入力!$B$19,0),ROUND(-PMT(E398/12,入力!$B$19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),0)</f>
        <v>0</v>
      </c>
      <c r="H398" s="32">
        <f t="shared" si="104"/>
        <v>0</v>
      </c>
      <c r="I398" s="32">
        <f t="shared" si="105"/>
        <v>0</v>
      </c>
      <c r="J398" s="32">
        <f t="shared" si="106"/>
        <v>0</v>
      </c>
      <c r="K398" s="32">
        <f t="shared" si="107"/>
        <v>0</v>
      </c>
      <c r="L398" s="32">
        <f t="shared" si="108"/>
        <v>0</v>
      </c>
      <c r="M398" s="32">
        <f>IF(AND(AND(T397="",A398&lt;=S397),A398=入力!$B$15),ROUND(MIN(入力!$B$16,MAX(0,C398-L398)),0),0)</f>
        <v>0</v>
      </c>
      <c r="N398" s="32">
        <f t="shared" si="109"/>
        <v>0</v>
      </c>
      <c r="O398" s="32">
        <f t="shared" si="110"/>
        <v>10751874</v>
      </c>
      <c r="P398" s="34" t="str">
        <f>IF(NOT(AND(T397="",A398&lt;=S397)),"",IF(A398=入力!$B$15+1,"繰上返済後再計算","")&amp;IF(AND(入力!$B$13="有効",A398&gt;1,MOD(A398-1,60)=0),IF(A398=入力!$B$15+1,"・","")&amp;"5年見直し","")&amp;IF(AND(A398=入力!$B$11,A398&gt;1),IF(OR(A398=入力!$B$15+1,AND(入力!$B$13="有効",A398&gt;1,MOD(A398-1,60)=0)),"・","")&amp;"金利変更","")&amp;IF(AND(OR(AND(入力!$B$13="有効",A398&gt;1,MOD(A398-1,60)=0),AND(A398=入力!$B$11,A398&gt;1)),入力!$B$14="有効",IF(E398=0,ROUND(C398/MAX(1,S397-A398+1),0),ROUND(-PMT(E398/12,MAX(1,S397-A398+1),C398),0))&gt;ROUND(G397*1.25,0),NOT(A398=入力!$B$15+1)),"・上限適用",""))</f>
        <v/>
      </c>
      <c r="Q398" s="35" t="str">
        <f>IF(AND(T397="",A398&lt;=S397),入力!$B$13,"")</f>
        <v/>
      </c>
      <c r="R398" s="32" t="str">
        <f>IF(AND(AND(T397="",A398&lt;=S397),OR(AND(入力!$B$13="有効",A398&gt;1,MOD(A398-1,60)=0),AND(A398=入力!$B$11,A398&gt;1)),入力!$B$14="有効"),ROUND(G397*1.25,0),"")</f>
        <v/>
      </c>
      <c r="S398" s="36">
        <f>IF(A398=入力!$B$15,A398+入力!$B$19,S397)</f>
        <v>360</v>
      </c>
      <c r="T398" s="35" t="str">
        <f t="shared" si="111"/>
        <v/>
      </c>
      <c r="U398" s="3">
        <f t="shared" si="96"/>
        <v>0</v>
      </c>
      <c r="V398" s="3">
        <f t="shared" si="97"/>
        <v>0</v>
      </c>
      <c r="W398" s="3">
        <f t="shared" si="98"/>
        <v>0</v>
      </c>
      <c r="X398" s="3">
        <f t="shared" si="99"/>
        <v>0</v>
      </c>
      <c r="Y398" s="3">
        <f>IF(A398&lt;入力!$B$15,ABS(G398-何もしない_月次!G398),0)</f>
        <v>0</v>
      </c>
      <c r="Z398" s="3">
        <f t="shared" si="100"/>
        <v>0</v>
      </c>
      <c r="AA398">
        <f>ROUND(IF(A398=入力!$B$15+1,IF(E398=0,ROUND(C398/入力!$B$19,0),ROUND(-PMT(E398/12,入力!$B$19,C398),0)),IF(OR(AND(入力!$B$13="有効",A398&gt;1,MOD(A398-1,60)=0),AND(A398=入力!$B$11,A398&gt;1)),IF(入力!$B$14="有効",MIN(IF(E398=0,ROUND(C398/MAX(1,S397-A398+1),0),ROUND(-PMT(E398/12,MAX(1,S397-A398+1),C398),0)),ROUND(G397*1.25,0)),IF(E398=0,ROUND(C398/MAX(1,S397-A398+1),0),ROUND(-PMT(E398/12,MAX(1,S397-A398+1),C398),0))),G397)),0)</f>
        <v>0</v>
      </c>
    </row>
    <row r="399" spans="1:27">
      <c r="A399" s="30">
        <f>394</f>
        <v>394</v>
      </c>
      <c r="B399" s="31">
        <f>EDATE(入力!$B$6,A399-1)</f>
        <v>58196</v>
      </c>
      <c r="C399" s="32">
        <f t="shared" si="101"/>
        <v>0</v>
      </c>
      <c r="D399" s="32">
        <f t="shared" si="102"/>
        <v>0</v>
      </c>
      <c r="E399" s="33">
        <f>IF(AND(T398="",A399&lt;=S398),IF(A399&lt;入力!$B$11,入力!$B$10,入力!$B$12),0)</f>
        <v>0</v>
      </c>
      <c r="F399" s="32">
        <f t="shared" si="103"/>
        <v>0</v>
      </c>
      <c r="G399" s="32">
        <f>ROUND(IF(NOT(AND(T398="",A399&lt;=S398)),0,IF(A399=入力!$B$15+1,IF(E399=0,ROUND(C399/入力!$B$19,0),ROUND(-PMT(E399/12,入力!$B$19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),0)</f>
        <v>0</v>
      </c>
      <c r="H399" s="32">
        <f t="shared" si="104"/>
        <v>0</v>
      </c>
      <c r="I399" s="32">
        <f t="shared" si="105"/>
        <v>0</v>
      </c>
      <c r="J399" s="32">
        <f t="shared" si="106"/>
        <v>0</v>
      </c>
      <c r="K399" s="32">
        <f t="shared" si="107"/>
        <v>0</v>
      </c>
      <c r="L399" s="32">
        <f t="shared" si="108"/>
        <v>0</v>
      </c>
      <c r="M399" s="32">
        <f>IF(AND(AND(T398="",A399&lt;=S398),A399=入力!$B$15),ROUND(MIN(入力!$B$16,MAX(0,C399-L399)),0),0)</f>
        <v>0</v>
      </c>
      <c r="N399" s="32">
        <f t="shared" si="109"/>
        <v>0</v>
      </c>
      <c r="O399" s="32">
        <f t="shared" si="110"/>
        <v>10751874</v>
      </c>
      <c r="P399" s="34" t="str">
        <f>IF(NOT(AND(T398="",A399&lt;=S398)),"",IF(A399=入力!$B$15+1,"繰上返済後再計算","")&amp;IF(AND(入力!$B$13="有効",A399&gt;1,MOD(A399-1,60)=0),IF(A399=入力!$B$15+1,"・","")&amp;"5年見直し","")&amp;IF(AND(A399=入力!$B$11,A399&gt;1),IF(OR(A399=入力!$B$15+1,AND(入力!$B$13="有効",A399&gt;1,MOD(A399-1,60)=0)),"・","")&amp;"金利変更","")&amp;IF(AND(OR(AND(入力!$B$13="有効",A399&gt;1,MOD(A399-1,60)=0),AND(A399=入力!$B$11,A399&gt;1)),入力!$B$14="有効",IF(E399=0,ROUND(C399/MAX(1,S398-A399+1),0),ROUND(-PMT(E399/12,MAX(1,S398-A399+1),C399),0))&gt;ROUND(G398*1.25,0),NOT(A399=入力!$B$15+1)),"・上限適用",""))</f>
        <v/>
      </c>
      <c r="Q399" s="35" t="str">
        <f>IF(AND(T398="",A399&lt;=S398),入力!$B$13,"")</f>
        <v/>
      </c>
      <c r="R399" s="32" t="str">
        <f>IF(AND(AND(T398="",A399&lt;=S398),OR(AND(入力!$B$13="有効",A399&gt;1,MOD(A399-1,60)=0),AND(A399=入力!$B$11,A399&gt;1)),入力!$B$14="有効"),ROUND(G398*1.25,0),"")</f>
        <v/>
      </c>
      <c r="S399" s="36">
        <f>IF(A399=入力!$B$15,A399+入力!$B$19,S398)</f>
        <v>360</v>
      </c>
      <c r="T399" s="35" t="str">
        <f t="shared" si="111"/>
        <v/>
      </c>
      <c r="U399" s="3">
        <f t="shared" si="96"/>
        <v>0</v>
      </c>
      <c r="V399" s="3">
        <f t="shared" si="97"/>
        <v>0</v>
      </c>
      <c r="W399" s="3">
        <f t="shared" si="98"/>
        <v>0</v>
      </c>
      <c r="X399" s="3">
        <f t="shared" si="99"/>
        <v>0</v>
      </c>
      <c r="Y399" s="3">
        <f>IF(A399&lt;入力!$B$15,ABS(G399-何もしない_月次!G399),0)</f>
        <v>0</v>
      </c>
      <c r="Z399" s="3">
        <f t="shared" si="100"/>
        <v>0</v>
      </c>
      <c r="AA399">
        <f>ROUND(IF(A399=入力!$B$15+1,IF(E399=0,ROUND(C399/入力!$B$19,0),ROUND(-PMT(E399/12,入力!$B$19,C399),0)),IF(OR(AND(入力!$B$13="有効",A399&gt;1,MOD(A399-1,60)=0),AND(A399=入力!$B$11,A399&gt;1)),IF(入力!$B$14="有効",MIN(IF(E399=0,ROUND(C399/MAX(1,S398-A399+1),0),ROUND(-PMT(E399/12,MAX(1,S398-A399+1),C399),0)),ROUND(G398*1.25,0)),IF(E399=0,ROUND(C399/MAX(1,S398-A399+1),0),ROUND(-PMT(E399/12,MAX(1,S398-A399+1),C399),0))),G398)),0)</f>
        <v>0</v>
      </c>
    </row>
    <row r="400" spans="1:27">
      <c r="A400" s="30">
        <f>395</f>
        <v>395</v>
      </c>
      <c r="B400" s="31">
        <f>EDATE(入力!$B$6,A400-1)</f>
        <v>58227</v>
      </c>
      <c r="C400" s="32">
        <f t="shared" si="101"/>
        <v>0</v>
      </c>
      <c r="D400" s="32">
        <f t="shared" si="102"/>
        <v>0</v>
      </c>
      <c r="E400" s="33">
        <f>IF(AND(T399="",A400&lt;=S399),IF(A400&lt;入力!$B$11,入力!$B$10,入力!$B$12),0)</f>
        <v>0</v>
      </c>
      <c r="F400" s="32">
        <f t="shared" si="103"/>
        <v>0</v>
      </c>
      <c r="G400" s="32">
        <f>ROUND(IF(NOT(AND(T399="",A400&lt;=S399)),0,IF(A400=入力!$B$15+1,IF(E400=0,ROUND(C400/入力!$B$19,0),ROUND(-PMT(E400/12,入力!$B$19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),0)</f>
        <v>0</v>
      </c>
      <c r="H400" s="32">
        <f t="shared" si="104"/>
        <v>0</v>
      </c>
      <c r="I400" s="32">
        <f t="shared" si="105"/>
        <v>0</v>
      </c>
      <c r="J400" s="32">
        <f t="shared" si="106"/>
        <v>0</v>
      </c>
      <c r="K400" s="32">
        <f t="shared" si="107"/>
        <v>0</v>
      </c>
      <c r="L400" s="32">
        <f t="shared" si="108"/>
        <v>0</v>
      </c>
      <c r="M400" s="32">
        <f>IF(AND(AND(T399="",A400&lt;=S399),A400=入力!$B$15),ROUND(MIN(入力!$B$16,MAX(0,C400-L400)),0),0)</f>
        <v>0</v>
      </c>
      <c r="N400" s="32">
        <f t="shared" si="109"/>
        <v>0</v>
      </c>
      <c r="O400" s="32">
        <f t="shared" si="110"/>
        <v>10751874</v>
      </c>
      <c r="P400" s="34" t="str">
        <f>IF(NOT(AND(T399="",A400&lt;=S399)),"",IF(A400=入力!$B$15+1,"繰上返済後再計算","")&amp;IF(AND(入力!$B$13="有効",A400&gt;1,MOD(A400-1,60)=0),IF(A400=入力!$B$15+1,"・","")&amp;"5年見直し","")&amp;IF(AND(A400=入力!$B$11,A400&gt;1),IF(OR(A400=入力!$B$15+1,AND(入力!$B$13="有効",A400&gt;1,MOD(A400-1,60)=0)),"・","")&amp;"金利変更","")&amp;IF(AND(OR(AND(入力!$B$13="有効",A400&gt;1,MOD(A400-1,60)=0),AND(A400=入力!$B$11,A400&gt;1)),入力!$B$14="有効",IF(E400=0,ROUND(C400/MAX(1,S399-A400+1),0),ROUND(-PMT(E400/12,MAX(1,S399-A400+1),C400),0))&gt;ROUND(G399*1.25,0),NOT(A400=入力!$B$15+1)),"・上限適用",""))</f>
        <v/>
      </c>
      <c r="Q400" s="35" t="str">
        <f>IF(AND(T399="",A400&lt;=S399),入力!$B$13,"")</f>
        <v/>
      </c>
      <c r="R400" s="32" t="str">
        <f>IF(AND(AND(T399="",A400&lt;=S399),OR(AND(入力!$B$13="有効",A400&gt;1,MOD(A400-1,60)=0),AND(A400=入力!$B$11,A400&gt;1)),入力!$B$14="有効"),ROUND(G399*1.25,0),"")</f>
        <v/>
      </c>
      <c r="S400" s="36">
        <f>IF(A400=入力!$B$15,A400+入力!$B$19,S399)</f>
        <v>360</v>
      </c>
      <c r="T400" s="35" t="str">
        <f t="shared" si="111"/>
        <v/>
      </c>
      <c r="U400" s="3">
        <f t="shared" si="96"/>
        <v>0</v>
      </c>
      <c r="V400" s="3">
        <f t="shared" si="97"/>
        <v>0</v>
      </c>
      <c r="W400" s="3">
        <f t="shared" si="98"/>
        <v>0</v>
      </c>
      <c r="X400" s="3">
        <f t="shared" si="99"/>
        <v>0</v>
      </c>
      <c r="Y400" s="3">
        <f>IF(A400&lt;入力!$B$15,ABS(G400-何もしない_月次!G400),0)</f>
        <v>0</v>
      </c>
      <c r="Z400" s="3">
        <f t="shared" si="100"/>
        <v>0</v>
      </c>
      <c r="AA400">
        <f>ROUND(IF(A400=入力!$B$15+1,IF(E400=0,ROUND(C400/入力!$B$19,0),ROUND(-PMT(E400/12,入力!$B$19,C400),0)),IF(OR(AND(入力!$B$13="有効",A400&gt;1,MOD(A400-1,60)=0),AND(A400=入力!$B$11,A400&gt;1)),IF(入力!$B$14="有効",MIN(IF(E400=0,ROUND(C400/MAX(1,S399-A400+1),0),ROUND(-PMT(E400/12,MAX(1,S399-A400+1),C400),0)),ROUND(G399*1.25,0)),IF(E400=0,ROUND(C400/MAX(1,S399-A400+1),0),ROUND(-PMT(E400/12,MAX(1,S399-A400+1),C400),0))),G399)),0)</f>
        <v>0</v>
      </c>
    </row>
    <row r="401" spans="1:27">
      <c r="A401" s="30">
        <f>396</f>
        <v>396</v>
      </c>
      <c r="B401" s="31">
        <f>EDATE(入力!$B$6,A401-1)</f>
        <v>58257</v>
      </c>
      <c r="C401" s="32">
        <f t="shared" si="101"/>
        <v>0</v>
      </c>
      <c r="D401" s="32">
        <f t="shared" si="102"/>
        <v>0</v>
      </c>
      <c r="E401" s="33">
        <f>IF(AND(T400="",A401&lt;=S400),IF(A401&lt;入力!$B$11,入力!$B$10,入力!$B$12),0)</f>
        <v>0</v>
      </c>
      <c r="F401" s="32">
        <f t="shared" si="103"/>
        <v>0</v>
      </c>
      <c r="G401" s="32">
        <f>ROUND(IF(NOT(AND(T400="",A401&lt;=S400)),0,IF(A401=入力!$B$15+1,IF(E401=0,ROUND(C401/入力!$B$19,0),ROUND(-PMT(E401/12,入力!$B$19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),0)</f>
        <v>0</v>
      </c>
      <c r="H401" s="32">
        <f t="shared" si="104"/>
        <v>0</v>
      </c>
      <c r="I401" s="32">
        <f t="shared" si="105"/>
        <v>0</v>
      </c>
      <c r="J401" s="32">
        <f t="shared" si="106"/>
        <v>0</v>
      </c>
      <c r="K401" s="32">
        <f t="shared" si="107"/>
        <v>0</v>
      </c>
      <c r="L401" s="32">
        <f t="shared" si="108"/>
        <v>0</v>
      </c>
      <c r="M401" s="32">
        <f>IF(AND(AND(T400="",A401&lt;=S400),A401=入力!$B$15),ROUND(MIN(入力!$B$16,MAX(0,C401-L401)),0),0)</f>
        <v>0</v>
      </c>
      <c r="N401" s="32">
        <f t="shared" si="109"/>
        <v>0</v>
      </c>
      <c r="O401" s="32">
        <f t="shared" si="110"/>
        <v>10751874</v>
      </c>
      <c r="P401" s="34" t="str">
        <f>IF(NOT(AND(T400="",A401&lt;=S400)),"",IF(A401=入力!$B$15+1,"繰上返済後再計算","")&amp;IF(AND(入力!$B$13="有効",A401&gt;1,MOD(A401-1,60)=0),IF(A401=入力!$B$15+1,"・","")&amp;"5年見直し","")&amp;IF(AND(A401=入力!$B$11,A401&gt;1),IF(OR(A401=入力!$B$15+1,AND(入力!$B$13="有効",A401&gt;1,MOD(A401-1,60)=0)),"・","")&amp;"金利変更","")&amp;IF(AND(OR(AND(入力!$B$13="有効",A401&gt;1,MOD(A401-1,60)=0),AND(A401=入力!$B$11,A401&gt;1)),入力!$B$14="有効",IF(E401=0,ROUND(C401/MAX(1,S400-A401+1),0),ROUND(-PMT(E401/12,MAX(1,S400-A401+1),C401),0))&gt;ROUND(G400*1.25,0),NOT(A401=入力!$B$15+1)),"・上限適用",""))</f>
        <v/>
      </c>
      <c r="Q401" s="35" t="str">
        <f>IF(AND(T400="",A401&lt;=S400),入力!$B$13,"")</f>
        <v/>
      </c>
      <c r="R401" s="32" t="str">
        <f>IF(AND(AND(T400="",A401&lt;=S400),OR(AND(入力!$B$13="有効",A401&gt;1,MOD(A401-1,60)=0),AND(A401=入力!$B$11,A401&gt;1)),入力!$B$14="有効"),ROUND(G400*1.25,0),"")</f>
        <v/>
      </c>
      <c r="S401" s="36">
        <f>IF(A401=入力!$B$15,A401+入力!$B$19,S400)</f>
        <v>360</v>
      </c>
      <c r="T401" s="35" t="str">
        <f t="shared" si="111"/>
        <v/>
      </c>
      <c r="U401" s="3">
        <f t="shared" si="96"/>
        <v>0</v>
      </c>
      <c r="V401" s="3">
        <f t="shared" si="97"/>
        <v>0</v>
      </c>
      <c r="W401" s="3">
        <f t="shared" si="98"/>
        <v>0</v>
      </c>
      <c r="X401" s="3">
        <f t="shared" si="99"/>
        <v>0</v>
      </c>
      <c r="Y401" s="3">
        <f>IF(A401&lt;入力!$B$15,ABS(G401-何もしない_月次!G401),0)</f>
        <v>0</v>
      </c>
      <c r="Z401" s="3">
        <f t="shared" si="100"/>
        <v>0</v>
      </c>
      <c r="AA401">
        <f>ROUND(IF(A401=入力!$B$15+1,IF(E401=0,ROUND(C401/入力!$B$19,0),ROUND(-PMT(E401/12,入力!$B$19,C401),0)),IF(OR(AND(入力!$B$13="有効",A401&gt;1,MOD(A401-1,60)=0),AND(A401=入力!$B$11,A401&gt;1)),IF(入力!$B$14="有効",MIN(IF(E401=0,ROUND(C401/MAX(1,S400-A401+1),0),ROUND(-PMT(E401/12,MAX(1,S400-A401+1),C401),0)),ROUND(G400*1.25,0)),IF(E401=0,ROUND(C401/MAX(1,S400-A401+1),0),ROUND(-PMT(E401/12,MAX(1,S400-A401+1),C401),0))),G400)),0)</f>
        <v>0</v>
      </c>
    </row>
    <row r="402" spans="1:27">
      <c r="A402" s="30">
        <f>397</f>
        <v>397</v>
      </c>
      <c r="B402" s="31">
        <f>EDATE(入力!$B$6,A402-1)</f>
        <v>58288</v>
      </c>
      <c r="C402" s="32">
        <f t="shared" si="101"/>
        <v>0</v>
      </c>
      <c r="D402" s="32">
        <f t="shared" si="102"/>
        <v>0</v>
      </c>
      <c r="E402" s="33">
        <f>IF(AND(T401="",A402&lt;=S401),IF(A402&lt;入力!$B$11,入力!$B$10,入力!$B$12),0)</f>
        <v>0</v>
      </c>
      <c r="F402" s="32">
        <f t="shared" si="103"/>
        <v>0</v>
      </c>
      <c r="G402" s="32">
        <f>ROUND(IF(NOT(AND(T401="",A402&lt;=S401)),0,IF(A402=入力!$B$15+1,IF(E402=0,ROUND(C402/入力!$B$19,0),ROUND(-PMT(E402/12,入力!$B$19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),0)</f>
        <v>0</v>
      </c>
      <c r="H402" s="32">
        <f t="shared" si="104"/>
        <v>0</v>
      </c>
      <c r="I402" s="32">
        <f t="shared" si="105"/>
        <v>0</v>
      </c>
      <c r="J402" s="32">
        <f t="shared" si="106"/>
        <v>0</v>
      </c>
      <c r="K402" s="32">
        <f t="shared" si="107"/>
        <v>0</v>
      </c>
      <c r="L402" s="32">
        <f t="shared" si="108"/>
        <v>0</v>
      </c>
      <c r="M402" s="32">
        <f>IF(AND(AND(T401="",A402&lt;=S401),A402=入力!$B$15),ROUND(MIN(入力!$B$16,MAX(0,C402-L402)),0),0)</f>
        <v>0</v>
      </c>
      <c r="N402" s="32">
        <f t="shared" si="109"/>
        <v>0</v>
      </c>
      <c r="O402" s="32">
        <f t="shared" si="110"/>
        <v>10751874</v>
      </c>
      <c r="P402" s="34" t="str">
        <f>IF(NOT(AND(T401="",A402&lt;=S401)),"",IF(A402=入力!$B$15+1,"繰上返済後再計算","")&amp;IF(AND(入力!$B$13="有効",A402&gt;1,MOD(A402-1,60)=0),IF(A402=入力!$B$15+1,"・","")&amp;"5年見直し","")&amp;IF(AND(A402=入力!$B$11,A402&gt;1),IF(OR(A402=入力!$B$15+1,AND(入力!$B$13="有効",A402&gt;1,MOD(A402-1,60)=0)),"・","")&amp;"金利変更","")&amp;IF(AND(OR(AND(入力!$B$13="有効",A402&gt;1,MOD(A402-1,60)=0),AND(A402=入力!$B$11,A402&gt;1)),入力!$B$14="有効",IF(E402=0,ROUND(C402/MAX(1,S401-A402+1),0),ROUND(-PMT(E402/12,MAX(1,S401-A402+1),C402),0))&gt;ROUND(G401*1.25,0),NOT(A402=入力!$B$15+1)),"・上限適用",""))</f>
        <v/>
      </c>
      <c r="Q402" s="35" t="str">
        <f>IF(AND(T401="",A402&lt;=S401),入力!$B$13,"")</f>
        <v/>
      </c>
      <c r="R402" s="32" t="str">
        <f>IF(AND(AND(T401="",A402&lt;=S401),OR(AND(入力!$B$13="有効",A402&gt;1,MOD(A402-1,60)=0),AND(A402=入力!$B$11,A402&gt;1)),入力!$B$14="有効"),ROUND(G401*1.25,0),"")</f>
        <v/>
      </c>
      <c r="S402" s="36">
        <f>IF(A402=入力!$B$15,A402+入力!$B$19,S401)</f>
        <v>360</v>
      </c>
      <c r="T402" s="35" t="str">
        <f t="shared" si="111"/>
        <v/>
      </c>
      <c r="U402" s="3">
        <f t="shared" si="96"/>
        <v>0</v>
      </c>
      <c r="V402" s="3">
        <f t="shared" si="97"/>
        <v>0</v>
      </c>
      <c r="W402" s="3">
        <f t="shared" si="98"/>
        <v>0</v>
      </c>
      <c r="X402" s="3">
        <f t="shared" si="99"/>
        <v>0</v>
      </c>
      <c r="Y402" s="3">
        <f>IF(A402&lt;入力!$B$15,ABS(G402-何もしない_月次!G402),0)</f>
        <v>0</v>
      </c>
      <c r="Z402" s="3">
        <f t="shared" si="100"/>
        <v>0</v>
      </c>
      <c r="AA402">
        <f>ROUND(IF(A402=入力!$B$15+1,IF(E402=0,ROUND(C402/入力!$B$19,0),ROUND(-PMT(E402/12,入力!$B$19,C402),0)),IF(OR(AND(入力!$B$13="有効",A402&gt;1,MOD(A402-1,60)=0),AND(A402=入力!$B$11,A402&gt;1)),IF(入力!$B$14="有効",MIN(IF(E402=0,ROUND(C402/MAX(1,S401-A402+1),0),ROUND(-PMT(E402/12,MAX(1,S401-A402+1),C402),0)),ROUND(G401*1.25,0)),IF(E402=0,ROUND(C402/MAX(1,S401-A402+1),0),ROUND(-PMT(E402/12,MAX(1,S401-A402+1),C402),0))),G401)),0)</f>
        <v>0</v>
      </c>
    </row>
    <row r="403" spans="1:27">
      <c r="A403" s="30">
        <f>398</f>
        <v>398</v>
      </c>
      <c r="B403" s="31">
        <f>EDATE(入力!$B$6,A403-1)</f>
        <v>58319</v>
      </c>
      <c r="C403" s="32">
        <f t="shared" si="101"/>
        <v>0</v>
      </c>
      <c r="D403" s="32">
        <f t="shared" si="102"/>
        <v>0</v>
      </c>
      <c r="E403" s="33">
        <f>IF(AND(T402="",A403&lt;=S402),IF(A403&lt;入力!$B$11,入力!$B$10,入力!$B$12),0)</f>
        <v>0</v>
      </c>
      <c r="F403" s="32">
        <f t="shared" si="103"/>
        <v>0</v>
      </c>
      <c r="G403" s="32">
        <f>ROUND(IF(NOT(AND(T402="",A403&lt;=S402)),0,IF(A403=入力!$B$15+1,IF(E403=0,ROUND(C403/入力!$B$19,0),ROUND(-PMT(E403/12,入力!$B$19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),0)</f>
        <v>0</v>
      </c>
      <c r="H403" s="32">
        <f t="shared" si="104"/>
        <v>0</v>
      </c>
      <c r="I403" s="32">
        <f t="shared" si="105"/>
        <v>0</v>
      </c>
      <c r="J403" s="32">
        <f t="shared" si="106"/>
        <v>0</v>
      </c>
      <c r="K403" s="32">
        <f t="shared" si="107"/>
        <v>0</v>
      </c>
      <c r="L403" s="32">
        <f t="shared" si="108"/>
        <v>0</v>
      </c>
      <c r="M403" s="32">
        <f>IF(AND(AND(T402="",A403&lt;=S402),A403=入力!$B$15),ROUND(MIN(入力!$B$16,MAX(0,C403-L403)),0),0)</f>
        <v>0</v>
      </c>
      <c r="N403" s="32">
        <f t="shared" si="109"/>
        <v>0</v>
      </c>
      <c r="O403" s="32">
        <f t="shared" si="110"/>
        <v>10751874</v>
      </c>
      <c r="P403" s="34" t="str">
        <f>IF(NOT(AND(T402="",A403&lt;=S402)),"",IF(A403=入力!$B$15+1,"繰上返済後再計算","")&amp;IF(AND(入力!$B$13="有効",A403&gt;1,MOD(A403-1,60)=0),IF(A403=入力!$B$15+1,"・","")&amp;"5年見直し","")&amp;IF(AND(A403=入力!$B$11,A403&gt;1),IF(OR(A403=入力!$B$15+1,AND(入力!$B$13="有効",A403&gt;1,MOD(A403-1,60)=0)),"・","")&amp;"金利変更","")&amp;IF(AND(OR(AND(入力!$B$13="有効",A403&gt;1,MOD(A403-1,60)=0),AND(A403=入力!$B$11,A403&gt;1)),入力!$B$14="有効",IF(E403=0,ROUND(C403/MAX(1,S402-A403+1),0),ROUND(-PMT(E403/12,MAX(1,S402-A403+1),C403),0))&gt;ROUND(G402*1.25,0),NOT(A403=入力!$B$15+1)),"・上限適用",""))</f>
        <v/>
      </c>
      <c r="Q403" s="35" t="str">
        <f>IF(AND(T402="",A403&lt;=S402),入力!$B$13,"")</f>
        <v/>
      </c>
      <c r="R403" s="32" t="str">
        <f>IF(AND(AND(T402="",A403&lt;=S402),OR(AND(入力!$B$13="有効",A403&gt;1,MOD(A403-1,60)=0),AND(A403=入力!$B$11,A403&gt;1)),入力!$B$14="有効"),ROUND(G402*1.25,0),"")</f>
        <v/>
      </c>
      <c r="S403" s="36">
        <f>IF(A403=入力!$B$15,A403+入力!$B$19,S402)</f>
        <v>360</v>
      </c>
      <c r="T403" s="35" t="str">
        <f t="shared" si="111"/>
        <v/>
      </c>
      <c r="U403" s="3">
        <f t="shared" si="96"/>
        <v>0</v>
      </c>
      <c r="V403" s="3">
        <f t="shared" si="97"/>
        <v>0</v>
      </c>
      <c r="W403" s="3">
        <f t="shared" si="98"/>
        <v>0</v>
      </c>
      <c r="X403" s="3">
        <f t="shared" si="99"/>
        <v>0</v>
      </c>
      <c r="Y403" s="3">
        <f>IF(A403&lt;入力!$B$15,ABS(G403-何もしない_月次!G403),0)</f>
        <v>0</v>
      </c>
      <c r="Z403" s="3">
        <f t="shared" si="100"/>
        <v>0</v>
      </c>
      <c r="AA403">
        <f>ROUND(IF(A403=入力!$B$15+1,IF(E403=0,ROUND(C403/入力!$B$19,0),ROUND(-PMT(E403/12,入力!$B$19,C403),0)),IF(OR(AND(入力!$B$13="有効",A403&gt;1,MOD(A403-1,60)=0),AND(A403=入力!$B$11,A403&gt;1)),IF(入力!$B$14="有効",MIN(IF(E403=0,ROUND(C403/MAX(1,S402-A403+1),0),ROUND(-PMT(E403/12,MAX(1,S402-A403+1),C403),0)),ROUND(G402*1.25,0)),IF(E403=0,ROUND(C403/MAX(1,S402-A403+1),0),ROUND(-PMT(E403/12,MAX(1,S402-A403+1),C403),0))),G402)),0)</f>
        <v>0</v>
      </c>
    </row>
    <row r="404" spans="1:27">
      <c r="A404" s="30">
        <f>399</f>
        <v>399</v>
      </c>
      <c r="B404" s="31">
        <f>EDATE(入力!$B$6,A404-1)</f>
        <v>58349</v>
      </c>
      <c r="C404" s="32">
        <f t="shared" si="101"/>
        <v>0</v>
      </c>
      <c r="D404" s="32">
        <f t="shared" si="102"/>
        <v>0</v>
      </c>
      <c r="E404" s="33">
        <f>IF(AND(T403="",A404&lt;=S403),IF(A404&lt;入力!$B$11,入力!$B$10,入力!$B$12),0)</f>
        <v>0</v>
      </c>
      <c r="F404" s="32">
        <f t="shared" si="103"/>
        <v>0</v>
      </c>
      <c r="G404" s="32">
        <f>ROUND(IF(NOT(AND(T403="",A404&lt;=S403)),0,IF(A404=入力!$B$15+1,IF(E404=0,ROUND(C404/入力!$B$19,0),ROUND(-PMT(E404/12,入力!$B$19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),0)</f>
        <v>0</v>
      </c>
      <c r="H404" s="32">
        <f t="shared" si="104"/>
        <v>0</v>
      </c>
      <c r="I404" s="32">
        <f t="shared" si="105"/>
        <v>0</v>
      </c>
      <c r="J404" s="32">
        <f t="shared" si="106"/>
        <v>0</v>
      </c>
      <c r="K404" s="32">
        <f t="shared" si="107"/>
        <v>0</v>
      </c>
      <c r="L404" s="32">
        <f t="shared" si="108"/>
        <v>0</v>
      </c>
      <c r="M404" s="32">
        <f>IF(AND(AND(T403="",A404&lt;=S403),A404=入力!$B$15),ROUND(MIN(入力!$B$16,MAX(0,C404-L404)),0),0)</f>
        <v>0</v>
      </c>
      <c r="N404" s="32">
        <f t="shared" si="109"/>
        <v>0</v>
      </c>
      <c r="O404" s="32">
        <f t="shared" si="110"/>
        <v>10751874</v>
      </c>
      <c r="P404" s="34" t="str">
        <f>IF(NOT(AND(T403="",A404&lt;=S403)),"",IF(A404=入力!$B$15+1,"繰上返済後再計算","")&amp;IF(AND(入力!$B$13="有効",A404&gt;1,MOD(A404-1,60)=0),IF(A404=入力!$B$15+1,"・","")&amp;"5年見直し","")&amp;IF(AND(A404=入力!$B$11,A404&gt;1),IF(OR(A404=入力!$B$15+1,AND(入力!$B$13="有効",A404&gt;1,MOD(A404-1,60)=0)),"・","")&amp;"金利変更","")&amp;IF(AND(OR(AND(入力!$B$13="有効",A404&gt;1,MOD(A404-1,60)=0),AND(A404=入力!$B$11,A404&gt;1)),入力!$B$14="有効",IF(E404=0,ROUND(C404/MAX(1,S403-A404+1),0),ROUND(-PMT(E404/12,MAX(1,S403-A404+1),C404),0))&gt;ROUND(G403*1.25,0),NOT(A404=入力!$B$15+1)),"・上限適用",""))</f>
        <v/>
      </c>
      <c r="Q404" s="35" t="str">
        <f>IF(AND(T403="",A404&lt;=S403),入力!$B$13,"")</f>
        <v/>
      </c>
      <c r="R404" s="32" t="str">
        <f>IF(AND(AND(T403="",A404&lt;=S403),OR(AND(入力!$B$13="有効",A404&gt;1,MOD(A404-1,60)=0),AND(A404=入力!$B$11,A404&gt;1)),入力!$B$14="有効"),ROUND(G403*1.25,0),"")</f>
        <v/>
      </c>
      <c r="S404" s="36">
        <f>IF(A404=入力!$B$15,A404+入力!$B$19,S403)</f>
        <v>360</v>
      </c>
      <c r="T404" s="35" t="str">
        <f t="shared" si="111"/>
        <v/>
      </c>
      <c r="U404" s="3">
        <f t="shared" si="96"/>
        <v>0</v>
      </c>
      <c r="V404" s="3">
        <f t="shared" si="97"/>
        <v>0</v>
      </c>
      <c r="W404" s="3">
        <f t="shared" si="98"/>
        <v>0</v>
      </c>
      <c r="X404" s="3">
        <f t="shared" si="99"/>
        <v>0</v>
      </c>
      <c r="Y404" s="3">
        <f>IF(A404&lt;入力!$B$15,ABS(G404-何もしない_月次!G404),0)</f>
        <v>0</v>
      </c>
      <c r="Z404" s="3">
        <f t="shared" si="100"/>
        <v>0</v>
      </c>
      <c r="AA404">
        <f>ROUND(IF(A404=入力!$B$15+1,IF(E404=0,ROUND(C404/入力!$B$19,0),ROUND(-PMT(E404/12,入力!$B$19,C404),0)),IF(OR(AND(入力!$B$13="有効",A404&gt;1,MOD(A404-1,60)=0),AND(A404=入力!$B$11,A404&gt;1)),IF(入力!$B$14="有効",MIN(IF(E404=0,ROUND(C404/MAX(1,S403-A404+1),0),ROUND(-PMT(E404/12,MAX(1,S403-A404+1),C404),0)),ROUND(G403*1.25,0)),IF(E404=0,ROUND(C404/MAX(1,S403-A404+1),0),ROUND(-PMT(E404/12,MAX(1,S403-A404+1),C404),0))),G403)),0)</f>
        <v>0</v>
      </c>
    </row>
    <row r="405" spans="1:27">
      <c r="A405" s="30">
        <f>400</f>
        <v>400</v>
      </c>
      <c r="B405" s="31">
        <f>EDATE(入力!$B$6,A405-1)</f>
        <v>58380</v>
      </c>
      <c r="C405" s="32">
        <f t="shared" si="101"/>
        <v>0</v>
      </c>
      <c r="D405" s="32">
        <f t="shared" si="102"/>
        <v>0</v>
      </c>
      <c r="E405" s="33">
        <f>IF(AND(T404="",A405&lt;=S404),IF(A405&lt;入力!$B$11,入力!$B$10,入力!$B$12),0)</f>
        <v>0</v>
      </c>
      <c r="F405" s="32">
        <f t="shared" si="103"/>
        <v>0</v>
      </c>
      <c r="G405" s="32">
        <f>ROUND(IF(NOT(AND(T404="",A405&lt;=S404)),0,IF(A405=入力!$B$15+1,IF(E405=0,ROUND(C405/入力!$B$19,0),ROUND(-PMT(E405/12,入力!$B$19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),0)</f>
        <v>0</v>
      </c>
      <c r="H405" s="32">
        <f t="shared" si="104"/>
        <v>0</v>
      </c>
      <c r="I405" s="32">
        <f t="shared" si="105"/>
        <v>0</v>
      </c>
      <c r="J405" s="32">
        <f t="shared" si="106"/>
        <v>0</v>
      </c>
      <c r="K405" s="32">
        <f t="shared" si="107"/>
        <v>0</v>
      </c>
      <c r="L405" s="32">
        <f t="shared" si="108"/>
        <v>0</v>
      </c>
      <c r="M405" s="32">
        <f>IF(AND(AND(T404="",A405&lt;=S404),A405=入力!$B$15),ROUND(MIN(入力!$B$16,MAX(0,C405-L405)),0),0)</f>
        <v>0</v>
      </c>
      <c r="N405" s="32">
        <f t="shared" si="109"/>
        <v>0</v>
      </c>
      <c r="O405" s="32">
        <f t="shared" si="110"/>
        <v>10751874</v>
      </c>
      <c r="P405" s="34" t="str">
        <f>IF(NOT(AND(T404="",A405&lt;=S404)),"",IF(A405=入力!$B$15+1,"繰上返済後再計算","")&amp;IF(AND(入力!$B$13="有効",A405&gt;1,MOD(A405-1,60)=0),IF(A405=入力!$B$15+1,"・","")&amp;"5年見直し","")&amp;IF(AND(A405=入力!$B$11,A405&gt;1),IF(OR(A405=入力!$B$15+1,AND(入力!$B$13="有効",A405&gt;1,MOD(A405-1,60)=0)),"・","")&amp;"金利変更","")&amp;IF(AND(OR(AND(入力!$B$13="有効",A405&gt;1,MOD(A405-1,60)=0),AND(A405=入力!$B$11,A405&gt;1)),入力!$B$14="有効",IF(E405=0,ROUND(C405/MAX(1,S404-A405+1),0),ROUND(-PMT(E405/12,MAX(1,S404-A405+1),C405),0))&gt;ROUND(G404*1.25,0),NOT(A405=入力!$B$15+1)),"・上限適用",""))</f>
        <v/>
      </c>
      <c r="Q405" s="35" t="str">
        <f>IF(AND(T404="",A405&lt;=S404),入力!$B$13,"")</f>
        <v/>
      </c>
      <c r="R405" s="32" t="str">
        <f>IF(AND(AND(T404="",A405&lt;=S404),OR(AND(入力!$B$13="有効",A405&gt;1,MOD(A405-1,60)=0),AND(A405=入力!$B$11,A405&gt;1)),入力!$B$14="有効"),ROUND(G404*1.25,0),"")</f>
        <v/>
      </c>
      <c r="S405" s="36">
        <f>IF(A405=入力!$B$15,A405+入力!$B$19,S404)</f>
        <v>360</v>
      </c>
      <c r="T405" s="35" t="str">
        <f t="shared" si="111"/>
        <v/>
      </c>
      <c r="U405" s="3">
        <f t="shared" si="96"/>
        <v>0</v>
      </c>
      <c r="V405" s="3">
        <f t="shared" si="97"/>
        <v>0</v>
      </c>
      <c r="W405" s="3">
        <f t="shared" si="98"/>
        <v>0</v>
      </c>
      <c r="X405" s="3">
        <f t="shared" si="99"/>
        <v>0</v>
      </c>
      <c r="Y405" s="3">
        <f>IF(A405&lt;入力!$B$15,ABS(G405-何もしない_月次!G405),0)</f>
        <v>0</v>
      </c>
      <c r="Z405" s="3">
        <f t="shared" si="100"/>
        <v>0</v>
      </c>
      <c r="AA405">
        <f>ROUND(IF(A405=入力!$B$15+1,IF(E405=0,ROUND(C405/入力!$B$19,0),ROUND(-PMT(E405/12,入力!$B$19,C405),0)),IF(OR(AND(入力!$B$13="有効",A405&gt;1,MOD(A405-1,60)=0),AND(A405=入力!$B$11,A405&gt;1)),IF(入力!$B$14="有効",MIN(IF(E405=0,ROUND(C405/MAX(1,S404-A405+1),0),ROUND(-PMT(E405/12,MAX(1,S404-A405+1),C405),0)),ROUND(G404*1.25,0)),IF(E405=0,ROUND(C405/MAX(1,S404-A405+1),0),ROUND(-PMT(E405/12,MAX(1,S404-A405+1),C405),0))),G404)),0)</f>
        <v>0</v>
      </c>
    </row>
    <row r="406" spans="1:27">
      <c r="A406" s="30">
        <f>401</f>
        <v>401</v>
      </c>
      <c r="B406" s="31">
        <f>EDATE(入力!$B$6,A406-1)</f>
        <v>58410</v>
      </c>
      <c r="C406" s="32">
        <f t="shared" si="101"/>
        <v>0</v>
      </c>
      <c r="D406" s="32">
        <f t="shared" si="102"/>
        <v>0</v>
      </c>
      <c r="E406" s="33">
        <f>IF(AND(T405="",A406&lt;=S405),IF(A406&lt;入力!$B$11,入力!$B$10,入力!$B$12),0)</f>
        <v>0</v>
      </c>
      <c r="F406" s="32">
        <f t="shared" si="103"/>
        <v>0</v>
      </c>
      <c r="G406" s="32">
        <f>ROUND(IF(NOT(AND(T405="",A406&lt;=S405)),0,IF(A406=入力!$B$15+1,IF(E406=0,ROUND(C406/入力!$B$19,0),ROUND(-PMT(E406/12,入力!$B$19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),0)</f>
        <v>0</v>
      </c>
      <c r="H406" s="32">
        <f t="shared" si="104"/>
        <v>0</v>
      </c>
      <c r="I406" s="32">
        <f t="shared" si="105"/>
        <v>0</v>
      </c>
      <c r="J406" s="32">
        <f t="shared" si="106"/>
        <v>0</v>
      </c>
      <c r="K406" s="32">
        <f t="shared" si="107"/>
        <v>0</v>
      </c>
      <c r="L406" s="32">
        <f t="shared" si="108"/>
        <v>0</v>
      </c>
      <c r="M406" s="32">
        <f>IF(AND(AND(T405="",A406&lt;=S405),A406=入力!$B$15),ROUND(MIN(入力!$B$16,MAX(0,C406-L406)),0),0)</f>
        <v>0</v>
      </c>
      <c r="N406" s="32">
        <f t="shared" si="109"/>
        <v>0</v>
      </c>
      <c r="O406" s="32">
        <f t="shared" si="110"/>
        <v>10751874</v>
      </c>
      <c r="P406" s="34" t="str">
        <f>IF(NOT(AND(T405="",A406&lt;=S405)),"",IF(A406=入力!$B$15+1,"繰上返済後再計算","")&amp;IF(AND(入力!$B$13="有効",A406&gt;1,MOD(A406-1,60)=0),IF(A406=入力!$B$15+1,"・","")&amp;"5年見直し","")&amp;IF(AND(A406=入力!$B$11,A406&gt;1),IF(OR(A406=入力!$B$15+1,AND(入力!$B$13="有効",A406&gt;1,MOD(A406-1,60)=0)),"・","")&amp;"金利変更","")&amp;IF(AND(OR(AND(入力!$B$13="有効",A406&gt;1,MOD(A406-1,60)=0),AND(A406=入力!$B$11,A406&gt;1)),入力!$B$14="有効",IF(E406=0,ROUND(C406/MAX(1,S405-A406+1),0),ROUND(-PMT(E406/12,MAX(1,S405-A406+1),C406),0))&gt;ROUND(G405*1.25,0),NOT(A406=入力!$B$15+1)),"・上限適用",""))</f>
        <v/>
      </c>
      <c r="Q406" s="35" t="str">
        <f>IF(AND(T405="",A406&lt;=S405),入力!$B$13,"")</f>
        <v/>
      </c>
      <c r="R406" s="32" t="str">
        <f>IF(AND(AND(T405="",A406&lt;=S405),OR(AND(入力!$B$13="有効",A406&gt;1,MOD(A406-1,60)=0),AND(A406=入力!$B$11,A406&gt;1)),入力!$B$14="有効"),ROUND(G405*1.25,0),"")</f>
        <v/>
      </c>
      <c r="S406" s="36">
        <f>IF(A406=入力!$B$15,A406+入力!$B$19,S405)</f>
        <v>360</v>
      </c>
      <c r="T406" s="35" t="str">
        <f t="shared" si="111"/>
        <v/>
      </c>
      <c r="U406" s="3">
        <f t="shared" si="96"/>
        <v>0</v>
      </c>
      <c r="V406" s="3">
        <f t="shared" si="97"/>
        <v>0</v>
      </c>
      <c r="W406" s="3">
        <f t="shared" si="98"/>
        <v>0</v>
      </c>
      <c r="X406" s="3">
        <f t="shared" si="99"/>
        <v>0</v>
      </c>
      <c r="Y406" s="3">
        <f>IF(A406&lt;入力!$B$15,ABS(G406-何もしない_月次!G406),0)</f>
        <v>0</v>
      </c>
      <c r="Z406" s="3">
        <f t="shared" si="100"/>
        <v>0</v>
      </c>
      <c r="AA406">
        <f>ROUND(IF(A406=入力!$B$15+1,IF(E406=0,ROUND(C406/入力!$B$19,0),ROUND(-PMT(E406/12,入力!$B$19,C406),0)),IF(OR(AND(入力!$B$13="有効",A406&gt;1,MOD(A406-1,60)=0),AND(A406=入力!$B$11,A406&gt;1)),IF(入力!$B$14="有効",MIN(IF(E406=0,ROUND(C406/MAX(1,S405-A406+1),0),ROUND(-PMT(E406/12,MAX(1,S405-A406+1),C406),0)),ROUND(G405*1.25,0)),IF(E406=0,ROUND(C406/MAX(1,S405-A406+1),0),ROUND(-PMT(E406/12,MAX(1,S405-A406+1),C406),0))),G405)),0)</f>
        <v>0</v>
      </c>
    </row>
    <row r="407" spans="1:27">
      <c r="A407" s="30">
        <f>402</f>
        <v>402</v>
      </c>
      <c r="B407" s="31">
        <f>EDATE(入力!$B$6,A407-1)</f>
        <v>58441</v>
      </c>
      <c r="C407" s="32">
        <f t="shared" si="101"/>
        <v>0</v>
      </c>
      <c r="D407" s="32">
        <f t="shared" si="102"/>
        <v>0</v>
      </c>
      <c r="E407" s="33">
        <f>IF(AND(T406="",A407&lt;=S406),IF(A407&lt;入力!$B$11,入力!$B$10,入力!$B$12),0)</f>
        <v>0</v>
      </c>
      <c r="F407" s="32">
        <f t="shared" si="103"/>
        <v>0</v>
      </c>
      <c r="G407" s="32">
        <f>ROUND(IF(NOT(AND(T406="",A407&lt;=S406)),0,IF(A407=入力!$B$15+1,IF(E407=0,ROUND(C407/入力!$B$19,0),ROUND(-PMT(E407/12,入力!$B$19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),0)</f>
        <v>0</v>
      </c>
      <c r="H407" s="32">
        <f t="shared" si="104"/>
        <v>0</v>
      </c>
      <c r="I407" s="32">
        <f t="shared" si="105"/>
        <v>0</v>
      </c>
      <c r="J407" s="32">
        <f t="shared" si="106"/>
        <v>0</v>
      </c>
      <c r="K407" s="32">
        <f t="shared" si="107"/>
        <v>0</v>
      </c>
      <c r="L407" s="32">
        <f t="shared" si="108"/>
        <v>0</v>
      </c>
      <c r="M407" s="32">
        <f>IF(AND(AND(T406="",A407&lt;=S406),A407=入力!$B$15),ROUND(MIN(入力!$B$16,MAX(0,C407-L407)),0),0)</f>
        <v>0</v>
      </c>
      <c r="N407" s="32">
        <f t="shared" si="109"/>
        <v>0</v>
      </c>
      <c r="O407" s="32">
        <f t="shared" si="110"/>
        <v>10751874</v>
      </c>
      <c r="P407" s="34" t="str">
        <f>IF(NOT(AND(T406="",A407&lt;=S406)),"",IF(A407=入力!$B$15+1,"繰上返済後再計算","")&amp;IF(AND(入力!$B$13="有効",A407&gt;1,MOD(A407-1,60)=0),IF(A407=入力!$B$15+1,"・","")&amp;"5年見直し","")&amp;IF(AND(A407=入力!$B$11,A407&gt;1),IF(OR(A407=入力!$B$15+1,AND(入力!$B$13="有効",A407&gt;1,MOD(A407-1,60)=0)),"・","")&amp;"金利変更","")&amp;IF(AND(OR(AND(入力!$B$13="有効",A407&gt;1,MOD(A407-1,60)=0),AND(A407=入力!$B$11,A407&gt;1)),入力!$B$14="有効",IF(E407=0,ROUND(C407/MAX(1,S406-A407+1),0),ROUND(-PMT(E407/12,MAX(1,S406-A407+1),C407),0))&gt;ROUND(G406*1.25,0),NOT(A407=入力!$B$15+1)),"・上限適用",""))</f>
        <v/>
      </c>
      <c r="Q407" s="35" t="str">
        <f>IF(AND(T406="",A407&lt;=S406),入力!$B$13,"")</f>
        <v/>
      </c>
      <c r="R407" s="32" t="str">
        <f>IF(AND(AND(T406="",A407&lt;=S406),OR(AND(入力!$B$13="有効",A407&gt;1,MOD(A407-1,60)=0),AND(A407=入力!$B$11,A407&gt;1)),入力!$B$14="有効"),ROUND(G406*1.25,0),"")</f>
        <v/>
      </c>
      <c r="S407" s="36">
        <f>IF(A407=入力!$B$15,A407+入力!$B$19,S406)</f>
        <v>360</v>
      </c>
      <c r="T407" s="35" t="str">
        <f t="shared" si="111"/>
        <v/>
      </c>
      <c r="U407" s="3">
        <f t="shared" si="96"/>
        <v>0</v>
      </c>
      <c r="V407" s="3">
        <f t="shared" si="97"/>
        <v>0</v>
      </c>
      <c r="W407" s="3">
        <f t="shared" si="98"/>
        <v>0</v>
      </c>
      <c r="X407" s="3">
        <f t="shared" si="99"/>
        <v>0</v>
      </c>
      <c r="Y407" s="3">
        <f>IF(A407&lt;入力!$B$15,ABS(G407-何もしない_月次!G407),0)</f>
        <v>0</v>
      </c>
      <c r="Z407" s="3">
        <f t="shared" si="100"/>
        <v>0</v>
      </c>
      <c r="AA407">
        <f>ROUND(IF(A407=入力!$B$15+1,IF(E407=0,ROUND(C407/入力!$B$19,0),ROUND(-PMT(E407/12,入力!$B$19,C407),0)),IF(OR(AND(入力!$B$13="有効",A407&gt;1,MOD(A407-1,60)=0),AND(A407=入力!$B$11,A407&gt;1)),IF(入力!$B$14="有効",MIN(IF(E407=0,ROUND(C407/MAX(1,S406-A407+1),0),ROUND(-PMT(E407/12,MAX(1,S406-A407+1),C407),0)),ROUND(G406*1.25,0)),IF(E407=0,ROUND(C407/MAX(1,S406-A407+1),0),ROUND(-PMT(E407/12,MAX(1,S406-A407+1),C407),0))),G406)),0)</f>
        <v>0</v>
      </c>
    </row>
    <row r="408" spans="1:27">
      <c r="A408" s="30">
        <f>403</f>
        <v>403</v>
      </c>
      <c r="B408" s="31">
        <f>EDATE(入力!$B$6,A408-1)</f>
        <v>58472</v>
      </c>
      <c r="C408" s="32">
        <f t="shared" si="101"/>
        <v>0</v>
      </c>
      <c r="D408" s="32">
        <f t="shared" si="102"/>
        <v>0</v>
      </c>
      <c r="E408" s="33">
        <f>IF(AND(T407="",A408&lt;=S407),IF(A408&lt;入力!$B$11,入力!$B$10,入力!$B$12),0)</f>
        <v>0</v>
      </c>
      <c r="F408" s="32">
        <f t="shared" si="103"/>
        <v>0</v>
      </c>
      <c r="G408" s="32">
        <f>ROUND(IF(NOT(AND(T407="",A408&lt;=S407)),0,IF(A408=入力!$B$15+1,IF(E408=0,ROUND(C408/入力!$B$19,0),ROUND(-PMT(E408/12,入力!$B$19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),0)</f>
        <v>0</v>
      </c>
      <c r="H408" s="32">
        <f t="shared" si="104"/>
        <v>0</v>
      </c>
      <c r="I408" s="32">
        <f t="shared" si="105"/>
        <v>0</v>
      </c>
      <c r="J408" s="32">
        <f t="shared" si="106"/>
        <v>0</v>
      </c>
      <c r="K408" s="32">
        <f t="shared" si="107"/>
        <v>0</v>
      </c>
      <c r="L408" s="32">
        <f t="shared" si="108"/>
        <v>0</v>
      </c>
      <c r="M408" s="32">
        <f>IF(AND(AND(T407="",A408&lt;=S407),A408=入力!$B$15),ROUND(MIN(入力!$B$16,MAX(0,C408-L408)),0),0)</f>
        <v>0</v>
      </c>
      <c r="N408" s="32">
        <f t="shared" si="109"/>
        <v>0</v>
      </c>
      <c r="O408" s="32">
        <f t="shared" si="110"/>
        <v>10751874</v>
      </c>
      <c r="P408" s="34" t="str">
        <f>IF(NOT(AND(T407="",A408&lt;=S407)),"",IF(A408=入力!$B$15+1,"繰上返済後再計算","")&amp;IF(AND(入力!$B$13="有効",A408&gt;1,MOD(A408-1,60)=0),IF(A408=入力!$B$15+1,"・","")&amp;"5年見直し","")&amp;IF(AND(A408=入力!$B$11,A408&gt;1),IF(OR(A408=入力!$B$15+1,AND(入力!$B$13="有効",A408&gt;1,MOD(A408-1,60)=0)),"・","")&amp;"金利変更","")&amp;IF(AND(OR(AND(入力!$B$13="有効",A408&gt;1,MOD(A408-1,60)=0),AND(A408=入力!$B$11,A408&gt;1)),入力!$B$14="有効",IF(E408=0,ROUND(C408/MAX(1,S407-A408+1),0),ROUND(-PMT(E408/12,MAX(1,S407-A408+1),C408),0))&gt;ROUND(G407*1.25,0),NOT(A408=入力!$B$15+1)),"・上限適用",""))</f>
        <v/>
      </c>
      <c r="Q408" s="35" t="str">
        <f>IF(AND(T407="",A408&lt;=S407),入力!$B$13,"")</f>
        <v/>
      </c>
      <c r="R408" s="32" t="str">
        <f>IF(AND(AND(T407="",A408&lt;=S407),OR(AND(入力!$B$13="有効",A408&gt;1,MOD(A408-1,60)=0),AND(A408=入力!$B$11,A408&gt;1)),入力!$B$14="有効"),ROUND(G407*1.25,0),"")</f>
        <v/>
      </c>
      <c r="S408" s="36">
        <f>IF(A408=入力!$B$15,A408+入力!$B$19,S407)</f>
        <v>360</v>
      </c>
      <c r="T408" s="35" t="str">
        <f t="shared" si="111"/>
        <v/>
      </c>
      <c r="U408" s="3">
        <f t="shared" si="96"/>
        <v>0</v>
      </c>
      <c r="V408" s="3">
        <f t="shared" si="97"/>
        <v>0</v>
      </c>
      <c r="W408" s="3">
        <f t="shared" si="98"/>
        <v>0</v>
      </c>
      <c r="X408" s="3">
        <f t="shared" si="99"/>
        <v>0</v>
      </c>
      <c r="Y408" s="3">
        <f>IF(A408&lt;入力!$B$15,ABS(G408-何もしない_月次!G408),0)</f>
        <v>0</v>
      </c>
      <c r="Z408" s="3">
        <f t="shared" si="100"/>
        <v>0</v>
      </c>
      <c r="AA408">
        <f>ROUND(IF(A408=入力!$B$15+1,IF(E408=0,ROUND(C408/入力!$B$19,0),ROUND(-PMT(E408/12,入力!$B$19,C408),0)),IF(OR(AND(入力!$B$13="有効",A408&gt;1,MOD(A408-1,60)=0),AND(A408=入力!$B$11,A408&gt;1)),IF(入力!$B$14="有効",MIN(IF(E408=0,ROUND(C408/MAX(1,S407-A408+1),0),ROUND(-PMT(E408/12,MAX(1,S407-A408+1),C408),0)),ROUND(G407*1.25,0)),IF(E408=0,ROUND(C408/MAX(1,S407-A408+1),0),ROUND(-PMT(E408/12,MAX(1,S407-A408+1),C408),0))),G407)),0)</f>
        <v>0</v>
      </c>
    </row>
    <row r="409" spans="1:27">
      <c r="A409" s="30">
        <f>404</f>
        <v>404</v>
      </c>
      <c r="B409" s="31">
        <f>EDATE(入力!$B$6,A409-1)</f>
        <v>58501</v>
      </c>
      <c r="C409" s="32">
        <f t="shared" si="101"/>
        <v>0</v>
      </c>
      <c r="D409" s="32">
        <f t="shared" si="102"/>
        <v>0</v>
      </c>
      <c r="E409" s="33">
        <f>IF(AND(T408="",A409&lt;=S408),IF(A409&lt;入力!$B$11,入力!$B$10,入力!$B$12),0)</f>
        <v>0</v>
      </c>
      <c r="F409" s="32">
        <f t="shared" si="103"/>
        <v>0</v>
      </c>
      <c r="G409" s="32">
        <f>ROUND(IF(NOT(AND(T408="",A409&lt;=S408)),0,IF(A409=入力!$B$15+1,IF(E409=0,ROUND(C409/入力!$B$19,0),ROUND(-PMT(E409/12,入力!$B$19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),0)</f>
        <v>0</v>
      </c>
      <c r="H409" s="32">
        <f t="shared" si="104"/>
        <v>0</v>
      </c>
      <c r="I409" s="32">
        <f t="shared" si="105"/>
        <v>0</v>
      </c>
      <c r="J409" s="32">
        <f t="shared" si="106"/>
        <v>0</v>
      </c>
      <c r="K409" s="32">
        <f t="shared" si="107"/>
        <v>0</v>
      </c>
      <c r="L409" s="32">
        <f t="shared" si="108"/>
        <v>0</v>
      </c>
      <c r="M409" s="32">
        <f>IF(AND(AND(T408="",A409&lt;=S408),A409=入力!$B$15),ROUND(MIN(入力!$B$16,MAX(0,C409-L409)),0),0)</f>
        <v>0</v>
      </c>
      <c r="N409" s="32">
        <f t="shared" si="109"/>
        <v>0</v>
      </c>
      <c r="O409" s="32">
        <f t="shared" si="110"/>
        <v>10751874</v>
      </c>
      <c r="P409" s="34" t="str">
        <f>IF(NOT(AND(T408="",A409&lt;=S408)),"",IF(A409=入力!$B$15+1,"繰上返済後再計算","")&amp;IF(AND(入力!$B$13="有効",A409&gt;1,MOD(A409-1,60)=0),IF(A409=入力!$B$15+1,"・","")&amp;"5年見直し","")&amp;IF(AND(A409=入力!$B$11,A409&gt;1),IF(OR(A409=入力!$B$15+1,AND(入力!$B$13="有効",A409&gt;1,MOD(A409-1,60)=0)),"・","")&amp;"金利変更","")&amp;IF(AND(OR(AND(入力!$B$13="有効",A409&gt;1,MOD(A409-1,60)=0),AND(A409=入力!$B$11,A409&gt;1)),入力!$B$14="有効",IF(E409=0,ROUND(C409/MAX(1,S408-A409+1),0),ROUND(-PMT(E409/12,MAX(1,S408-A409+1),C409),0))&gt;ROUND(G408*1.25,0),NOT(A409=入力!$B$15+1)),"・上限適用",""))</f>
        <v/>
      </c>
      <c r="Q409" s="35" t="str">
        <f>IF(AND(T408="",A409&lt;=S408),入力!$B$13,"")</f>
        <v/>
      </c>
      <c r="R409" s="32" t="str">
        <f>IF(AND(AND(T408="",A409&lt;=S408),OR(AND(入力!$B$13="有効",A409&gt;1,MOD(A409-1,60)=0),AND(A409=入力!$B$11,A409&gt;1)),入力!$B$14="有効"),ROUND(G408*1.25,0),"")</f>
        <v/>
      </c>
      <c r="S409" s="36">
        <f>IF(A409=入力!$B$15,A409+入力!$B$19,S408)</f>
        <v>360</v>
      </c>
      <c r="T409" s="35" t="str">
        <f t="shared" si="111"/>
        <v/>
      </c>
      <c r="U409" s="3">
        <f t="shared" si="96"/>
        <v>0</v>
      </c>
      <c r="V409" s="3">
        <f t="shared" si="97"/>
        <v>0</v>
      </c>
      <c r="W409" s="3">
        <f t="shared" si="98"/>
        <v>0</v>
      </c>
      <c r="X409" s="3">
        <f t="shared" si="99"/>
        <v>0</v>
      </c>
      <c r="Y409" s="3">
        <f>IF(A409&lt;入力!$B$15,ABS(G409-何もしない_月次!G409),0)</f>
        <v>0</v>
      </c>
      <c r="Z409" s="3">
        <f t="shared" si="100"/>
        <v>0</v>
      </c>
      <c r="AA409">
        <f>ROUND(IF(A409=入力!$B$15+1,IF(E409=0,ROUND(C409/入力!$B$19,0),ROUND(-PMT(E409/12,入力!$B$19,C409),0)),IF(OR(AND(入力!$B$13="有効",A409&gt;1,MOD(A409-1,60)=0),AND(A409=入力!$B$11,A409&gt;1)),IF(入力!$B$14="有効",MIN(IF(E409=0,ROUND(C409/MAX(1,S408-A409+1),0),ROUND(-PMT(E409/12,MAX(1,S408-A409+1),C409),0)),ROUND(G408*1.25,0)),IF(E409=0,ROUND(C409/MAX(1,S408-A409+1),0),ROUND(-PMT(E409/12,MAX(1,S408-A409+1),C409),0))),G408)),0)</f>
        <v>0</v>
      </c>
    </row>
    <row r="410" spans="1:27">
      <c r="A410" s="30">
        <f>405</f>
        <v>405</v>
      </c>
      <c r="B410" s="31">
        <f>EDATE(入力!$B$6,A410-1)</f>
        <v>58532</v>
      </c>
      <c r="C410" s="32">
        <f t="shared" si="101"/>
        <v>0</v>
      </c>
      <c r="D410" s="32">
        <f t="shared" si="102"/>
        <v>0</v>
      </c>
      <c r="E410" s="33">
        <f>IF(AND(T409="",A410&lt;=S409),IF(A410&lt;入力!$B$11,入力!$B$10,入力!$B$12),0)</f>
        <v>0</v>
      </c>
      <c r="F410" s="32">
        <f t="shared" si="103"/>
        <v>0</v>
      </c>
      <c r="G410" s="32">
        <f>ROUND(IF(NOT(AND(T409="",A410&lt;=S409)),0,IF(A410=入力!$B$15+1,IF(E410=0,ROUND(C410/入力!$B$19,0),ROUND(-PMT(E410/12,入力!$B$19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),0)</f>
        <v>0</v>
      </c>
      <c r="H410" s="32">
        <f t="shared" si="104"/>
        <v>0</v>
      </c>
      <c r="I410" s="32">
        <f t="shared" si="105"/>
        <v>0</v>
      </c>
      <c r="J410" s="32">
        <f t="shared" si="106"/>
        <v>0</v>
      </c>
      <c r="K410" s="32">
        <f t="shared" si="107"/>
        <v>0</v>
      </c>
      <c r="L410" s="32">
        <f t="shared" si="108"/>
        <v>0</v>
      </c>
      <c r="M410" s="32">
        <f>IF(AND(AND(T409="",A410&lt;=S409),A410=入力!$B$15),ROUND(MIN(入力!$B$16,MAX(0,C410-L410)),0),0)</f>
        <v>0</v>
      </c>
      <c r="N410" s="32">
        <f t="shared" si="109"/>
        <v>0</v>
      </c>
      <c r="O410" s="32">
        <f t="shared" si="110"/>
        <v>10751874</v>
      </c>
      <c r="P410" s="34" t="str">
        <f>IF(NOT(AND(T409="",A410&lt;=S409)),"",IF(A410=入力!$B$15+1,"繰上返済後再計算","")&amp;IF(AND(入力!$B$13="有効",A410&gt;1,MOD(A410-1,60)=0),IF(A410=入力!$B$15+1,"・","")&amp;"5年見直し","")&amp;IF(AND(A410=入力!$B$11,A410&gt;1),IF(OR(A410=入力!$B$15+1,AND(入力!$B$13="有効",A410&gt;1,MOD(A410-1,60)=0)),"・","")&amp;"金利変更","")&amp;IF(AND(OR(AND(入力!$B$13="有効",A410&gt;1,MOD(A410-1,60)=0),AND(A410=入力!$B$11,A410&gt;1)),入力!$B$14="有効",IF(E410=0,ROUND(C410/MAX(1,S409-A410+1),0),ROUND(-PMT(E410/12,MAX(1,S409-A410+1),C410),0))&gt;ROUND(G409*1.25,0),NOT(A410=入力!$B$15+1)),"・上限適用",""))</f>
        <v/>
      </c>
      <c r="Q410" s="35" t="str">
        <f>IF(AND(T409="",A410&lt;=S409),入力!$B$13,"")</f>
        <v/>
      </c>
      <c r="R410" s="32" t="str">
        <f>IF(AND(AND(T409="",A410&lt;=S409),OR(AND(入力!$B$13="有効",A410&gt;1,MOD(A410-1,60)=0),AND(A410=入力!$B$11,A410&gt;1)),入力!$B$14="有効"),ROUND(G409*1.25,0),"")</f>
        <v/>
      </c>
      <c r="S410" s="36">
        <f>IF(A410=入力!$B$15,A410+入力!$B$19,S409)</f>
        <v>360</v>
      </c>
      <c r="T410" s="35" t="str">
        <f t="shared" si="111"/>
        <v/>
      </c>
      <c r="U410" s="3">
        <f t="shared" si="96"/>
        <v>0</v>
      </c>
      <c r="V410" s="3">
        <f t="shared" si="97"/>
        <v>0</v>
      </c>
      <c r="W410" s="3">
        <f t="shared" si="98"/>
        <v>0</v>
      </c>
      <c r="X410" s="3">
        <f t="shared" si="99"/>
        <v>0</v>
      </c>
      <c r="Y410" s="3">
        <f>IF(A410&lt;入力!$B$15,ABS(G410-何もしない_月次!G410),0)</f>
        <v>0</v>
      </c>
      <c r="Z410" s="3">
        <f t="shared" si="100"/>
        <v>0</v>
      </c>
      <c r="AA410">
        <f>ROUND(IF(A410=入力!$B$15+1,IF(E410=0,ROUND(C410/入力!$B$19,0),ROUND(-PMT(E410/12,入力!$B$19,C410),0)),IF(OR(AND(入力!$B$13="有効",A410&gt;1,MOD(A410-1,60)=0),AND(A410=入力!$B$11,A410&gt;1)),IF(入力!$B$14="有効",MIN(IF(E410=0,ROUND(C410/MAX(1,S409-A410+1),0),ROUND(-PMT(E410/12,MAX(1,S409-A410+1),C410),0)),ROUND(G409*1.25,0)),IF(E410=0,ROUND(C410/MAX(1,S409-A410+1),0),ROUND(-PMT(E410/12,MAX(1,S409-A410+1),C410),0))),G409)),0)</f>
        <v>0</v>
      </c>
    </row>
    <row r="411" spans="1:27">
      <c r="A411" s="30">
        <f>406</f>
        <v>406</v>
      </c>
      <c r="B411" s="31">
        <f>EDATE(入力!$B$6,A411-1)</f>
        <v>58562</v>
      </c>
      <c r="C411" s="32">
        <f t="shared" si="101"/>
        <v>0</v>
      </c>
      <c r="D411" s="32">
        <f t="shared" si="102"/>
        <v>0</v>
      </c>
      <c r="E411" s="33">
        <f>IF(AND(T410="",A411&lt;=S410),IF(A411&lt;入力!$B$11,入力!$B$10,入力!$B$12),0)</f>
        <v>0</v>
      </c>
      <c r="F411" s="32">
        <f t="shared" si="103"/>
        <v>0</v>
      </c>
      <c r="G411" s="32">
        <f>ROUND(IF(NOT(AND(T410="",A411&lt;=S410)),0,IF(A411=入力!$B$15+1,IF(E411=0,ROUND(C411/入力!$B$19,0),ROUND(-PMT(E411/12,入力!$B$19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),0)</f>
        <v>0</v>
      </c>
      <c r="H411" s="32">
        <f t="shared" si="104"/>
        <v>0</v>
      </c>
      <c r="I411" s="32">
        <f t="shared" si="105"/>
        <v>0</v>
      </c>
      <c r="J411" s="32">
        <f t="shared" si="106"/>
        <v>0</v>
      </c>
      <c r="K411" s="32">
        <f t="shared" si="107"/>
        <v>0</v>
      </c>
      <c r="L411" s="32">
        <f t="shared" si="108"/>
        <v>0</v>
      </c>
      <c r="M411" s="32">
        <f>IF(AND(AND(T410="",A411&lt;=S410),A411=入力!$B$15),ROUND(MIN(入力!$B$16,MAX(0,C411-L411)),0),0)</f>
        <v>0</v>
      </c>
      <c r="N411" s="32">
        <f t="shared" si="109"/>
        <v>0</v>
      </c>
      <c r="O411" s="32">
        <f t="shared" si="110"/>
        <v>10751874</v>
      </c>
      <c r="P411" s="34" t="str">
        <f>IF(NOT(AND(T410="",A411&lt;=S410)),"",IF(A411=入力!$B$15+1,"繰上返済後再計算","")&amp;IF(AND(入力!$B$13="有効",A411&gt;1,MOD(A411-1,60)=0),IF(A411=入力!$B$15+1,"・","")&amp;"5年見直し","")&amp;IF(AND(A411=入力!$B$11,A411&gt;1),IF(OR(A411=入力!$B$15+1,AND(入力!$B$13="有効",A411&gt;1,MOD(A411-1,60)=0)),"・","")&amp;"金利変更","")&amp;IF(AND(OR(AND(入力!$B$13="有効",A411&gt;1,MOD(A411-1,60)=0),AND(A411=入力!$B$11,A411&gt;1)),入力!$B$14="有効",IF(E411=0,ROUND(C411/MAX(1,S410-A411+1),0),ROUND(-PMT(E411/12,MAX(1,S410-A411+1),C411),0))&gt;ROUND(G410*1.25,0),NOT(A411=入力!$B$15+1)),"・上限適用",""))</f>
        <v/>
      </c>
      <c r="Q411" s="35" t="str">
        <f>IF(AND(T410="",A411&lt;=S410),入力!$B$13,"")</f>
        <v/>
      </c>
      <c r="R411" s="32" t="str">
        <f>IF(AND(AND(T410="",A411&lt;=S410),OR(AND(入力!$B$13="有効",A411&gt;1,MOD(A411-1,60)=0),AND(A411=入力!$B$11,A411&gt;1)),入力!$B$14="有効"),ROUND(G410*1.25,0),"")</f>
        <v/>
      </c>
      <c r="S411" s="36">
        <f>IF(A411=入力!$B$15,A411+入力!$B$19,S410)</f>
        <v>360</v>
      </c>
      <c r="T411" s="35" t="str">
        <f t="shared" si="111"/>
        <v/>
      </c>
      <c r="U411" s="3">
        <f t="shared" si="96"/>
        <v>0</v>
      </c>
      <c r="V411" s="3">
        <f t="shared" si="97"/>
        <v>0</v>
      </c>
      <c r="W411" s="3">
        <f t="shared" si="98"/>
        <v>0</v>
      </c>
      <c r="X411" s="3">
        <f t="shared" si="99"/>
        <v>0</v>
      </c>
      <c r="Y411" s="3">
        <f>IF(A411&lt;入力!$B$15,ABS(G411-何もしない_月次!G411),0)</f>
        <v>0</v>
      </c>
      <c r="Z411" s="3">
        <f t="shared" si="100"/>
        <v>0</v>
      </c>
      <c r="AA411">
        <f>ROUND(IF(A411=入力!$B$15+1,IF(E411=0,ROUND(C411/入力!$B$19,0),ROUND(-PMT(E411/12,入力!$B$19,C411),0)),IF(OR(AND(入力!$B$13="有効",A411&gt;1,MOD(A411-1,60)=0),AND(A411=入力!$B$11,A411&gt;1)),IF(入力!$B$14="有効",MIN(IF(E411=0,ROUND(C411/MAX(1,S410-A411+1),0),ROUND(-PMT(E411/12,MAX(1,S410-A411+1),C411),0)),ROUND(G410*1.25,0)),IF(E411=0,ROUND(C411/MAX(1,S410-A411+1),0),ROUND(-PMT(E411/12,MAX(1,S410-A411+1),C411),0))),G410)),0)</f>
        <v>0</v>
      </c>
    </row>
    <row r="412" spans="1:27">
      <c r="A412" s="30">
        <f>407</f>
        <v>407</v>
      </c>
      <c r="B412" s="31">
        <f>EDATE(入力!$B$6,A412-1)</f>
        <v>58593</v>
      </c>
      <c r="C412" s="32">
        <f t="shared" si="101"/>
        <v>0</v>
      </c>
      <c r="D412" s="32">
        <f t="shared" si="102"/>
        <v>0</v>
      </c>
      <c r="E412" s="33">
        <f>IF(AND(T411="",A412&lt;=S411),IF(A412&lt;入力!$B$11,入力!$B$10,入力!$B$12),0)</f>
        <v>0</v>
      </c>
      <c r="F412" s="32">
        <f t="shared" si="103"/>
        <v>0</v>
      </c>
      <c r="G412" s="32">
        <f>ROUND(IF(NOT(AND(T411="",A412&lt;=S411)),0,IF(A412=入力!$B$15+1,IF(E412=0,ROUND(C412/入力!$B$19,0),ROUND(-PMT(E412/12,入力!$B$19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),0)</f>
        <v>0</v>
      </c>
      <c r="H412" s="32">
        <f t="shared" si="104"/>
        <v>0</v>
      </c>
      <c r="I412" s="32">
        <f t="shared" si="105"/>
        <v>0</v>
      </c>
      <c r="J412" s="32">
        <f t="shared" si="106"/>
        <v>0</v>
      </c>
      <c r="K412" s="32">
        <f t="shared" si="107"/>
        <v>0</v>
      </c>
      <c r="L412" s="32">
        <f t="shared" si="108"/>
        <v>0</v>
      </c>
      <c r="M412" s="32">
        <f>IF(AND(AND(T411="",A412&lt;=S411),A412=入力!$B$15),ROUND(MIN(入力!$B$16,MAX(0,C412-L412)),0),0)</f>
        <v>0</v>
      </c>
      <c r="N412" s="32">
        <f t="shared" si="109"/>
        <v>0</v>
      </c>
      <c r="O412" s="32">
        <f t="shared" si="110"/>
        <v>10751874</v>
      </c>
      <c r="P412" s="34" t="str">
        <f>IF(NOT(AND(T411="",A412&lt;=S411)),"",IF(A412=入力!$B$15+1,"繰上返済後再計算","")&amp;IF(AND(入力!$B$13="有効",A412&gt;1,MOD(A412-1,60)=0),IF(A412=入力!$B$15+1,"・","")&amp;"5年見直し","")&amp;IF(AND(A412=入力!$B$11,A412&gt;1),IF(OR(A412=入力!$B$15+1,AND(入力!$B$13="有効",A412&gt;1,MOD(A412-1,60)=0)),"・","")&amp;"金利変更","")&amp;IF(AND(OR(AND(入力!$B$13="有効",A412&gt;1,MOD(A412-1,60)=0),AND(A412=入力!$B$11,A412&gt;1)),入力!$B$14="有効",IF(E412=0,ROUND(C412/MAX(1,S411-A412+1),0),ROUND(-PMT(E412/12,MAX(1,S411-A412+1),C412),0))&gt;ROUND(G411*1.25,0),NOT(A412=入力!$B$15+1)),"・上限適用",""))</f>
        <v/>
      </c>
      <c r="Q412" s="35" t="str">
        <f>IF(AND(T411="",A412&lt;=S411),入力!$B$13,"")</f>
        <v/>
      </c>
      <c r="R412" s="32" t="str">
        <f>IF(AND(AND(T411="",A412&lt;=S411),OR(AND(入力!$B$13="有効",A412&gt;1,MOD(A412-1,60)=0),AND(A412=入力!$B$11,A412&gt;1)),入力!$B$14="有効"),ROUND(G411*1.25,0),"")</f>
        <v/>
      </c>
      <c r="S412" s="36">
        <f>IF(A412=入力!$B$15,A412+入力!$B$19,S411)</f>
        <v>360</v>
      </c>
      <c r="T412" s="35" t="str">
        <f t="shared" si="111"/>
        <v/>
      </c>
      <c r="U412" s="3">
        <f t="shared" si="96"/>
        <v>0</v>
      </c>
      <c r="V412" s="3">
        <f t="shared" si="97"/>
        <v>0</v>
      </c>
      <c r="W412" s="3">
        <f t="shared" si="98"/>
        <v>0</v>
      </c>
      <c r="X412" s="3">
        <f t="shared" si="99"/>
        <v>0</v>
      </c>
      <c r="Y412" s="3">
        <f>IF(A412&lt;入力!$B$15,ABS(G412-何もしない_月次!G412),0)</f>
        <v>0</v>
      </c>
      <c r="Z412" s="3">
        <f t="shared" si="100"/>
        <v>0</v>
      </c>
      <c r="AA412">
        <f>ROUND(IF(A412=入力!$B$15+1,IF(E412=0,ROUND(C412/入力!$B$19,0),ROUND(-PMT(E412/12,入力!$B$19,C412),0)),IF(OR(AND(入力!$B$13="有効",A412&gt;1,MOD(A412-1,60)=0),AND(A412=入力!$B$11,A412&gt;1)),IF(入力!$B$14="有効",MIN(IF(E412=0,ROUND(C412/MAX(1,S411-A412+1),0),ROUND(-PMT(E412/12,MAX(1,S411-A412+1),C412),0)),ROUND(G411*1.25,0)),IF(E412=0,ROUND(C412/MAX(1,S411-A412+1),0),ROUND(-PMT(E412/12,MAX(1,S411-A412+1),C412),0))),G411)),0)</f>
        <v>0</v>
      </c>
    </row>
    <row r="413" spans="1:27">
      <c r="A413" s="30">
        <f>408</f>
        <v>408</v>
      </c>
      <c r="B413" s="31">
        <f>EDATE(入力!$B$6,A413-1)</f>
        <v>58623</v>
      </c>
      <c r="C413" s="32">
        <f t="shared" si="101"/>
        <v>0</v>
      </c>
      <c r="D413" s="32">
        <f t="shared" si="102"/>
        <v>0</v>
      </c>
      <c r="E413" s="33">
        <f>IF(AND(T412="",A413&lt;=S412),IF(A413&lt;入力!$B$11,入力!$B$10,入力!$B$12),0)</f>
        <v>0</v>
      </c>
      <c r="F413" s="32">
        <f t="shared" si="103"/>
        <v>0</v>
      </c>
      <c r="G413" s="32">
        <f>ROUND(IF(NOT(AND(T412="",A413&lt;=S412)),0,IF(A413=入力!$B$15+1,IF(E413=0,ROUND(C413/入力!$B$19,0),ROUND(-PMT(E413/12,入力!$B$19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),0)</f>
        <v>0</v>
      </c>
      <c r="H413" s="32">
        <f t="shared" si="104"/>
        <v>0</v>
      </c>
      <c r="I413" s="32">
        <f t="shared" si="105"/>
        <v>0</v>
      </c>
      <c r="J413" s="32">
        <f t="shared" si="106"/>
        <v>0</v>
      </c>
      <c r="K413" s="32">
        <f t="shared" si="107"/>
        <v>0</v>
      </c>
      <c r="L413" s="32">
        <f t="shared" si="108"/>
        <v>0</v>
      </c>
      <c r="M413" s="32">
        <f>IF(AND(AND(T412="",A413&lt;=S412),A413=入力!$B$15),ROUND(MIN(入力!$B$16,MAX(0,C413-L413)),0),0)</f>
        <v>0</v>
      </c>
      <c r="N413" s="32">
        <f t="shared" si="109"/>
        <v>0</v>
      </c>
      <c r="O413" s="32">
        <f t="shared" si="110"/>
        <v>10751874</v>
      </c>
      <c r="P413" s="34" t="str">
        <f>IF(NOT(AND(T412="",A413&lt;=S412)),"",IF(A413=入力!$B$15+1,"繰上返済後再計算","")&amp;IF(AND(入力!$B$13="有効",A413&gt;1,MOD(A413-1,60)=0),IF(A413=入力!$B$15+1,"・","")&amp;"5年見直し","")&amp;IF(AND(A413=入力!$B$11,A413&gt;1),IF(OR(A413=入力!$B$15+1,AND(入力!$B$13="有効",A413&gt;1,MOD(A413-1,60)=0)),"・","")&amp;"金利変更","")&amp;IF(AND(OR(AND(入力!$B$13="有効",A413&gt;1,MOD(A413-1,60)=0),AND(A413=入力!$B$11,A413&gt;1)),入力!$B$14="有効",IF(E413=0,ROUND(C413/MAX(1,S412-A413+1),0),ROUND(-PMT(E413/12,MAX(1,S412-A413+1),C413),0))&gt;ROUND(G412*1.25,0),NOT(A413=入力!$B$15+1)),"・上限適用",""))</f>
        <v/>
      </c>
      <c r="Q413" s="35" t="str">
        <f>IF(AND(T412="",A413&lt;=S412),入力!$B$13,"")</f>
        <v/>
      </c>
      <c r="R413" s="32" t="str">
        <f>IF(AND(AND(T412="",A413&lt;=S412),OR(AND(入力!$B$13="有効",A413&gt;1,MOD(A413-1,60)=0),AND(A413=入力!$B$11,A413&gt;1)),入力!$B$14="有効"),ROUND(G412*1.25,0),"")</f>
        <v/>
      </c>
      <c r="S413" s="36">
        <f>IF(A413=入力!$B$15,A413+入力!$B$19,S412)</f>
        <v>360</v>
      </c>
      <c r="T413" s="35" t="str">
        <f t="shared" si="111"/>
        <v/>
      </c>
      <c r="U413" s="3">
        <f t="shared" si="96"/>
        <v>0</v>
      </c>
      <c r="V413" s="3">
        <f t="shared" si="97"/>
        <v>0</v>
      </c>
      <c r="W413" s="3">
        <f t="shared" si="98"/>
        <v>0</v>
      </c>
      <c r="X413" s="3">
        <f t="shared" si="99"/>
        <v>0</v>
      </c>
      <c r="Y413" s="3">
        <f>IF(A413&lt;入力!$B$15,ABS(G413-何もしない_月次!G413),0)</f>
        <v>0</v>
      </c>
      <c r="Z413" s="3">
        <f t="shared" si="100"/>
        <v>0</v>
      </c>
      <c r="AA413">
        <f>ROUND(IF(A413=入力!$B$15+1,IF(E413=0,ROUND(C413/入力!$B$19,0),ROUND(-PMT(E413/12,入力!$B$19,C413),0)),IF(OR(AND(入力!$B$13="有効",A413&gt;1,MOD(A413-1,60)=0),AND(A413=入力!$B$11,A413&gt;1)),IF(入力!$B$14="有効",MIN(IF(E413=0,ROUND(C413/MAX(1,S412-A413+1),0),ROUND(-PMT(E413/12,MAX(1,S412-A413+1),C413),0)),ROUND(G412*1.25,0)),IF(E413=0,ROUND(C413/MAX(1,S412-A413+1),0),ROUND(-PMT(E413/12,MAX(1,S412-A413+1),C413),0))),G412)),0)</f>
        <v>0</v>
      </c>
    </row>
    <row r="414" spans="1:27">
      <c r="A414" s="30">
        <f>409</f>
        <v>409</v>
      </c>
      <c r="B414" s="31">
        <f>EDATE(入力!$B$6,A414-1)</f>
        <v>58654</v>
      </c>
      <c r="C414" s="32">
        <f t="shared" si="101"/>
        <v>0</v>
      </c>
      <c r="D414" s="32">
        <f t="shared" si="102"/>
        <v>0</v>
      </c>
      <c r="E414" s="33">
        <f>IF(AND(T413="",A414&lt;=S413),IF(A414&lt;入力!$B$11,入力!$B$10,入力!$B$12),0)</f>
        <v>0</v>
      </c>
      <c r="F414" s="32">
        <f t="shared" si="103"/>
        <v>0</v>
      </c>
      <c r="G414" s="32">
        <f>ROUND(IF(NOT(AND(T413="",A414&lt;=S413)),0,IF(A414=入力!$B$15+1,IF(E414=0,ROUND(C414/入力!$B$19,0),ROUND(-PMT(E414/12,入力!$B$19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),0)</f>
        <v>0</v>
      </c>
      <c r="H414" s="32">
        <f t="shared" si="104"/>
        <v>0</v>
      </c>
      <c r="I414" s="32">
        <f t="shared" si="105"/>
        <v>0</v>
      </c>
      <c r="J414" s="32">
        <f t="shared" si="106"/>
        <v>0</v>
      </c>
      <c r="K414" s="32">
        <f t="shared" si="107"/>
        <v>0</v>
      </c>
      <c r="L414" s="32">
        <f t="shared" si="108"/>
        <v>0</v>
      </c>
      <c r="M414" s="32">
        <f>IF(AND(AND(T413="",A414&lt;=S413),A414=入力!$B$15),ROUND(MIN(入力!$B$16,MAX(0,C414-L414)),0),0)</f>
        <v>0</v>
      </c>
      <c r="N414" s="32">
        <f t="shared" si="109"/>
        <v>0</v>
      </c>
      <c r="O414" s="32">
        <f t="shared" si="110"/>
        <v>10751874</v>
      </c>
      <c r="P414" s="34" t="str">
        <f>IF(NOT(AND(T413="",A414&lt;=S413)),"",IF(A414=入力!$B$15+1,"繰上返済後再計算","")&amp;IF(AND(入力!$B$13="有効",A414&gt;1,MOD(A414-1,60)=0),IF(A414=入力!$B$15+1,"・","")&amp;"5年見直し","")&amp;IF(AND(A414=入力!$B$11,A414&gt;1),IF(OR(A414=入力!$B$15+1,AND(入力!$B$13="有効",A414&gt;1,MOD(A414-1,60)=0)),"・","")&amp;"金利変更","")&amp;IF(AND(OR(AND(入力!$B$13="有効",A414&gt;1,MOD(A414-1,60)=0),AND(A414=入力!$B$11,A414&gt;1)),入力!$B$14="有効",IF(E414=0,ROUND(C414/MAX(1,S413-A414+1),0),ROUND(-PMT(E414/12,MAX(1,S413-A414+1),C414),0))&gt;ROUND(G413*1.25,0),NOT(A414=入力!$B$15+1)),"・上限適用",""))</f>
        <v/>
      </c>
      <c r="Q414" s="35" t="str">
        <f>IF(AND(T413="",A414&lt;=S413),入力!$B$13,"")</f>
        <v/>
      </c>
      <c r="R414" s="32" t="str">
        <f>IF(AND(AND(T413="",A414&lt;=S413),OR(AND(入力!$B$13="有効",A414&gt;1,MOD(A414-1,60)=0),AND(A414=入力!$B$11,A414&gt;1)),入力!$B$14="有効"),ROUND(G413*1.25,0),"")</f>
        <v/>
      </c>
      <c r="S414" s="36">
        <f>IF(A414=入力!$B$15,A414+入力!$B$19,S413)</f>
        <v>360</v>
      </c>
      <c r="T414" s="35" t="str">
        <f t="shared" si="111"/>
        <v/>
      </c>
      <c r="U414" s="3">
        <f t="shared" si="96"/>
        <v>0</v>
      </c>
      <c r="V414" s="3">
        <f t="shared" si="97"/>
        <v>0</v>
      </c>
      <c r="W414" s="3">
        <f t="shared" si="98"/>
        <v>0</v>
      </c>
      <c r="X414" s="3">
        <f t="shared" si="99"/>
        <v>0</v>
      </c>
      <c r="Y414" s="3">
        <f>IF(A414&lt;入力!$B$15,ABS(G414-何もしない_月次!G414),0)</f>
        <v>0</v>
      </c>
      <c r="Z414" s="3">
        <f t="shared" si="100"/>
        <v>0</v>
      </c>
      <c r="AA414">
        <f>ROUND(IF(A414=入力!$B$15+1,IF(E414=0,ROUND(C414/入力!$B$19,0),ROUND(-PMT(E414/12,入力!$B$19,C414),0)),IF(OR(AND(入力!$B$13="有効",A414&gt;1,MOD(A414-1,60)=0),AND(A414=入力!$B$11,A414&gt;1)),IF(入力!$B$14="有効",MIN(IF(E414=0,ROUND(C414/MAX(1,S413-A414+1),0),ROUND(-PMT(E414/12,MAX(1,S413-A414+1),C414),0)),ROUND(G413*1.25,0)),IF(E414=0,ROUND(C414/MAX(1,S413-A414+1),0),ROUND(-PMT(E414/12,MAX(1,S413-A414+1),C414),0))),G413)),0)</f>
        <v>0</v>
      </c>
    </row>
    <row r="415" spans="1:27">
      <c r="A415" s="30">
        <f>410</f>
        <v>410</v>
      </c>
      <c r="B415" s="31">
        <f>EDATE(入力!$B$6,A415-1)</f>
        <v>58685</v>
      </c>
      <c r="C415" s="32">
        <f t="shared" si="101"/>
        <v>0</v>
      </c>
      <c r="D415" s="32">
        <f t="shared" si="102"/>
        <v>0</v>
      </c>
      <c r="E415" s="33">
        <f>IF(AND(T414="",A415&lt;=S414),IF(A415&lt;入力!$B$11,入力!$B$10,入力!$B$12),0)</f>
        <v>0</v>
      </c>
      <c r="F415" s="32">
        <f t="shared" si="103"/>
        <v>0</v>
      </c>
      <c r="G415" s="32">
        <f>ROUND(IF(NOT(AND(T414="",A415&lt;=S414)),0,IF(A415=入力!$B$15+1,IF(E415=0,ROUND(C415/入力!$B$19,0),ROUND(-PMT(E415/12,入力!$B$19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),0)</f>
        <v>0</v>
      </c>
      <c r="H415" s="32">
        <f t="shared" si="104"/>
        <v>0</v>
      </c>
      <c r="I415" s="32">
        <f t="shared" si="105"/>
        <v>0</v>
      </c>
      <c r="J415" s="32">
        <f t="shared" si="106"/>
        <v>0</v>
      </c>
      <c r="K415" s="32">
        <f t="shared" si="107"/>
        <v>0</v>
      </c>
      <c r="L415" s="32">
        <f t="shared" si="108"/>
        <v>0</v>
      </c>
      <c r="M415" s="32">
        <f>IF(AND(AND(T414="",A415&lt;=S414),A415=入力!$B$15),ROUND(MIN(入力!$B$16,MAX(0,C415-L415)),0),0)</f>
        <v>0</v>
      </c>
      <c r="N415" s="32">
        <f t="shared" si="109"/>
        <v>0</v>
      </c>
      <c r="O415" s="32">
        <f t="shared" si="110"/>
        <v>10751874</v>
      </c>
      <c r="P415" s="34" t="str">
        <f>IF(NOT(AND(T414="",A415&lt;=S414)),"",IF(A415=入力!$B$15+1,"繰上返済後再計算","")&amp;IF(AND(入力!$B$13="有効",A415&gt;1,MOD(A415-1,60)=0),IF(A415=入力!$B$15+1,"・","")&amp;"5年見直し","")&amp;IF(AND(A415=入力!$B$11,A415&gt;1),IF(OR(A415=入力!$B$15+1,AND(入力!$B$13="有効",A415&gt;1,MOD(A415-1,60)=0)),"・","")&amp;"金利変更","")&amp;IF(AND(OR(AND(入力!$B$13="有効",A415&gt;1,MOD(A415-1,60)=0),AND(A415=入力!$B$11,A415&gt;1)),入力!$B$14="有効",IF(E415=0,ROUND(C415/MAX(1,S414-A415+1),0),ROUND(-PMT(E415/12,MAX(1,S414-A415+1),C415),0))&gt;ROUND(G414*1.25,0),NOT(A415=入力!$B$15+1)),"・上限適用",""))</f>
        <v/>
      </c>
      <c r="Q415" s="35" t="str">
        <f>IF(AND(T414="",A415&lt;=S414),入力!$B$13,"")</f>
        <v/>
      </c>
      <c r="R415" s="32" t="str">
        <f>IF(AND(AND(T414="",A415&lt;=S414),OR(AND(入力!$B$13="有効",A415&gt;1,MOD(A415-1,60)=0),AND(A415=入力!$B$11,A415&gt;1)),入力!$B$14="有効"),ROUND(G414*1.25,0),"")</f>
        <v/>
      </c>
      <c r="S415" s="36">
        <f>IF(A415=入力!$B$15,A415+入力!$B$19,S414)</f>
        <v>360</v>
      </c>
      <c r="T415" s="35" t="str">
        <f t="shared" si="111"/>
        <v/>
      </c>
      <c r="U415" s="3">
        <f t="shared" si="96"/>
        <v>0</v>
      </c>
      <c r="V415" s="3">
        <f t="shared" si="97"/>
        <v>0</v>
      </c>
      <c r="W415" s="3">
        <f t="shared" si="98"/>
        <v>0</v>
      </c>
      <c r="X415" s="3">
        <f t="shared" si="99"/>
        <v>0</v>
      </c>
      <c r="Y415" s="3">
        <f>IF(A415&lt;入力!$B$15,ABS(G415-何もしない_月次!G415),0)</f>
        <v>0</v>
      </c>
      <c r="Z415" s="3">
        <f t="shared" si="100"/>
        <v>0</v>
      </c>
      <c r="AA415">
        <f>ROUND(IF(A415=入力!$B$15+1,IF(E415=0,ROUND(C415/入力!$B$19,0),ROUND(-PMT(E415/12,入力!$B$19,C415),0)),IF(OR(AND(入力!$B$13="有効",A415&gt;1,MOD(A415-1,60)=0),AND(A415=入力!$B$11,A415&gt;1)),IF(入力!$B$14="有効",MIN(IF(E415=0,ROUND(C415/MAX(1,S414-A415+1),0),ROUND(-PMT(E415/12,MAX(1,S414-A415+1),C415),0)),ROUND(G414*1.25,0)),IF(E415=0,ROUND(C415/MAX(1,S414-A415+1),0),ROUND(-PMT(E415/12,MAX(1,S414-A415+1),C415),0))),G414)),0)</f>
        <v>0</v>
      </c>
    </row>
    <row r="416" spans="1:27">
      <c r="A416" s="30">
        <f>411</f>
        <v>411</v>
      </c>
      <c r="B416" s="31">
        <f>EDATE(入力!$B$6,A416-1)</f>
        <v>58715</v>
      </c>
      <c r="C416" s="32">
        <f t="shared" si="101"/>
        <v>0</v>
      </c>
      <c r="D416" s="32">
        <f t="shared" si="102"/>
        <v>0</v>
      </c>
      <c r="E416" s="33">
        <f>IF(AND(T415="",A416&lt;=S415),IF(A416&lt;入力!$B$11,入力!$B$10,入力!$B$12),0)</f>
        <v>0</v>
      </c>
      <c r="F416" s="32">
        <f t="shared" si="103"/>
        <v>0</v>
      </c>
      <c r="G416" s="32">
        <f>ROUND(IF(NOT(AND(T415="",A416&lt;=S415)),0,IF(A416=入力!$B$15+1,IF(E416=0,ROUND(C416/入力!$B$19,0),ROUND(-PMT(E416/12,入力!$B$19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),0)</f>
        <v>0</v>
      </c>
      <c r="H416" s="32">
        <f t="shared" si="104"/>
        <v>0</v>
      </c>
      <c r="I416" s="32">
        <f t="shared" si="105"/>
        <v>0</v>
      </c>
      <c r="J416" s="32">
        <f t="shared" si="106"/>
        <v>0</v>
      </c>
      <c r="K416" s="32">
        <f t="shared" si="107"/>
        <v>0</v>
      </c>
      <c r="L416" s="32">
        <f t="shared" si="108"/>
        <v>0</v>
      </c>
      <c r="M416" s="32">
        <f>IF(AND(AND(T415="",A416&lt;=S415),A416=入力!$B$15),ROUND(MIN(入力!$B$16,MAX(0,C416-L416)),0),0)</f>
        <v>0</v>
      </c>
      <c r="N416" s="32">
        <f t="shared" si="109"/>
        <v>0</v>
      </c>
      <c r="O416" s="32">
        <f t="shared" si="110"/>
        <v>10751874</v>
      </c>
      <c r="P416" s="34" t="str">
        <f>IF(NOT(AND(T415="",A416&lt;=S415)),"",IF(A416=入力!$B$15+1,"繰上返済後再計算","")&amp;IF(AND(入力!$B$13="有効",A416&gt;1,MOD(A416-1,60)=0),IF(A416=入力!$B$15+1,"・","")&amp;"5年見直し","")&amp;IF(AND(A416=入力!$B$11,A416&gt;1),IF(OR(A416=入力!$B$15+1,AND(入力!$B$13="有効",A416&gt;1,MOD(A416-1,60)=0)),"・","")&amp;"金利変更","")&amp;IF(AND(OR(AND(入力!$B$13="有効",A416&gt;1,MOD(A416-1,60)=0),AND(A416=入力!$B$11,A416&gt;1)),入力!$B$14="有効",IF(E416=0,ROUND(C416/MAX(1,S415-A416+1),0),ROUND(-PMT(E416/12,MAX(1,S415-A416+1),C416),0))&gt;ROUND(G415*1.25,0),NOT(A416=入力!$B$15+1)),"・上限適用",""))</f>
        <v/>
      </c>
      <c r="Q416" s="35" t="str">
        <f>IF(AND(T415="",A416&lt;=S415),入力!$B$13,"")</f>
        <v/>
      </c>
      <c r="R416" s="32" t="str">
        <f>IF(AND(AND(T415="",A416&lt;=S415),OR(AND(入力!$B$13="有効",A416&gt;1,MOD(A416-1,60)=0),AND(A416=入力!$B$11,A416&gt;1)),入力!$B$14="有効"),ROUND(G415*1.25,0),"")</f>
        <v/>
      </c>
      <c r="S416" s="36">
        <f>IF(A416=入力!$B$15,A416+入力!$B$19,S415)</f>
        <v>360</v>
      </c>
      <c r="T416" s="35" t="str">
        <f t="shared" si="111"/>
        <v/>
      </c>
      <c r="U416" s="3">
        <f t="shared" si="96"/>
        <v>0</v>
      </c>
      <c r="V416" s="3">
        <f t="shared" si="97"/>
        <v>0</v>
      </c>
      <c r="W416" s="3">
        <f t="shared" si="98"/>
        <v>0</v>
      </c>
      <c r="X416" s="3">
        <f t="shared" si="99"/>
        <v>0</v>
      </c>
      <c r="Y416" s="3">
        <f>IF(A416&lt;入力!$B$15,ABS(G416-何もしない_月次!G416),0)</f>
        <v>0</v>
      </c>
      <c r="Z416" s="3">
        <f t="shared" si="100"/>
        <v>0</v>
      </c>
      <c r="AA416">
        <f>ROUND(IF(A416=入力!$B$15+1,IF(E416=0,ROUND(C416/入力!$B$19,0),ROUND(-PMT(E416/12,入力!$B$19,C416),0)),IF(OR(AND(入力!$B$13="有効",A416&gt;1,MOD(A416-1,60)=0),AND(A416=入力!$B$11,A416&gt;1)),IF(入力!$B$14="有効",MIN(IF(E416=0,ROUND(C416/MAX(1,S415-A416+1),0),ROUND(-PMT(E416/12,MAX(1,S415-A416+1),C416),0)),ROUND(G415*1.25,0)),IF(E416=0,ROUND(C416/MAX(1,S415-A416+1),0),ROUND(-PMT(E416/12,MAX(1,S415-A416+1),C416),0))),G415)),0)</f>
        <v>0</v>
      </c>
    </row>
    <row r="417" spans="1:27">
      <c r="A417" s="30">
        <f>412</f>
        <v>412</v>
      </c>
      <c r="B417" s="31">
        <f>EDATE(入力!$B$6,A417-1)</f>
        <v>58746</v>
      </c>
      <c r="C417" s="32">
        <f t="shared" si="101"/>
        <v>0</v>
      </c>
      <c r="D417" s="32">
        <f t="shared" si="102"/>
        <v>0</v>
      </c>
      <c r="E417" s="33">
        <f>IF(AND(T416="",A417&lt;=S416),IF(A417&lt;入力!$B$11,入力!$B$10,入力!$B$12),0)</f>
        <v>0</v>
      </c>
      <c r="F417" s="32">
        <f t="shared" si="103"/>
        <v>0</v>
      </c>
      <c r="G417" s="32">
        <f>ROUND(IF(NOT(AND(T416="",A417&lt;=S416)),0,IF(A417=入力!$B$15+1,IF(E417=0,ROUND(C417/入力!$B$19,0),ROUND(-PMT(E417/12,入力!$B$19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),0)</f>
        <v>0</v>
      </c>
      <c r="H417" s="32">
        <f t="shared" si="104"/>
        <v>0</v>
      </c>
      <c r="I417" s="32">
        <f t="shared" si="105"/>
        <v>0</v>
      </c>
      <c r="J417" s="32">
        <f t="shared" si="106"/>
        <v>0</v>
      </c>
      <c r="K417" s="32">
        <f t="shared" si="107"/>
        <v>0</v>
      </c>
      <c r="L417" s="32">
        <f t="shared" si="108"/>
        <v>0</v>
      </c>
      <c r="M417" s="32">
        <f>IF(AND(AND(T416="",A417&lt;=S416),A417=入力!$B$15),ROUND(MIN(入力!$B$16,MAX(0,C417-L417)),0),0)</f>
        <v>0</v>
      </c>
      <c r="N417" s="32">
        <f t="shared" si="109"/>
        <v>0</v>
      </c>
      <c r="O417" s="32">
        <f t="shared" si="110"/>
        <v>10751874</v>
      </c>
      <c r="P417" s="34" t="str">
        <f>IF(NOT(AND(T416="",A417&lt;=S416)),"",IF(A417=入力!$B$15+1,"繰上返済後再計算","")&amp;IF(AND(入力!$B$13="有効",A417&gt;1,MOD(A417-1,60)=0),IF(A417=入力!$B$15+1,"・","")&amp;"5年見直し","")&amp;IF(AND(A417=入力!$B$11,A417&gt;1),IF(OR(A417=入力!$B$15+1,AND(入力!$B$13="有効",A417&gt;1,MOD(A417-1,60)=0)),"・","")&amp;"金利変更","")&amp;IF(AND(OR(AND(入力!$B$13="有効",A417&gt;1,MOD(A417-1,60)=0),AND(A417=入力!$B$11,A417&gt;1)),入力!$B$14="有効",IF(E417=0,ROUND(C417/MAX(1,S416-A417+1),0),ROUND(-PMT(E417/12,MAX(1,S416-A417+1),C417),0))&gt;ROUND(G416*1.25,0),NOT(A417=入力!$B$15+1)),"・上限適用",""))</f>
        <v/>
      </c>
      <c r="Q417" s="35" t="str">
        <f>IF(AND(T416="",A417&lt;=S416),入力!$B$13,"")</f>
        <v/>
      </c>
      <c r="R417" s="32" t="str">
        <f>IF(AND(AND(T416="",A417&lt;=S416),OR(AND(入力!$B$13="有効",A417&gt;1,MOD(A417-1,60)=0),AND(A417=入力!$B$11,A417&gt;1)),入力!$B$14="有効"),ROUND(G416*1.25,0),"")</f>
        <v/>
      </c>
      <c r="S417" s="36">
        <f>IF(A417=入力!$B$15,A417+入力!$B$19,S416)</f>
        <v>360</v>
      </c>
      <c r="T417" s="35" t="str">
        <f t="shared" si="111"/>
        <v/>
      </c>
      <c r="U417" s="3">
        <f t="shared" si="96"/>
        <v>0</v>
      </c>
      <c r="V417" s="3">
        <f t="shared" si="97"/>
        <v>0</v>
      </c>
      <c r="W417" s="3">
        <f t="shared" si="98"/>
        <v>0</v>
      </c>
      <c r="X417" s="3">
        <f t="shared" si="99"/>
        <v>0</v>
      </c>
      <c r="Y417" s="3">
        <f>IF(A417&lt;入力!$B$15,ABS(G417-何もしない_月次!G417),0)</f>
        <v>0</v>
      </c>
      <c r="Z417" s="3">
        <f t="shared" si="100"/>
        <v>0</v>
      </c>
      <c r="AA417">
        <f>ROUND(IF(A417=入力!$B$15+1,IF(E417=0,ROUND(C417/入力!$B$19,0),ROUND(-PMT(E417/12,入力!$B$19,C417),0)),IF(OR(AND(入力!$B$13="有効",A417&gt;1,MOD(A417-1,60)=0),AND(A417=入力!$B$11,A417&gt;1)),IF(入力!$B$14="有効",MIN(IF(E417=0,ROUND(C417/MAX(1,S416-A417+1),0),ROUND(-PMT(E417/12,MAX(1,S416-A417+1),C417),0)),ROUND(G416*1.25,0)),IF(E417=0,ROUND(C417/MAX(1,S416-A417+1),0),ROUND(-PMT(E417/12,MAX(1,S416-A417+1),C417),0))),G416)),0)</f>
        <v>0</v>
      </c>
    </row>
    <row r="418" spans="1:27">
      <c r="A418" s="30">
        <f>413</f>
        <v>413</v>
      </c>
      <c r="B418" s="31">
        <f>EDATE(入力!$B$6,A418-1)</f>
        <v>58776</v>
      </c>
      <c r="C418" s="32">
        <f t="shared" si="101"/>
        <v>0</v>
      </c>
      <c r="D418" s="32">
        <f t="shared" si="102"/>
        <v>0</v>
      </c>
      <c r="E418" s="33">
        <f>IF(AND(T417="",A418&lt;=S417),IF(A418&lt;入力!$B$11,入力!$B$10,入力!$B$12),0)</f>
        <v>0</v>
      </c>
      <c r="F418" s="32">
        <f t="shared" si="103"/>
        <v>0</v>
      </c>
      <c r="G418" s="32">
        <f>ROUND(IF(NOT(AND(T417="",A418&lt;=S417)),0,IF(A418=入力!$B$15+1,IF(E418=0,ROUND(C418/入力!$B$19,0),ROUND(-PMT(E418/12,入力!$B$19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),0)</f>
        <v>0</v>
      </c>
      <c r="H418" s="32">
        <f t="shared" si="104"/>
        <v>0</v>
      </c>
      <c r="I418" s="32">
        <f t="shared" si="105"/>
        <v>0</v>
      </c>
      <c r="J418" s="32">
        <f t="shared" si="106"/>
        <v>0</v>
      </c>
      <c r="K418" s="32">
        <f t="shared" si="107"/>
        <v>0</v>
      </c>
      <c r="L418" s="32">
        <f t="shared" si="108"/>
        <v>0</v>
      </c>
      <c r="M418" s="32">
        <f>IF(AND(AND(T417="",A418&lt;=S417),A418=入力!$B$15),ROUND(MIN(入力!$B$16,MAX(0,C418-L418)),0),0)</f>
        <v>0</v>
      </c>
      <c r="N418" s="32">
        <f t="shared" si="109"/>
        <v>0</v>
      </c>
      <c r="O418" s="32">
        <f t="shared" si="110"/>
        <v>10751874</v>
      </c>
      <c r="P418" s="34" t="str">
        <f>IF(NOT(AND(T417="",A418&lt;=S417)),"",IF(A418=入力!$B$15+1,"繰上返済後再計算","")&amp;IF(AND(入力!$B$13="有効",A418&gt;1,MOD(A418-1,60)=0),IF(A418=入力!$B$15+1,"・","")&amp;"5年見直し","")&amp;IF(AND(A418=入力!$B$11,A418&gt;1),IF(OR(A418=入力!$B$15+1,AND(入力!$B$13="有効",A418&gt;1,MOD(A418-1,60)=0)),"・","")&amp;"金利変更","")&amp;IF(AND(OR(AND(入力!$B$13="有効",A418&gt;1,MOD(A418-1,60)=0),AND(A418=入力!$B$11,A418&gt;1)),入力!$B$14="有効",IF(E418=0,ROUND(C418/MAX(1,S417-A418+1),0),ROUND(-PMT(E418/12,MAX(1,S417-A418+1),C418),0))&gt;ROUND(G417*1.25,0),NOT(A418=入力!$B$15+1)),"・上限適用",""))</f>
        <v/>
      </c>
      <c r="Q418" s="35" t="str">
        <f>IF(AND(T417="",A418&lt;=S417),入力!$B$13,"")</f>
        <v/>
      </c>
      <c r="R418" s="32" t="str">
        <f>IF(AND(AND(T417="",A418&lt;=S417),OR(AND(入力!$B$13="有効",A418&gt;1,MOD(A418-1,60)=0),AND(A418=入力!$B$11,A418&gt;1)),入力!$B$14="有効"),ROUND(G417*1.25,0),"")</f>
        <v/>
      </c>
      <c r="S418" s="36">
        <f>IF(A418=入力!$B$15,A418+入力!$B$19,S417)</f>
        <v>360</v>
      </c>
      <c r="T418" s="35" t="str">
        <f t="shared" si="111"/>
        <v/>
      </c>
      <c r="U418" s="3">
        <f t="shared" si="96"/>
        <v>0</v>
      </c>
      <c r="V418" s="3">
        <f t="shared" si="97"/>
        <v>0</v>
      </c>
      <c r="W418" s="3">
        <f t="shared" si="98"/>
        <v>0</v>
      </c>
      <c r="X418" s="3">
        <f t="shared" si="99"/>
        <v>0</v>
      </c>
      <c r="Y418" s="3">
        <f>IF(A418&lt;入力!$B$15,ABS(G418-何もしない_月次!G418),0)</f>
        <v>0</v>
      </c>
      <c r="Z418" s="3">
        <f t="shared" si="100"/>
        <v>0</v>
      </c>
      <c r="AA418">
        <f>ROUND(IF(A418=入力!$B$15+1,IF(E418=0,ROUND(C418/入力!$B$19,0),ROUND(-PMT(E418/12,入力!$B$19,C418),0)),IF(OR(AND(入力!$B$13="有効",A418&gt;1,MOD(A418-1,60)=0),AND(A418=入力!$B$11,A418&gt;1)),IF(入力!$B$14="有効",MIN(IF(E418=0,ROUND(C418/MAX(1,S417-A418+1),0),ROUND(-PMT(E418/12,MAX(1,S417-A418+1),C418),0)),ROUND(G417*1.25,0)),IF(E418=0,ROUND(C418/MAX(1,S417-A418+1),0),ROUND(-PMT(E418/12,MAX(1,S417-A418+1),C418),0))),G417)),0)</f>
        <v>0</v>
      </c>
    </row>
    <row r="419" spans="1:27">
      <c r="A419" s="30">
        <f>414</f>
        <v>414</v>
      </c>
      <c r="B419" s="31">
        <f>EDATE(入力!$B$6,A419-1)</f>
        <v>58807</v>
      </c>
      <c r="C419" s="32">
        <f t="shared" si="101"/>
        <v>0</v>
      </c>
      <c r="D419" s="32">
        <f t="shared" si="102"/>
        <v>0</v>
      </c>
      <c r="E419" s="33">
        <f>IF(AND(T418="",A419&lt;=S418),IF(A419&lt;入力!$B$11,入力!$B$10,入力!$B$12),0)</f>
        <v>0</v>
      </c>
      <c r="F419" s="32">
        <f t="shared" si="103"/>
        <v>0</v>
      </c>
      <c r="G419" s="32">
        <f>ROUND(IF(NOT(AND(T418="",A419&lt;=S418)),0,IF(A419=入力!$B$15+1,IF(E419=0,ROUND(C419/入力!$B$19,0),ROUND(-PMT(E419/12,入力!$B$19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),0)</f>
        <v>0</v>
      </c>
      <c r="H419" s="32">
        <f t="shared" si="104"/>
        <v>0</v>
      </c>
      <c r="I419" s="32">
        <f t="shared" si="105"/>
        <v>0</v>
      </c>
      <c r="J419" s="32">
        <f t="shared" si="106"/>
        <v>0</v>
      </c>
      <c r="K419" s="32">
        <f t="shared" si="107"/>
        <v>0</v>
      </c>
      <c r="L419" s="32">
        <f t="shared" si="108"/>
        <v>0</v>
      </c>
      <c r="M419" s="32">
        <f>IF(AND(AND(T418="",A419&lt;=S418),A419=入力!$B$15),ROUND(MIN(入力!$B$16,MAX(0,C419-L419)),0),0)</f>
        <v>0</v>
      </c>
      <c r="N419" s="32">
        <f t="shared" si="109"/>
        <v>0</v>
      </c>
      <c r="O419" s="32">
        <f t="shared" si="110"/>
        <v>10751874</v>
      </c>
      <c r="P419" s="34" t="str">
        <f>IF(NOT(AND(T418="",A419&lt;=S418)),"",IF(A419=入力!$B$15+1,"繰上返済後再計算","")&amp;IF(AND(入力!$B$13="有効",A419&gt;1,MOD(A419-1,60)=0),IF(A419=入力!$B$15+1,"・","")&amp;"5年見直し","")&amp;IF(AND(A419=入力!$B$11,A419&gt;1),IF(OR(A419=入力!$B$15+1,AND(入力!$B$13="有効",A419&gt;1,MOD(A419-1,60)=0)),"・","")&amp;"金利変更","")&amp;IF(AND(OR(AND(入力!$B$13="有効",A419&gt;1,MOD(A419-1,60)=0),AND(A419=入力!$B$11,A419&gt;1)),入力!$B$14="有効",IF(E419=0,ROUND(C419/MAX(1,S418-A419+1),0),ROUND(-PMT(E419/12,MAX(1,S418-A419+1),C419),0))&gt;ROUND(G418*1.25,0),NOT(A419=入力!$B$15+1)),"・上限適用",""))</f>
        <v/>
      </c>
      <c r="Q419" s="35" t="str">
        <f>IF(AND(T418="",A419&lt;=S418),入力!$B$13,"")</f>
        <v/>
      </c>
      <c r="R419" s="32" t="str">
        <f>IF(AND(AND(T418="",A419&lt;=S418),OR(AND(入力!$B$13="有効",A419&gt;1,MOD(A419-1,60)=0),AND(A419=入力!$B$11,A419&gt;1)),入力!$B$14="有効"),ROUND(G418*1.25,0),"")</f>
        <v/>
      </c>
      <c r="S419" s="36">
        <f>IF(A419=入力!$B$15,A419+入力!$B$19,S418)</f>
        <v>360</v>
      </c>
      <c r="T419" s="35" t="str">
        <f t="shared" si="111"/>
        <v/>
      </c>
      <c r="U419" s="3">
        <f t="shared" si="96"/>
        <v>0</v>
      </c>
      <c r="V419" s="3">
        <f t="shared" si="97"/>
        <v>0</v>
      </c>
      <c r="W419" s="3">
        <f t="shared" si="98"/>
        <v>0</v>
      </c>
      <c r="X419" s="3">
        <f t="shared" si="99"/>
        <v>0</v>
      </c>
      <c r="Y419" s="3">
        <f>IF(A419&lt;入力!$B$15,ABS(G419-何もしない_月次!G419),0)</f>
        <v>0</v>
      </c>
      <c r="Z419" s="3">
        <f t="shared" si="100"/>
        <v>0</v>
      </c>
      <c r="AA419">
        <f>ROUND(IF(A419=入力!$B$15+1,IF(E419=0,ROUND(C419/入力!$B$19,0),ROUND(-PMT(E419/12,入力!$B$19,C419),0)),IF(OR(AND(入力!$B$13="有効",A419&gt;1,MOD(A419-1,60)=0),AND(A419=入力!$B$11,A419&gt;1)),IF(入力!$B$14="有効",MIN(IF(E419=0,ROUND(C419/MAX(1,S418-A419+1),0),ROUND(-PMT(E419/12,MAX(1,S418-A419+1),C419),0)),ROUND(G418*1.25,0)),IF(E419=0,ROUND(C419/MAX(1,S418-A419+1),0),ROUND(-PMT(E419/12,MAX(1,S418-A419+1),C419),0))),G418)),0)</f>
        <v>0</v>
      </c>
    </row>
    <row r="420" spans="1:27">
      <c r="A420" s="30">
        <f>415</f>
        <v>415</v>
      </c>
      <c r="B420" s="31">
        <f>EDATE(入力!$B$6,A420-1)</f>
        <v>58838</v>
      </c>
      <c r="C420" s="32">
        <f t="shared" si="101"/>
        <v>0</v>
      </c>
      <c r="D420" s="32">
        <f t="shared" si="102"/>
        <v>0</v>
      </c>
      <c r="E420" s="33">
        <f>IF(AND(T419="",A420&lt;=S419),IF(A420&lt;入力!$B$11,入力!$B$10,入力!$B$12),0)</f>
        <v>0</v>
      </c>
      <c r="F420" s="32">
        <f t="shared" si="103"/>
        <v>0</v>
      </c>
      <c r="G420" s="32">
        <f>ROUND(IF(NOT(AND(T419="",A420&lt;=S419)),0,IF(A420=入力!$B$15+1,IF(E420=0,ROUND(C420/入力!$B$19,0),ROUND(-PMT(E420/12,入力!$B$19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),0)</f>
        <v>0</v>
      </c>
      <c r="H420" s="32">
        <f t="shared" si="104"/>
        <v>0</v>
      </c>
      <c r="I420" s="32">
        <f t="shared" si="105"/>
        <v>0</v>
      </c>
      <c r="J420" s="32">
        <f t="shared" si="106"/>
        <v>0</v>
      </c>
      <c r="K420" s="32">
        <f t="shared" si="107"/>
        <v>0</v>
      </c>
      <c r="L420" s="32">
        <f t="shared" si="108"/>
        <v>0</v>
      </c>
      <c r="M420" s="32">
        <f>IF(AND(AND(T419="",A420&lt;=S419),A420=入力!$B$15),ROUND(MIN(入力!$B$16,MAX(0,C420-L420)),0),0)</f>
        <v>0</v>
      </c>
      <c r="N420" s="32">
        <f t="shared" si="109"/>
        <v>0</v>
      </c>
      <c r="O420" s="32">
        <f t="shared" si="110"/>
        <v>10751874</v>
      </c>
      <c r="P420" s="34" t="str">
        <f>IF(NOT(AND(T419="",A420&lt;=S419)),"",IF(A420=入力!$B$15+1,"繰上返済後再計算","")&amp;IF(AND(入力!$B$13="有効",A420&gt;1,MOD(A420-1,60)=0),IF(A420=入力!$B$15+1,"・","")&amp;"5年見直し","")&amp;IF(AND(A420=入力!$B$11,A420&gt;1),IF(OR(A420=入力!$B$15+1,AND(入力!$B$13="有効",A420&gt;1,MOD(A420-1,60)=0)),"・","")&amp;"金利変更","")&amp;IF(AND(OR(AND(入力!$B$13="有効",A420&gt;1,MOD(A420-1,60)=0),AND(A420=入力!$B$11,A420&gt;1)),入力!$B$14="有効",IF(E420=0,ROUND(C420/MAX(1,S419-A420+1),0),ROUND(-PMT(E420/12,MAX(1,S419-A420+1),C420),0))&gt;ROUND(G419*1.25,0),NOT(A420=入力!$B$15+1)),"・上限適用",""))</f>
        <v/>
      </c>
      <c r="Q420" s="35" t="str">
        <f>IF(AND(T419="",A420&lt;=S419),入力!$B$13,"")</f>
        <v/>
      </c>
      <c r="R420" s="32" t="str">
        <f>IF(AND(AND(T419="",A420&lt;=S419),OR(AND(入力!$B$13="有効",A420&gt;1,MOD(A420-1,60)=0),AND(A420=入力!$B$11,A420&gt;1)),入力!$B$14="有効"),ROUND(G419*1.25,0),"")</f>
        <v/>
      </c>
      <c r="S420" s="36">
        <f>IF(A420=入力!$B$15,A420+入力!$B$19,S419)</f>
        <v>360</v>
      </c>
      <c r="T420" s="35" t="str">
        <f t="shared" si="111"/>
        <v/>
      </c>
      <c r="U420" s="3">
        <f t="shared" si="96"/>
        <v>0</v>
      </c>
      <c r="V420" s="3">
        <f t="shared" si="97"/>
        <v>0</v>
      </c>
      <c r="W420" s="3">
        <f t="shared" si="98"/>
        <v>0</v>
      </c>
      <c r="X420" s="3">
        <f t="shared" si="99"/>
        <v>0</v>
      </c>
      <c r="Y420" s="3">
        <f>IF(A420&lt;入力!$B$15,ABS(G420-何もしない_月次!G420),0)</f>
        <v>0</v>
      </c>
      <c r="Z420" s="3">
        <f t="shared" si="100"/>
        <v>0</v>
      </c>
      <c r="AA420">
        <f>ROUND(IF(A420=入力!$B$15+1,IF(E420=0,ROUND(C420/入力!$B$19,0),ROUND(-PMT(E420/12,入力!$B$19,C420),0)),IF(OR(AND(入力!$B$13="有効",A420&gt;1,MOD(A420-1,60)=0),AND(A420=入力!$B$11,A420&gt;1)),IF(入力!$B$14="有効",MIN(IF(E420=0,ROUND(C420/MAX(1,S419-A420+1),0),ROUND(-PMT(E420/12,MAX(1,S419-A420+1),C420),0)),ROUND(G419*1.25,0)),IF(E420=0,ROUND(C420/MAX(1,S419-A420+1),0),ROUND(-PMT(E420/12,MAX(1,S419-A420+1),C420),0))),G419)),0)</f>
        <v>0</v>
      </c>
    </row>
    <row r="421" spans="1:27">
      <c r="A421" s="30">
        <f>416</f>
        <v>416</v>
      </c>
      <c r="B421" s="31">
        <f>EDATE(入力!$B$6,A421-1)</f>
        <v>58866</v>
      </c>
      <c r="C421" s="32">
        <f t="shared" si="101"/>
        <v>0</v>
      </c>
      <c r="D421" s="32">
        <f t="shared" si="102"/>
        <v>0</v>
      </c>
      <c r="E421" s="33">
        <f>IF(AND(T420="",A421&lt;=S420),IF(A421&lt;入力!$B$11,入力!$B$10,入力!$B$12),0)</f>
        <v>0</v>
      </c>
      <c r="F421" s="32">
        <f t="shared" si="103"/>
        <v>0</v>
      </c>
      <c r="G421" s="32">
        <f>ROUND(IF(NOT(AND(T420="",A421&lt;=S420)),0,IF(A421=入力!$B$15+1,IF(E421=0,ROUND(C421/入力!$B$19,0),ROUND(-PMT(E421/12,入力!$B$19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),0)</f>
        <v>0</v>
      </c>
      <c r="H421" s="32">
        <f t="shared" si="104"/>
        <v>0</v>
      </c>
      <c r="I421" s="32">
        <f t="shared" si="105"/>
        <v>0</v>
      </c>
      <c r="J421" s="32">
        <f t="shared" si="106"/>
        <v>0</v>
      </c>
      <c r="K421" s="32">
        <f t="shared" si="107"/>
        <v>0</v>
      </c>
      <c r="L421" s="32">
        <f t="shared" si="108"/>
        <v>0</v>
      </c>
      <c r="M421" s="32">
        <f>IF(AND(AND(T420="",A421&lt;=S420),A421=入力!$B$15),ROUND(MIN(入力!$B$16,MAX(0,C421-L421)),0),0)</f>
        <v>0</v>
      </c>
      <c r="N421" s="32">
        <f t="shared" si="109"/>
        <v>0</v>
      </c>
      <c r="O421" s="32">
        <f t="shared" si="110"/>
        <v>10751874</v>
      </c>
      <c r="P421" s="34" t="str">
        <f>IF(NOT(AND(T420="",A421&lt;=S420)),"",IF(A421=入力!$B$15+1,"繰上返済後再計算","")&amp;IF(AND(入力!$B$13="有効",A421&gt;1,MOD(A421-1,60)=0),IF(A421=入力!$B$15+1,"・","")&amp;"5年見直し","")&amp;IF(AND(A421=入力!$B$11,A421&gt;1),IF(OR(A421=入力!$B$15+1,AND(入力!$B$13="有効",A421&gt;1,MOD(A421-1,60)=0)),"・","")&amp;"金利変更","")&amp;IF(AND(OR(AND(入力!$B$13="有効",A421&gt;1,MOD(A421-1,60)=0),AND(A421=入力!$B$11,A421&gt;1)),入力!$B$14="有効",IF(E421=0,ROUND(C421/MAX(1,S420-A421+1),0),ROUND(-PMT(E421/12,MAX(1,S420-A421+1),C421),0))&gt;ROUND(G420*1.25,0),NOT(A421=入力!$B$15+1)),"・上限適用",""))</f>
        <v/>
      </c>
      <c r="Q421" s="35" t="str">
        <f>IF(AND(T420="",A421&lt;=S420),入力!$B$13,"")</f>
        <v/>
      </c>
      <c r="R421" s="32" t="str">
        <f>IF(AND(AND(T420="",A421&lt;=S420),OR(AND(入力!$B$13="有効",A421&gt;1,MOD(A421-1,60)=0),AND(A421=入力!$B$11,A421&gt;1)),入力!$B$14="有効"),ROUND(G420*1.25,0),"")</f>
        <v/>
      </c>
      <c r="S421" s="36">
        <f>IF(A421=入力!$B$15,A421+入力!$B$19,S420)</f>
        <v>360</v>
      </c>
      <c r="T421" s="35" t="str">
        <f t="shared" si="111"/>
        <v/>
      </c>
      <c r="U421" s="3">
        <f t="shared" si="96"/>
        <v>0</v>
      </c>
      <c r="V421" s="3">
        <f t="shared" si="97"/>
        <v>0</v>
      </c>
      <c r="W421" s="3">
        <f t="shared" si="98"/>
        <v>0</v>
      </c>
      <c r="X421" s="3">
        <f t="shared" si="99"/>
        <v>0</v>
      </c>
      <c r="Y421" s="3">
        <f>IF(A421&lt;入力!$B$15,ABS(G421-何もしない_月次!G421),0)</f>
        <v>0</v>
      </c>
      <c r="Z421" s="3">
        <f t="shared" si="100"/>
        <v>0</v>
      </c>
      <c r="AA421">
        <f>ROUND(IF(A421=入力!$B$15+1,IF(E421=0,ROUND(C421/入力!$B$19,0),ROUND(-PMT(E421/12,入力!$B$19,C421),0)),IF(OR(AND(入力!$B$13="有効",A421&gt;1,MOD(A421-1,60)=0),AND(A421=入力!$B$11,A421&gt;1)),IF(入力!$B$14="有効",MIN(IF(E421=0,ROUND(C421/MAX(1,S420-A421+1),0),ROUND(-PMT(E421/12,MAX(1,S420-A421+1),C421),0)),ROUND(G420*1.25,0)),IF(E421=0,ROUND(C421/MAX(1,S420-A421+1),0),ROUND(-PMT(E421/12,MAX(1,S420-A421+1),C421),0))),G420)),0)</f>
        <v>0</v>
      </c>
    </row>
    <row r="422" spans="1:27">
      <c r="A422" s="30">
        <f>417</f>
        <v>417</v>
      </c>
      <c r="B422" s="31">
        <f>EDATE(入力!$B$6,A422-1)</f>
        <v>58897</v>
      </c>
      <c r="C422" s="32">
        <f t="shared" si="101"/>
        <v>0</v>
      </c>
      <c r="D422" s="32">
        <f t="shared" si="102"/>
        <v>0</v>
      </c>
      <c r="E422" s="33">
        <f>IF(AND(T421="",A422&lt;=S421),IF(A422&lt;入力!$B$11,入力!$B$10,入力!$B$12),0)</f>
        <v>0</v>
      </c>
      <c r="F422" s="32">
        <f t="shared" si="103"/>
        <v>0</v>
      </c>
      <c r="G422" s="32">
        <f>ROUND(IF(NOT(AND(T421="",A422&lt;=S421)),0,IF(A422=入力!$B$15+1,IF(E422=0,ROUND(C422/入力!$B$19,0),ROUND(-PMT(E422/12,入力!$B$19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),0)</f>
        <v>0</v>
      </c>
      <c r="H422" s="32">
        <f t="shared" si="104"/>
        <v>0</v>
      </c>
      <c r="I422" s="32">
        <f t="shared" si="105"/>
        <v>0</v>
      </c>
      <c r="J422" s="32">
        <f t="shared" si="106"/>
        <v>0</v>
      </c>
      <c r="K422" s="32">
        <f t="shared" si="107"/>
        <v>0</v>
      </c>
      <c r="L422" s="32">
        <f t="shared" si="108"/>
        <v>0</v>
      </c>
      <c r="M422" s="32">
        <f>IF(AND(AND(T421="",A422&lt;=S421),A422=入力!$B$15),ROUND(MIN(入力!$B$16,MAX(0,C422-L422)),0),0)</f>
        <v>0</v>
      </c>
      <c r="N422" s="32">
        <f t="shared" si="109"/>
        <v>0</v>
      </c>
      <c r="O422" s="32">
        <f t="shared" si="110"/>
        <v>10751874</v>
      </c>
      <c r="P422" s="34" t="str">
        <f>IF(NOT(AND(T421="",A422&lt;=S421)),"",IF(A422=入力!$B$15+1,"繰上返済後再計算","")&amp;IF(AND(入力!$B$13="有効",A422&gt;1,MOD(A422-1,60)=0),IF(A422=入力!$B$15+1,"・","")&amp;"5年見直し","")&amp;IF(AND(A422=入力!$B$11,A422&gt;1),IF(OR(A422=入力!$B$15+1,AND(入力!$B$13="有効",A422&gt;1,MOD(A422-1,60)=0)),"・","")&amp;"金利変更","")&amp;IF(AND(OR(AND(入力!$B$13="有効",A422&gt;1,MOD(A422-1,60)=0),AND(A422=入力!$B$11,A422&gt;1)),入力!$B$14="有効",IF(E422=0,ROUND(C422/MAX(1,S421-A422+1),0),ROUND(-PMT(E422/12,MAX(1,S421-A422+1),C422),0))&gt;ROUND(G421*1.25,0),NOT(A422=入力!$B$15+1)),"・上限適用",""))</f>
        <v/>
      </c>
      <c r="Q422" s="35" t="str">
        <f>IF(AND(T421="",A422&lt;=S421),入力!$B$13,"")</f>
        <v/>
      </c>
      <c r="R422" s="32" t="str">
        <f>IF(AND(AND(T421="",A422&lt;=S421),OR(AND(入力!$B$13="有効",A422&gt;1,MOD(A422-1,60)=0),AND(A422=入力!$B$11,A422&gt;1)),入力!$B$14="有効"),ROUND(G421*1.25,0),"")</f>
        <v/>
      </c>
      <c r="S422" s="36">
        <f>IF(A422=入力!$B$15,A422+入力!$B$19,S421)</f>
        <v>360</v>
      </c>
      <c r="T422" s="35" t="str">
        <f t="shared" si="111"/>
        <v/>
      </c>
      <c r="U422" s="3">
        <f t="shared" si="96"/>
        <v>0</v>
      </c>
      <c r="V422" s="3">
        <f t="shared" si="97"/>
        <v>0</v>
      </c>
      <c r="W422" s="3">
        <f t="shared" si="98"/>
        <v>0</v>
      </c>
      <c r="X422" s="3">
        <f t="shared" si="99"/>
        <v>0</v>
      </c>
      <c r="Y422" s="3">
        <f>IF(A422&lt;入力!$B$15,ABS(G422-何もしない_月次!G422),0)</f>
        <v>0</v>
      </c>
      <c r="Z422" s="3">
        <f t="shared" si="100"/>
        <v>0</v>
      </c>
      <c r="AA422">
        <f>ROUND(IF(A422=入力!$B$15+1,IF(E422=0,ROUND(C422/入力!$B$19,0),ROUND(-PMT(E422/12,入力!$B$19,C422),0)),IF(OR(AND(入力!$B$13="有効",A422&gt;1,MOD(A422-1,60)=0),AND(A422=入力!$B$11,A422&gt;1)),IF(入力!$B$14="有効",MIN(IF(E422=0,ROUND(C422/MAX(1,S421-A422+1),0),ROUND(-PMT(E422/12,MAX(1,S421-A422+1),C422),0)),ROUND(G421*1.25,0)),IF(E422=0,ROUND(C422/MAX(1,S421-A422+1),0),ROUND(-PMT(E422/12,MAX(1,S421-A422+1),C422),0))),G421)),0)</f>
        <v>0</v>
      </c>
    </row>
    <row r="423" spans="1:27">
      <c r="A423" s="30">
        <f>418</f>
        <v>418</v>
      </c>
      <c r="B423" s="31">
        <f>EDATE(入力!$B$6,A423-1)</f>
        <v>58927</v>
      </c>
      <c r="C423" s="32">
        <f t="shared" si="101"/>
        <v>0</v>
      </c>
      <c r="D423" s="32">
        <f t="shared" si="102"/>
        <v>0</v>
      </c>
      <c r="E423" s="33">
        <f>IF(AND(T422="",A423&lt;=S422),IF(A423&lt;入力!$B$11,入力!$B$10,入力!$B$12),0)</f>
        <v>0</v>
      </c>
      <c r="F423" s="32">
        <f t="shared" si="103"/>
        <v>0</v>
      </c>
      <c r="G423" s="32">
        <f>ROUND(IF(NOT(AND(T422="",A423&lt;=S422)),0,IF(A423=入力!$B$15+1,IF(E423=0,ROUND(C423/入力!$B$19,0),ROUND(-PMT(E423/12,入力!$B$19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),0)</f>
        <v>0</v>
      </c>
      <c r="H423" s="32">
        <f t="shared" si="104"/>
        <v>0</v>
      </c>
      <c r="I423" s="32">
        <f t="shared" si="105"/>
        <v>0</v>
      </c>
      <c r="J423" s="32">
        <f t="shared" si="106"/>
        <v>0</v>
      </c>
      <c r="K423" s="32">
        <f t="shared" si="107"/>
        <v>0</v>
      </c>
      <c r="L423" s="32">
        <f t="shared" si="108"/>
        <v>0</v>
      </c>
      <c r="M423" s="32">
        <f>IF(AND(AND(T422="",A423&lt;=S422),A423=入力!$B$15),ROUND(MIN(入力!$B$16,MAX(0,C423-L423)),0),0)</f>
        <v>0</v>
      </c>
      <c r="N423" s="32">
        <f t="shared" si="109"/>
        <v>0</v>
      </c>
      <c r="O423" s="32">
        <f t="shared" si="110"/>
        <v>10751874</v>
      </c>
      <c r="P423" s="34" t="str">
        <f>IF(NOT(AND(T422="",A423&lt;=S422)),"",IF(A423=入力!$B$15+1,"繰上返済後再計算","")&amp;IF(AND(入力!$B$13="有効",A423&gt;1,MOD(A423-1,60)=0),IF(A423=入力!$B$15+1,"・","")&amp;"5年見直し","")&amp;IF(AND(A423=入力!$B$11,A423&gt;1),IF(OR(A423=入力!$B$15+1,AND(入力!$B$13="有効",A423&gt;1,MOD(A423-1,60)=0)),"・","")&amp;"金利変更","")&amp;IF(AND(OR(AND(入力!$B$13="有効",A423&gt;1,MOD(A423-1,60)=0),AND(A423=入力!$B$11,A423&gt;1)),入力!$B$14="有効",IF(E423=0,ROUND(C423/MAX(1,S422-A423+1),0),ROUND(-PMT(E423/12,MAX(1,S422-A423+1),C423),0))&gt;ROUND(G422*1.25,0),NOT(A423=入力!$B$15+1)),"・上限適用",""))</f>
        <v/>
      </c>
      <c r="Q423" s="35" t="str">
        <f>IF(AND(T422="",A423&lt;=S422),入力!$B$13,"")</f>
        <v/>
      </c>
      <c r="R423" s="32" t="str">
        <f>IF(AND(AND(T422="",A423&lt;=S422),OR(AND(入力!$B$13="有効",A423&gt;1,MOD(A423-1,60)=0),AND(A423=入力!$B$11,A423&gt;1)),入力!$B$14="有効"),ROUND(G422*1.25,0),"")</f>
        <v/>
      </c>
      <c r="S423" s="36">
        <f>IF(A423=入力!$B$15,A423+入力!$B$19,S422)</f>
        <v>360</v>
      </c>
      <c r="T423" s="35" t="str">
        <f t="shared" si="111"/>
        <v/>
      </c>
      <c r="U423" s="3">
        <f t="shared" si="96"/>
        <v>0</v>
      </c>
      <c r="V423" s="3">
        <f t="shared" si="97"/>
        <v>0</v>
      </c>
      <c r="W423" s="3">
        <f t="shared" si="98"/>
        <v>0</v>
      </c>
      <c r="X423" s="3">
        <f t="shared" si="99"/>
        <v>0</v>
      </c>
      <c r="Y423" s="3">
        <f>IF(A423&lt;入力!$B$15,ABS(G423-何もしない_月次!G423),0)</f>
        <v>0</v>
      </c>
      <c r="Z423" s="3">
        <f t="shared" si="100"/>
        <v>0</v>
      </c>
      <c r="AA423">
        <f>ROUND(IF(A423=入力!$B$15+1,IF(E423=0,ROUND(C423/入力!$B$19,0),ROUND(-PMT(E423/12,入力!$B$19,C423),0)),IF(OR(AND(入力!$B$13="有効",A423&gt;1,MOD(A423-1,60)=0),AND(A423=入力!$B$11,A423&gt;1)),IF(入力!$B$14="有効",MIN(IF(E423=0,ROUND(C423/MAX(1,S422-A423+1),0),ROUND(-PMT(E423/12,MAX(1,S422-A423+1),C423),0)),ROUND(G422*1.25,0)),IF(E423=0,ROUND(C423/MAX(1,S422-A423+1),0),ROUND(-PMT(E423/12,MAX(1,S422-A423+1),C423),0))),G422)),0)</f>
        <v>0</v>
      </c>
    </row>
    <row r="424" spans="1:27">
      <c r="A424" s="30">
        <f>419</f>
        <v>419</v>
      </c>
      <c r="B424" s="31">
        <f>EDATE(入力!$B$6,A424-1)</f>
        <v>58958</v>
      </c>
      <c r="C424" s="32">
        <f t="shared" si="101"/>
        <v>0</v>
      </c>
      <c r="D424" s="32">
        <f t="shared" si="102"/>
        <v>0</v>
      </c>
      <c r="E424" s="33">
        <f>IF(AND(T423="",A424&lt;=S423),IF(A424&lt;入力!$B$11,入力!$B$10,入力!$B$12),0)</f>
        <v>0</v>
      </c>
      <c r="F424" s="32">
        <f t="shared" si="103"/>
        <v>0</v>
      </c>
      <c r="G424" s="32">
        <f>ROUND(IF(NOT(AND(T423="",A424&lt;=S423)),0,IF(A424=入力!$B$15+1,IF(E424=0,ROUND(C424/入力!$B$19,0),ROUND(-PMT(E424/12,入力!$B$19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),0)</f>
        <v>0</v>
      </c>
      <c r="H424" s="32">
        <f t="shared" si="104"/>
        <v>0</v>
      </c>
      <c r="I424" s="32">
        <f t="shared" si="105"/>
        <v>0</v>
      </c>
      <c r="J424" s="32">
        <f t="shared" si="106"/>
        <v>0</v>
      </c>
      <c r="K424" s="32">
        <f t="shared" si="107"/>
        <v>0</v>
      </c>
      <c r="L424" s="32">
        <f t="shared" si="108"/>
        <v>0</v>
      </c>
      <c r="M424" s="32">
        <f>IF(AND(AND(T423="",A424&lt;=S423),A424=入力!$B$15),ROUND(MIN(入力!$B$16,MAX(0,C424-L424)),0),0)</f>
        <v>0</v>
      </c>
      <c r="N424" s="32">
        <f t="shared" si="109"/>
        <v>0</v>
      </c>
      <c r="O424" s="32">
        <f t="shared" si="110"/>
        <v>10751874</v>
      </c>
      <c r="P424" s="34" t="str">
        <f>IF(NOT(AND(T423="",A424&lt;=S423)),"",IF(A424=入力!$B$15+1,"繰上返済後再計算","")&amp;IF(AND(入力!$B$13="有効",A424&gt;1,MOD(A424-1,60)=0),IF(A424=入力!$B$15+1,"・","")&amp;"5年見直し","")&amp;IF(AND(A424=入力!$B$11,A424&gt;1),IF(OR(A424=入力!$B$15+1,AND(入力!$B$13="有効",A424&gt;1,MOD(A424-1,60)=0)),"・","")&amp;"金利変更","")&amp;IF(AND(OR(AND(入力!$B$13="有効",A424&gt;1,MOD(A424-1,60)=0),AND(A424=入力!$B$11,A424&gt;1)),入力!$B$14="有効",IF(E424=0,ROUND(C424/MAX(1,S423-A424+1),0),ROUND(-PMT(E424/12,MAX(1,S423-A424+1),C424),0))&gt;ROUND(G423*1.25,0),NOT(A424=入力!$B$15+1)),"・上限適用",""))</f>
        <v/>
      </c>
      <c r="Q424" s="35" t="str">
        <f>IF(AND(T423="",A424&lt;=S423),入力!$B$13,"")</f>
        <v/>
      </c>
      <c r="R424" s="32" t="str">
        <f>IF(AND(AND(T423="",A424&lt;=S423),OR(AND(入力!$B$13="有効",A424&gt;1,MOD(A424-1,60)=0),AND(A424=入力!$B$11,A424&gt;1)),入力!$B$14="有効"),ROUND(G423*1.25,0),"")</f>
        <v/>
      </c>
      <c r="S424" s="36">
        <f>IF(A424=入力!$B$15,A424+入力!$B$19,S423)</f>
        <v>360</v>
      </c>
      <c r="T424" s="35" t="str">
        <f t="shared" si="111"/>
        <v/>
      </c>
      <c r="U424" s="3">
        <f t="shared" si="96"/>
        <v>0</v>
      </c>
      <c r="V424" s="3">
        <f t="shared" si="97"/>
        <v>0</v>
      </c>
      <c r="W424" s="3">
        <f t="shared" si="98"/>
        <v>0</v>
      </c>
      <c r="X424" s="3">
        <f t="shared" si="99"/>
        <v>0</v>
      </c>
      <c r="Y424" s="3">
        <f>IF(A424&lt;入力!$B$15,ABS(G424-何もしない_月次!G424),0)</f>
        <v>0</v>
      </c>
      <c r="Z424" s="3">
        <f t="shared" si="100"/>
        <v>0</v>
      </c>
      <c r="AA424">
        <f>ROUND(IF(A424=入力!$B$15+1,IF(E424=0,ROUND(C424/入力!$B$19,0),ROUND(-PMT(E424/12,入力!$B$19,C424),0)),IF(OR(AND(入力!$B$13="有効",A424&gt;1,MOD(A424-1,60)=0),AND(A424=入力!$B$11,A424&gt;1)),IF(入力!$B$14="有効",MIN(IF(E424=0,ROUND(C424/MAX(1,S423-A424+1),0),ROUND(-PMT(E424/12,MAX(1,S423-A424+1),C424),0)),ROUND(G423*1.25,0)),IF(E424=0,ROUND(C424/MAX(1,S423-A424+1),0),ROUND(-PMT(E424/12,MAX(1,S423-A424+1),C424),0))),G423)),0)</f>
        <v>0</v>
      </c>
    </row>
    <row r="425" spans="1:27">
      <c r="A425" s="30">
        <f>420</f>
        <v>420</v>
      </c>
      <c r="B425" s="31">
        <f>EDATE(入力!$B$6,A425-1)</f>
        <v>58988</v>
      </c>
      <c r="C425" s="32">
        <f t="shared" si="101"/>
        <v>0</v>
      </c>
      <c r="D425" s="32">
        <f t="shared" si="102"/>
        <v>0</v>
      </c>
      <c r="E425" s="33">
        <f>IF(AND(T424="",A425&lt;=S424),IF(A425&lt;入力!$B$11,入力!$B$10,入力!$B$12),0)</f>
        <v>0</v>
      </c>
      <c r="F425" s="32">
        <f t="shared" si="103"/>
        <v>0</v>
      </c>
      <c r="G425" s="32">
        <f>ROUND(IF(NOT(AND(T424="",A425&lt;=S424)),0,IF(A425=入力!$B$15+1,IF(E425=0,ROUND(C425/入力!$B$19,0),ROUND(-PMT(E425/12,入力!$B$19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),0)</f>
        <v>0</v>
      </c>
      <c r="H425" s="32">
        <f t="shared" si="104"/>
        <v>0</v>
      </c>
      <c r="I425" s="32">
        <f t="shared" si="105"/>
        <v>0</v>
      </c>
      <c r="J425" s="32">
        <f t="shared" si="106"/>
        <v>0</v>
      </c>
      <c r="K425" s="32">
        <f t="shared" si="107"/>
        <v>0</v>
      </c>
      <c r="L425" s="32">
        <f t="shared" si="108"/>
        <v>0</v>
      </c>
      <c r="M425" s="32">
        <f>IF(AND(AND(T424="",A425&lt;=S424),A425=入力!$B$15),ROUND(MIN(入力!$B$16,MAX(0,C425-L425)),0),0)</f>
        <v>0</v>
      </c>
      <c r="N425" s="32">
        <f t="shared" si="109"/>
        <v>0</v>
      </c>
      <c r="O425" s="32">
        <f t="shared" si="110"/>
        <v>10751874</v>
      </c>
      <c r="P425" s="34" t="str">
        <f>IF(NOT(AND(T424="",A425&lt;=S424)),"",IF(A425=入力!$B$15+1,"繰上返済後再計算","")&amp;IF(AND(入力!$B$13="有効",A425&gt;1,MOD(A425-1,60)=0),IF(A425=入力!$B$15+1,"・","")&amp;"5年見直し","")&amp;IF(AND(A425=入力!$B$11,A425&gt;1),IF(OR(A425=入力!$B$15+1,AND(入力!$B$13="有効",A425&gt;1,MOD(A425-1,60)=0)),"・","")&amp;"金利変更","")&amp;IF(AND(OR(AND(入力!$B$13="有効",A425&gt;1,MOD(A425-1,60)=0),AND(A425=入力!$B$11,A425&gt;1)),入力!$B$14="有効",IF(E425=0,ROUND(C425/MAX(1,S424-A425+1),0),ROUND(-PMT(E425/12,MAX(1,S424-A425+1),C425),0))&gt;ROUND(G424*1.25,0),NOT(A425=入力!$B$15+1)),"・上限適用",""))</f>
        <v/>
      </c>
      <c r="Q425" s="35" t="str">
        <f>IF(AND(T424="",A425&lt;=S424),入力!$B$13,"")</f>
        <v/>
      </c>
      <c r="R425" s="32" t="str">
        <f>IF(AND(AND(T424="",A425&lt;=S424),OR(AND(入力!$B$13="有効",A425&gt;1,MOD(A425-1,60)=0),AND(A425=入力!$B$11,A425&gt;1)),入力!$B$14="有効"),ROUND(G424*1.25,0),"")</f>
        <v/>
      </c>
      <c r="S425" s="36">
        <f>IF(A425=入力!$B$15,A425+入力!$B$19,S424)</f>
        <v>360</v>
      </c>
      <c r="T425" s="35" t="str">
        <f t="shared" si="111"/>
        <v/>
      </c>
      <c r="U425" s="3">
        <f t="shared" si="96"/>
        <v>0</v>
      </c>
      <c r="V425" s="3">
        <f t="shared" si="97"/>
        <v>0</v>
      </c>
      <c r="W425" s="3">
        <f t="shared" si="98"/>
        <v>0</v>
      </c>
      <c r="X425" s="3">
        <f t="shared" si="99"/>
        <v>0</v>
      </c>
      <c r="Y425" s="3">
        <f>IF(A425&lt;入力!$B$15,ABS(G425-何もしない_月次!G425),0)</f>
        <v>0</v>
      </c>
      <c r="Z425" s="3">
        <f t="shared" si="100"/>
        <v>0</v>
      </c>
      <c r="AA425">
        <f>ROUND(IF(A425=入力!$B$15+1,IF(E425=0,ROUND(C425/入力!$B$19,0),ROUND(-PMT(E425/12,入力!$B$19,C425),0)),IF(OR(AND(入力!$B$13="有効",A425&gt;1,MOD(A425-1,60)=0),AND(A425=入力!$B$11,A425&gt;1)),IF(入力!$B$14="有効",MIN(IF(E425=0,ROUND(C425/MAX(1,S424-A425+1),0),ROUND(-PMT(E425/12,MAX(1,S424-A425+1),C425),0)),ROUND(G424*1.25,0)),IF(E425=0,ROUND(C425/MAX(1,S424-A425+1),0),ROUND(-PMT(E425/12,MAX(1,S424-A425+1),C425),0))),G424)),0)</f>
        <v>0</v>
      </c>
    </row>
    <row r="426" spans="1:27">
      <c r="A426" s="30">
        <f>421</f>
        <v>421</v>
      </c>
      <c r="B426" s="31">
        <f>EDATE(入力!$B$6,A426-1)</f>
        <v>59019</v>
      </c>
      <c r="C426" s="32">
        <f t="shared" si="101"/>
        <v>0</v>
      </c>
      <c r="D426" s="32">
        <f t="shared" si="102"/>
        <v>0</v>
      </c>
      <c r="E426" s="33">
        <f>IF(AND(T425="",A426&lt;=S425),IF(A426&lt;入力!$B$11,入力!$B$10,入力!$B$12),0)</f>
        <v>0</v>
      </c>
      <c r="F426" s="32">
        <f t="shared" si="103"/>
        <v>0</v>
      </c>
      <c r="G426" s="32">
        <f>ROUND(IF(NOT(AND(T425="",A426&lt;=S425)),0,IF(A426=入力!$B$15+1,IF(E426=0,ROUND(C426/入力!$B$19,0),ROUND(-PMT(E426/12,入力!$B$19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),0)</f>
        <v>0</v>
      </c>
      <c r="H426" s="32">
        <f t="shared" si="104"/>
        <v>0</v>
      </c>
      <c r="I426" s="32">
        <f t="shared" si="105"/>
        <v>0</v>
      </c>
      <c r="J426" s="32">
        <f t="shared" si="106"/>
        <v>0</v>
      </c>
      <c r="K426" s="32">
        <f t="shared" si="107"/>
        <v>0</v>
      </c>
      <c r="L426" s="32">
        <f t="shared" si="108"/>
        <v>0</v>
      </c>
      <c r="M426" s="32">
        <f>IF(AND(AND(T425="",A426&lt;=S425),A426=入力!$B$15),ROUND(MIN(入力!$B$16,MAX(0,C426-L426)),0),0)</f>
        <v>0</v>
      </c>
      <c r="N426" s="32">
        <f t="shared" si="109"/>
        <v>0</v>
      </c>
      <c r="O426" s="32">
        <f t="shared" si="110"/>
        <v>10751874</v>
      </c>
      <c r="P426" s="34" t="str">
        <f>IF(NOT(AND(T425="",A426&lt;=S425)),"",IF(A426=入力!$B$15+1,"繰上返済後再計算","")&amp;IF(AND(入力!$B$13="有効",A426&gt;1,MOD(A426-1,60)=0),IF(A426=入力!$B$15+1,"・","")&amp;"5年見直し","")&amp;IF(AND(A426=入力!$B$11,A426&gt;1),IF(OR(A426=入力!$B$15+1,AND(入力!$B$13="有効",A426&gt;1,MOD(A426-1,60)=0)),"・","")&amp;"金利変更","")&amp;IF(AND(OR(AND(入力!$B$13="有効",A426&gt;1,MOD(A426-1,60)=0),AND(A426=入力!$B$11,A426&gt;1)),入力!$B$14="有効",IF(E426=0,ROUND(C426/MAX(1,S425-A426+1),0),ROUND(-PMT(E426/12,MAX(1,S425-A426+1),C426),0))&gt;ROUND(G425*1.25,0),NOT(A426=入力!$B$15+1)),"・上限適用",""))</f>
        <v/>
      </c>
      <c r="Q426" s="35" t="str">
        <f>IF(AND(T425="",A426&lt;=S425),入力!$B$13,"")</f>
        <v/>
      </c>
      <c r="R426" s="32" t="str">
        <f>IF(AND(AND(T425="",A426&lt;=S425),OR(AND(入力!$B$13="有効",A426&gt;1,MOD(A426-1,60)=0),AND(A426=入力!$B$11,A426&gt;1)),入力!$B$14="有効"),ROUND(G425*1.25,0),"")</f>
        <v/>
      </c>
      <c r="S426" s="36">
        <f>IF(A426=入力!$B$15,A426+入力!$B$19,S425)</f>
        <v>360</v>
      </c>
      <c r="T426" s="35" t="str">
        <f t="shared" si="111"/>
        <v/>
      </c>
      <c r="U426" s="3">
        <f t="shared" si="96"/>
        <v>0</v>
      </c>
      <c r="V426" s="3">
        <f t="shared" si="97"/>
        <v>0</v>
      </c>
      <c r="W426" s="3">
        <f t="shared" si="98"/>
        <v>0</v>
      </c>
      <c r="X426" s="3">
        <f t="shared" si="99"/>
        <v>0</v>
      </c>
      <c r="Y426" s="3">
        <f>IF(A426&lt;入力!$B$15,ABS(G426-何もしない_月次!G426),0)</f>
        <v>0</v>
      </c>
      <c r="Z426" s="3">
        <f t="shared" si="100"/>
        <v>0</v>
      </c>
      <c r="AA426">
        <f>ROUND(IF(A426=入力!$B$15+1,IF(E426=0,ROUND(C426/入力!$B$19,0),ROUND(-PMT(E426/12,入力!$B$19,C426),0)),IF(OR(AND(入力!$B$13="有効",A426&gt;1,MOD(A426-1,60)=0),AND(A426=入力!$B$11,A426&gt;1)),IF(入力!$B$14="有効",MIN(IF(E426=0,ROUND(C426/MAX(1,S425-A426+1),0),ROUND(-PMT(E426/12,MAX(1,S425-A426+1),C426),0)),ROUND(G425*1.25,0)),IF(E426=0,ROUND(C426/MAX(1,S425-A426+1),0),ROUND(-PMT(E426/12,MAX(1,S425-A426+1),C426),0))),G425)),0)</f>
        <v>0</v>
      </c>
    </row>
    <row r="427" spans="1:27">
      <c r="A427" s="30">
        <f>422</f>
        <v>422</v>
      </c>
      <c r="B427" s="31">
        <f>EDATE(入力!$B$6,A427-1)</f>
        <v>59050</v>
      </c>
      <c r="C427" s="32">
        <f t="shared" si="101"/>
        <v>0</v>
      </c>
      <c r="D427" s="32">
        <f t="shared" si="102"/>
        <v>0</v>
      </c>
      <c r="E427" s="33">
        <f>IF(AND(T426="",A427&lt;=S426),IF(A427&lt;入力!$B$11,入力!$B$10,入力!$B$12),0)</f>
        <v>0</v>
      </c>
      <c r="F427" s="32">
        <f t="shared" si="103"/>
        <v>0</v>
      </c>
      <c r="G427" s="32">
        <f>ROUND(IF(NOT(AND(T426="",A427&lt;=S426)),0,IF(A427=入力!$B$15+1,IF(E427=0,ROUND(C427/入力!$B$19,0),ROUND(-PMT(E427/12,入力!$B$19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),0)</f>
        <v>0</v>
      </c>
      <c r="H427" s="32">
        <f t="shared" si="104"/>
        <v>0</v>
      </c>
      <c r="I427" s="32">
        <f t="shared" si="105"/>
        <v>0</v>
      </c>
      <c r="J427" s="32">
        <f t="shared" si="106"/>
        <v>0</v>
      </c>
      <c r="K427" s="32">
        <f t="shared" si="107"/>
        <v>0</v>
      </c>
      <c r="L427" s="32">
        <f t="shared" si="108"/>
        <v>0</v>
      </c>
      <c r="M427" s="32">
        <f>IF(AND(AND(T426="",A427&lt;=S426),A427=入力!$B$15),ROUND(MIN(入力!$B$16,MAX(0,C427-L427)),0),0)</f>
        <v>0</v>
      </c>
      <c r="N427" s="32">
        <f t="shared" si="109"/>
        <v>0</v>
      </c>
      <c r="O427" s="32">
        <f t="shared" si="110"/>
        <v>10751874</v>
      </c>
      <c r="P427" s="34" t="str">
        <f>IF(NOT(AND(T426="",A427&lt;=S426)),"",IF(A427=入力!$B$15+1,"繰上返済後再計算","")&amp;IF(AND(入力!$B$13="有効",A427&gt;1,MOD(A427-1,60)=0),IF(A427=入力!$B$15+1,"・","")&amp;"5年見直し","")&amp;IF(AND(A427=入力!$B$11,A427&gt;1),IF(OR(A427=入力!$B$15+1,AND(入力!$B$13="有効",A427&gt;1,MOD(A427-1,60)=0)),"・","")&amp;"金利変更","")&amp;IF(AND(OR(AND(入力!$B$13="有効",A427&gt;1,MOD(A427-1,60)=0),AND(A427=入力!$B$11,A427&gt;1)),入力!$B$14="有効",IF(E427=0,ROUND(C427/MAX(1,S426-A427+1),0),ROUND(-PMT(E427/12,MAX(1,S426-A427+1),C427),0))&gt;ROUND(G426*1.25,0),NOT(A427=入力!$B$15+1)),"・上限適用",""))</f>
        <v/>
      </c>
      <c r="Q427" s="35" t="str">
        <f>IF(AND(T426="",A427&lt;=S426),入力!$B$13,"")</f>
        <v/>
      </c>
      <c r="R427" s="32" t="str">
        <f>IF(AND(AND(T426="",A427&lt;=S426),OR(AND(入力!$B$13="有効",A427&gt;1,MOD(A427-1,60)=0),AND(A427=入力!$B$11,A427&gt;1)),入力!$B$14="有効"),ROUND(G426*1.25,0),"")</f>
        <v/>
      </c>
      <c r="S427" s="36">
        <f>IF(A427=入力!$B$15,A427+入力!$B$19,S426)</f>
        <v>360</v>
      </c>
      <c r="T427" s="35" t="str">
        <f t="shared" si="111"/>
        <v/>
      </c>
      <c r="U427" s="3">
        <f t="shared" si="96"/>
        <v>0</v>
      </c>
      <c r="V427" s="3">
        <f t="shared" si="97"/>
        <v>0</v>
      </c>
      <c r="W427" s="3">
        <f t="shared" si="98"/>
        <v>0</v>
      </c>
      <c r="X427" s="3">
        <f t="shared" si="99"/>
        <v>0</v>
      </c>
      <c r="Y427" s="3">
        <f>IF(A427&lt;入力!$B$15,ABS(G427-何もしない_月次!G427),0)</f>
        <v>0</v>
      </c>
      <c r="Z427" s="3">
        <f t="shared" si="100"/>
        <v>0</v>
      </c>
      <c r="AA427">
        <f>ROUND(IF(A427=入力!$B$15+1,IF(E427=0,ROUND(C427/入力!$B$19,0),ROUND(-PMT(E427/12,入力!$B$19,C427),0)),IF(OR(AND(入力!$B$13="有効",A427&gt;1,MOD(A427-1,60)=0),AND(A427=入力!$B$11,A427&gt;1)),IF(入力!$B$14="有効",MIN(IF(E427=0,ROUND(C427/MAX(1,S426-A427+1),0),ROUND(-PMT(E427/12,MAX(1,S426-A427+1),C427),0)),ROUND(G426*1.25,0)),IF(E427=0,ROUND(C427/MAX(1,S426-A427+1),0),ROUND(-PMT(E427/12,MAX(1,S426-A427+1),C427),0))),G426)),0)</f>
        <v>0</v>
      </c>
    </row>
    <row r="428" spans="1:27">
      <c r="A428" s="30">
        <f>423</f>
        <v>423</v>
      </c>
      <c r="B428" s="31">
        <f>EDATE(入力!$B$6,A428-1)</f>
        <v>59080</v>
      </c>
      <c r="C428" s="32">
        <f t="shared" si="101"/>
        <v>0</v>
      </c>
      <c r="D428" s="32">
        <f t="shared" si="102"/>
        <v>0</v>
      </c>
      <c r="E428" s="33">
        <f>IF(AND(T427="",A428&lt;=S427),IF(A428&lt;入力!$B$11,入力!$B$10,入力!$B$12),0)</f>
        <v>0</v>
      </c>
      <c r="F428" s="32">
        <f t="shared" si="103"/>
        <v>0</v>
      </c>
      <c r="G428" s="32">
        <f>ROUND(IF(NOT(AND(T427="",A428&lt;=S427)),0,IF(A428=入力!$B$15+1,IF(E428=0,ROUND(C428/入力!$B$19,0),ROUND(-PMT(E428/12,入力!$B$19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),0)</f>
        <v>0</v>
      </c>
      <c r="H428" s="32">
        <f t="shared" si="104"/>
        <v>0</v>
      </c>
      <c r="I428" s="32">
        <f t="shared" si="105"/>
        <v>0</v>
      </c>
      <c r="J428" s="32">
        <f t="shared" si="106"/>
        <v>0</v>
      </c>
      <c r="K428" s="32">
        <f t="shared" si="107"/>
        <v>0</v>
      </c>
      <c r="L428" s="32">
        <f t="shared" si="108"/>
        <v>0</v>
      </c>
      <c r="M428" s="32">
        <f>IF(AND(AND(T427="",A428&lt;=S427),A428=入力!$B$15),ROUND(MIN(入力!$B$16,MAX(0,C428-L428)),0),0)</f>
        <v>0</v>
      </c>
      <c r="N428" s="32">
        <f t="shared" si="109"/>
        <v>0</v>
      </c>
      <c r="O428" s="32">
        <f t="shared" si="110"/>
        <v>10751874</v>
      </c>
      <c r="P428" s="34" t="str">
        <f>IF(NOT(AND(T427="",A428&lt;=S427)),"",IF(A428=入力!$B$15+1,"繰上返済後再計算","")&amp;IF(AND(入力!$B$13="有効",A428&gt;1,MOD(A428-1,60)=0),IF(A428=入力!$B$15+1,"・","")&amp;"5年見直し","")&amp;IF(AND(A428=入力!$B$11,A428&gt;1),IF(OR(A428=入力!$B$15+1,AND(入力!$B$13="有効",A428&gt;1,MOD(A428-1,60)=0)),"・","")&amp;"金利変更","")&amp;IF(AND(OR(AND(入力!$B$13="有効",A428&gt;1,MOD(A428-1,60)=0),AND(A428=入力!$B$11,A428&gt;1)),入力!$B$14="有効",IF(E428=0,ROUND(C428/MAX(1,S427-A428+1),0),ROUND(-PMT(E428/12,MAX(1,S427-A428+1),C428),0))&gt;ROUND(G427*1.25,0),NOT(A428=入力!$B$15+1)),"・上限適用",""))</f>
        <v/>
      </c>
      <c r="Q428" s="35" t="str">
        <f>IF(AND(T427="",A428&lt;=S427),入力!$B$13,"")</f>
        <v/>
      </c>
      <c r="R428" s="32" t="str">
        <f>IF(AND(AND(T427="",A428&lt;=S427),OR(AND(入力!$B$13="有効",A428&gt;1,MOD(A428-1,60)=0),AND(A428=入力!$B$11,A428&gt;1)),入力!$B$14="有効"),ROUND(G427*1.25,0),"")</f>
        <v/>
      </c>
      <c r="S428" s="36">
        <f>IF(A428=入力!$B$15,A428+入力!$B$19,S427)</f>
        <v>360</v>
      </c>
      <c r="T428" s="35" t="str">
        <f t="shared" si="111"/>
        <v/>
      </c>
      <c r="U428" s="3">
        <f t="shared" si="96"/>
        <v>0</v>
      </c>
      <c r="V428" s="3">
        <f t="shared" si="97"/>
        <v>0</v>
      </c>
      <c r="W428" s="3">
        <f t="shared" si="98"/>
        <v>0</v>
      </c>
      <c r="X428" s="3">
        <f t="shared" si="99"/>
        <v>0</v>
      </c>
      <c r="Y428" s="3">
        <f>IF(A428&lt;入力!$B$15,ABS(G428-何もしない_月次!G428),0)</f>
        <v>0</v>
      </c>
      <c r="Z428" s="3">
        <f t="shared" si="100"/>
        <v>0</v>
      </c>
      <c r="AA428">
        <f>ROUND(IF(A428=入力!$B$15+1,IF(E428=0,ROUND(C428/入力!$B$19,0),ROUND(-PMT(E428/12,入力!$B$19,C428),0)),IF(OR(AND(入力!$B$13="有効",A428&gt;1,MOD(A428-1,60)=0),AND(A428=入力!$B$11,A428&gt;1)),IF(入力!$B$14="有効",MIN(IF(E428=0,ROUND(C428/MAX(1,S427-A428+1),0),ROUND(-PMT(E428/12,MAX(1,S427-A428+1),C428),0)),ROUND(G427*1.25,0)),IF(E428=0,ROUND(C428/MAX(1,S427-A428+1),0),ROUND(-PMT(E428/12,MAX(1,S427-A428+1),C428),0))),G427)),0)</f>
        <v>0</v>
      </c>
    </row>
    <row r="429" spans="1:27">
      <c r="A429" s="30">
        <f>424</f>
        <v>424</v>
      </c>
      <c r="B429" s="31">
        <f>EDATE(入力!$B$6,A429-1)</f>
        <v>59111</v>
      </c>
      <c r="C429" s="32">
        <f t="shared" si="101"/>
        <v>0</v>
      </c>
      <c r="D429" s="32">
        <f t="shared" si="102"/>
        <v>0</v>
      </c>
      <c r="E429" s="33">
        <f>IF(AND(T428="",A429&lt;=S428),IF(A429&lt;入力!$B$11,入力!$B$10,入力!$B$12),0)</f>
        <v>0</v>
      </c>
      <c r="F429" s="32">
        <f t="shared" si="103"/>
        <v>0</v>
      </c>
      <c r="G429" s="32">
        <f>ROUND(IF(NOT(AND(T428="",A429&lt;=S428)),0,IF(A429=入力!$B$15+1,IF(E429=0,ROUND(C429/入力!$B$19,0),ROUND(-PMT(E429/12,入力!$B$19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),0)</f>
        <v>0</v>
      </c>
      <c r="H429" s="32">
        <f t="shared" si="104"/>
        <v>0</v>
      </c>
      <c r="I429" s="32">
        <f t="shared" si="105"/>
        <v>0</v>
      </c>
      <c r="J429" s="32">
        <f t="shared" si="106"/>
        <v>0</v>
      </c>
      <c r="K429" s="32">
        <f t="shared" si="107"/>
        <v>0</v>
      </c>
      <c r="L429" s="32">
        <f t="shared" si="108"/>
        <v>0</v>
      </c>
      <c r="M429" s="32">
        <f>IF(AND(AND(T428="",A429&lt;=S428),A429=入力!$B$15),ROUND(MIN(入力!$B$16,MAX(0,C429-L429)),0),0)</f>
        <v>0</v>
      </c>
      <c r="N429" s="32">
        <f t="shared" si="109"/>
        <v>0</v>
      </c>
      <c r="O429" s="32">
        <f t="shared" si="110"/>
        <v>10751874</v>
      </c>
      <c r="P429" s="34" t="str">
        <f>IF(NOT(AND(T428="",A429&lt;=S428)),"",IF(A429=入力!$B$15+1,"繰上返済後再計算","")&amp;IF(AND(入力!$B$13="有効",A429&gt;1,MOD(A429-1,60)=0),IF(A429=入力!$B$15+1,"・","")&amp;"5年見直し","")&amp;IF(AND(A429=入力!$B$11,A429&gt;1),IF(OR(A429=入力!$B$15+1,AND(入力!$B$13="有効",A429&gt;1,MOD(A429-1,60)=0)),"・","")&amp;"金利変更","")&amp;IF(AND(OR(AND(入力!$B$13="有効",A429&gt;1,MOD(A429-1,60)=0),AND(A429=入力!$B$11,A429&gt;1)),入力!$B$14="有効",IF(E429=0,ROUND(C429/MAX(1,S428-A429+1),0),ROUND(-PMT(E429/12,MAX(1,S428-A429+1),C429),0))&gt;ROUND(G428*1.25,0),NOT(A429=入力!$B$15+1)),"・上限適用",""))</f>
        <v/>
      </c>
      <c r="Q429" s="35" t="str">
        <f>IF(AND(T428="",A429&lt;=S428),入力!$B$13,"")</f>
        <v/>
      </c>
      <c r="R429" s="32" t="str">
        <f>IF(AND(AND(T428="",A429&lt;=S428),OR(AND(入力!$B$13="有効",A429&gt;1,MOD(A429-1,60)=0),AND(A429=入力!$B$11,A429&gt;1)),入力!$B$14="有効"),ROUND(G428*1.25,0),"")</f>
        <v/>
      </c>
      <c r="S429" s="36">
        <f>IF(A429=入力!$B$15,A429+入力!$B$19,S428)</f>
        <v>360</v>
      </c>
      <c r="T429" s="35" t="str">
        <f t="shared" si="111"/>
        <v/>
      </c>
      <c r="U429" s="3">
        <f t="shared" si="96"/>
        <v>0</v>
      </c>
      <c r="V429" s="3">
        <f t="shared" si="97"/>
        <v>0</v>
      </c>
      <c r="W429" s="3">
        <f t="shared" si="98"/>
        <v>0</v>
      </c>
      <c r="X429" s="3">
        <f t="shared" si="99"/>
        <v>0</v>
      </c>
      <c r="Y429" s="3">
        <f>IF(A429&lt;入力!$B$15,ABS(G429-何もしない_月次!G429),0)</f>
        <v>0</v>
      </c>
      <c r="Z429" s="3">
        <f t="shared" si="100"/>
        <v>0</v>
      </c>
      <c r="AA429">
        <f>ROUND(IF(A429=入力!$B$15+1,IF(E429=0,ROUND(C429/入力!$B$19,0),ROUND(-PMT(E429/12,入力!$B$19,C429),0)),IF(OR(AND(入力!$B$13="有効",A429&gt;1,MOD(A429-1,60)=0),AND(A429=入力!$B$11,A429&gt;1)),IF(入力!$B$14="有効",MIN(IF(E429=0,ROUND(C429/MAX(1,S428-A429+1),0),ROUND(-PMT(E429/12,MAX(1,S428-A429+1),C429),0)),ROUND(G428*1.25,0)),IF(E429=0,ROUND(C429/MAX(1,S428-A429+1),0),ROUND(-PMT(E429/12,MAX(1,S428-A429+1),C429),0))),G428)),0)</f>
        <v>0</v>
      </c>
    </row>
    <row r="430" spans="1:27">
      <c r="A430" s="30">
        <f>425</f>
        <v>425</v>
      </c>
      <c r="B430" s="31">
        <f>EDATE(入力!$B$6,A430-1)</f>
        <v>59141</v>
      </c>
      <c r="C430" s="32">
        <f t="shared" si="101"/>
        <v>0</v>
      </c>
      <c r="D430" s="32">
        <f t="shared" si="102"/>
        <v>0</v>
      </c>
      <c r="E430" s="33">
        <f>IF(AND(T429="",A430&lt;=S429),IF(A430&lt;入力!$B$11,入力!$B$10,入力!$B$12),0)</f>
        <v>0</v>
      </c>
      <c r="F430" s="32">
        <f t="shared" si="103"/>
        <v>0</v>
      </c>
      <c r="G430" s="32">
        <f>ROUND(IF(NOT(AND(T429="",A430&lt;=S429)),0,IF(A430=入力!$B$15+1,IF(E430=0,ROUND(C430/入力!$B$19,0),ROUND(-PMT(E430/12,入力!$B$19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),0)</f>
        <v>0</v>
      </c>
      <c r="H430" s="32">
        <f t="shared" si="104"/>
        <v>0</v>
      </c>
      <c r="I430" s="32">
        <f t="shared" si="105"/>
        <v>0</v>
      </c>
      <c r="J430" s="32">
        <f t="shared" si="106"/>
        <v>0</v>
      </c>
      <c r="K430" s="32">
        <f t="shared" si="107"/>
        <v>0</v>
      </c>
      <c r="L430" s="32">
        <f t="shared" si="108"/>
        <v>0</v>
      </c>
      <c r="M430" s="32">
        <f>IF(AND(AND(T429="",A430&lt;=S429),A430=入力!$B$15),ROUND(MIN(入力!$B$16,MAX(0,C430-L430)),0),0)</f>
        <v>0</v>
      </c>
      <c r="N430" s="32">
        <f t="shared" si="109"/>
        <v>0</v>
      </c>
      <c r="O430" s="32">
        <f t="shared" si="110"/>
        <v>10751874</v>
      </c>
      <c r="P430" s="34" t="str">
        <f>IF(NOT(AND(T429="",A430&lt;=S429)),"",IF(A430=入力!$B$15+1,"繰上返済後再計算","")&amp;IF(AND(入力!$B$13="有効",A430&gt;1,MOD(A430-1,60)=0),IF(A430=入力!$B$15+1,"・","")&amp;"5年見直し","")&amp;IF(AND(A430=入力!$B$11,A430&gt;1),IF(OR(A430=入力!$B$15+1,AND(入力!$B$13="有効",A430&gt;1,MOD(A430-1,60)=0)),"・","")&amp;"金利変更","")&amp;IF(AND(OR(AND(入力!$B$13="有効",A430&gt;1,MOD(A430-1,60)=0),AND(A430=入力!$B$11,A430&gt;1)),入力!$B$14="有効",IF(E430=0,ROUND(C430/MAX(1,S429-A430+1),0),ROUND(-PMT(E430/12,MAX(1,S429-A430+1),C430),0))&gt;ROUND(G429*1.25,0),NOT(A430=入力!$B$15+1)),"・上限適用",""))</f>
        <v/>
      </c>
      <c r="Q430" s="35" t="str">
        <f>IF(AND(T429="",A430&lt;=S429),入力!$B$13,"")</f>
        <v/>
      </c>
      <c r="R430" s="32" t="str">
        <f>IF(AND(AND(T429="",A430&lt;=S429),OR(AND(入力!$B$13="有効",A430&gt;1,MOD(A430-1,60)=0),AND(A430=入力!$B$11,A430&gt;1)),入力!$B$14="有効"),ROUND(G429*1.25,0),"")</f>
        <v/>
      </c>
      <c r="S430" s="36">
        <f>IF(A430=入力!$B$15,A430+入力!$B$19,S429)</f>
        <v>360</v>
      </c>
      <c r="T430" s="35" t="str">
        <f t="shared" si="111"/>
        <v/>
      </c>
      <c r="U430" s="3">
        <f t="shared" si="96"/>
        <v>0</v>
      </c>
      <c r="V430" s="3">
        <f t="shared" si="97"/>
        <v>0</v>
      </c>
      <c r="W430" s="3">
        <f t="shared" si="98"/>
        <v>0</v>
      </c>
      <c r="X430" s="3">
        <f t="shared" si="99"/>
        <v>0</v>
      </c>
      <c r="Y430" s="3">
        <f>IF(A430&lt;入力!$B$15,ABS(G430-何もしない_月次!G430),0)</f>
        <v>0</v>
      </c>
      <c r="Z430" s="3">
        <f t="shared" si="100"/>
        <v>0</v>
      </c>
      <c r="AA430">
        <f>ROUND(IF(A430=入力!$B$15+1,IF(E430=0,ROUND(C430/入力!$B$19,0),ROUND(-PMT(E430/12,入力!$B$19,C430),0)),IF(OR(AND(入力!$B$13="有効",A430&gt;1,MOD(A430-1,60)=0),AND(A430=入力!$B$11,A430&gt;1)),IF(入力!$B$14="有効",MIN(IF(E430=0,ROUND(C430/MAX(1,S429-A430+1),0),ROUND(-PMT(E430/12,MAX(1,S429-A430+1),C430),0)),ROUND(G429*1.25,0)),IF(E430=0,ROUND(C430/MAX(1,S429-A430+1),0),ROUND(-PMT(E430/12,MAX(1,S429-A430+1),C430),0))),G429)),0)</f>
        <v>0</v>
      </c>
    </row>
    <row r="431" spans="1:27">
      <c r="A431" s="30">
        <f>426</f>
        <v>426</v>
      </c>
      <c r="B431" s="31">
        <f>EDATE(入力!$B$6,A431-1)</f>
        <v>59172</v>
      </c>
      <c r="C431" s="32">
        <f t="shared" si="101"/>
        <v>0</v>
      </c>
      <c r="D431" s="32">
        <f t="shared" si="102"/>
        <v>0</v>
      </c>
      <c r="E431" s="33">
        <f>IF(AND(T430="",A431&lt;=S430),IF(A431&lt;入力!$B$11,入力!$B$10,入力!$B$12),0)</f>
        <v>0</v>
      </c>
      <c r="F431" s="32">
        <f t="shared" si="103"/>
        <v>0</v>
      </c>
      <c r="G431" s="32">
        <f>ROUND(IF(NOT(AND(T430="",A431&lt;=S430)),0,IF(A431=入力!$B$15+1,IF(E431=0,ROUND(C431/入力!$B$19,0),ROUND(-PMT(E431/12,入力!$B$19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),0)</f>
        <v>0</v>
      </c>
      <c r="H431" s="32">
        <f t="shared" si="104"/>
        <v>0</v>
      </c>
      <c r="I431" s="32">
        <f t="shared" si="105"/>
        <v>0</v>
      </c>
      <c r="J431" s="32">
        <f t="shared" si="106"/>
        <v>0</v>
      </c>
      <c r="K431" s="32">
        <f t="shared" si="107"/>
        <v>0</v>
      </c>
      <c r="L431" s="32">
        <f t="shared" si="108"/>
        <v>0</v>
      </c>
      <c r="M431" s="32">
        <f>IF(AND(AND(T430="",A431&lt;=S430),A431=入力!$B$15),ROUND(MIN(入力!$B$16,MAX(0,C431-L431)),0),0)</f>
        <v>0</v>
      </c>
      <c r="N431" s="32">
        <f t="shared" si="109"/>
        <v>0</v>
      </c>
      <c r="O431" s="32">
        <f t="shared" si="110"/>
        <v>10751874</v>
      </c>
      <c r="P431" s="34" t="str">
        <f>IF(NOT(AND(T430="",A431&lt;=S430)),"",IF(A431=入力!$B$15+1,"繰上返済後再計算","")&amp;IF(AND(入力!$B$13="有効",A431&gt;1,MOD(A431-1,60)=0),IF(A431=入力!$B$15+1,"・","")&amp;"5年見直し","")&amp;IF(AND(A431=入力!$B$11,A431&gt;1),IF(OR(A431=入力!$B$15+1,AND(入力!$B$13="有効",A431&gt;1,MOD(A431-1,60)=0)),"・","")&amp;"金利変更","")&amp;IF(AND(OR(AND(入力!$B$13="有効",A431&gt;1,MOD(A431-1,60)=0),AND(A431=入力!$B$11,A431&gt;1)),入力!$B$14="有効",IF(E431=0,ROUND(C431/MAX(1,S430-A431+1),0),ROUND(-PMT(E431/12,MAX(1,S430-A431+1),C431),0))&gt;ROUND(G430*1.25,0),NOT(A431=入力!$B$15+1)),"・上限適用",""))</f>
        <v/>
      </c>
      <c r="Q431" s="35" t="str">
        <f>IF(AND(T430="",A431&lt;=S430),入力!$B$13,"")</f>
        <v/>
      </c>
      <c r="R431" s="32" t="str">
        <f>IF(AND(AND(T430="",A431&lt;=S430),OR(AND(入力!$B$13="有効",A431&gt;1,MOD(A431-1,60)=0),AND(A431=入力!$B$11,A431&gt;1)),入力!$B$14="有効"),ROUND(G430*1.25,0),"")</f>
        <v/>
      </c>
      <c r="S431" s="36">
        <f>IF(A431=入力!$B$15,A431+入力!$B$19,S430)</f>
        <v>360</v>
      </c>
      <c r="T431" s="35" t="str">
        <f t="shared" si="111"/>
        <v/>
      </c>
      <c r="U431" s="3">
        <f t="shared" si="96"/>
        <v>0</v>
      </c>
      <c r="V431" s="3">
        <f t="shared" si="97"/>
        <v>0</v>
      </c>
      <c r="W431" s="3">
        <f t="shared" si="98"/>
        <v>0</v>
      </c>
      <c r="X431" s="3">
        <f t="shared" si="99"/>
        <v>0</v>
      </c>
      <c r="Y431" s="3">
        <f>IF(A431&lt;入力!$B$15,ABS(G431-何もしない_月次!G431),0)</f>
        <v>0</v>
      </c>
      <c r="Z431" s="3">
        <f t="shared" si="100"/>
        <v>0</v>
      </c>
      <c r="AA431">
        <f>ROUND(IF(A431=入力!$B$15+1,IF(E431=0,ROUND(C431/入力!$B$19,0),ROUND(-PMT(E431/12,入力!$B$19,C431),0)),IF(OR(AND(入力!$B$13="有効",A431&gt;1,MOD(A431-1,60)=0),AND(A431=入力!$B$11,A431&gt;1)),IF(入力!$B$14="有効",MIN(IF(E431=0,ROUND(C431/MAX(1,S430-A431+1),0),ROUND(-PMT(E431/12,MAX(1,S430-A431+1),C431),0)),ROUND(G430*1.25,0)),IF(E431=0,ROUND(C431/MAX(1,S430-A431+1),0),ROUND(-PMT(E431/12,MAX(1,S430-A431+1),C431),0))),G430)),0)</f>
        <v>0</v>
      </c>
    </row>
    <row r="432" spans="1:27">
      <c r="A432" s="30">
        <f>427</f>
        <v>427</v>
      </c>
      <c r="B432" s="31">
        <f>EDATE(入力!$B$6,A432-1)</f>
        <v>59203</v>
      </c>
      <c r="C432" s="32">
        <f t="shared" si="101"/>
        <v>0</v>
      </c>
      <c r="D432" s="32">
        <f t="shared" si="102"/>
        <v>0</v>
      </c>
      <c r="E432" s="33">
        <f>IF(AND(T431="",A432&lt;=S431),IF(A432&lt;入力!$B$11,入力!$B$10,入力!$B$12),0)</f>
        <v>0</v>
      </c>
      <c r="F432" s="32">
        <f t="shared" si="103"/>
        <v>0</v>
      </c>
      <c r="G432" s="32">
        <f>ROUND(IF(NOT(AND(T431="",A432&lt;=S431)),0,IF(A432=入力!$B$15+1,IF(E432=0,ROUND(C432/入力!$B$19,0),ROUND(-PMT(E432/12,入力!$B$19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),0)</f>
        <v>0</v>
      </c>
      <c r="H432" s="32">
        <f t="shared" si="104"/>
        <v>0</v>
      </c>
      <c r="I432" s="32">
        <f t="shared" si="105"/>
        <v>0</v>
      </c>
      <c r="J432" s="32">
        <f t="shared" si="106"/>
        <v>0</v>
      </c>
      <c r="K432" s="32">
        <f t="shared" si="107"/>
        <v>0</v>
      </c>
      <c r="L432" s="32">
        <f t="shared" si="108"/>
        <v>0</v>
      </c>
      <c r="M432" s="32">
        <f>IF(AND(AND(T431="",A432&lt;=S431),A432=入力!$B$15),ROUND(MIN(入力!$B$16,MAX(0,C432-L432)),0),0)</f>
        <v>0</v>
      </c>
      <c r="N432" s="32">
        <f t="shared" si="109"/>
        <v>0</v>
      </c>
      <c r="O432" s="32">
        <f t="shared" si="110"/>
        <v>10751874</v>
      </c>
      <c r="P432" s="34" t="str">
        <f>IF(NOT(AND(T431="",A432&lt;=S431)),"",IF(A432=入力!$B$15+1,"繰上返済後再計算","")&amp;IF(AND(入力!$B$13="有効",A432&gt;1,MOD(A432-1,60)=0),IF(A432=入力!$B$15+1,"・","")&amp;"5年見直し","")&amp;IF(AND(A432=入力!$B$11,A432&gt;1),IF(OR(A432=入力!$B$15+1,AND(入力!$B$13="有効",A432&gt;1,MOD(A432-1,60)=0)),"・","")&amp;"金利変更","")&amp;IF(AND(OR(AND(入力!$B$13="有効",A432&gt;1,MOD(A432-1,60)=0),AND(A432=入力!$B$11,A432&gt;1)),入力!$B$14="有効",IF(E432=0,ROUND(C432/MAX(1,S431-A432+1),0),ROUND(-PMT(E432/12,MAX(1,S431-A432+1),C432),0))&gt;ROUND(G431*1.25,0),NOT(A432=入力!$B$15+1)),"・上限適用",""))</f>
        <v/>
      </c>
      <c r="Q432" s="35" t="str">
        <f>IF(AND(T431="",A432&lt;=S431),入力!$B$13,"")</f>
        <v/>
      </c>
      <c r="R432" s="32" t="str">
        <f>IF(AND(AND(T431="",A432&lt;=S431),OR(AND(入力!$B$13="有効",A432&gt;1,MOD(A432-1,60)=0),AND(A432=入力!$B$11,A432&gt;1)),入力!$B$14="有効"),ROUND(G431*1.25,0),"")</f>
        <v/>
      </c>
      <c r="S432" s="36">
        <f>IF(A432=入力!$B$15,A432+入力!$B$19,S431)</f>
        <v>360</v>
      </c>
      <c r="T432" s="35" t="str">
        <f t="shared" si="111"/>
        <v/>
      </c>
      <c r="U432" s="3">
        <f t="shared" si="96"/>
        <v>0</v>
      </c>
      <c r="V432" s="3">
        <f t="shared" si="97"/>
        <v>0</v>
      </c>
      <c r="W432" s="3">
        <f t="shared" si="98"/>
        <v>0</v>
      </c>
      <c r="X432" s="3">
        <f t="shared" si="99"/>
        <v>0</v>
      </c>
      <c r="Y432" s="3">
        <f>IF(A432&lt;入力!$B$15,ABS(G432-何もしない_月次!G432),0)</f>
        <v>0</v>
      </c>
      <c r="Z432" s="3">
        <f t="shared" si="100"/>
        <v>0</v>
      </c>
      <c r="AA432">
        <f>ROUND(IF(A432=入力!$B$15+1,IF(E432=0,ROUND(C432/入力!$B$19,0),ROUND(-PMT(E432/12,入力!$B$19,C432),0)),IF(OR(AND(入力!$B$13="有効",A432&gt;1,MOD(A432-1,60)=0),AND(A432=入力!$B$11,A432&gt;1)),IF(入力!$B$14="有効",MIN(IF(E432=0,ROUND(C432/MAX(1,S431-A432+1),0),ROUND(-PMT(E432/12,MAX(1,S431-A432+1),C432),0)),ROUND(G431*1.25,0)),IF(E432=0,ROUND(C432/MAX(1,S431-A432+1),0),ROUND(-PMT(E432/12,MAX(1,S431-A432+1),C432),0))),G431)),0)</f>
        <v>0</v>
      </c>
    </row>
    <row r="433" spans="1:27">
      <c r="A433" s="30">
        <f>428</f>
        <v>428</v>
      </c>
      <c r="B433" s="31">
        <f>EDATE(入力!$B$6,A433-1)</f>
        <v>59231</v>
      </c>
      <c r="C433" s="32">
        <f t="shared" si="101"/>
        <v>0</v>
      </c>
      <c r="D433" s="32">
        <f t="shared" si="102"/>
        <v>0</v>
      </c>
      <c r="E433" s="33">
        <f>IF(AND(T432="",A433&lt;=S432),IF(A433&lt;入力!$B$11,入力!$B$10,入力!$B$12),0)</f>
        <v>0</v>
      </c>
      <c r="F433" s="32">
        <f t="shared" si="103"/>
        <v>0</v>
      </c>
      <c r="G433" s="32">
        <f>ROUND(IF(NOT(AND(T432="",A433&lt;=S432)),0,IF(A433=入力!$B$15+1,IF(E433=0,ROUND(C433/入力!$B$19,0),ROUND(-PMT(E433/12,入力!$B$19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),0)</f>
        <v>0</v>
      </c>
      <c r="H433" s="32">
        <f t="shared" si="104"/>
        <v>0</v>
      </c>
      <c r="I433" s="32">
        <f t="shared" si="105"/>
        <v>0</v>
      </c>
      <c r="J433" s="32">
        <f t="shared" si="106"/>
        <v>0</v>
      </c>
      <c r="K433" s="32">
        <f t="shared" si="107"/>
        <v>0</v>
      </c>
      <c r="L433" s="32">
        <f t="shared" si="108"/>
        <v>0</v>
      </c>
      <c r="M433" s="32">
        <f>IF(AND(AND(T432="",A433&lt;=S432),A433=入力!$B$15),ROUND(MIN(入力!$B$16,MAX(0,C433-L433)),0),0)</f>
        <v>0</v>
      </c>
      <c r="N433" s="32">
        <f t="shared" si="109"/>
        <v>0</v>
      </c>
      <c r="O433" s="32">
        <f t="shared" si="110"/>
        <v>10751874</v>
      </c>
      <c r="P433" s="34" t="str">
        <f>IF(NOT(AND(T432="",A433&lt;=S432)),"",IF(A433=入力!$B$15+1,"繰上返済後再計算","")&amp;IF(AND(入力!$B$13="有効",A433&gt;1,MOD(A433-1,60)=0),IF(A433=入力!$B$15+1,"・","")&amp;"5年見直し","")&amp;IF(AND(A433=入力!$B$11,A433&gt;1),IF(OR(A433=入力!$B$15+1,AND(入力!$B$13="有効",A433&gt;1,MOD(A433-1,60)=0)),"・","")&amp;"金利変更","")&amp;IF(AND(OR(AND(入力!$B$13="有効",A433&gt;1,MOD(A433-1,60)=0),AND(A433=入力!$B$11,A433&gt;1)),入力!$B$14="有効",IF(E433=0,ROUND(C433/MAX(1,S432-A433+1),0),ROUND(-PMT(E433/12,MAX(1,S432-A433+1),C433),0))&gt;ROUND(G432*1.25,0),NOT(A433=入力!$B$15+1)),"・上限適用",""))</f>
        <v/>
      </c>
      <c r="Q433" s="35" t="str">
        <f>IF(AND(T432="",A433&lt;=S432),入力!$B$13,"")</f>
        <v/>
      </c>
      <c r="R433" s="32" t="str">
        <f>IF(AND(AND(T432="",A433&lt;=S432),OR(AND(入力!$B$13="有効",A433&gt;1,MOD(A433-1,60)=0),AND(A433=入力!$B$11,A433&gt;1)),入力!$B$14="有効"),ROUND(G432*1.25,0),"")</f>
        <v/>
      </c>
      <c r="S433" s="36">
        <f>IF(A433=入力!$B$15,A433+入力!$B$19,S432)</f>
        <v>360</v>
      </c>
      <c r="T433" s="35" t="str">
        <f t="shared" si="111"/>
        <v/>
      </c>
      <c r="U433" s="3">
        <f t="shared" si="96"/>
        <v>0</v>
      </c>
      <c r="V433" s="3">
        <f t="shared" si="97"/>
        <v>0</v>
      </c>
      <c r="W433" s="3">
        <f t="shared" si="98"/>
        <v>0</v>
      </c>
      <c r="X433" s="3">
        <f t="shared" si="99"/>
        <v>0</v>
      </c>
      <c r="Y433" s="3">
        <f>IF(A433&lt;入力!$B$15,ABS(G433-何もしない_月次!G433),0)</f>
        <v>0</v>
      </c>
      <c r="Z433" s="3">
        <f t="shared" si="100"/>
        <v>0</v>
      </c>
      <c r="AA433">
        <f>ROUND(IF(A433=入力!$B$15+1,IF(E433=0,ROUND(C433/入力!$B$19,0),ROUND(-PMT(E433/12,入力!$B$19,C433),0)),IF(OR(AND(入力!$B$13="有効",A433&gt;1,MOD(A433-1,60)=0),AND(A433=入力!$B$11,A433&gt;1)),IF(入力!$B$14="有効",MIN(IF(E433=0,ROUND(C433/MAX(1,S432-A433+1),0),ROUND(-PMT(E433/12,MAX(1,S432-A433+1),C433),0)),ROUND(G432*1.25,0)),IF(E433=0,ROUND(C433/MAX(1,S432-A433+1),0),ROUND(-PMT(E433/12,MAX(1,S432-A433+1),C433),0))),G432)),0)</f>
        <v>0</v>
      </c>
    </row>
    <row r="434" spans="1:27">
      <c r="A434" s="30">
        <f>429</f>
        <v>429</v>
      </c>
      <c r="B434" s="31">
        <f>EDATE(入力!$B$6,A434-1)</f>
        <v>59262</v>
      </c>
      <c r="C434" s="32">
        <f t="shared" si="101"/>
        <v>0</v>
      </c>
      <c r="D434" s="32">
        <f t="shared" si="102"/>
        <v>0</v>
      </c>
      <c r="E434" s="33">
        <f>IF(AND(T433="",A434&lt;=S433),IF(A434&lt;入力!$B$11,入力!$B$10,入力!$B$12),0)</f>
        <v>0</v>
      </c>
      <c r="F434" s="32">
        <f t="shared" si="103"/>
        <v>0</v>
      </c>
      <c r="G434" s="32">
        <f>ROUND(IF(NOT(AND(T433="",A434&lt;=S433)),0,IF(A434=入力!$B$15+1,IF(E434=0,ROUND(C434/入力!$B$19,0),ROUND(-PMT(E434/12,入力!$B$19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),0)</f>
        <v>0</v>
      </c>
      <c r="H434" s="32">
        <f t="shared" si="104"/>
        <v>0</v>
      </c>
      <c r="I434" s="32">
        <f t="shared" si="105"/>
        <v>0</v>
      </c>
      <c r="J434" s="32">
        <f t="shared" si="106"/>
        <v>0</v>
      </c>
      <c r="K434" s="32">
        <f t="shared" si="107"/>
        <v>0</v>
      </c>
      <c r="L434" s="32">
        <f t="shared" si="108"/>
        <v>0</v>
      </c>
      <c r="M434" s="32">
        <f>IF(AND(AND(T433="",A434&lt;=S433),A434=入力!$B$15),ROUND(MIN(入力!$B$16,MAX(0,C434-L434)),0),0)</f>
        <v>0</v>
      </c>
      <c r="N434" s="32">
        <f t="shared" si="109"/>
        <v>0</v>
      </c>
      <c r="O434" s="32">
        <f t="shared" si="110"/>
        <v>10751874</v>
      </c>
      <c r="P434" s="34" t="str">
        <f>IF(NOT(AND(T433="",A434&lt;=S433)),"",IF(A434=入力!$B$15+1,"繰上返済後再計算","")&amp;IF(AND(入力!$B$13="有効",A434&gt;1,MOD(A434-1,60)=0),IF(A434=入力!$B$15+1,"・","")&amp;"5年見直し","")&amp;IF(AND(A434=入力!$B$11,A434&gt;1),IF(OR(A434=入力!$B$15+1,AND(入力!$B$13="有効",A434&gt;1,MOD(A434-1,60)=0)),"・","")&amp;"金利変更","")&amp;IF(AND(OR(AND(入力!$B$13="有効",A434&gt;1,MOD(A434-1,60)=0),AND(A434=入力!$B$11,A434&gt;1)),入力!$B$14="有効",IF(E434=0,ROUND(C434/MAX(1,S433-A434+1),0),ROUND(-PMT(E434/12,MAX(1,S433-A434+1),C434),0))&gt;ROUND(G433*1.25,0),NOT(A434=入力!$B$15+1)),"・上限適用",""))</f>
        <v/>
      </c>
      <c r="Q434" s="35" t="str">
        <f>IF(AND(T433="",A434&lt;=S433),入力!$B$13,"")</f>
        <v/>
      </c>
      <c r="R434" s="32" t="str">
        <f>IF(AND(AND(T433="",A434&lt;=S433),OR(AND(入力!$B$13="有効",A434&gt;1,MOD(A434-1,60)=0),AND(A434=入力!$B$11,A434&gt;1)),入力!$B$14="有効"),ROUND(G433*1.25,0),"")</f>
        <v/>
      </c>
      <c r="S434" s="36">
        <f>IF(A434=入力!$B$15,A434+入力!$B$19,S433)</f>
        <v>360</v>
      </c>
      <c r="T434" s="35" t="str">
        <f t="shared" si="111"/>
        <v/>
      </c>
      <c r="U434" s="3">
        <f t="shared" si="96"/>
        <v>0</v>
      </c>
      <c r="V434" s="3">
        <f t="shared" si="97"/>
        <v>0</v>
      </c>
      <c r="W434" s="3">
        <f t="shared" si="98"/>
        <v>0</v>
      </c>
      <c r="X434" s="3">
        <f t="shared" si="99"/>
        <v>0</v>
      </c>
      <c r="Y434" s="3">
        <f>IF(A434&lt;入力!$B$15,ABS(G434-何もしない_月次!G434),0)</f>
        <v>0</v>
      </c>
      <c r="Z434" s="3">
        <f t="shared" si="100"/>
        <v>0</v>
      </c>
      <c r="AA434">
        <f>ROUND(IF(A434=入力!$B$15+1,IF(E434=0,ROUND(C434/入力!$B$19,0),ROUND(-PMT(E434/12,入力!$B$19,C434),0)),IF(OR(AND(入力!$B$13="有効",A434&gt;1,MOD(A434-1,60)=0),AND(A434=入力!$B$11,A434&gt;1)),IF(入力!$B$14="有効",MIN(IF(E434=0,ROUND(C434/MAX(1,S433-A434+1),0),ROUND(-PMT(E434/12,MAX(1,S433-A434+1),C434),0)),ROUND(G433*1.25,0)),IF(E434=0,ROUND(C434/MAX(1,S433-A434+1),0),ROUND(-PMT(E434/12,MAX(1,S433-A434+1),C434),0))),G433)),0)</f>
        <v>0</v>
      </c>
    </row>
    <row r="435" spans="1:27">
      <c r="A435" s="30">
        <f>430</f>
        <v>430</v>
      </c>
      <c r="B435" s="31">
        <f>EDATE(入力!$B$6,A435-1)</f>
        <v>59292</v>
      </c>
      <c r="C435" s="32">
        <f t="shared" si="101"/>
        <v>0</v>
      </c>
      <c r="D435" s="32">
        <f t="shared" si="102"/>
        <v>0</v>
      </c>
      <c r="E435" s="33">
        <f>IF(AND(T434="",A435&lt;=S434),IF(A435&lt;入力!$B$11,入力!$B$10,入力!$B$12),0)</f>
        <v>0</v>
      </c>
      <c r="F435" s="32">
        <f t="shared" si="103"/>
        <v>0</v>
      </c>
      <c r="G435" s="32">
        <f>ROUND(IF(NOT(AND(T434="",A435&lt;=S434)),0,IF(A435=入力!$B$15+1,IF(E435=0,ROUND(C435/入力!$B$19,0),ROUND(-PMT(E435/12,入力!$B$19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),0)</f>
        <v>0</v>
      </c>
      <c r="H435" s="32">
        <f t="shared" si="104"/>
        <v>0</v>
      </c>
      <c r="I435" s="32">
        <f t="shared" si="105"/>
        <v>0</v>
      </c>
      <c r="J435" s="32">
        <f t="shared" si="106"/>
        <v>0</v>
      </c>
      <c r="K435" s="32">
        <f t="shared" si="107"/>
        <v>0</v>
      </c>
      <c r="L435" s="32">
        <f t="shared" si="108"/>
        <v>0</v>
      </c>
      <c r="M435" s="32">
        <f>IF(AND(AND(T434="",A435&lt;=S434),A435=入力!$B$15),ROUND(MIN(入力!$B$16,MAX(0,C435-L435)),0),0)</f>
        <v>0</v>
      </c>
      <c r="N435" s="32">
        <f t="shared" si="109"/>
        <v>0</v>
      </c>
      <c r="O435" s="32">
        <f t="shared" si="110"/>
        <v>10751874</v>
      </c>
      <c r="P435" s="34" t="str">
        <f>IF(NOT(AND(T434="",A435&lt;=S434)),"",IF(A435=入力!$B$15+1,"繰上返済後再計算","")&amp;IF(AND(入力!$B$13="有効",A435&gt;1,MOD(A435-1,60)=0),IF(A435=入力!$B$15+1,"・","")&amp;"5年見直し","")&amp;IF(AND(A435=入力!$B$11,A435&gt;1),IF(OR(A435=入力!$B$15+1,AND(入力!$B$13="有効",A435&gt;1,MOD(A435-1,60)=0)),"・","")&amp;"金利変更","")&amp;IF(AND(OR(AND(入力!$B$13="有効",A435&gt;1,MOD(A435-1,60)=0),AND(A435=入力!$B$11,A435&gt;1)),入力!$B$14="有効",IF(E435=0,ROUND(C435/MAX(1,S434-A435+1),0),ROUND(-PMT(E435/12,MAX(1,S434-A435+1),C435),0))&gt;ROUND(G434*1.25,0),NOT(A435=入力!$B$15+1)),"・上限適用",""))</f>
        <v/>
      </c>
      <c r="Q435" s="35" t="str">
        <f>IF(AND(T434="",A435&lt;=S434),入力!$B$13,"")</f>
        <v/>
      </c>
      <c r="R435" s="32" t="str">
        <f>IF(AND(AND(T434="",A435&lt;=S434),OR(AND(入力!$B$13="有効",A435&gt;1,MOD(A435-1,60)=0),AND(A435=入力!$B$11,A435&gt;1)),入力!$B$14="有効"),ROUND(G434*1.25,0),"")</f>
        <v/>
      </c>
      <c r="S435" s="36">
        <f>IF(A435=入力!$B$15,A435+入力!$B$19,S434)</f>
        <v>360</v>
      </c>
      <c r="T435" s="35" t="str">
        <f t="shared" si="111"/>
        <v/>
      </c>
      <c r="U435" s="3">
        <f t="shared" si="96"/>
        <v>0</v>
      </c>
      <c r="V435" s="3">
        <f t="shared" si="97"/>
        <v>0</v>
      </c>
      <c r="W435" s="3">
        <f t="shared" si="98"/>
        <v>0</v>
      </c>
      <c r="X435" s="3">
        <f t="shared" si="99"/>
        <v>0</v>
      </c>
      <c r="Y435" s="3">
        <f>IF(A435&lt;入力!$B$15,ABS(G435-何もしない_月次!G435),0)</f>
        <v>0</v>
      </c>
      <c r="Z435" s="3">
        <f t="shared" si="100"/>
        <v>0</v>
      </c>
      <c r="AA435">
        <f>ROUND(IF(A435=入力!$B$15+1,IF(E435=0,ROUND(C435/入力!$B$19,0),ROUND(-PMT(E435/12,入力!$B$19,C435),0)),IF(OR(AND(入力!$B$13="有効",A435&gt;1,MOD(A435-1,60)=0),AND(A435=入力!$B$11,A435&gt;1)),IF(入力!$B$14="有効",MIN(IF(E435=0,ROUND(C435/MAX(1,S434-A435+1),0),ROUND(-PMT(E435/12,MAX(1,S434-A435+1),C435),0)),ROUND(G434*1.25,0)),IF(E435=0,ROUND(C435/MAX(1,S434-A435+1),0),ROUND(-PMT(E435/12,MAX(1,S434-A435+1),C435),0))),G434)),0)</f>
        <v>0</v>
      </c>
    </row>
    <row r="436" spans="1:27">
      <c r="A436" s="30">
        <f>431</f>
        <v>431</v>
      </c>
      <c r="B436" s="31">
        <f>EDATE(入力!$B$6,A436-1)</f>
        <v>59323</v>
      </c>
      <c r="C436" s="32">
        <f t="shared" si="101"/>
        <v>0</v>
      </c>
      <c r="D436" s="32">
        <f t="shared" si="102"/>
        <v>0</v>
      </c>
      <c r="E436" s="33">
        <f>IF(AND(T435="",A436&lt;=S435),IF(A436&lt;入力!$B$11,入力!$B$10,入力!$B$12),0)</f>
        <v>0</v>
      </c>
      <c r="F436" s="32">
        <f t="shared" si="103"/>
        <v>0</v>
      </c>
      <c r="G436" s="32">
        <f>ROUND(IF(NOT(AND(T435="",A436&lt;=S435)),0,IF(A436=入力!$B$15+1,IF(E436=0,ROUND(C436/入力!$B$19,0),ROUND(-PMT(E436/12,入力!$B$19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),0)</f>
        <v>0</v>
      </c>
      <c r="H436" s="32">
        <f t="shared" si="104"/>
        <v>0</v>
      </c>
      <c r="I436" s="32">
        <f t="shared" si="105"/>
        <v>0</v>
      </c>
      <c r="J436" s="32">
        <f t="shared" si="106"/>
        <v>0</v>
      </c>
      <c r="K436" s="32">
        <f t="shared" si="107"/>
        <v>0</v>
      </c>
      <c r="L436" s="32">
        <f t="shared" si="108"/>
        <v>0</v>
      </c>
      <c r="M436" s="32">
        <f>IF(AND(AND(T435="",A436&lt;=S435),A436=入力!$B$15),ROUND(MIN(入力!$B$16,MAX(0,C436-L436)),0),0)</f>
        <v>0</v>
      </c>
      <c r="N436" s="32">
        <f t="shared" si="109"/>
        <v>0</v>
      </c>
      <c r="O436" s="32">
        <f t="shared" si="110"/>
        <v>10751874</v>
      </c>
      <c r="P436" s="34" t="str">
        <f>IF(NOT(AND(T435="",A436&lt;=S435)),"",IF(A436=入力!$B$15+1,"繰上返済後再計算","")&amp;IF(AND(入力!$B$13="有効",A436&gt;1,MOD(A436-1,60)=0),IF(A436=入力!$B$15+1,"・","")&amp;"5年見直し","")&amp;IF(AND(A436=入力!$B$11,A436&gt;1),IF(OR(A436=入力!$B$15+1,AND(入力!$B$13="有効",A436&gt;1,MOD(A436-1,60)=0)),"・","")&amp;"金利変更","")&amp;IF(AND(OR(AND(入力!$B$13="有効",A436&gt;1,MOD(A436-1,60)=0),AND(A436=入力!$B$11,A436&gt;1)),入力!$B$14="有効",IF(E436=0,ROUND(C436/MAX(1,S435-A436+1),0),ROUND(-PMT(E436/12,MAX(1,S435-A436+1),C436),0))&gt;ROUND(G435*1.25,0),NOT(A436=入力!$B$15+1)),"・上限適用",""))</f>
        <v/>
      </c>
      <c r="Q436" s="35" t="str">
        <f>IF(AND(T435="",A436&lt;=S435),入力!$B$13,"")</f>
        <v/>
      </c>
      <c r="R436" s="32" t="str">
        <f>IF(AND(AND(T435="",A436&lt;=S435),OR(AND(入力!$B$13="有効",A436&gt;1,MOD(A436-1,60)=0),AND(A436=入力!$B$11,A436&gt;1)),入力!$B$14="有効"),ROUND(G435*1.25,0),"")</f>
        <v/>
      </c>
      <c r="S436" s="36">
        <f>IF(A436=入力!$B$15,A436+入力!$B$19,S435)</f>
        <v>360</v>
      </c>
      <c r="T436" s="35" t="str">
        <f t="shared" si="111"/>
        <v/>
      </c>
      <c r="U436" s="3">
        <f t="shared" si="96"/>
        <v>0</v>
      </c>
      <c r="V436" s="3">
        <f t="shared" si="97"/>
        <v>0</v>
      </c>
      <c r="W436" s="3">
        <f t="shared" si="98"/>
        <v>0</v>
      </c>
      <c r="X436" s="3">
        <f t="shared" si="99"/>
        <v>0</v>
      </c>
      <c r="Y436" s="3">
        <f>IF(A436&lt;入力!$B$15,ABS(G436-何もしない_月次!G436),0)</f>
        <v>0</v>
      </c>
      <c r="Z436" s="3">
        <f t="shared" si="100"/>
        <v>0</v>
      </c>
      <c r="AA436">
        <f>ROUND(IF(A436=入力!$B$15+1,IF(E436=0,ROUND(C436/入力!$B$19,0),ROUND(-PMT(E436/12,入力!$B$19,C436),0)),IF(OR(AND(入力!$B$13="有効",A436&gt;1,MOD(A436-1,60)=0),AND(A436=入力!$B$11,A436&gt;1)),IF(入力!$B$14="有効",MIN(IF(E436=0,ROUND(C436/MAX(1,S435-A436+1),0),ROUND(-PMT(E436/12,MAX(1,S435-A436+1),C436),0)),ROUND(G435*1.25,0)),IF(E436=0,ROUND(C436/MAX(1,S435-A436+1),0),ROUND(-PMT(E436/12,MAX(1,S435-A436+1),C436),0))),G435)),0)</f>
        <v>0</v>
      </c>
    </row>
    <row r="437" spans="1:27">
      <c r="A437" s="30">
        <f>432</f>
        <v>432</v>
      </c>
      <c r="B437" s="31">
        <f>EDATE(入力!$B$6,A437-1)</f>
        <v>59353</v>
      </c>
      <c r="C437" s="32">
        <f t="shared" si="101"/>
        <v>0</v>
      </c>
      <c r="D437" s="32">
        <f t="shared" si="102"/>
        <v>0</v>
      </c>
      <c r="E437" s="33">
        <f>IF(AND(T436="",A437&lt;=S436),IF(A437&lt;入力!$B$11,入力!$B$10,入力!$B$12),0)</f>
        <v>0</v>
      </c>
      <c r="F437" s="32">
        <f t="shared" si="103"/>
        <v>0</v>
      </c>
      <c r="G437" s="32">
        <f>ROUND(IF(NOT(AND(T436="",A437&lt;=S436)),0,IF(A437=入力!$B$15+1,IF(E437=0,ROUND(C437/入力!$B$19,0),ROUND(-PMT(E437/12,入力!$B$19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),0)</f>
        <v>0</v>
      </c>
      <c r="H437" s="32">
        <f t="shared" si="104"/>
        <v>0</v>
      </c>
      <c r="I437" s="32">
        <f t="shared" si="105"/>
        <v>0</v>
      </c>
      <c r="J437" s="32">
        <f t="shared" si="106"/>
        <v>0</v>
      </c>
      <c r="K437" s="32">
        <f t="shared" si="107"/>
        <v>0</v>
      </c>
      <c r="L437" s="32">
        <f t="shared" si="108"/>
        <v>0</v>
      </c>
      <c r="M437" s="32">
        <f>IF(AND(AND(T436="",A437&lt;=S436),A437=入力!$B$15),ROUND(MIN(入力!$B$16,MAX(0,C437-L437)),0),0)</f>
        <v>0</v>
      </c>
      <c r="N437" s="32">
        <f t="shared" si="109"/>
        <v>0</v>
      </c>
      <c r="O437" s="32">
        <f t="shared" si="110"/>
        <v>10751874</v>
      </c>
      <c r="P437" s="34" t="str">
        <f>IF(NOT(AND(T436="",A437&lt;=S436)),"",IF(A437=入力!$B$15+1,"繰上返済後再計算","")&amp;IF(AND(入力!$B$13="有効",A437&gt;1,MOD(A437-1,60)=0),IF(A437=入力!$B$15+1,"・","")&amp;"5年見直し","")&amp;IF(AND(A437=入力!$B$11,A437&gt;1),IF(OR(A437=入力!$B$15+1,AND(入力!$B$13="有効",A437&gt;1,MOD(A437-1,60)=0)),"・","")&amp;"金利変更","")&amp;IF(AND(OR(AND(入力!$B$13="有効",A437&gt;1,MOD(A437-1,60)=0),AND(A437=入力!$B$11,A437&gt;1)),入力!$B$14="有効",IF(E437=0,ROUND(C437/MAX(1,S436-A437+1),0),ROUND(-PMT(E437/12,MAX(1,S436-A437+1),C437),0))&gt;ROUND(G436*1.25,0),NOT(A437=入力!$B$15+1)),"・上限適用",""))</f>
        <v/>
      </c>
      <c r="Q437" s="35" t="str">
        <f>IF(AND(T436="",A437&lt;=S436),入力!$B$13,"")</f>
        <v/>
      </c>
      <c r="R437" s="32" t="str">
        <f>IF(AND(AND(T436="",A437&lt;=S436),OR(AND(入力!$B$13="有効",A437&gt;1,MOD(A437-1,60)=0),AND(A437=入力!$B$11,A437&gt;1)),入力!$B$14="有効"),ROUND(G436*1.25,0),"")</f>
        <v/>
      </c>
      <c r="S437" s="36">
        <f>IF(A437=入力!$B$15,A437+入力!$B$19,S436)</f>
        <v>360</v>
      </c>
      <c r="T437" s="35" t="str">
        <f t="shared" si="111"/>
        <v/>
      </c>
      <c r="U437" s="3">
        <f t="shared" si="96"/>
        <v>0</v>
      </c>
      <c r="V437" s="3">
        <f t="shared" si="97"/>
        <v>0</v>
      </c>
      <c r="W437" s="3">
        <f t="shared" si="98"/>
        <v>0</v>
      </c>
      <c r="X437" s="3">
        <f t="shared" si="99"/>
        <v>0</v>
      </c>
      <c r="Y437" s="3">
        <f>IF(A437&lt;入力!$B$15,ABS(G437-何もしない_月次!G437),0)</f>
        <v>0</v>
      </c>
      <c r="Z437" s="3">
        <f t="shared" si="100"/>
        <v>0</v>
      </c>
      <c r="AA437">
        <f>ROUND(IF(A437=入力!$B$15+1,IF(E437=0,ROUND(C437/入力!$B$19,0),ROUND(-PMT(E437/12,入力!$B$19,C437),0)),IF(OR(AND(入力!$B$13="有効",A437&gt;1,MOD(A437-1,60)=0),AND(A437=入力!$B$11,A437&gt;1)),IF(入力!$B$14="有効",MIN(IF(E437=0,ROUND(C437/MAX(1,S436-A437+1),0),ROUND(-PMT(E437/12,MAX(1,S436-A437+1),C437),0)),ROUND(G436*1.25,0)),IF(E437=0,ROUND(C437/MAX(1,S436-A437+1),0),ROUND(-PMT(E437/12,MAX(1,S436-A437+1),C437),0))),G436)),0)</f>
        <v>0</v>
      </c>
    </row>
    <row r="438" spans="1:27">
      <c r="A438" s="30">
        <f>433</f>
        <v>433</v>
      </c>
      <c r="B438" s="31">
        <f>EDATE(入力!$B$6,A438-1)</f>
        <v>59384</v>
      </c>
      <c r="C438" s="32">
        <f t="shared" si="101"/>
        <v>0</v>
      </c>
      <c r="D438" s="32">
        <f t="shared" si="102"/>
        <v>0</v>
      </c>
      <c r="E438" s="33">
        <f>IF(AND(T437="",A438&lt;=S437),IF(A438&lt;入力!$B$11,入力!$B$10,入力!$B$12),0)</f>
        <v>0</v>
      </c>
      <c r="F438" s="32">
        <f t="shared" si="103"/>
        <v>0</v>
      </c>
      <c r="G438" s="32">
        <f>ROUND(IF(NOT(AND(T437="",A438&lt;=S437)),0,IF(A438=入力!$B$15+1,IF(E438=0,ROUND(C438/入力!$B$19,0),ROUND(-PMT(E438/12,入力!$B$19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),0)</f>
        <v>0</v>
      </c>
      <c r="H438" s="32">
        <f t="shared" si="104"/>
        <v>0</v>
      </c>
      <c r="I438" s="32">
        <f t="shared" si="105"/>
        <v>0</v>
      </c>
      <c r="J438" s="32">
        <f t="shared" si="106"/>
        <v>0</v>
      </c>
      <c r="K438" s="32">
        <f t="shared" si="107"/>
        <v>0</v>
      </c>
      <c r="L438" s="32">
        <f t="shared" si="108"/>
        <v>0</v>
      </c>
      <c r="M438" s="32">
        <f>IF(AND(AND(T437="",A438&lt;=S437),A438=入力!$B$15),ROUND(MIN(入力!$B$16,MAX(0,C438-L438)),0),0)</f>
        <v>0</v>
      </c>
      <c r="N438" s="32">
        <f t="shared" si="109"/>
        <v>0</v>
      </c>
      <c r="O438" s="32">
        <f t="shared" si="110"/>
        <v>10751874</v>
      </c>
      <c r="P438" s="34" t="str">
        <f>IF(NOT(AND(T437="",A438&lt;=S437)),"",IF(A438=入力!$B$15+1,"繰上返済後再計算","")&amp;IF(AND(入力!$B$13="有効",A438&gt;1,MOD(A438-1,60)=0),IF(A438=入力!$B$15+1,"・","")&amp;"5年見直し","")&amp;IF(AND(A438=入力!$B$11,A438&gt;1),IF(OR(A438=入力!$B$15+1,AND(入力!$B$13="有効",A438&gt;1,MOD(A438-1,60)=0)),"・","")&amp;"金利変更","")&amp;IF(AND(OR(AND(入力!$B$13="有効",A438&gt;1,MOD(A438-1,60)=0),AND(A438=入力!$B$11,A438&gt;1)),入力!$B$14="有効",IF(E438=0,ROUND(C438/MAX(1,S437-A438+1),0),ROUND(-PMT(E438/12,MAX(1,S437-A438+1),C438),0))&gt;ROUND(G437*1.25,0),NOT(A438=入力!$B$15+1)),"・上限適用",""))</f>
        <v/>
      </c>
      <c r="Q438" s="35" t="str">
        <f>IF(AND(T437="",A438&lt;=S437),入力!$B$13,"")</f>
        <v/>
      </c>
      <c r="R438" s="32" t="str">
        <f>IF(AND(AND(T437="",A438&lt;=S437),OR(AND(入力!$B$13="有効",A438&gt;1,MOD(A438-1,60)=0),AND(A438=入力!$B$11,A438&gt;1)),入力!$B$14="有効"),ROUND(G437*1.25,0),"")</f>
        <v/>
      </c>
      <c r="S438" s="36">
        <f>IF(A438=入力!$B$15,A438+入力!$B$19,S437)</f>
        <v>360</v>
      </c>
      <c r="T438" s="35" t="str">
        <f t="shared" si="111"/>
        <v/>
      </c>
      <c r="U438" s="3">
        <f t="shared" si="96"/>
        <v>0</v>
      </c>
      <c r="V438" s="3">
        <f t="shared" si="97"/>
        <v>0</v>
      </c>
      <c r="W438" s="3">
        <f t="shared" si="98"/>
        <v>0</v>
      </c>
      <c r="X438" s="3">
        <f t="shared" si="99"/>
        <v>0</v>
      </c>
      <c r="Y438" s="3">
        <f>IF(A438&lt;入力!$B$15,ABS(G438-何もしない_月次!G438),0)</f>
        <v>0</v>
      </c>
      <c r="Z438" s="3">
        <f t="shared" si="100"/>
        <v>0</v>
      </c>
      <c r="AA438">
        <f>ROUND(IF(A438=入力!$B$15+1,IF(E438=0,ROUND(C438/入力!$B$19,0),ROUND(-PMT(E438/12,入力!$B$19,C438),0)),IF(OR(AND(入力!$B$13="有効",A438&gt;1,MOD(A438-1,60)=0),AND(A438=入力!$B$11,A438&gt;1)),IF(入力!$B$14="有効",MIN(IF(E438=0,ROUND(C438/MAX(1,S437-A438+1),0),ROUND(-PMT(E438/12,MAX(1,S437-A438+1),C438),0)),ROUND(G437*1.25,0)),IF(E438=0,ROUND(C438/MAX(1,S437-A438+1),0),ROUND(-PMT(E438/12,MAX(1,S437-A438+1),C438),0))),G437)),0)</f>
        <v>0</v>
      </c>
    </row>
    <row r="439" spans="1:27">
      <c r="A439" s="30">
        <f>434</f>
        <v>434</v>
      </c>
      <c r="B439" s="31">
        <f>EDATE(入力!$B$6,A439-1)</f>
        <v>59415</v>
      </c>
      <c r="C439" s="32">
        <f t="shared" si="101"/>
        <v>0</v>
      </c>
      <c r="D439" s="32">
        <f t="shared" si="102"/>
        <v>0</v>
      </c>
      <c r="E439" s="33">
        <f>IF(AND(T438="",A439&lt;=S438),IF(A439&lt;入力!$B$11,入力!$B$10,入力!$B$12),0)</f>
        <v>0</v>
      </c>
      <c r="F439" s="32">
        <f t="shared" si="103"/>
        <v>0</v>
      </c>
      <c r="G439" s="32">
        <f>ROUND(IF(NOT(AND(T438="",A439&lt;=S438)),0,IF(A439=入力!$B$15+1,IF(E439=0,ROUND(C439/入力!$B$19,0),ROUND(-PMT(E439/12,入力!$B$19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),0)</f>
        <v>0</v>
      </c>
      <c r="H439" s="32">
        <f t="shared" si="104"/>
        <v>0</v>
      </c>
      <c r="I439" s="32">
        <f t="shared" si="105"/>
        <v>0</v>
      </c>
      <c r="J439" s="32">
        <f t="shared" si="106"/>
        <v>0</v>
      </c>
      <c r="K439" s="32">
        <f t="shared" si="107"/>
        <v>0</v>
      </c>
      <c r="L439" s="32">
        <f t="shared" si="108"/>
        <v>0</v>
      </c>
      <c r="M439" s="32">
        <f>IF(AND(AND(T438="",A439&lt;=S438),A439=入力!$B$15),ROUND(MIN(入力!$B$16,MAX(0,C439-L439)),0),0)</f>
        <v>0</v>
      </c>
      <c r="N439" s="32">
        <f t="shared" si="109"/>
        <v>0</v>
      </c>
      <c r="O439" s="32">
        <f t="shared" si="110"/>
        <v>10751874</v>
      </c>
      <c r="P439" s="34" t="str">
        <f>IF(NOT(AND(T438="",A439&lt;=S438)),"",IF(A439=入力!$B$15+1,"繰上返済後再計算","")&amp;IF(AND(入力!$B$13="有効",A439&gt;1,MOD(A439-1,60)=0),IF(A439=入力!$B$15+1,"・","")&amp;"5年見直し","")&amp;IF(AND(A439=入力!$B$11,A439&gt;1),IF(OR(A439=入力!$B$15+1,AND(入力!$B$13="有効",A439&gt;1,MOD(A439-1,60)=0)),"・","")&amp;"金利変更","")&amp;IF(AND(OR(AND(入力!$B$13="有効",A439&gt;1,MOD(A439-1,60)=0),AND(A439=入力!$B$11,A439&gt;1)),入力!$B$14="有効",IF(E439=0,ROUND(C439/MAX(1,S438-A439+1),0),ROUND(-PMT(E439/12,MAX(1,S438-A439+1),C439),0))&gt;ROUND(G438*1.25,0),NOT(A439=入力!$B$15+1)),"・上限適用",""))</f>
        <v/>
      </c>
      <c r="Q439" s="35" t="str">
        <f>IF(AND(T438="",A439&lt;=S438),入力!$B$13,"")</f>
        <v/>
      </c>
      <c r="R439" s="32" t="str">
        <f>IF(AND(AND(T438="",A439&lt;=S438),OR(AND(入力!$B$13="有効",A439&gt;1,MOD(A439-1,60)=0),AND(A439=入力!$B$11,A439&gt;1)),入力!$B$14="有効"),ROUND(G438*1.25,0),"")</f>
        <v/>
      </c>
      <c r="S439" s="36">
        <f>IF(A439=入力!$B$15,A439+入力!$B$19,S438)</f>
        <v>360</v>
      </c>
      <c r="T439" s="35" t="str">
        <f t="shared" si="111"/>
        <v/>
      </c>
      <c r="U439" s="3">
        <f t="shared" si="96"/>
        <v>0</v>
      </c>
      <c r="V439" s="3">
        <f t="shared" si="97"/>
        <v>0</v>
      </c>
      <c r="W439" s="3">
        <f t="shared" si="98"/>
        <v>0</v>
      </c>
      <c r="X439" s="3">
        <f t="shared" si="99"/>
        <v>0</v>
      </c>
      <c r="Y439" s="3">
        <f>IF(A439&lt;入力!$B$15,ABS(G439-何もしない_月次!G439),0)</f>
        <v>0</v>
      </c>
      <c r="Z439" s="3">
        <f t="shared" si="100"/>
        <v>0</v>
      </c>
      <c r="AA439">
        <f>ROUND(IF(A439=入力!$B$15+1,IF(E439=0,ROUND(C439/入力!$B$19,0),ROUND(-PMT(E439/12,入力!$B$19,C439),0)),IF(OR(AND(入力!$B$13="有効",A439&gt;1,MOD(A439-1,60)=0),AND(A439=入力!$B$11,A439&gt;1)),IF(入力!$B$14="有効",MIN(IF(E439=0,ROUND(C439/MAX(1,S438-A439+1),0),ROUND(-PMT(E439/12,MAX(1,S438-A439+1),C439),0)),ROUND(G438*1.25,0)),IF(E439=0,ROUND(C439/MAX(1,S438-A439+1),0),ROUND(-PMT(E439/12,MAX(1,S438-A439+1),C439),0))),G438)),0)</f>
        <v>0</v>
      </c>
    </row>
    <row r="440" spans="1:27">
      <c r="A440" s="30">
        <f>435</f>
        <v>435</v>
      </c>
      <c r="B440" s="31">
        <f>EDATE(入力!$B$6,A440-1)</f>
        <v>59445</v>
      </c>
      <c r="C440" s="32">
        <f t="shared" si="101"/>
        <v>0</v>
      </c>
      <c r="D440" s="32">
        <f t="shared" si="102"/>
        <v>0</v>
      </c>
      <c r="E440" s="33">
        <f>IF(AND(T439="",A440&lt;=S439),IF(A440&lt;入力!$B$11,入力!$B$10,入力!$B$12),0)</f>
        <v>0</v>
      </c>
      <c r="F440" s="32">
        <f t="shared" si="103"/>
        <v>0</v>
      </c>
      <c r="G440" s="32">
        <f>ROUND(IF(NOT(AND(T439="",A440&lt;=S439)),0,IF(A440=入力!$B$15+1,IF(E440=0,ROUND(C440/入力!$B$19,0),ROUND(-PMT(E440/12,入力!$B$19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),0)</f>
        <v>0</v>
      </c>
      <c r="H440" s="32">
        <f t="shared" si="104"/>
        <v>0</v>
      </c>
      <c r="I440" s="32">
        <f t="shared" si="105"/>
        <v>0</v>
      </c>
      <c r="J440" s="32">
        <f t="shared" si="106"/>
        <v>0</v>
      </c>
      <c r="K440" s="32">
        <f t="shared" si="107"/>
        <v>0</v>
      </c>
      <c r="L440" s="32">
        <f t="shared" si="108"/>
        <v>0</v>
      </c>
      <c r="M440" s="32">
        <f>IF(AND(AND(T439="",A440&lt;=S439),A440=入力!$B$15),ROUND(MIN(入力!$B$16,MAX(0,C440-L440)),0),0)</f>
        <v>0</v>
      </c>
      <c r="N440" s="32">
        <f t="shared" si="109"/>
        <v>0</v>
      </c>
      <c r="O440" s="32">
        <f t="shared" si="110"/>
        <v>10751874</v>
      </c>
      <c r="P440" s="34" t="str">
        <f>IF(NOT(AND(T439="",A440&lt;=S439)),"",IF(A440=入力!$B$15+1,"繰上返済後再計算","")&amp;IF(AND(入力!$B$13="有効",A440&gt;1,MOD(A440-1,60)=0),IF(A440=入力!$B$15+1,"・","")&amp;"5年見直し","")&amp;IF(AND(A440=入力!$B$11,A440&gt;1),IF(OR(A440=入力!$B$15+1,AND(入力!$B$13="有効",A440&gt;1,MOD(A440-1,60)=0)),"・","")&amp;"金利変更","")&amp;IF(AND(OR(AND(入力!$B$13="有効",A440&gt;1,MOD(A440-1,60)=0),AND(A440=入力!$B$11,A440&gt;1)),入力!$B$14="有効",IF(E440=0,ROUND(C440/MAX(1,S439-A440+1),0),ROUND(-PMT(E440/12,MAX(1,S439-A440+1),C440),0))&gt;ROUND(G439*1.25,0),NOT(A440=入力!$B$15+1)),"・上限適用",""))</f>
        <v/>
      </c>
      <c r="Q440" s="35" t="str">
        <f>IF(AND(T439="",A440&lt;=S439),入力!$B$13,"")</f>
        <v/>
      </c>
      <c r="R440" s="32" t="str">
        <f>IF(AND(AND(T439="",A440&lt;=S439),OR(AND(入力!$B$13="有効",A440&gt;1,MOD(A440-1,60)=0),AND(A440=入力!$B$11,A440&gt;1)),入力!$B$14="有効"),ROUND(G439*1.25,0),"")</f>
        <v/>
      </c>
      <c r="S440" s="36">
        <f>IF(A440=入力!$B$15,A440+入力!$B$19,S439)</f>
        <v>360</v>
      </c>
      <c r="T440" s="35" t="str">
        <f t="shared" si="111"/>
        <v/>
      </c>
      <c r="U440" s="3">
        <f t="shared" si="96"/>
        <v>0</v>
      </c>
      <c r="V440" s="3">
        <f t="shared" si="97"/>
        <v>0</v>
      </c>
      <c r="W440" s="3">
        <f t="shared" si="98"/>
        <v>0</v>
      </c>
      <c r="X440" s="3">
        <f t="shared" si="99"/>
        <v>0</v>
      </c>
      <c r="Y440" s="3">
        <f>IF(A440&lt;入力!$B$15,ABS(G440-何もしない_月次!G440),0)</f>
        <v>0</v>
      </c>
      <c r="Z440" s="3">
        <f t="shared" si="100"/>
        <v>0</v>
      </c>
      <c r="AA440">
        <f>ROUND(IF(A440=入力!$B$15+1,IF(E440=0,ROUND(C440/入力!$B$19,0),ROUND(-PMT(E440/12,入力!$B$19,C440),0)),IF(OR(AND(入力!$B$13="有効",A440&gt;1,MOD(A440-1,60)=0),AND(A440=入力!$B$11,A440&gt;1)),IF(入力!$B$14="有効",MIN(IF(E440=0,ROUND(C440/MAX(1,S439-A440+1),0),ROUND(-PMT(E440/12,MAX(1,S439-A440+1),C440),0)),ROUND(G439*1.25,0)),IF(E440=0,ROUND(C440/MAX(1,S439-A440+1),0),ROUND(-PMT(E440/12,MAX(1,S439-A440+1),C440),0))),G439)),0)</f>
        <v>0</v>
      </c>
    </row>
    <row r="441" spans="1:27">
      <c r="A441" s="30">
        <f>436</f>
        <v>436</v>
      </c>
      <c r="B441" s="31">
        <f>EDATE(入力!$B$6,A441-1)</f>
        <v>59476</v>
      </c>
      <c r="C441" s="32">
        <f t="shared" si="101"/>
        <v>0</v>
      </c>
      <c r="D441" s="32">
        <f t="shared" si="102"/>
        <v>0</v>
      </c>
      <c r="E441" s="33">
        <f>IF(AND(T440="",A441&lt;=S440),IF(A441&lt;入力!$B$11,入力!$B$10,入力!$B$12),0)</f>
        <v>0</v>
      </c>
      <c r="F441" s="32">
        <f t="shared" si="103"/>
        <v>0</v>
      </c>
      <c r="G441" s="32">
        <f>ROUND(IF(NOT(AND(T440="",A441&lt;=S440)),0,IF(A441=入力!$B$15+1,IF(E441=0,ROUND(C441/入力!$B$19,0),ROUND(-PMT(E441/12,入力!$B$19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),0)</f>
        <v>0</v>
      </c>
      <c r="H441" s="32">
        <f t="shared" si="104"/>
        <v>0</v>
      </c>
      <c r="I441" s="32">
        <f t="shared" si="105"/>
        <v>0</v>
      </c>
      <c r="J441" s="32">
        <f t="shared" si="106"/>
        <v>0</v>
      </c>
      <c r="K441" s="32">
        <f t="shared" si="107"/>
        <v>0</v>
      </c>
      <c r="L441" s="32">
        <f t="shared" si="108"/>
        <v>0</v>
      </c>
      <c r="M441" s="32">
        <f>IF(AND(AND(T440="",A441&lt;=S440),A441=入力!$B$15),ROUND(MIN(入力!$B$16,MAX(0,C441-L441)),0),0)</f>
        <v>0</v>
      </c>
      <c r="N441" s="32">
        <f t="shared" si="109"/>
        <v>0</v>
      </c>
      <c r="O441" s="32">
        <f t="shared" si="110"/>
        <v>10751874</v>
      </c>
      <c r="P441" s="34" t="str">
        <f>IF(NOT(AND(T440="",A441&lt;=S440)),"",IF(A441=入力!$B$15+1,"繰上返済後再計算","")&amp;IF(AND(入力!$B$13="有効",A441&gt;1,MOD(A441-1,60)=0),IF(A441=入力!$B$15+1,"・","")&amp;"5年見直し","")&amp;IF(AND(A441=入力!$B$11,A441&gt;1),IF(OR(A441=入力!$B$15+1,AND(入力!$B$13="有効",A441&gt;1,MOD(A441-1,60)=0)),"・","")&amp;"金利変更","")&amp;IF(AND(OR(AND(入力!$B$13="有効",A441&gt;1,MOD(A441-1,60)=0),AND(A441=入力!$B$11,A441&gt;1)),入力!$B$14="有効",IF(E441=0,ROUND(C441/MAX(1,S440-A441+1),0),ROUND(-PMT(E441/12,MAX(1,S440-A441+1),C441),0))&gt;ROUND(G440*1.25,0),NOT(A441=入力!$B$15+1)),"・上限適用",""))</f>
        <v/>
      </c>
      <c r="Q441" s="35" t="str">
        <f>IF(AND(T440="",A441&lt;=S440),入力!$B$13,"")</f>
        <v/>
      </c>
      <c r="R441" s="32" t="str">
        <f>IF(AND(AND(T440="",A441&lt;=S440),OR(AND(入力!$B$13="有効",A441&gt;1,MOD(A441-1,60)=0),AND(A441=入力!$B$11,A441&gt;1)),入力!$B$14="有効"),ROUND(G440*1.25,0),"")</f>
        <v/>
      </c>
      <c r="S441" s="36">
        <f>IF(A441=入力!$B$15,A441+入力!$B$19,S440)</f>
        <v>360</v>
      </c>
      <c r="T441" s="35" t="str">
        <f t="shared" si="111"/>
        <v/>
      </c>
      <c r="U441" s="3">
        <f t="shared" si="96"/>
        <v>0</v>
      </c>
      <c r="V441" s="3">
        <f t="shared" si="97"/>
        <v>0</v>
      </c>
      <c r="W441" s="3">
        <f t="shared" si="98"/>
        <v>0</v>
      </c>
      <c r="X441" s="3">
        <f t="shared" si="99"/>
        <v>0</v>
      </c>
      <c r="Y441" s="3">
        <f>IF(A441&lt;入力!$B$15,ABS(G441-何もしない_月次!G441),0)</f>
        <v>0</v>
      </c>
      <c r="Z441" s="3">
        <f t="shared" si="100"/>
        <v>0</v>
      </c>
      <c r="AA441">
        <f>ROUND(IF(A441=入力!$B$15+1,IF(E441=0,ROUND(C441/入力!$B$19,0),ROUND(-PMT(E441/12,入力!$B$19,C441),0)),IF(OR(AND(入力!$B$13="有効",A441&gt;1,MOD(A441-1,60)=0),AND(A441=入力!$B$11,A441&gt;1)),IF(入力!$B$14="有効",MIN(IF(E441=0,ROUND(C441/MAX(1,S440-A441+1),0),ROUND(-PMT(E441/12,MAX(1,S440-A441+1),C441),0)),ROUND(G440*1.25,0)),IF(E441=0,ROUND(C441/MAX(1,S440-A441+1),0),ROUND(-PMT(E441/12,MAX(1,S440-A441+1),C441),0))),G440)),0)</f>
        <v>0</v>
      </c>
    </row>
    <row r="442" spans="1:27">
      <c r="A442" s="30">
        <f>437</f>
        <v>437</v>
      </c>
      <c r="B442" s="31">
        <f>EDATE(入力!$B$6,A442-1)</f>
        <v>59506</v>
      </c>
      <c r="C442" s="32">
        <f t="shared" si="101"/>
        <v>0</v>
      </c>
      <c r="D442" s="32">
        <f t="shared" si="102"/>
        <v>0</v>
      </c>
      <c r="E442" s="33">
        <f>IF(AND(T441="",A442&lt;=S441),IF(A442&lt;入力!$B$11,入力!$B$10,入力!$B$12),0)</f>
        <v>0</v>
      </c>
      <c r="F442" s="32">
        <f t="shared" si="103"/>
        <v>0</v>
      </c>
      <c r="G442" s="32">
        <f>ROUND(IF(NOT(AND(T441="",A442&lt;=S441)),0,IF(A442=入力!$B$15+1,IF(E442=0,ROUND(C442/入力!$B$19,0),ROUND(-PMT(E442/12,入力!$B$19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),0)</f>
        <v>0</v>
      </c>
      <c r="H442" s="32">
        <f t="shared" si="104"/>
        <v>0</v>
      </c>
      <c r="I442" s="32">
        <f t="shared" si="105"/>
        <v>0</v>
      </c>
      <c r="J442" s="32">
        <f t="shared" si="106"/>
        <v>0</v>
      </c>
      <c r="K442" s="32">
        <f t="shared" si="107"/>
        <v>0</v>
      </c>
      <c r="L442" s="32">
        <f t="shared" si="108"/>
        <v>0</v>
      </c>
      <c r="M442" s="32">
        <f>IF(AND(AND(T441="",A442&lt;=S441),A442=入力!$B$15),ROUND(MIN(入力!$B$16,MAX(0,C442-L442)),0),0)</f>
        <v>0</v>
      </c>
      <c r="N442" s="32">
        <f t="shared" si="109"/>
        <v>0</v>
      </c>
      <c r="O442" s="32">
        <f t="shared" si="110"/>
        <v>10751874</v>
      </c>
      <c r="P442" s="34" t="str">
        <f>IF(NOT(AND(T441="",A442&lt;=S441)),"",IF(A442=入力!$B$15+1,"繰上返済後再計算","")&amp;IF(AND(入力!$B$13="有効",A442&gt;1,MOD(A442-1,60)=0),IF(A442=入力!$B$15+1,"・","")&amp;"5年見直し","")&amp;IF(AND(A442=入力!$B$11,A442&gt;1),IF(OR(A442=入力!$B$15+1,AND(入力!$B$13="有効",A442&gt;1,MOD(A442-1,60)=0)),"・","")&amp;"金利変更","")&amp;IF(AND(OR(AND(入力!$B$13="有効",A442&gt;1,MOD(A442-1,60)=0),AND(A442=入力!$B$11,A442&gt;1)),入力!$B$14="有効",IF(E442=0,ROUND(C442/MAX(1,S441-A442+1),0),ROUND(-PMT(E442/12,MAX(1,S441-A442+1),C442),0))&gt;ROUND(G441*1.25,0),NOT(A442=入力!$B$15+1)),"・上限適用",""))</f>
        <v/>
      </c>
      <c r="Q442" s="35" t="str">
        <f>IF(AND(T441="",A442&lt;=S441),入力!$B$13,"")</f>
        <v/>
      </c>
      <c r="R442" s="32" t="str">
        <f>IF(AND(AND(T441="",A442&lt;=S441),OR(AND(入力!$B$13="有効",A442&gt;1,MOD(A442-1,60)=0),AND(A442=入力!$B$11,A442&gt;1)),入力!$B$14="有効"),ROUND(G441*1.25,0),"")</f>
        <v/>
      </c>
      <c r="S442" s="36">
        <f>IF(A442=入力!$B$15,A442+入力!$B$19,S441)</f>
        <v>360</v>
      </c>
      <c r="T442" s="35" t="str">
        <f t="shared" si="111"/>
        <v/>
      </c>
      <c r="U442" s="3">
        <f t="shared" si="96"/>
        <v>0</v>
      </c>
      <c r="V442" s="3">
        <f t="shared" si="97"/>
        <v>0</v>
      </c>
      <c r="W442" s="3">
        <f t="shared" si="98"/>
        <v>0</v>
      </c>
      <c r="X442" s="3">
        <f t="shared" si="99"/>
        <v>0</v>
      </c>
      <c r="Y442" s="3">
        <f>IF(A442&lt;入力!$B$15,ABS(G442-何もしない_月次!G442),0)</f>
        <v>0</v>
      </c>
      <c r="Z442" s="3">
        <f t="shared" si="100"/>
        <v>0</v>
      </c>
      <c r="AA442">
        <f>ROUND(IF(A442=入力!$B$15+1,IF(E442=0,ROUND(C442/入力!$B$19,0),ROUND(-PMT(E442/12,入力!$B$19,C442),0)),IF(OR(AND(入力!$B$13="有効",A442&gt;1,MOD(A442-1,60)=0),AND(A442=入力!$B$11,A442&gt;1)),IF(入力!$B$14="有効",MIN(IF(E442=0,ROUND(C442/MAX(1,S441-A442+1),0),ROUND(-PMT(E442/12,MAX(1,S441-A442+1),C442),0)),ROUND(G441*1.25,0)),IF(E442=0,ROUND(C442/MAX(1,S441-A442+1),0),ROUND(-PMT(E442/12,MAX(1,S441-A442+1),C442),0))),G441)),0)</f>
        <v>0</v>
      </c>
    </row>
    <row r="443" spans="1:27">
      <c r="A443" s="30">
        <f>438</f>
        <v>438</v>
      </c>
      <c r="B443" s="31">
        <f>EDATE(入力!$B$6,A443-1)</f>
        <v>59537</v>
      </c>
      <c r="C443" s="32">
        <f t="shared" si="101"/>
        <v>0</v>
      </c>
      <c r="D443" s="32">
        <f t="shared" si="102"/>
        <v>0</v>
      </c>
      <c r="E443" s="33">
        <f>IF(AND(T442="",A443&lt;=S442),IF(A443&lt;入力!$B$11,入力!$B$10,入力!$B$12),0)</f>
        <v>0</v>
      </c>
      <c r="F443" s="32">
        <f t="shared" si="103"/>
        <v>0</v>
      </c>
      <c r="G443" s="32">
        <f>ROUND(IF(NOT(AND(T442="",A443&lt;=S442)),0,IF(A443=入力!$B$15+1,IF(E443=0,ROUND(C443/入力!$B$19,0),ROUND(-PMT(E443/12,入力!$B$19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),0)</f>
        <v>0</v>
      </c>
      <c r="H443" s="32">
        <f t="shared" si="104"/>
        <v>0</v>
      </c>
      <c r="I443" s="32">
        <f t="shared" si="105"/>
        <v>0</v>
      </c>
      <c r="J443" s="32">
        <f t="shared" si="106"/>
        <v>0</v>
      </c>
      <c r="K443" s="32">
        <f t="shared" si="107"/>
        <v>0</v>
      </c>
      <c r="L443" s="32">
        <f t="shared" si="108"/>
        <v>0</v>
      </c>
      <c r="M443" s="32">
        <f>IF(AND(AND(T442="",A443&lt;=S442),A443=入力!$B$15),ROUND(MIN(入力!$B$16,MAX(0,C443-L443)),0),0)</f>
        <v>0</v>
      </c>
      <c r="N443" s="32">
        <f t="shared" si="109"/>
        <v>0</v>
      </c>
      <c r="O443" s="32">
        <f t="shared" si="110"/>
        <v>10751874</v>
      </c>
      <c r="P443" s="34" t="str">
        <f>IF(NOT(AND(T442="",A443&lt;=S442)),"",IF(A443=入力!$B$15+1,"繰上返済後再計算","")&amp;IF(AND(入力!$B$13="有効",A443&gt;1,MOD(A443-1,60)=0),IF(A443=入力!$B$15+1,"・","")&amp;"5年見直し","")&amp;IF(AND(A443=入力!$B$11,A443&gt;1),IF(OR(A443=入力!$B$15+1,AND(入力!$B$13="有効",A443&gt;1,MOD(A443-1,60)=0)),"・","")&amp;"金利変更","")&amp;IF(AND(OR(AND(入力!$B$13="有効",A443&gt;1,MOD(A443-1,60)=0),AND(A443=入力!$B$11,A443&gt;1)),入力!$B$14="有効",IF(E443=0,ROUND(C443/MAX(1,S442-A443+1),0),ROUND(-PMT(E443/12,MAX(1,S442-A443+1),C443),0))&gt;ROUND(G442*1.25,0),NOT(A443=入力!$B$15+1)),"・上限適用",""))</f>
        <v/>
      </c>
      <c r="Q443" s="35" t="str">
        <f>IF(AND(T442="",A443&lt;=S442),入力!$B$13,"")</f>
        <v/>
      </c>
      <c r="R443" s="32" t="str">
        <f>IF(AND(AND(T442="",A443&lt;=S442),OR(AND(入力!$B$13="有効",A443&gt;1,MOD(A443-1,60)=0),AND(A443=入力!$B$11,A443&gt;1)),入力!$B$14="有効"),ROUND(G442*1.25,0),"")</f>
        <v/>
      </c>
      <c r="S443" s="36">
        <f>IF(A443=入力!$B$15,A443+入力!$B$19,S442)</f>
        <v>360</v>
      </c>
      <c r="T443" s="35" t="str">
        <f t="shared" si="111"/>
        <v/>
      </c>
      <c r="U443" s="3">
        <f t="shared" si="96"/>
        <v>0</v>
      </c>
      <c r="V443" s="3">
        <f t="shared" si="97"/>
        <v>0</v>
      </c>
      <c r="W443" s="3">
        <f t="shared" si="98"/>
        <v>0</v>
      </c>
      <c r="X443" s="3">
        <f t="shared" si="99"/>
        <v>0</v>
      </c>
      <c r="Y443" s="3">
        <f>IF(A443&lt;入力!$B$15,ABS(G443-何もしない_月次!G443),0)</f>
        <v>0</v>
      </c>
      <c r="Z443" s="3">
        <f t="shared" si="100"/>
        <v>0</v>
      </c>
      <c r="AA443">
        <f>ROUND(IF(A443=入力!$B$15+1,IF(E443=0,ROUND(C443/入力!$B$19,0),ROUND(-PMT(E443/12,入力!$B$19,C443),0)),IF(OR(AND(入力!$B$13="有効",A443&gt;1,MOD(A443-1,60)=0),AND(A443=入力!$B$11,A443&gt;1)),IF(入力!$B$14="有効",MIN(IF(E443=0,ROUND(C443/MAX(1,S442-A443+1),0),ROUND(-PMT(E443/12,MAX(1,S442-A443+1),C443),0)),ROUND(G442*1.25,0)),IF(E443=0,ROUND(C443/MAX(1,S442-A443+1),0),ROUND(-PMT(E443/12,MAX(1,S442-A443+1),C443),0))),G442)),0)</f>
        <v>0</v>
      </c>
    </row>
    <row r="444" spans="1:27">
      <c r="A444" s="30">
        <f>439</f>
        <v>439</v>
      </c>
      <c r="B444" s="31">
        <f>EDATE(入力!$B$6,A444-1)</f>
        <v>59568</v>
      </c>
      <c r="C444" s="32">
        <f t="shared" si="101"/>
        <v>0</v>
      </c>
      <c r="D444" s="32">
        <f t="shared" si="102"/>
        <v>0</v>
      </c>
      <c r="E444" s="33">
        <f>IF(AND(T443="",A444&lt;=S443),IF(A444&lt;入力!$B$11,入力!$B$10,入力!$B$12),0)</f>
        <v>0</v>
      </c>
      <c r="F444" s="32">
        <f t="shared" si="103"/>
        <v>0</v>
      </c>
      <c r="G444" s="32">
        <f>ROUND(IF(NOT(AND(T443="",A444&lt;=S443)),0,IF(A444=入力!$B$15+1,IF(E444=0,ROUND(C444/入力!$B$19,0),ROUND(-PMT(E444/12,入力!$B$19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),0)</f>
        <v>0</v>
      </c>
      <c r="H444" s="32">
        <f t="shared" si="104"/>
        <v>0</v>
      </c>
      <c r="I444" s="32">
        <f t="shared" si="105"/>
        <v>0</v>
      </c>
      <c r="J444" s="32">
        <f t="shared" si="106"/>
        <v>0</v>
      </c>
      <c r="K444" s="32">
        <f t="shared" si="107"/>
        <v>0</v>
      </c>
      <c r="L444" s="32">
        <f t="shared" si="108"/>
        <v>0</v>
      </c>
      <c r="M444" s="32">
        <f>IF(AND(AND(T443="",A444&lt;=S443),A444=入力!$B$15),ROUND(MIN(入力!$B$16,MAX(0,C444-L444)),0),0)</f>
        <v>0</v>
      </c>
      <c r="N444" s="32">
        <f t="shared" si="109"/>
        <v>0</v>
      </c>
      <c r="O444" s="32">
        <f t="shared" si="110"/>
        <v>10751874</v>
      </c>
      <c r="P444" s="34" t="str">
        <f>IF(NOT(AND(T443="",A444&lt;=S443)),"",IF(A444=入力!$B$15+1,"繰上返済後再計算","")&amp;IF(AND(入力!$B$13="有効",A444&gt;1,MOD(A444-1,60)=0),IF(A444=入力!$B$15+1,"・","")&amp;"5年見直し","")&amp;IF(AND(A444=入力!$B$11,A444&gt;1),IF(OR(A444=入力!$B$15+1,AND(入力!$B$13="有効",A444&gt;1,MOD(A444-1,60)=0)),"・","")&amp;"金利変更","")&amp;IF(AND(OR(AND(入力!$B$13="有効",A444&gt;1,MOD(A444-1,60)=0),AND(A444=入力!$B$11,A444&gt;1)),入力!$B$14="有効",IF(E444=0,ROUND(C444/MAX(1,S443-A444+1),0),ROUND(-PMT(E444/12,MAX(1,S443-A444+1),C444),0))&gt;ROUND(G443*1.25,0),NOT(A444=入力!$B$15+1)),"・上限適用",""))</f>
        <v/>
      </c>
      <c r="Q444" s="35" t="str">
        <f>IF(AND(T443="",A444&lt;=S443),入力!$B$13,"")</f>
        <v/>
      </c>
      <c r="R444" s="32" t="str">
        <f>IF(AND(AND(T443="",A444&lt;=S443),OR(AND(入力!$B$13="有効",A444&gt;1,MOD(A444-1,60)=0),AND(A444=入力!$B$11,A444&gt;1)),入力!$B$14="有効"),ROUND(G443*1.25,0),"")</f>
        <v/>
      </c>
      <c r="S444" s="36">
        <f>IF(A444=入力!$B$15,A444+入力!$B$19,S443)</f>
        <v>360</v>
      </c>
      <c r="T444" s="35" t="str">
        <f t="shared" si="111"/>
        <v/>
      </c>
      <c r="U444" s="3">
        <f t="shared" si="96"/>
        <v>0</v>
      </c>
      <c r="V444" s="3">
        <f t="shared" si="97"/>
        <v>0</v>
      </c>
      <c r="W444" s="3">
        <f t="shared" si="98"/>
        <v>0</v>
      </c>
      <c r="X444" s="3">
        <f t="shared" si="99"/>
        <v>0</v>
      </c>
      <c r="Y444" s="3">
        <f>IF(A444&lt;入力!$B$15,ABS(G444-何もしない_月次!G444),0)</f>
        <v>0</v>
      </c>
      <c r="Z444" s="3">
        <f t="shared" si="100"/>
        <v>0</v>
      </c>
      <c r="AA444">
        <f>ROUND(IF(A444=入力!$B$15+1,IF(E444=0,ROUND(C444/入力!$B$19,0),ROUND(-PMT(E444/12,入力!$B$19,C444),0)),IF(OR(AND(入力!$B$13="有効",A444&gt;1,MOD(A444-1,60)=0),AND(A444=入力!$B$11,A444&gt;1)),IF(入力!$B$14="有効",MIN(IF(E444=0,ROUND(C444/MAX(1,S443-A444+1),0),ROUND(-PMT(E444/12,MAX(1,S443-A444+1),C444),0)),ROUND(G443*1.25,0)),IF(E444=0,ROUND(C444/MAX(1,S443-A444+1),0),ROUND(-PMT(E444/12,MAX(1,S443-A444+1),C444),0))),G443)),0)</f>
        <v>0</v>
      </c>
    </row>
    <row r="445" spans="1:27">
      <c r="A445" s="30">
        <f>440</f>
        <v>440</v>
      </c>
      <c r="B445" s="31">
        <f>EDATE(入力!$B$6,A445-1)</f>
        <v>59596</v>
      </c>
      <c r="C445" s="32">
        <f t="shared" si="101"/>
        <v>0</v>
      </c>
      <c r="D445" s="32">
        <f t="shared" si="102"/>
        <v>0</v>
      </c>
      <c r="E445" s="33">
        <f>IF(AND(T444="",A445&lt;=S444),IF(A445&lt;入力!$B$11,入力!$B$10,入力!$B$12),0)</f>
        <v>0</v>
      </c>
      <c r="F445" s="32">
        <f t="shared" si="103"/>
        <v>0</v>
      </c>
      <c r="G445" s="32">
        <f>ROUND(IF(NOT(AND(T444="",A445&lt;=S444)),0,IF(A445=入力!$B$15+1,IF(E445=0,ROUND(C445/入力!$B$19,0),ROUND(-PMT(E445/12,入力!$B$19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),0)</f>
        <v>0</v>
      </c>
      <c r="H445" s="32">
        <f t="shared" si="104"/>
        <v>0</v>
      </c>
      <c r="I445" s="32">
        <f t="shared" si="105"/>
        <v>0</v>
      </c>
      <c r="J445" s="32">
        <f t="shared" si="106"/>
        <v>0</v>
      </c>
      <c r="K445" s="32">
        <f t="shared" si="107"/>
        <v>0</v>
      </c>
      <c r="L445" s="32">
        <f t="shared" si="108"/>
        <v>0</v>
      </c>
      <c r="M445" s="32">
        <f>IF(AND(AND(T444="",A445&lt;=S444),A445=入力!$B$15),ROUND(MIN(入力!$B$16,MAX(0,C445-L445)),0),0)</f>
        <v>0</v>
      </c>
      <c r="N445" s="32">
        <f t="shared" si="109"/>
        <v>0</v>
      </c>
      <c r="O445" s="32">
        <f t="shared" si="110"/>
        <v>10751874</v>
      </c>
      <c r="P445" s="34" t="str">
        <f>IF(NOT(AND(T444="",A445&lt;=S444)),"",IF(A445=入力!$B$15+1,"繰上返済後再計算","")&amp;IF(AND(入力!$B$13="有効",A445&gt;1,MOD(A445-1,60)=0),IF(A445=入力!$B$15+1,"・","")&amp;"5年見直し","")&amp;IF(AND(A445=入力!$B$11,A445&gt;1),IF(OR(A445=入力!$B$15+1,AND(入力!$B$13="有効",A445&gt;1,MOD(A445-1,60)=0)),"・","")&amp;"金利変更","")&amp;IF(AND(OR(AND(入力!$B$13="有効",A445&gt;1,MOD(A445-1,60)=0),AND(A445=入力!$B$11,A445&gt;1)),入力!$B$14="有効",IF(E445=0,ROUND(C445/MAX(1,S444-A445+1),0),ROUND(-PMT(E445/12,MAX(1,S444-A445+1),C445),0))&gt;ROUND(G444*1.25,0),NOT(A445=入力!$B$15+1)),"・上限適用",""))</f>
        <v/>
      </c>
      <c r="Q445" s="35" t="str">
        <f>IF(AND(T444="",A445&lt;=S444),入力!$B$13,"")</f>
        <v/>
      </c>
      <c r="R445" s="32" t="str">
        <f>IF(AND(AND(T444="",A445&lt;=S444),OR(AND(入力!$B$13="有効",A445&gt;1,MOD(A445-1,60)=0),AND(A445=入力!$B$11,A445&gt;1)),入力!$B$14="有効"),ROUND(G444*1.25,0),"")</f>
        <v/>
      </c>
      <c r="S445" s="36">
        <f>IF(A445=入力!$B$15,A445+入力!$B$19,S444)</f>
        <v>360</v>
      </c>
      <c r="T445" s="35" t="str">
        <f t="shared" si="111"/>
        <v/>
      </c>
      <c r="U445" s="3">
        <f t="shared" si="96"/>
        <v>0</v>
      </c>
      <c r="V445" s="3">
        <f t="shared" si="97"/>
        <v>0</v>
      </c>
      <c r="W445" s="3">
        <f t="shared" si="98"/>
        <v>0</v>
      </c>
      <c r="X445" s="3">
        <f t="shared" si="99"/>
        <v>0</v>
      </c>
      <c r="Y445" s="3">
        <f>IF(A445&lt;入力!$B$15,ABS(G445-何もしない_月次!G445),0)</f>
        <v>0</v>
      </c>
      <c r="Z445" s="3">
        <f t="shared" si="100"/>
        <v>0</v>
      </c>
      <c r="AA445">
        <f>ROUND(IF(A445=入力!$B$15+1,IF(E445=0,ROUND(C445/入力!$B$19,0),ROUND(-PMT(E445/12,入力!$B$19,C445),0)),IF(OR(AND(入力!$B$13="有効",A445&gt;1,MOD(A445-1,60)=0),AND(A445=入力!$B$11,A445&gt;1)),IF(入力!$B$14="有効",MIN(IF(E445=0,ROUND(C445/MAX(1,S444-A445+1),0),ROUND(-PMT(E445/12,MAX(1,S444-A445+1),C445),0)),ROUND(G444*1.25,0)),IF(E445=0,ROUND(C445/MAX(1,S444-A445+1),0),ROUND(-PMT(E445/12,MAX(1,S444-A445+1),C445),0))),G444)),0)</f>
        <v>0</v>
      </c>
    </row>
    <row r="446" spans="1:27">
      <c r="A446" s="30">
        <f>441</f>
        <v>441</v>
      </c>
      <c r="B446" s="31">
        <f>EDATE(入力!$B$6,A446-1)</f>
        <v>59627</v>
      </c>
      <c r="C446" s="32">
        <f t="shared" si="101"/>
        <v>0</v>
      </c>
      <c r="D446" s="32">
        <f t="shared" si="102"/>
        <v>0</v>
      </c>
      <c r="E446" s="33">
        <f>IF(AND(T445="",A446&lt;=S445),IF(A446&lt;入力!$B$11,入力!$B$10,入力!$B$12),0)</f>
        <v>0</v>
      </c>
      <c r="F446" s="32">
        <f t="shared" si="103"/>
        <v>0</v>
      </c>
      <c r="G446" s="32">
        <f>ROUND(IF(NOT(AND(T445="",A446&lt;=S445)),0,IF(A446=入力!$B$15+1,IF(E446=0,ROUND(C446/入力!$B$19,0),ROUND(-PMT(E446/12,入力!$B$19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),0)</f>
        <v>0</v>
      </c>
      <c r="H446" s="32">
        <f t="shared" si="104"/>
        <v>0</v>
      </c>
      <c r="I446" s="32">
        <f t="shared" si="105"/>
        <v>0</v>
      </c>
      <c r="J446" s="32">
        <f t="shared" si="106"/>
        <v>0</v>
      </c>
      <c r="K446" s="32">
        <f t="shared" si="107"/>
        <v>0</v>
      </c>
      <c r="L446" s="32">
        <f t="shared" si="108"/>
        <v>0</v>
      </c>
      <c r="M446" s="32">
        <f>IF(AND(AND(T445="",A446&lt;=S445),A446=入力!$B$15),ROUND(MIN(入力!$B$16,MAX(0,C446-L446)),0),0)</f>
        <v>0</v>
      </c>
      <c r="N446" s="32">
        <f t="shared" si="109"/>
        <v>0</v>
      </c>
      <c r="O446" s="32">
        <f t="shared" si="110"/>
        <v>10751874</v>
      </c>
      <c r="P446" s="34" t="str">
        <f>IF(NOT(AND(T445="",A446&lt;=S445)),"",IF(A446=入力!$B$15+1,"繰上返済後再計算","")&amp;IF(AND(入力!$B$13="有効",A446&gt;1,MOD(A446-1,60)=0),IF(A446=入力!$B$15+1,"・","")&amp;"5年見直し","")&amp;IF(AND(A446=入力!$B$11,A446&gt;1),IF(OR(A446=入力!$B$15+1,AND(入力!$B$13="有効",A446&gt;1,MOD(A446-1,60)=0)),"・","")&amp;"金利変更","")&amp;IF(AND(OR(AND(入力!$B$13="有効",A446&gt;1,MOD(A446-1,60)=0),AND(A446=入力!$B$11,A446&gt;1)),入力!$B$14="有効",IF(E446=0,ROUND(C446/MAX(1,S445-A446+1),0),ROUND(-PMT(E446/12,MAX(1,S445-A446+1),C446),0))&gt;ROUND(G445*1.25,0),NOT(A446=入力!$B$15+1)),"・上限適用",""))</f>
        <v/>
      </c>
      <c r="Q446" s="35" t="str">
        <f>IF(AND(T445="",A446&lt;=S445),入力!$B$13,"")</f>
        <v/>
      </c>
      <c r="R446" s="32" t="str">
        <f>IF(AND(AND(T445="",A446&lt;=S445),OR(AND(入力!$B$13="有効",A446&gt;1,MOD(A446-1,60)=0),AND(A446=入力!$B$11,A446&gt;1)),入力!$B$14="有効"),ROUND(G445*1.25,0),"")</f>
        <v/>
      </c>
      <c r="S446" s="36">
        <f>IF(A446=入力!$B$15,A446+入力!$B$19,S445)</f>
        <v>360</v>
      </c>
      <c r="T446" s="35" t="str">
        <f t="shared" si="111"/>
        <v/>
      </c>
      <c r="U446" s="3">
        <f t="shared" si="96"/>
        <v>0</v>
      </c>
      <c r="V446" s="3">
        <f t="shared" si="97"/>
        <v>0</v>
      </c>
      <c r="W446" s="3">
        <f t="shared" si="98"/>
        <v>0</v>
      </c>
      <c r="X446" s="3">
        <f t="shared" si="99"/>
        <v>0</v>
      </c>
      <c r="Y446" s="3">
        <f>IF(A446&lt;入力!$B$15,ABS(G446-何もしない_月次!G446),0)</f>
        <v>0</v>
      </c>
      <c r="Z446" s="3">
        <f t="shared" si="100"/>
        <v>0</v>
      </c>
      <c r="AA446">
        <f>ROUND(IF(A446=入力!$B$15+1,IF(E446=0,ROUND(C446/入力!$B$19,0),ROUND(-PMT(E446/12,入力!$B$19,C446),0)),IF(OR(AND(入力!$B$13="有効",A446&gt;1,MOD(A446-1,60)=0),AND(A446=入力!$B$11,A446&gt;1)),IF(入力!$B$14="有効",MIN(IF(E446=0,ROUND(C446/MAX(1,S445-A446+1),0),ROUND(-PMT(E446/12,MAX(1,S445-A446+1),C446),0)),ROUND(G445*1.25,0)),IF(E446=0,ROUND(C446/MAX(1,S445-A446+1),0),ROUND(-PMT(E446/12,MAX(1,S445-A446+1),C446),0))),G445)),0)</f>
        <v>0</v>
      </c>
    </row>
    <row r="447" spans="1:27">
      <c r="A447" s="30">
        <f>442</f>
        <v>442</v>
      </c>
      <c r="B447" s="31">
        <f>EDATE(入力!$B$6,A447-1)</f>
        <v>59657</v>
      </c>
      <c r="C447" s="32">
        <f t="shared" si="101"/>
        <v>0</v>
      </c>
      <c r="D447" s="32">
        <f t="shared" si="102"/>
        <v>0</v>
      </c>
      <c r="E447" s="33">
        <f>IF(AND(T446="",A447&lt;=S446),IF(A447&lt;入力!$B$11,入力!$B$10,入力!$B$12),0)</f>
        <v>0</v>
      </c>
      <c r="F447" s="32">
        <f t="shared" si="103"/>
        <v>0</v>
      </c>
      <c r="G447" s="32">
        <f>ROUND(IF(NOT(AND(T446="",A447&lt;=S446)),0,IF(A447=入力!$B$15+1,IF(E447=0,ROUND(C447/入力!$B$19,0),ROUND(-PMT(E447/12,入力!$B$19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),0)</f>
        <v>0</v>
      </c>
      <c r="H447" s="32">
        <f t="shared" si="104"/>
        <v>0</v>
      </c>
      <c r="I447" s="32">
        <f t="shared" si="105"/>
        <v>0</v>
      </c>
      <c r="J447" s="32">
        <f t="shared" si="106"/>
        <v>0</v>
      </c>
      <c r="K447" s="32">
        <f t="shared" si="107"/>
        <v>0</v>
      </c>
      <c r="L447" s="32">
        <f t="shared" si="108"/>
        <v>0</v>
      </c>
      <c r="M447" s="32">
        <f>IF(AND(AND(T446="",A447&lt;=S446),A447=入力!$B$15),ROUND(MIN(入力!$B$16,MAX(0,C447-L447)),0),0)</f>
        <v>0</v>
      </c>
      <c r="N447" s="32">
        <f t="shared" si="109"/>
        <v>0</v>
      </c>
      <c r="O447" s="32">
        <f t="shared" si="110"/>
        <v>10751874</v>
      </c>
      <c r="P447" s="34" t="str">
        <f>IF(NOT(AND(T446="",A447&lt;=S446)),"",IF(A447=入力!$B$15+1,"繰上返済後再計算","")&amp;IF(AND(入力!$B$13="有効",A447&gt;1,MOD(A447-1,60)=0),IF(A447=入力!$B$15+1,"・","")&amp;"5年見直し","")&amp;IF(AND(A447=入力!$B$11,A447&gt;1),IF(OR(A447=入力!$B$15+1,AND(入力!$B$13="有効",A447&gt;1,MOD(A447-1,60)=0)),"・","")&amp;"金利変更","")&amp;IF(AND(OR(AND(入力!$B$13="有効",A447&gt;1,MOD(A447-1,60)=0),AND(A447=入力!$B$11,A447&gt;1)),入力!$B$14="有効",IF(E447=0,ROUND(C447/MAX(1,S446-A447+1),0),ROUND(-PMT(E447/12,MAX(1,S446-A447+1),C447),0))&gt;ROUND(G446*1.25,0),NOT(A447=入力!$B$15+1)),"・上限適用",""))</f>
        <v/>
      </c>
      <c r="Q447" s="35" t="str">
        <f>IF(AND(T446="",A447&lt;=S446),入力!$B$13,"")</f>
        <v/>
      </c>
      <c r="R447" s="32" t="str">
        <f>IF(AND(AND(T446="",A447&lt;=S446),OR(AND(入力!$B$13="有効",A447&gt;1,MOD(A447-1,60)=0),AND(A447=入力!$B$11,A447&gt;1)),入力!$B$14="有効"),ROUND(G446*1.25,0),"")</f>
        <v/>
      </c>
      <c r="S447" s="36">
        <f>IF(A447=入力!$B$15,A447+入力!$B$19,S446)</f>
        <v>360</v>
      </c>
      <c r="T447" s="35" t="str">
        <f t="shared" si="111"/>
        <v/>
      </c>
      <c r="U447" s="3">
        <f t="shared" si="96"/>
        <v>0</v>
      </c>
      <c r="V447" s="3">
        <f t="shared" si="97"/>
        <v>0</v>
      </c>
      <c r="W447" s="3">
        <f t="shared" si="98"/>
        <v>0</v>
      </c>
      <c r="X447" s="3">
        <f t="shared" si="99"/>
        <v>0</v>
      </c>
      <c r="Y447" s="3">
        <f>IF(A447&lt;入力!$B$15,ABS(G447-何もしない_月次!G447),0)</f>
        <v>0</v>
      </c>
      <c r="Z447" s="3">
        <f t="shared" si="100"/>
        <v>0</v>
      </c>
      <c r="AA447">
        <f>ROUND(IF(A447=入力!$B$15+1,IF(E447=0,ROUND(C447/入力!$B$19,0),ROUND(-PMT(E447/12,入力!$B$19,C447),0)),IF(OR(AND(入力!$B$13="有効",A447&gt;1,MOD(A447-1,60)=0),AND(A447=入力!$B$11,A447&gt;1)),IF(入力!$B$14="有効",MIN(IF(E447=0,ROUND(C447/MAX(1,S446-A447+1),0),ROUND(-PMT(E447/12,MAX(1,S446-A447+1),C447),0)),ROUND(G446*1.25,0)),IF(E447=0,ROUND(C447/MAX(1,S446-A447+1),0),ROUND(-PMT(E447/12,MAX(1,S446-A447+1),C447),0))),G446)),0)</f>
        <v>0</v>
      </c>
    </row>
    <row r="448" spans="1:27">
      <c r="A448" s="30">
        <f>443</f>
        <v>443</v>
      </c>
      <c r="B448" s="31">
        <f>EDATE(入力!$B$6,A448-1)</f>
        <v>59688</v>
      </c>
      <c r="C448" s="32">
        <f t="shared" si="101"/>
        <v>0</v>
      </c>
      <c r="D448" s="32">
        <f t="shared" si="102"/>
        <v>0</v>
      </c>
      <c r="E448" s="33">
        <f>IF(AND(T447="",A448&lt;=S447),IF(A448&lt;入力!$B$11,入力!$B$10,入力!$B$12),0)</f>
        <v>0</v>
      </c>
      <c r="F448" s="32">
        <f t="shared" si="103"/>
        <v>0</v>
      </c>
      <c r="G448" s="32">
        <f>ROUND(IF(NOT(AND(T447="",A448&lt;=S447)),0,IF(A448=入力!$B$15+1,IF(E448=0,ROUND(C448/入力!$B$19,0),ROUND(-PMT(E448/12,入力!$B$19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),0)</f>
        <v>0</v>
      </c>
      <c r="H448" s="32">
        <f t="shared" si="104"/>
        <v>0</v>
      </c>
      <c r="I448" s="32">
        <f t="shared" si="105"/>
        <v>0</v>
      </c>
      <c r="J448" s="32">
        <f t="shared" si="106"/>
        <v>0</v>
      </c>
      <c r="K448" s="32">
        <f t="shared" si="107"/>
        <v>0</v>
      </c>
      <c r="L448" s="32">
        <f t="shared" si="108"/>
        <v>0</v>
      </c>
      <c r="M448" s="32">
        <f>IF(AND(AND(T447="",A448&lt;=S447),A448=入力!$B$15),ROUND(MIN(入力!$B$16,MAX(0,C448-L448)),0),0)</f>
        <v>0</v>
      </c>
      <c r="N448" s="32">
        <f t="shared" si="109"/>
        <v>0</v>
      </c>
      <c r="O448" s="32">
        <f t="shared" si="110"/>
        <v>10751874</v>
      </c>
      <c r="P448" s="34" t="str">
        <f>IF(NOT(AND(T447="",A448&lt;=S447)),"",IF(A448=入力!$B$15+1,"繰上返済後再計算","")&amp;IF(AND(入力!$B$13="有効",A448&gt;1,MOD(A448-1,60)=0),IF(A448=入力!$B$15+1,"・","")&amp;"5年見直し","")&amp;IF(AND(A448=入力!$B$11,A448&gt;1),IF(OR(A448=入力!$B$15+1,AND(入力!$B$13="有効",A448&gt;1,MOD(A448-1,60)=0)),"・","")&amp;"金利変更","")&amp;IF(AND(OR(AND(入力!$B$13="有効",A448&gt;1,MOD(A448-1,60)=0),AND(A448=入力!$B$11,A448&gt;1)),入力!$B$14="有効",IF(E448=0,ROUND(C448/MAX(1,S447-A448+1),0),ROUND(-PMT(E448/12,MAX(1,S447-A448+1),C448),0))&gt;ROUND(G447*1.25,0),NOT(A448=入力!$B$15+1)),"・上限適用",""))</f>
        <v/>
      </c>
      <c r="Q448" s="35" t="str">
        <f>IF(AND(T447="",A448&lt;=S447),入力!$B$13,"")</f>
        <v/>
      </c>
      <c r="R448" s="32" t="str">
        <f>IF(AND(AND(T447="",A448&lt;=S447),OR(AND(入力!$B$13="有効",A448&gt;1,MOD(A448-1,60)=0),AND(A448=入力!$B$11,A448&gt;1)),入力!$B$14="有効"),ROUND(G447*1.25,0),"")</f>
        <v/>
      </c>
      <c r="S448" s="36">
        <f>IF(A448=入力!$B$15,A448+入力!$B$19,S447)</f>
        <v>360</v>
      </c>
      <c r="T448" s="35" t="str">
        <f t="shared" si="111"/>
        <v/>
      </c>
      <c r="U448" s="3">
        <f t="shared" si="96"/>
        <v>0</v>
      </c>
      <c r="V448" s="3">
        <f t="shared" si="97"/>
        <v>0</v>
      </c>
      <c r="W448" s="3">
        <f t="shared" si="98"/>
        <v>0</v>
      </c>
      <c r="X448" s="3">
        <f t="shared" si="99"/>
        <v>0</v>
      </c>
      <c r="Y448" s="3">
        <f>IF(A448&lt;入力!$B$15,ABS(G448-何もしない_月次!G448),0)</f>
        <v>0</v>
      </c>
      <c r="Z448" s="3">
        <f t="shared" si="100"/>
        <v>0</v>
      </c>
      <c r="AA448">
        <f>ROUND(IF(A448=入力!$B$15+1,IF(E448=0,ROUND(C448/入力!$B$19,0),ROUND(-PMT(E448/12,入力!$B$19,C448),0)),IF(OR(AND(入力!$B$13="有効",A448&gt;1,MOD(A448-1,60)=0),AND(A448=入力!$B$11,A448&gt;1)),IF(入力!$B$14="有効",MIN(IF(E448=0,ROUND(C448/MAX(1,S447-A448+1),0),ROUND(-PMT(E448/12,MAX(1,S447-A448+1),C448),0)),ROUND(G447*1.25,0)),IF(E448=0,ROUND(C448/MAX(1,S447-A448+1),0),ROUND(-PMT(E448/12,MAX(1,S447-A448+1),C448),0))),G447)),0)</f>
        <v>0</v>
      </c>
    </row>
    <row r="449" spans="1:27">
      <c r="A449" s="30">
        <f>444</f>
        <v>444</v>
      </c>
      <c r="B449" s="31">
        <f>EDATE(入力!$B$6,A449-1)</f>
        <v>59718</v>
      </c>
      <c r="C449" s="32">
        <f t="shared" si="101"/>
        <v>0</v>
      </c>
      <c r="D449" s="32">
        <f t="shared" si="102"/>
        <v>0</v>
      </c>
      <c r="E449" s="33">
        <f>IF(AND(T448="",A449&lt;=S448),IF(A449&lt;入力!$B$11,入力!$B$10,入力!$B$12),0)</f>
        <v>0</v>
      </c>
      <c r="F449" s="32">
        <f t="shared" si="103"/>
        <v>0</v>
      </c>
      <c r="G449" s="32">
        <f>ROUND(IF(NOT(AND(T448="",A449&lt;=S448)),0,IF(A449=入力!$B$15+1,IF(E449=0,ROUND(C449/入力!$B$19,0),ROUND(-PMT(E449/12,入力!$B$19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),0)</f>
        <v>0</v>
      </c>
      <c r="H449" s="32">
        <f t="shared" si="104"/>
        <v>0</v>
      </c>
      <c r="I449" s="32">
        <f t="shared" si="105"/>
        <v>0</v>
      </c>
      <c r="J449" s="32">
        <f t="shared" si="106"/>
        <v>0</v>
      </c>
      <c r="K449" s="32">
        <f t="shared" si="107"/>
        <v>0</v>
      </c>
      <c r="L449" s="32">
        <f t="shared" si="108"/>
        <v>0</v>
      </c>
      <c r="M449" s="32">
        <f>IF(AND(AND(T448="",A449&lt;=S448),A449=入力!$B$15),ROUND(MIN(入力!$B$16,MAX(0,C449-L449)),0),0)</f>
        <v>0</v>
      </c>
      <c r="N449" s="32">
        <f t="shared" si="109"/>
        <v>0</v>
      </c>
      <c r="O449" s="32">
        <f t="shared" si="110"/>
        <v>10751874</v>
      </c>
      <c r="P449" s="34" t="str">
        <f>IF(NOT(AND(T448="",A449&lt;=S448)),"",IF(A449=入力!$B$15+1,"繰上返済後再計算","")&amp;IF(AND(入力!$B$13="有効",A449&gt;1,MOD(A449-1,60)=0),IF(A449=入力!$B$15+1,"・","")&amp;"5年見直し","")&amp;IF(AND(A449=入力!$B$11,A449&gt;1),IF(OR(A449=入力!$B$15+1,AND(入力!$B$13="有効",A449&gt;1,MOD(A449-1,60)=0)),"・","")&amp;"金利変更","")&amp;IF(AND(OR(AND(入力!$B$13="有効",A449&gt;1,MOD(A449-1,60)=0),AND(A449=入力!$B$11,A449&gt;1)),入力!$B$14="有効",IF(E449=0,ROUND(C449/MAX(1,S448-A449+1),0),ROUND(-PMT(E449/12,MAX(1,S448-A449+1),C449),0))&gt;ROUND(G448*1.25,0),NOT(A449=入力!$B$15+1)),"・上限適用",""))</f>
        <v/>
      </c>
      <c r="Q449" s="35" t="str">
        <f>IF(AND(T448="",A449&lt;=S448),入力!$B$13,"")</f>
        <v/>
      </c>
      <c r="R449" s="32" t="str">
        <f>IF(AND(AND(T448="",A449&lt;=S448),OR(AND(入力!$B$13="有効",A449&gt;1,MOD(A449-1,60)=0),AND(A449=入力!$B$11,A449&gt;1)),入力!$B$14="有効"),ROUND(G448*1.25,0),"")</f>
        <v/>
      </c>
      <c r="S449" s="36">
        <f>IF(A449=入力!$B$15,A449+入力!$B$19,S448)</f>
        <v>360</v>
      </c>
      <c r="T449" s="35" t="str">
        <f t="shared" si="111"/>
        <v/>
      </c>
      <c r="U449" s="3">
        <f t="shared" si="96"/>
        <v>0</v>
      </c>
      <c r="V449" s="3">
        <f t="shared" si="97"/>
        <v>0</v>
      </c>
      <c r="W449" s="3">
        <f t="shared" si="98"/>
        <v>0</v>
      </c>
      <c r="X449" s="3">
        <f t="shared" si="99"/>
        <v>0</v>
      </c>
      <c r="Y449" s="3">
        <f>IF(A449&lt;入力!$B$15,ABS(G449-何もしない_月次!G449),0)</f>
        <v>0</v>
      </c>
      <c r="Z449" s="3">
        <f t="shared" si="100"/>
        <v>0</v>
      </c>
      <c r="AA449">
        <f>ROUND(IF(A449=入力!$B$15+1,IF(E449=0,ROUND(C449/入力!$B$19,0),ROUND(-PMT(E449/12,入力!$B$19,C449),0)),IF(OR(AND(入力!$B$13="有効",A449&gt;1,MOD(A449-1,60)=0),AND(A449=入力!$B$11,A449&gt;1)),IF(入力!$B$14="有効",MIN(IF(E449=0,ROUND(C449/MAX(1,S448-A449+1),0),ROUND(-PMT(E449/12,MAX(1,S448-A449+1),C449),0)),ROUND(G448*1.25,0)),IF(E449=0,ROUND(C449/MAX(1,S448-A449+1),0),ROUND(-PMT(E449/12,MAX(1,S448-A449+1),C449),0))),G448)),0)</f>
        <v>0</v>
      </c>
    </row>
    <row r="450" spans="1:27">
      <c r="A450" s="30">
        <f>445</f>
        <v>445</v>
      </c>
      <c r="B450" s="31">
        <f>EDATE(入力!$B$6,A450-1)</f>
        <v>59749</v>
      </c>
      <c r="C450" s="32">
        <f t="shared" si="101"/>
        <v>0</v>
      </c>
      <c r="D450" s="32">
        <f t="shared" si="102"/>
        <v>0</v>
      </c>
      <c r="E450" s="33">
        <f>IF(AND(T449="",A450&lt;=S449),IF(A450&lt;入力!$B$11,入力!$B$10,入力!$B$12),0)</f>
        <v>0</v>
      </c>
      <c r="F450" s="32">
        <f t="shared" si="103"/>
        <v>0</v>
      </c>
      <c r="G450" s="32">
        <f>ROUND(IF(NOT(AND(T449="",A450&lt;=S449)),0,IF(A450=入力!$B$15+1,IF(E450=0,ROUND(C450/入力!$B$19,0),ROUND(-PMT(E450/12,入力!$B$19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),0)</f>
        <v>0</v>
      </c>
      <c r="H450" s="32">
        <f t="shared" si="104"/>
        <v>0</v>
      </c>
      <c r="I450" s="32">
        <f t="shared" si="105"/>
        <v>0</v>
      </c>
      <c r="J450" s="32">
        <f t="shared" si="106"/>
        <v>0</v>
      </c>
      <c r="K450" s="32">
        <f t="shared" si="107"/>
        <v>0</v>
      </c>
      <c r="L450" s="32">
        <f t="shared" si="108"/>
        <v>0</v>
      </c>
      <c r="M450" s="32">
        <f>IF(AND(AND(T449="",A450&lt;=S449),A450=入力!$B$15),ROUND(MIN(入力!$B$16,MAX(0,C450-L450)),0),0)</f>
        <v>0</v>
      </c>
      <c r="N450" s="32">
        <f t="shared" si="109"/>
        <v>0</v>
      </c>
      <c r="O450" s="32">
        <f t="shared" si="110"/>
        <v>10751874</v>
      </c>
      <c r="P450" s="34" t="str">
        <f>IF(NOT(AND(T449="",A450&lt;=S449)),"",IF(A450=入力!$B$15+1,"繰上返済後再計算","")&amp;IF(AND(入力!$B$13="有効",A450&gt;1,MOD(A450-1,60)=0),IF(A450=入力!$B$15+1,"・","")&amp;"5年見直し","")&amp;IF(AND(A450=入力!$B$11,A450&gt;1),IF(OR(A450=入力!$B$15+1,AND(入力!$B$13="有効",A450&gt;1,MOD(A450-1,60)=0)),"・","")&amp;"金利変更","")&amp;IF(AND(OR(AND(入力!$B$13="有効",A450&gt;1,MOD(A450-1,60)=0),AND(A450=入力!$B$11,A450&gt;1)),入力!$B$14="有効",IF(E450=0,ROUND(C450/MAX(1,S449-A450+1),0),ROUND(-PMT(E450/12,MAX(1,S449-A450+1),C450),0))&gt;ROUND(G449*1.25,0),NOT(A450=入力!$B$15+1)),"・上限適用",""))</f>
        <v/>
      </c>
      <c r="Q450" s="35" t="str">
        <f>IF(AND(T449="",A450&lt;=S449),入力!$B$13,"")</f>
        <v/>
      </c>
      <c r="R450" s="32" t="str">
        <f>IF(AND(AND(T449="",A450&lt;=S449),OR(AND(入力!$B$13="有効",A450&gt;1,MOD(A450-1,60)=0),AND(A450=入力!$B$11,A450&gt;1)),入力!$B$14="有効"),ROUND(G449*1.25,0),"")</f>
        <v/>
      </c>
      <c r="S450" s="36">
        <f>IF(A450=入力!$B$15,A450+入力!$B$19,S449)</f>
        <v>360</v>
      </c>
      <c r="T450" s="35" t="str">
        <f t="shared" si="111"/>
        <v/>
      </c>
      <c r="U450" s="3">
        <f t="shared" si="96"/>
        <v>0</v>
      </c>
      <c r="V450" s="3">
        <f t="shared" si="97"/>
        <v>0</v>
      </c>
      <c r="W450" s="3">
        <f t="shared" si="98"/>
        <v>0</v>
      </c>
      <c r="X450" s="3">
        <f t="shared" si="99"/>
        <v>0</v>
      </c>
      <c r="Y450" s="3">
        <f>IF(A450&lt;入力!$B$15,ABS(G450-何もしない_月次!G450),0)</f>
        <v>0</v>
      </c>
      <c r="Z450" s="3">
        <f t="shared" si="100"/>
        <v>0</v>
      </c>
      <c r="AA450">
        <f>ROUND(IF(A450=入力!$B$15+1,IF(E450=0,ROUND(C450/入力!$B$19,0),ROUND(-PMT(E450/12,入力!$B$19,C450),0)),IF(OR(AND(入力!$B$13="有効",A450&gt;1,MOD(A450-1,60)=0),AND(A450=入力!$B$11,A450&gt;1)),IF(入力!$B$14="有効",MIN(IF(E450=0,ROUND(C450/MAX(1,S449-A450+1),0),ROUND(-PMT(E450/12,MAX(1,S449-A450+1),C450),0)),ROUND(G449*1.25,0)),IF(E450=0,ROUND(C450/MAX(1,S449-A450+1),0),ROUND(-PMT(E450/12,MAX(1,S449-A450+1),C450),0))),G449)),0)</f>
        <v>0</v>
      </c>
    </row>
    <row r="451" spans="1:27">
      <c r="A451" s="30">
        <f>446</f>
        <v>446</v>
      </c>
      <c r="B451" s="31">
        <f>EDATE(入力!$B$6,A451-1)</f>
        <v>59780</v>
      </c>
      <c r="C451" s="32">
        <f t="shared" si="101"/>
        <v>0</v>
      </c>
      <c r="D451" s="32">
        <f t="shared" si="102"/>
        <v>0</v>
      </c>
      <c r="E451" s="33">
        <f>IF(AND(T450="",A451&lt;=S450),IF(A451&lt;入力!$B$11,入力!$B$10,入力!$B$12),0)</f>
        <v>0</v>
      </c>
      <c r="F451" s="32">
        <f t="shared" si="103"/>
        <v>0</v>
      </c>
      <c r="G451" s="32">
        <f>ROUND(IF(NOT(AND(T450="",A451&lt;=S450)),0,IF(A451=入力!$B$15+1,IF(E451=0,ROUND(C451/入力!$B$19,0),ROUND(-PMT(E451/12,入力!$B$19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),0)</f>
        <v>0</v>
      </c>
      <c r="H451" s="32">
        <f t="shared" si="104"/>
        <v>0</v>
      </c>
      <c r="I451" s="32">
        <f t="shared" si="105"/>
        <v>0</v>
      </c>
      <c r="J451" s="32">
        <f t="shared" si="106"/>
        <v>0</v>
      </c>
      <c r="K451" s="32">
        <f t="shared" si="107"/>
        <v>0</v>
      </c>
      <c r="L451" s="32">
        <f t="shared" si="108"/>
        <v>0</v>
      </c>
      <c r="M451" s="32">
        <f>IF(AND(AND(T450="",A451&lt;=S450),A451=入力!$B$15),ROUND(MIN(入力!$B$16,MAX(0,C451-L451)),0),0)</f>
        <v>0</v>
      </c>
      <c r="N451" s="32">
        <f t="shared" si="109"/>
        <v>0</v>
      </c>
      <c r="O451" s="32">
        <f t="shared" si="110"/>
        <v>10751874</v>
      </c>
      <c r="P451" s="34" t="str">
        <f>IF(NOT(AND(T450="",A451&lt;=S450)),"",IF(A451=入力!$B$15+1,"繰上返済後再計算","")&amp;IF(AND(入力!$B$13="有効",A451&gt;1,MOD(A451-1,60)=0),IF(A451=入力!$B$15+1,"・","")&amp;"5年見直し","")&amp;IF(AND(A451=入力!$B$11,A451&gt;1),IF(OR(A451=入力!$B$15+1,AND(入力!$B$13="有効",A451&gt;1,MOD(A451-1,60)=0)),"・","")&amp;"金利変更","")&amp;IF(AND(OR(AND(入力!$B$13="有効",A451&gt;1,MOD(A451-1,60)=0),AND(A451=入力!$B$11,A451&gt;1)),入力!$B$14="有効",IF(E451=0,ROUND(C451/MAX(1,S450-A451+1),0),ROUND(-PMT(E451/12,MAX(1,S450-A451+1),C451),0))&gt;ROUND(G450*1.25,0),NOT(A451=入力!$B$15+1)),"・上限適用",""))</f>
        <v/>
      </c>
      <c r="Q451" s="35" t="str">
        <f>IF(AND(T450="",A451&lt;=S450),入力!$B$13,"")</f>
        <v/>
      </c>
      <c r="R451" s="32" t="str">
        <f>IF(AND(AND(T450="",A451&lt;=S450),OR(AND(入力!$B$13="有効",A451&gt;1,MOD(A451-1,60)=0),AND(A451=入力!$B$11,A451&gt;1)),入力!$B$14="有効"),ROUND(G450*1.25,0),"")</f>
        <v/>
      </c>
      <c r="S451" s="36">
        <f>IF(A451=入力!$B$15,A451+入力!$B$19,S450)</f>
        <v>360</v>
      </c>
      <c r="T451" s="35" t="str">
        <f t="shared" si="111"/>
        <v/>
      </c>
      <c r="U451" s="3">
        <f t="shared" si="96"/>
        <v>0</v>
      </c>
      <c r="V451" s="3">
        <f t="shared" si="97"/>
        <v>0</v>
      </c>
      <c r="W451" s="3">
        <f t="shared" si="98"/>
        <v>0</v>
      </c>
      <c r="X451" s="3">
        <f t="shared" si="99"/>
        <v>0</v>
      </c>
      <c r="Y451" s="3">
        <f>IF(A451&lt;入力!$B$15,ABS(G451-何もしない_月次!G451),0)</f>
        <v>0</v>
      </c>
      <c r="Z451" s="3">
        <f t="shared" si="100"/>
        <v>0</v>
      </c>
      <c r="AA451">
        <f>ROUND(IF(A451=入力!$B$15+1,IF(E451=0,ROUND(C451/入力!$B$19,0),ROUND(-PMT(E451/12,入力!$B$19,C451),0)),IF(OR(AND(入力!$B$13="有効",A451&gt;1,MOD(A451-1,60)=0),AND(A451=入力!$B$11,A451&gt;1)),IF(入力!$B$14="有効",MIN(IF(E451=0,ROUND(C451/MAX(1,S450-A451+1),0),ROUND(-PMT(E451/12,MAX(1,S450-A451+1),C451),0)),ROUND(G450*1.25,0)),IF(E451=0,ROUND(C451/MAX(1,S450-A451+1),0),ROUND(-PMT(E451/12,MAX(1,S450-A451+1),C451),0))),G450)),0)</f>
        <v>0</v>
      </c>
    </row>
    <row r="452" spans="1:27">
      <c r="A452" s="30">
        <f>447</f>
        <v>447</v>
      </c>
      <c r="B452" s="31">
        <f>EDATE(入力!$B$6,A452-1)</f>
        <v>59810</v>
      </c>
      <c r="C452" s="32">
        <f t="shared" si="101"/>
        <v>0</v>
      </c>
      <c r="D452" s="32">
        <f t="shared" si="102"/>
        <v>0</v>
      </c>
      <c r="E452" s="33">
        <f>IF(AND(T451="",A452&lt;=S451),IF(A452&lt;入力!$B$11,入力!$B$10,入力!$B$12),0)</f>
        <v>0</v>
      </c>
      <c r="F452" s="32">
        <f t="shared" si="103"/>
        <v>0</v>
      </c>
      <c r="G452" s="32">
        <f>ROUND(IF(NOT(AND(T451="",A452&lt;=S451)),0,IF(A452=入力!$B$15+1,IF(E452=0,ROUND(C452/入力!$B$19,0),ROUND(-PMT(E452/12,入力!$B$19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),0)</f>
        <v>0</v>
      </c>
      <c r="H452" s="32">
        <f t="shared" si="104"/>
        <v>0</v>
      </c>
      <c r="I452" s="32">
        <f t="shared" si="105"/>
        <v>0</v>
      </c>
      <c r="J452" s="32">
        <f t="shared" si="106"/>
        <v>0</v>
      </c>
      <c r="K452" s="32">
        <f t="shared" si="107"/>
        <v>0</v>
      </c>
      <c r="L452" s="32">
        <f t="shared" si="108"/>
        <v>0</v>
      </c>
      <c r="M452" s="32">
        <f>IF(AND(AND(T451="",A452&lt;=S451),A452=入力!$B$15),ROUND(MIN(入力!$B$16,MAX(0,C452-L452)),0),0)</f>
        <v>0</v>
      </c>
      <c r="N452" s="32">
        <f t="shared" si="109"/>
        <v>0</v>
      </c>
      <c r="O452" s="32">
        <f t="shared" si="110"/>
        <v>10751874</v>
      </c>
      <c r="P452" s="34" t="str">
        <f>IF(NOT(AND(T451="",A452&lt;=S451)),"",IF(A452=入力!$B$15+1,"繰上返済後再計算","")&amp;IF(AND(入力!$B$13="有効",A452&gt;1,MOD(A452-1,60)=0),IF(A452=入力!$B$15+1,"・","")&amp;"5年見直し","")&amp;IF(AND(A452=入力!$B$11,A452&gt;1),IF(OR(A452=入力!$B$15+1,AND(入力!$B$13="有効",A452&gt;1,MOD(A452-1,60)=0)),"・","")&amp;"金利変更","")&amp;IF(AND(OR(AND(入力!$B$13="有効",A452&gt;1,MOD(A452-1,60)=0),AND(A452=入力!$B$11,A452&gt;1)),入力!$B$14="有効",IF(E452=0,ROUND(C452/MAX(1,S451-A452+1),0),ROUND(-PMT(E452/12,MAX(1,S451-A452+1),C452),0))&gt;ROUND(G451*1.25,0),NOT(A452=入力!$B$15+1)),"・上限適用",""))</f>
        <v/>
      </c>
      <c r="Q452" s="35" t="str">
        <f>IF(AND(T451="",A452&lt;=S451),入力!$B$13,"")</f>
        <v/>
      </c>
      <c r="R452" s="32" t="str">
        <f>IF(AND(AND(T451="",A452&lt;=S451),OR(AND(入力!$B$13="有効",A452&gt;1,MOD(A452-1,60)=0),AND(A452=入力!$B$11,A452&gt;1)),入力!$B$14="有効"),ROUND(G451*1.25,0),"")</f>
        <v/>
      </c>
      <c r="S452" s="36">
        <f>IF(A452=入力!$B$15,A452+入力!$B$19,S451)</f>
        <v>360</v>
      </c>
      <c r="T452" s="35" t="str">
        <f t="shared" si="111"/>
        <v/>
      </c>
      <c r="U452" s="3">
        <f t="shared" si="96"/>
        <v>0</v>
      </c>
      <c r="V452" s="3">
        <f t="shared" si="97"/>
        <v>0</v>
      </c>
      <c r="W452" s="3">
        <f t="shared" si="98"/>
        <v>0</v>
      </c>
      <c r="X452" s="3">
        <f t="shared" si="99"/>
        <v>0</v>
      </c>
      <c r="Y452" s="3">
        <f>IF(A452&lt;入力!$B$15,ABS(G452-何もしない_月次!G452),0)</f>
        <v>0</v>
      </c>
      <c r="Z452" s="3">
        <f t="shared" si="100"/>
        <v>0</v>
      </c>
      <c r="AA452">
        <f>ROUND(IF(A452=入力!$B$15+1,IF(E452=0,ROUND(C452/入力!$B$19,0),ROUND(-PMT(E452/12,入力!$B$19,C452),0)),IF(OR(AND(入力!$B$13="有効",A452&gt;1,MOD(A452-1,60)=0),AND(A452=入力!$B$11,A452&gt;1)),IF(入力!$B$14="有効",MIN(IF(E452=0,ROUND(C452/MAX(1,S451-A452+1),0),ROUND(-PMT(E452/12,MAX(1,S451-A452+1),C452),0)),ROUND(G451*1.25,0)),IF(E452=0,ROUND(C452/MAX(1,S451-A452+1),0),ROUND(-PMT(E452/12,MAX(1,S451-A452+1),C452),0))),G451)),0)</f>
        <v>0</v>
      </c>
    </row>
    <row r="453" spans="1:27">
      <c r="A453" s="30">
        <f>448</f>
        <v>448</v>
      </c>
      <c r="B453" s="31">
        <f>EDATE(入力!$B$6,A453-1)</f>
        <v>59841</v>
      </c>
      <c r="C453" s="32">
        <f t="shared" si="101"/>
        <v>0</v>
      </c>
      <c r="D453" s="32">
        <f t="shared" si="102"/>
        <v>0</v>
      </c>
      <c r="E453" s="33">
        <f>IF(AND(T452="",A453&lt;=S452),IF(A453&lt;入力!$B$11,入力!$B$10,入力!$B$12),0)</f>
        <v>0</v>
      </c>
      <c r="F453" s="32">
        <f t="shared" si="103"/>
        <v>0</v>
      </c>
      <c r="G453" s="32">
        <f>ROUND(IF(NOT(AND(T452="",A453&lt;=S452)),0,IF(A453=入力!$B$15+1,IF(E453=0,ROUND(C453/入力!$B$19,0),ROUND(-PMT(E453/12,入力!$B$19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),0)</f>
        <v>0</v>
      </c>
      <c r="H453" s="32">
        <f t="shared" si="104"/>
        <v>0</v>
      </c>
      <c r="I453" s="32">
        <f t="shared" si="105"/>
        <v>0</v>
      </c>
      <c r="J453" s="32">
        <f t="shared" si="106"/>
        <v>0</v>
      </c>
      <c r="K453" s="32">
        <f t="shared" si="107"/>
        <v>0</v>
      </c>
      <c r="L453" s="32">
        <f t="shared" si="108"/>
        <v>0</v>
      </c>
      <c r="M453" s="32">
        <f>IF(AND(AND(T452="",A453&lt;=S452),A453=入力!$B$15),ROUND(MIN(入力!$B$16,MAX(0,C453-L453)),0),0)</f>
        <v>0</v>
      </c>
      <c r="N453" s="32">
        <f t="shared" si="109"/>
        <v>0</v>
      </c>
      <c r="O453" s="32">
        <f t="shared" si="110"/>
        <v>10751874</v>
      </c>
      <c r="P453" s="34" t="str">
        <f>IF(NOT(AND(T452="",A453&lt;=S452)),"",IF(A453=入力!$B$15+1,"繰上返済後再計算","")&amp;IF(AND(入力!$B$13="有効",A453&gt;1,MOD(A453-1,60)=0),IF(A453=入力!$B$15+1,"・","")&amp;"5年見直し","")&amp;IF(AND(A453=入力!$B$11,A453&gt;1),IF(OR(A453=入力!$B$15+1,AND(入力!$B$13="有効",A453&gt;1,MOD(A453-1,60)=0)),"・","")&amp;"金利変更","")&amp;IF(AND(OR(AND(入力!$B$13="有効",A453&gt;1,MOD(A453-1,60)=0),AND(A453=入力!$B$11,A453&gt;1)),入力!$B$14="有効",IF(E453=0,ROUND(C453/MAX(1,S452-A453+1),0),ROUND(-PMT(E453/12,MAX(1,S452-A453+1),C453),0))&gt;ROUND(G452*1.25,0),NOT(A453=入力!$B$15+1)),"・上限適用",""))</f>
        <v/>
      </c>
      <c r="Q453" s="35" t="str">
        <f>IF(AND(T452="",A453&lt;=S452),入力!$B$13,"")</f>
        <v/>
      </c>
      <c r="R453" s="32" t="str">
        <f>IF(AND(AND(T452="",A453&lt;=S452),OR(AND(入力!$B$13="有効",A453&gt;1,MOD(A453-1,60)=0),AND(A453=入力!$B$11,A453&gt;1)),入力!$B$14="有効"),ROUND(G452*1.25,0),"")</f>
        <v/>
      </c>
      <c r="S453" s="36">
        <f>IF(A453=入力!$B$15,A453+入力!$B$19,S452)</f>
        <v>360</v>
      </c>
      <c r="T453" s="35" t="str">
        <f t="shared" si="111"/>
        <v/>
      </c>
      <c r="U453" s="3">
        <f t="shared" si="96"/>
        <v>0</v>
      </c>
      <c r="V453" s="3">
        <f t="shared" si="97"/>
        <v>0</v>
      </c>
      <c r="W453" s="3">
        <f t="shared" si="98"/>
        <v>0</v>
      </c>
      <c r="X453" s="3">
        <f t="shared" si="99"/>
        <v>0</v>
      </c>
      <c r="Y453" s="3">
        <f>IF(A453&lt;入力!$B$15,ABS(G453-何もしない_月次!G453),0)</f>
        <v>0</v>
      </c>
      <c r="Z453" s="3">
        <f t="shared" si="100"/>
        <v>0</v>
      </c>
      <c r="AA453">
        <f>ROUND(IF(A453=入力!$B$15+1,IF(E453=0,ROUND(C453/入力!$B$19,0),ROUND(-PMT(E453/12,入力!$B$19,C453),0)),IF(OR(AND(入力!$B$13="有効",A453&gt;1,MOD(A453-1,60)=0),AND(A453=入力!$B$11,A453&gt;1)),IF(入力!$B$14="有効",MIN(IF(E453=0,ROUND(C453/MAX(1,S452-A453+1),0),ROUND(-PMT(E453/12,MAX(1,S452-A453+1),C453),0)),ROUND(G452*1.25,0)),IF(E453=0,ROUND(C453/MAX(1,S452-A453+1),0),ROUND(-PMT(E453/12,MAX(1,S452-A453+1),C453),0))),G452)),0)</f>
        <v>0</v>
      </c>
    </row>
    <row r="454" spans="1:27">
      <c r="A454" s="30">
        <f>449</f>
        <v>449</v>
      </c>
      <c r="B454" s="31">
        <f>EDATE(入力!$B$6,A454-1)</f>
        <v>59871</v>
      </c>
      <c r="C454" s="32">
        <f t="shared" si="101"/>
        <v>0</v>
      </c>
      <c r="D454" s="32">
        <f t="shared" si="102"/>
        <v>0</v>
      </c>
      <c r="E454" s="33">
        <f>IF(AND(T453="",A454&lt;=S453),IF(A454&lt;入力!$B$11,入力!$B$10,入力!$B$12),0)</f>
        <v>0</v>
      </c>
      <c r="F454" s="32">
        <f t="shared" si="103"/>
        <v>0</v>
      </c>
      <c r="G454" s="32">
        <f>ROUND(IF(NOT(AND(T453="",A454&lt;=S453)),0,IF(A454=入力!$B$15+1,IF(E454=0,ROUND(C454/入力!$B$19,0),ROUND(-PMT(E454/12,入力!$B$19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),0)</f>
        <v>0</v>
      </c>
      <c r="H454" s="32">
        <f t="shared" si="104"/>
        <v>0</v>
      </c>
      <c r="I454" s="32">
        <f t="shared" si="105"/>
        <v>0</v>
      </c>
      <c r="J454" s="32">
        <f t="shared" si="106"/>
        <v>0</v>
      </c>
      <c r="K454" s="32">
        <f t="shared" si="107"/>
        <v>0</v>
      </c>
      <c r="L454" s="32">
        <f t="shared" si="108"/>
        <v>0</v>
      </c>
      <c r="M454" s="32">
        <f>IF(AND(AND(T453="",A454&lt;=S453),A454=入力!$B$15),ROUND(MIN(入力!$B$16,MAX(0,C454-L454)),0),0)</f>
        <v>0</v>
      </c>
      <c r="N454" s="32">
        <f t="shared" si="109"/>
        <v>0</v>
      </c>
      <c r="O454" s="32">
        <f t="shared" si="110"/>
        <v>10751874</v>
      </c>
      <c r="P454" s="34" t="str">
        <f>IF(NOT(AND(T453="",A454&lt;=S453)),"",IF(A454=入力!$B$15+1,"繰上返済後再計算","")&amp;IF(AND(入力!$B$13="有効",A454&gt;1,MOD(A454-1,60)=0),IF(A454=入力!$B$15+1,"・","")&amp;"5年見直し","")&amp;IF(AND(A454=入力!$B$11,A454&gt;1),IF(OR(A454=入力!$B$15+1,AND(入力!$B$13="有効",A454&gt;1,MOD(A454-1,60)=0)),"・","")&amp;"金利変更","")&amp;IF(AND(OR(AND(入力!$B$13="有効",A454&gt;1,MOD(A454-1,60)=0),AND(A454=入力!$B$11,A454&gt;1)),入力!$B$14="有効",IF(E454=0,ROUND(C454/MAX(1,S453-A454+1),0),ROUND(-PMT(E454/12,MAX(1,S453-A454+1),C454),0))&gt;ROUND(G453*1.25,0),NOT(A454=入力!$B$15+1)),"・上限適用",""))</f>
        <v/>
      </c>
      <c r="Q454" s="35" t="str">
        <f>IF(AND(T453="",A454&lt;=S453),入力!$B$13,"")</f>
        <v/>
      </c>
      <c r="R454" s="32" t="str">
        <f>IF(AND(AND(T453="",A454&lt;=S453),OR(AND(入力!$B$13="有効",A454&gt;1,MOD(A454-1,60)=0),AND(A454=入力!$B$11,A454&gt;1)),入力!$B$14="有効"),ROUND(G453*1.25,0),"")</f>
        <v/>
      </c>
      <c r="S454" s="36">
        <f>IF(A454=入力!$B$15,A454+入力!$B$19,S453)</f>
        <v>360</v>
      </c>
      <c r="T454" s="35" t="str">
        <f t="shared" si="111"/>
        <v/>
      </c>
      <c r="U454" s="3">
        <f t="shared" ref="U454:U517" si="112">ABS(I454-MIN(H454,D454+F454))</f>
        <v>0</v>
      </c>
      <c r="V454" s="3">
        <f t="shared" ref="V454:V517" si="113">ABS(L454-(H454-I454))</f>
        <v>0</v>
      </c>
      <c r="W454" s="3">
        <f t="shared" ref="W454:W517" si="114">ABS(K454-(D454+J454))</f>
        <v>0</v>
      </c>
      <c r="X454" s="3">
        <f t="shared" ref="X454:X517" si="115">ABS(F454-ROUND(F454,0))+ABS(G454-ROUND(G454,0))+ABS(H454-ROUND(H454,0))+ABS(I454-ROUND(I454,0))+ABS(J454-ROUND(J454,0))+ABS(K454-ROUND(K454,0))+ABS(L454-ROUND(L454,0))+ABS(M454-ROUND(M454,0))+ABS(N454-ROUND(N454,0))+ABS(O454-ROUND(O454,0))</f>
        <v>0</v>
      </c>
      <c r="Y454" s="3">
        <f>IF(A454&lt;入力!$B$15,ABS(G454-何もしない_月次!G454),0)</f>
        <v>0</v>
      </c>
      <c r="Z454" s="3">
        <f t="shared" ref="Z454:Z517" si="116">SUM(--ISERROR(A454),--ISERROR(B454),--ISERROR(C454),--ISERROR(D454),--ISERROR(E454),--ISERROR(F454),--ISERROR(G454),--ISERROR(H454),--ISERROR(I454),--ISERROR(J454),--ISERROR(K454),--ISERROR(L454),--ISERROR(M454),--ISERROR(N454),--ISERROR(O454),--ISERROR(P454),--ISERROR(Q454),--ISERROR(R454),--ISERROR(S454),--ISERROR(T454))</f>
        <v>0</v>
      </c>
      <c r="AA454">
        <f>ROUND(IF(A454=入力!$B$15+1,IF(E454=0,ROUND(C454/入力!$B$19,0),ROUND(-PMT(E454/12,入力!$B$19,C454),0)),IF(OR(AND(入力!$B$13="有効",A454&gt;1,MOD(A454-1,60)=0),AND(A454=入力!$B$11,A454&gt;1)),IF(入力!$B$14="有効",MIN(IF(E454=0,ROUND(C454/MAX(1,S453-A454+1),0),ROUND(-PMT(E454/12,MAX(1,S453-A454+1),C454),0)),ROUND(G453*1.25,0)),IF(E454=0,ROUND(C454/MAX(1,S453-A454+1),0),ROUND(-PMT(E454/12,MAX(1,S453-A454+1),C454),0))),G453)),0)</f>
        <v>0</v>
      </c>
    </row>
    <row r="455" spans="1:27">
      <c r="A455" s="30">
        <f>450</f>
        <v>450</v>
      </c>
      <c r="B455" s="31">
        <f>EDATE(入力!$B$6,A455-1)</f>
        <v>59902</v>
      </c>
      <c r="C455" s="32">
        <f t="shared" ref="C455:C518" si="117">IF(AND(T454="",A455&lt;=S454),N454,0)</f>
        <v>0</v>
      </c>
      <c r="D455" s="32">
        <f t="shared" ref="D455:D518" si="118">IF(AND(T454="",A455&lt;=S454),K454,0)</f>
        <v>0</v>
      </c>
      <c r="E455" s="33">
        <f>IF(AND(T454="",A455&lt;=S454),IF(A455&lt;入力!$B$11,入力!$B$10,入力!$B$12),0)</f>
        <v>0</v>
      </c>
      <c r="F455" s="32">
        <f t="shared" ref="F455:F518" si="119">IF(AND(T454="",A455&lt;=S454),ROUND(C455*E455/12,0),0)</f>
        <v>0</v>
      </c>
      <c r="G455" s="32">
        <f>ROUND(IF(NOT(AND(T454="",A455&lt;=S454)),0,IF(A455=入力!$B$15+1,IF(E455=0,ROUND(C455/入力!$B$19,0),ROUND(-PMT(E455/12,入力!$B$19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),0)</f>
        <v>0</v>
      </c>
      <c r="H455" s="32">
        <f t="shared" ref="H455:H518" si="120">IF(AND(T454="",A455&lt;=S454),ROUND(MIN(G455,C455+D455+F455),0),0)</f>
        <v>0</v>
      </c>
      <c r="I455" s="32">
        <f t="shared" ref="I455:I518" si="121">IF(AND(T454="",A455&lt;=S454),ROUND(MIN(H455,D455+F455),0),0)</f>
        <v>0</v>
      </c>
      <c r="J455" s="32">
        <f t="shared" ref="J455:J518" si="122">IF(AND(T454="",A455&lt;=S454),ROUND(F455-I455,0),0)</f>
        <v>0</v>
      </c>
      <c r="K455" s="32">
        <f t="shared" ref="K455:K518" si="123">IF(AND(T454="",A455&lt;=S454),ROUND(D455+J455,0),0)</f>
        <v>0</v>
      </c>
      <c r="L455" s="32">
        <f t="shared" ref="L455:L518" si="124">IF(AND(T454="",A455&lt;=S454),ROUND(H455-I455,0),0)</f>
        <v>0</v>
      </c>
      <c r="M455" s="32">
        <f>IF(AND(AND(T454="",A455&lt;=S454),A455=入力!$B$15),ROUND(MIN(入力!$B$16,MAX(0,C455-L455)),0),0)</f>
        <v>0</v>
      </c>
      <c r="N455" s="32">
        <f t="shared" ref="N455:N518" si="125">IF(AND(T454="",A455&lt;=S454),ROUND(MAX(0,C455-L455-M455),0),0)</f>
        <v>0</v>
      </c>
      <c r="O455" s="32">
        <f t="shared" ref="O455:O518" si="126">IF(AND(T454="",A455&lt;=S454),ROUND(O454+F455,0),O454)</f>
        <v>10751874</v>
      </c>
      <c r="P455" s="34" t="str">
        <f>IF(NOT(AND(T454="",A455&lt;=S454)),"",IF(A455=入力!$B$15+1,"繰上返済後再計算","")&amp;IF(AND(入力!$B$13="有効",A455&gt;1,MOD(A455-1,60)=0),IF(A455=入力!$B$15+1,"・","")&amp;"5年見直し","")&amp;IF(AND(A455=入力!$B$11,A455&gt;1),IF(OR(A455=入力!$B$15+1,AND(入力!$B$13="有効",A455&gt;1,MOD(A455-1,60)=0)),"・","")&amp;"金利変更","")&amp;IF(AND(OR(AND(入力!$B$13="有効",A455&gt;1,MOD(A455-1,60)=0),AND(A455=入力!$B$11,A455&gt;1)),入力!$B$14="有効",IF(E455=0,ROUND(C455/MAX(1,S454-A455+1),0),ROUND(-PMT(E455/12,MAX(1,S454-A455+1),C455),0))&gt;ROUND(G454*1.25,0),NOT(A455=入力!$B$15+1)),"・上限適用",""))</f>
        <v/>
      </c>
      <c r="Q455" s="35" t="str">
        <f>IF(AND(T454="",A455&lt;=S454),入力!$B$13,"")</f>
        <v/>
      </c>
      <c r="R455" s="32" t="str">
        <f>IF(AND(AND(T454="",A455&lt;=S454),OR(AND(入力!$B$13="有効",A455&gt;1,MOD(A455-1,60)=0),AND(A455=入力!$B$11,A455&gt;1)),入力!$B$14="有効"),ROUND(G454*1.25,0),"")</f>
        <v/>
      </c>
      <c r="S455" s="36">
        <f>IF(A455=入力!$B$15,A455+入力!$B$19,S454)</f>
        <v>360</v>
      </c>
      <c r="T455" s="35" t="str">
        <f t="shared" ref="T455:T518" si="127">IF(NOT(AND(T454="",A455&lt;=S454)),"",IF(AND(N455=0,K455=0),"完済",IF(A455=S455,"最終回清算","")))</f>
        <v/>
      </c>
      <c r="U455" s="3">
        <f t="shared" si="112"/>
        <v>0</v>
      </c>
      <c r="V455" s="3">
        <f t="shared" si="113"/>
        <v>0</v>
      </c>
      <c r="W455" s="3">
        <f t="shared" si="114"/>
        <v>0</v>
      </c>
      <c r="X455" s="3">
        <f t="shared" si="115"/>
        <v>0</v>
      </c>
      <c r="Y455" s="3">
        <f>IF(A455&lt;入力!$B$15,ABS(G455-何もしない_月次!G455),0)</f>
        <v>0</v>
      </c>
      <c r="Z455" s="3">
        <f t="shared" si="116"/>
        <v>0</v>
      </c>
      <c r="AA455">
        <f>ROUND(IF(A455=入力!$B$15+1,IF(E455=0,ROUND(C455/入力!$B$19,0),ROUND(-PMT(E455/12,入力!$B$19,C455),0)),IF(OR(AND(入力!$B$13="有効",A455&gt;1,MOD(A455-1,60)=0),AND(A455=入力!$B$11,A455&gt;1)),IF(入力!$B$14="有効",MIN(IF(E455=0,ROUND(C455/MAX(1,S454-A455+1),0),ROUND(-PMT(E455/12,MAX(1,S454-A455+1),C455),0)),ROUND(G454*1.25,0)),IF(E455=0,ROUND(C455/MAX(1,S454-A455+1),0),ROUND(-PMT(E455/12,MAX(1,S454-A455+1),C455),0))),G454)),0)</f>
        <v>0</v>
      </c>
    </row>
    <row r="456" spans="1:27">
      <c r="A456" s="30">
        <f>451</f>
        <v>451</v>
      </c>
      <c r="B456" s="31">
        <f>EDATE(入力!$B$6,A456-1)</f>
        <v>59933</v>
      </c>
      <c r="C456" s="32">
        <f t="shared" si="117"/>
        <v>0</v>
      </c>
      <c r="D456" s="32">
        <f t="shared" si="118"/>
        <v>0</v>
      </c>
      <c r="E456" s="33">
        <f>IF(AND(T455="",A456&lt;=S455),IF(A456&lt;入力!$B$11,入力!$B$10,入力!$B$12),0)</f>
        <v>0</v>
      </c>
      <c r="F456" s="32">
        <f t="shared" si="119"/>
        <v>0</v>
      </c>
      <c r="G456" s="32">
        <f>ROUND(IF(NOT(AND(T455="",A456&lt;=S455)),0,IF(A456=入力!$B$15+1,IF(E456=0,ROUND(C456/入力!$B$19,0),ROUND(-PMT(E456/12,入力!$B$19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),0)</f>
        <v>0</v>
      </c>
      <c r="H456" s="32">
        <f t="shared" si="120"/>
        <v>0</v>
      </c>
      <c r="I456" s="32">
        <f t="shared" si="121"/>
        <v>0</v>
      </c>
      <c r="J456" s="32">
        <f t="shared" si="122"/>
        <v>0</v>
      </c>
      <c r="K456" s="32">
        <f t="shared" si="123"/>
        <v>0</v>
      </c>
      <c r="L456" s="32">
        <f t="shared" si="124"/>
        <v>0</v>
      </c>
      <c r="M456" s="32">
        <f>IF(AND(AND(T455="",A456&lt;=S455),A456=入力!$B$15),ROUND(MIN(入力!$B$16,MAX(0,C456-L456)),0),0)</f>
        <v>0</v>
      </c>
      <c r="N456" s="32">
        <f t="shared" si="125"/>
        <v>0</v>
      </c>
      <c r="O456" s="32">
        <f t="shared" si="126"/>
        <v>10751874</v>
      </c>
      <c r="P456" s="34" t="str">
        <f>IF(NOT(AND(T455="",A456&lt;=S455)),"",IF(A456=入力!$B$15+1,"繰上返済後再計算","")&amp;IF(AND(入力!$B$13="有効",A456&gt;1,MOD(A456-1,60)=0),IF(A456=入力!$B$15+1,"・","")&amp;"5年見直し","")&amp;IF(AND(A456=入力!$B$11,A456&gt;1),IF(OR(A456=入力!$B$15+1,AND(入力!$B$13="有効",A456&gt;1,MOD(A456-1,60)=0)),"・","")&amp;"金利変更","")&amp;IF(AND(OR(AND(入力!$B$13="有効",A456&gt;1,MOD(A456-1,60)=0),AND(A456=入力!$B$11,A456&gt;1)),入力!$B$14="有効",IF(E456=0,ROUND(C456/MAX(1,S455-A456+1),0),ROUND(-PMT(E456/12,MAX(1,S455-A456+1),C456),0))&gt;ROUND(G455*1.25,0),NOT(A456=入力!$B$15+1)),"・上限適用",""))</f>
        <v/>
      </c>
      <c r="Q456" s="35" t="str">
        <f>IF(AND(T455="",A456&lt;=S455),入力!$B$13,"")</f>
        <v/>
      </c>
      <c r="R456" s="32" t="str">
        <f>IF(AND(AND(T455="",A456&lt;=S455),OR(AND(入力!$B$13="有効",A456&gt;1,MOD(A456-1,60)=0),AND(A456=入力!$B$11,A456&gt;1)),入力!$B$14="有効"),ROUND(G455*1.25,0),"")</f>
        <v/>
      </c>
      <c r="S456" s="36">
        <f>IF(A456=入力!$B$15,A456+入力!$B$19,S455)</f>
        <v>360</v>
      </c>
      <c r="T456" s="35" t="str">
        <f t="shared" si="127"/>
        <v/>
      </c>
      <c r="U456" s="3">
        <f t="shared" si="112"/>
        <v>0</v>
      </c>
      <c r="V456" s="3">
        <f t="shared" si="113"/>
        <v>0</v>
      </c>
      <c r="W456" s="3">
        <f t="shared" si="114"/>
        <v>0</v>
      </c>
      <c r="X456" s="3">
        <f t="shared" si="115"/>
        <v>0</v>
      </c>
      <c r="Y456" s="3">
        <f>IF(A456&lt;入力!$B$15,ABS(G456-何もしない_月次!G456),0)</f>
        <v>0</v>
      </c>
      <c r="Z456" s="3">
        <f t="shared" si="116"/>
        <v>0</v>
      </c>
      <c r="AA456">
        <f>ROUND(IF(A456=入力!$B$15+1,IF(E456=0,ROUND(C456/入力!$B$19,0),ROUND(-PMT(E456/12,入力!$B$19,C456),0)),IF(OR(AND(入力!$B$13="有効",A456&gt;1,MOD(A456-1,60)=0),AND(A456=入力!$B$11,A456&gt;1)),IF(入力!$B$14="有効",MIN(IF(E456=0,ROUND(C456/MAX(1,S455-A456+1),0),ROUND(-PMT(E456/12,MAX(1,S455-A456+1),C456),0)),ROUND(G455*1.25,0)),IF(E456=0,ROUND(C456/MAX(1,S455-A456+1),0),ROUND(-PMT(E456/12,MAX(1,S455-A456+1),C456),0))),G455)),0)</f>
        <v>0</v>
      </c>
    </row>
    <row r="457" spans="1:27">
      <c r="A457" s="30">
        <f>452</f>
        <v>452</v>
      </c>
      <c r="B457" s="31">
        <f>EDATE(入力!$B$6,A457-1)</f>
        <v>59962</v>
      </c>
      <c r="C457" s="32">
        <f t="shared" si="117"/>
        <v>0</v>
      </c>
      <c r="D457" s="32">
        <f t="shared" si="118"/>
        <v>0</v>
      </c>
      <c r="E457" s="33">
        <f>IF(AND(T456="",A457&lt;=S456),IF(A457&lt;入力!$B$11,入力!$B$10,入力!$B$12),0)</f>
        <v>0</v>
      </c>
      <c r="F457" s="32">
        <f t="shared" si="119"/>
        <v>0</v>
      </c>
      <c r="G457" s="32">
        <f>ROUND(IF(NOT(AND(T456="",A457&lt;=S456)),0,IF(A457=入力!$B$15+1,IF(E457=0,ROUND(C457/入力!$B$19,0),ROUND(-PMT(E457/12,入力!$B$19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),0)</f>
        <v>0</v>
      </c>
      <c r="H457" s="32">
        <f t="shared" si="120"/>
        <v>0</v>
      </c>
      <c r="I457" s="32">
        <f t="shared" si="121"/>
        <v>0</v>
      </c>
      <c r="J457" s="32">
        <f t="shared" si="122"/>
        <v>0</v>
      </c>
      <c r="K457" s="32">
        <f t="shared" si="123"/>
        <v>0</v>
      </c>
      <c r="L457" s="32">
        <f t="shared" si="124"/>
        <v>0</v>
      </c>
      <c r="M457" s="32">
        <f>IF(AND(AND(T456="",A457&lt;=S456),A457=入力!$B$15),ROUND(MIN(入力!$B$16,MAX(0,C457-L457)),0),0)</f>
        <v>0</v>
      </c>
      <c r="N457" s="32">
        <f t="shared" si="125"/>
        <v>0</v>
      </c>
      <c r="O457" s="32">
        <f t="shared" si="126"/>
        <v>10751874</v>
      </c>
      <c r="P457" s="34" t="str">
        <f>IF(NOT(AND(T456="",A457&lt;=S456)),"",IF(A457=入力!$B$15+1,"繰上返済後再計算","")&amp;IF(AND(入力!$B$13="有効",A457&gt;1,MOD(A457-1,60)=0),IF(A457=入力!$B$15+1,"・","")&amp;"5年見直し","")&amp;IF(AND(A457=入力!$B$11,A457&gt;1),IF(OR(A457=入力!$B$15+1,AND(入力!$B$13="有効",A457&gt;1,MOD(A457-1,60)=0)),"・","")&amp;"金利変更","")&amp;IF(AND(OR(AND(入力!$B$13="有効",A457&gt;1,MOD(A457-1,60)=0),AND(A457=入力!$B$11,A457&gt;1)),入力!$B$14="有効",IF(E457=0,ROUND(C457/MAX(1,S456-A457+1),0),ROUND(-PMT(E457/12,MAX(1,S456-A457+1),C457),0))&gt;ROUND(G456*1.25,0),NOT(A457=入力!$B$15+1)),"・上限適用",""))</f>
        <v/>
      </c>
      <c r="Q457" s="35" t="str">
        <f>IF(AND(T456="",A457&lt;=S456),入力!$B$13,"")</f>
        <v/>
      </c>
      <c r="R457" s="32" t="str">
        <f>IF(AND(AND(T456="",A457&lt;=S456),OR(AND(入力!$B$13="有効",A457&gt;1,MOD(A457-1,60)=0),AND(A457=入力!$B$11,A457&gt;1)),入力!$B$14="有効"),ROUND(G456*1.25,0),"")</f>
        <v/>
      </c>
      <c r="S457" s="36">
        <f>IF(A457=入力!$B$15,A457+入力!$B$19,S456)</f>
        <v>360</v>
      </c>
      <c r="T457" s="35" t="str">
        <f t="shared" si="127"/>
        <v/>
      </c>
      <c r="U457" s="3">
        <f t="shared" si="112"/>
        <v>0</v>
      </c>
      <c r="V457" s="3">
        <f t="shared" si="113"/>
        <v>0</v>
      </c>
      <c r="W457" s="3">
        <f t="shared" si="114"/>
        <v>0</v>
      </c>
      <c r="X457" s="3">
        <f t="shared" si="115"/>
        <v>0</v>
      </c>
      <c r="Y457" s="3">
        <f>IF(A457&lt;入力!$B$15,ABS(G457-何もしない_月次!G457),0)</f>
        <v>0</v>
      </c>
      <c r="Z457" s="3">
        <f t="shared" si="116"/>
        <v>0</v>
      </c>
      <c r="AA457">
        <f>ROUND(IF(A457=入力!$B$15+1,IF(E457=0,ROUND(C457/入力!$B$19,0),ROUND(-PMT(E457/12,入力!$B$19,C457),0)),IF(OR(AND(入力!$B$13="有効",A457&gt;1,MOD(A457-1,60)=0),AND(A457=入力!$B$11,A457&gt;1)),IF(入力!$B$14="有効",MIN(IF(E457=0,ROUND(C457/MAX(1,S456-A457+1),0),ROUND(-PMT(E457/12,MAX(1,S456-A457+1),C457),0)),ROUND(G456*1.25,0)),IF(E457=0,ROUND(C457/MAX(1,S456-A457+1),0),ROUND(-PMT(E457/12,MAX(1,S456-A457+1),C457),0))),G456)),0)</f>
        <v>0</v>
      </c>
    </row>
    <row r="458" spans="1:27">
      <c r="A458" s="30">
        <f>453</f>
        <v>453</v>
      </c>
      <c r="B458" s="31">
        <f>EDATE(入力!$B$6,A458-1)</f>
        <v>59993</v>
      </c>
      <c r="C458" s="32">
        <f t="shared" si="117"/>
        <v>0</v>
      </c>
      <c r="D458" s="32">
        <f t="shared" si="118"/>
        <v>0</v>
      </c>
      <c r="E458" s="33">
        <f>IF(AND(T457="",A458&lt;=S457),IF(A458&lt;入力!$B$11,入力!$B$10,入力!$B$12),0)</f>
        <v>0</v>
      </c>
      <c r="F458" s="32">
        <f t="shared" si="119"/>
        <v>0</v>
      </c>
      <c r="G458" s="32">
        <f>ROUND(IF(NOT(AND(T457="",A458&lt;=S457)),0,IF(A458=入力!$B$15+1,IF(E458=0,ROUND(C458/入力!$B$19,0),ROUND(-PMT(E458/12,入力!$B$19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),0)</f>
        <v>0</v>
      </c>
      <c r="H458" s="32">
        <f t="shared" si="120"/>
        <v>0</v>
      </c>
      <c r="I458" s="32">
        <f t="shared" si="121"/>
        <v>0</v>
      </c>
      <c r="J458" s="32">
        <f t="shared" si="122"/>
        <v>0</v>
      </c>
      <c r="K458" s="32">
        <f t="shared" si="123"/>
        <v>0</v>
      </c>
      <c r="L458" s="32">
        <f t="shared" si="124"/>
        <v>0</v>
      </c>
      <c r="M458" s="32">
        <f>IF(AND(AND(T457="",A458&lt;=S457),A458=入力!$B$15),ROUND(MIN(入力!$B$16,MAX(0,C458-L458)),0),0)</f>
        <v>0</v>
      </c>
      <c r="N458" s="32">
        <f t="shared" si="125"/>
        <v>0</v>
      </c>
      <c r="O458" s="32">
        <f t="shared" si="126"/>
        <v>10751874</v>
      </c>
      <c r="P458" s="34" t="str">
        <f>IF(NOT(AND(T457="",A458&lt;=S457)),"",IF(A458=入力!$B$15+1,"繰上返済後再計算","")&amp;IF(AND(入力!$B$13="有効",A458&gt;1,MOD(A458-1,60)=0),IF(A458=入力!$B$15+1,"・","")&amp;"5年見直し","")&amp;IF(AND(A458=入力!$B$11,A458&gt;1),IF(OR(A458=入力!$B$15+1,AND(入力!$B$13="有効",A458&gt;1,MOD(A458-1,60)=0)),"・","")&amp;"金利変更","")&amp;IF(AND(OR(AND(入力!$B$13="有効",A458&gt;1,MOD(A458-1,60)=0),AND(A458=入力!$B$11,A458&gt;1)),入力!$B$14="有効",IF(E458=0,ROUND(C458/MAX(1,S457-A458+1),0),ROUND(-PMT(E458/12,MAX(1,S457-A458+1),C458),0))&gt;ROUND(G457*1.25,0),NOT(A458=入力!$B$15+1)),"・上限適用",""))</f>
        <v/>
      </c>
      <c r="Q458" s="35" t="str">
        <f>IF(AND(T457="",A458&lt;=S457),入力!$B$13,"")</f>
        <v/>
      </c>
      <c r="R458" s="32" t="str">
        <f>IF(AND(AND(T457="",A458&lt;=S457),OR(AND(入力!$B$13="有効",A458&gt;1,MOD(A458-1,60)=0),AND(A458=入力!$B$11,A458&gt;1)),入力!$B$14="有効"),ROUND(G457*1.25,0),"")</f>
        <v/>
      </c>
      <c r="S458" s="36">
        <f>IF(A458=入力!$B$15,A458+入力!$B$19,S457)</f>
        <v>360</v>
      </c>
      <c r="T458" s="35" t="str">
        <f t="shared" si="127"/>
        <v/>
      </c>
      <c r="U458" s="3">
        <f t="shared" si="112"/>
        <v>0</v>
      </c>
      <c r="V458" s="3">
        <f t="shared" si="113"/>
        <v>0</v>
      </c>
      <c r="W458" s="3">
        <f t="shared" si="114"/>
        <v>0</v>
      </c>
      <c r="X458" s="3">
        <f t="shared" si="115"/>
        <v>0</v>
      </c>
      <c r="Y458" s="3">
        <f>IF(A458&lt;入力!$B$15,ABS(G458-何もしない_月次!G458),0)</f>
        <v>0</v>
      </c>
      <c r="Z458" s="3">
        <f t="shared" si="116"/>
        <v>0</v>
      </c>
      <c r="AA458">
        <f>ROUND(IF(A458=入力!$B$15+1,IF(E458=0,ROUND(C458/入力!$B$19,0),ROUND(-PMT(E458/12,入力!$B$19,C458),0)),IF(OR(AND(入力!$B$13="有効",A458&gt;1,MOD(A458-1,60)=0),AND(A458=入力!$B$11,A458&gt;1)),IF(入力!$B$14="有効",MIN(IF(E458=0,ROUND(C458/MAX(1,S457-A458+1),0),ROUND(-PMT(E458/12,MAX(1,S457-A458+1),C458),0)),ROUND(G457*1.25,0)),IF(E458=0,ROUND(C458/MAX(1,S457-A458+1),0),ROUND(-PMT(E458/12,MAX(1,S457-A458+1),C458),0))),G457)),0)</f>
        <v>0</v>
      </c>
    </row>
    <row r="459" spans="1:27">
      <c r="A459" s="30">
        <f>454</f>
        <v>454</v>
      </c>
      <c r="B459" s="31">
        <f>EDATE(入力!$B$6,A459-1)</f>
        <v>60023</v>
      </c>
      <c r="C459" s="32">
        <f t="shared" si="117"/>
        <v>0</v>
      </c>
      <c r="D459" s="32">
        <f t="shared" si="118"/>
        <v>0</v>
      </c>
      <c r="E459" s="33">
        <f>IF(AND(T458="",A459&lt;=S458),IF(A459&lt;入力!$B$11,入力!$B$10,入力!$B$12),0)</f>
        <v>0</v>
      </c>
      <c r="F459" s="32">
        <f t="shared" si="119"/>
        <v>0</v>
      </c>
      <c r="G459" s="32">
        <f>ROUND(IF(NOT(AND(T458="",A459&lt;=S458)),0,IF(A459=入力!$B$15+1,IF(E459=0,ROUND(C459/入力!$B$19,0),ROUND(-PMT(E459/12,入力!$B$19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),0)</f>
        <v>0</v>
      </c>
      <c r="H459" s="32">
        <f t="shared" si="120"/>
        <v>0</v>
      </c>
      <c r="I459" s="32">
        <f t="shared" si="121"/>
        <v>0</v>
      </c>
      <c r="J459" s="32">
        <f t="shared" si="122"/>
        <v>0</v>
      </c>
      <c r="K459" s="32">
        <f t="shared" si="123"/>
        <v>0</v>
      </c>
      <c r="L459" s="32">
        <f t="shared" si="124"/>
        <v>0</v>
      </c>
      <c r="M459" s="32">
        <f>IF(AND(AND(T458="",A459&lt;=S458),A459=入力!$B$15),ROUND(MIN(入力!$B$16,MAX(0,C459-L459)),0),0)</f>
        <v>0</v>
      </c>
      <c r="N459" s="32">
        <f t="shared" si="125"/>
        <v>0</v>
      </c>
      <c r="O459" s="32">
        <f t="shared" si="126"/>
        <v>10751874</v>
      </c>
      <c r="P459" s="34" t="str">
        <f>IF(NOT(AND(T458="",A459&lt;=S458)),"",IF(A459=入力!$B$15+1,"繰上返済後再計算","")&amp;IF(AND(入力!$B$13="有効",A459&gt;1,MOD(A459-1,60)=0),IF(A459=入力!$B$15+1,"・","")&amp;"5年見直し","")&amp;IF(AND(A459=入力!$B$11,A459&gt;1),IF(OR(A459=入力!$B$15+1,AND(入力!$B$13="有効",A459&gt;1,MOD(A459-1,60)=0)),"・","")&amp;"金利変更","")&amp;IF(AND(OR(AND(入力!$B$13="有効",A459&gt;1,MOD(A459-1,60)=0),AND(A459=入力!$B$11,A459&gt;1)),入力!$B$14="有効",IF(E459=0,ROUND(C459/MAX(1,S458-A459+1),0),ROUND(-PMT(E459/12,MAX(1,S458-A459+1),C459),0))&gt;ROUND(G458*1.25,0),NOT(A459=入力!$B$15+1)),"・上限適用",""))</f>
        <v/>
      </c>
      <c r="Q459" s="35" t="str">
        <f>IF(AND(T458="",A459&lt;=S458),入力!$B$13,"")</f>
        <v/>
      </c>
      <c r="R459" s="32" t="str">
        <f>IF(AND(AND(T458="",A459&lt;=S458),OR(AND(入力!$B$13="有効",A459&gt;1,MOD(A459-1,60)=0),AND(A459=入力!$B$11,A459&gt;1)),入力!$B$14="有効"),ROUND(G458*1.25,0),"")</f>
        <v/>
      </c>
      <c r="S459" s="36">
        <f>IF(A459=入力!$B$15,A459+入力!$B$19,S458)</f>
        <v>360</v>
      </c>
      <c r="T459" s="35" t="str">
        <f t="shared" si="127"/>
        <v/>
      </c>
      <c r="U459" s="3">
        <f t="shared" si="112"/>
        <v>0</v>
      </c>
      <c r="V459" s="3">
        <f t="shared" si="113"/>
        <v>0</v>
      </c>
      <c r="W459" s="3">
        <f t="shared" si="114"/>
        <v>0</v>
      </c>
      <c r="X459" s="3">
        <f t="shared" si="115"/>
        <v>0</v>
      </c>
      <c r="Y459" s="3">
        <f>IF(A459&lt;入力!$B$15,ABS(G459-何もしない_月次!G459),0)</f>
        <v>0</v>
      </c>
      <c r="Z459" s="3">
        <f t="shared" si="116"/>
        <v>0</v>
      </c>
      <c r="AA459">
        <f>ROUND(IF(A459=入力!$B$15+1,IF(E459=0,ROUND(C459/入力!$B$19,0),ROUND(-PMT(E459/12,入力!$B$19,C459),0)),IF(OR(AND(入力!$B$13="有効",A459&gt;1,MOD(A459-1,60)=0),AND(A459=入力!$B$11,A459&gt;1)),IF(入力!$B$14="有効",MIN(IF(E459=0,ROUND(C459/MAX(1,S458-A459+1),0),ROUND(-PMT(E459/12,MAX(1,S458-A459+1),C459),0)),ROUND(G458*1.25,0)),IF(E459=0,ROUND(C459/MAX(1,S458-A459+1),0),ROUND(-PMT(E459/12,MAX(1,S458-A459+1),C459),0))),G458)),0)</f>
        <v>0</v>
      </c>
    </row>
    <row r="460" spans="1:27">
      <c r="A460" s="30">
        <f>455</f>
        <v>455</v>
      </c>
      <c r="B460" s="31">
        <f>EDATE(入力!$B$6,A460-1)</f>
        <v>60054</v>
      </c>
      <c r="C460" s="32">
        <f t="shared" si="117"/>
        <v>0</v>
      </c>
      <c r="D460" s="32">
        <f t="shared" si="118"/>
        <v>0</v>
      </c>
      <c r="E460" s="33">
        <f>IF(AND(T459="",A460&lt;=S459),IF(A460&lt;入力!$B$11,入力!$B$10,入力!$B$12),0)</f>
        <v>0</v>
      </c>
      <c r="F460" s="32">
        <f t="shared" si="119"/>
        <v>0</v>
      </c>
      <c r="G460" s="32">
        <f>ROUND(IF(NOT(AND(T459="",A460&lt;=S459)),0,IF(A460=入力!$B$15+1,IF(E460=0,ROUND(C460/入力!$B$19,0),ROUND(-PMT(E460/12,入力!$B$19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),0)</f>
        <v>0</v>
      </c>
      <c r="H460" s="32">
        <f t="shared" si="120"/>
        <v>0</v>
      </c>
      <c r="I460" s="32">
        <f t="shared" si="121"/>
        <v>0</v>
      </c>
      <c r="J460" s="32">
        <f t="shared" si="122"/>
        <v>0</v>
      </c>
      <c r="K460" s="32">
        <f t="shared" si="123"/>
        <v>0</v>
      </c>
      <c r="L460" s="32">
        <f t="shared" si="124"/>
        <v>0</v>
      </c>
      <c r="M460" s="32">
        <f>IF(AND(AND(T459="",A460&lt;=S459),A460=入力!$B$15),ROUND(MIN(入力!$B$16,MAX(0,C460-L460)),0),0)</f>
        <v>0</v>
      </c>
      <c r="N460" s="32">
        <f t="shared" si="125"/>
        <v>0</v>
      </c>
      <c r="O460" s="32">
        <f t="shared" si="126"/>
        <v>10751874</v>
      </c>
      <c r="P460" s="34" t="str">
        <f>IF(NOT(AND(T459="",A460&lt;=S459)),"",IF(A460=入力!$B$15+1,"繰上返済後再計算","")&amp;IF(AND(入力!$B$13="有効",A460&gt;1,MOD(A460-1,60)=0),IF(A460=入力!$B$15+1,"・","")&amp;"5年見直し","")&amp;IF(AND(A460=入力!$B$11,A460&gt;1),IF(OR(A460=入力!$B$15+1,AND(入力!$B$13="有効",A460&gt;1,MOD(A460-1,60)=0)),"・","")&amp;"金利変更","")&amp;IF(AND(OR(AND(入力!$B$13="有効",A460&gt;1,MOD(A460-1,60)=0),AND(A460=入力!$B$11,A460&gt;1)),入力!$B$14="有効",IF(E460=0,ROUND(C460/MAX(1,S459-A460+1),0),ROUND(-PMT(E460/12,MAX(1,S459-A460+1),C460),0))&gt;ROUND(G459*1.25,0),NOT(A460=入力!$B$15+1)),"・上限適用",""))</f>
        <v/>
      </c>
      <c r="Q460" s="35" t="str">
        <f>IF(AND(T459="",A460&lt;=S459),入力!$B$13,"")</f>
        <v/>
      </c>
      <c r="R460" s="32" t="str">
        <f>IF(AND(AND(T459="",A460&lt;=S459),OR(AND(入力!$B$13="有効",A460&gt;1,MOD(A460-1,60)=0),AND(A460=入力!$B$11,A460&gt;1)),入力!$B$14="有効"),ROUND(G459*1.25,0),"")</f>
        <v/>
      </c>
      <c r="S460" s="36">
        <f>IF(A460=入力!$B$15,A460+入力!$B$19,S459)</f>
        <v>360</v>
      </c>
      <c r="T460" s="35" t="str">
        <f t="shared" si="127"/>
        <v/>
      </c>
      <c r="U460" s="3">
        <f t="shared" si="112"/>
        <v>0</v>
      </c>
      <c r="V460" s="3">
        <f t="shared" si="113"/>
        <v>0</v>
      </c>
      <c r="W460" s="3">
        <f t="shared" si="114"/>
        <v>0</v>
      </c>
      <c r="X460" s="3">
        <f t="shared" si="115"/>
        <v>0</v>
      </c>
      <c r="Y460" s="3">
        <f>IF(A460&lt;入力!$B$15,ABS(G460-何もしない_月次!G460),0)</f>
        <v>0</v>
      </c>
      <c r="Z460" s="3">
        <f t="shared" si="116"/>
        <v>0</v>
      </c>
      <c r="AA460">
        <f>ROUND(IF(A460=入力!$B$15+1,IF(E460=0,ROUND(C460/入力!$B$19,0),ROUND(-PMT(E460/12,入力!$B$19,C460),0)),IF(OR(AND(入力!$B$13="有効",A460&gt;1,MOD(A460-1,60)=0),AND(A460=入力!$B$11,A460&gt;1)),IF(入力!$B$14="有効",MIN(IF(E460=0,ROUND(C460/MAX(1,S459-A460+1),0),ROUND(-PMT(E460/12,MAX(1,S459-A460+1),C460),0)),ROUND(G459*1.25,0)),IF(E460=0,ROUND(C460/MAX(1,S459-A460+1),0),ROUND(-PMT(E460/12,MAX(1,S459-A460+1),C460),0))),G459)),0)</f>
        <v>0</v>
      </c>
    </row>
    <row r="461" spans="1:27">
      <c r="A461" s="30">
        <f>456</f>
        <v>456</v>
      </c>
      <c r="B461" s="31">
        <f>EDATE(入力!$B$6,A461-1)</f>
        <v>60084</v>
      </c>
      <c r="C461" s="32">
        <f t="shared" si="117"/>
        <v>0</v>
      </c>
      <c r="D461" s="32">
        <f t="shared" si="118"/>
        <v>0</v>
      </c>
      <c r="E461" s="33">
        <f>IF(AND(T460="",A461&lt;=S460),IF(A461&lt;入力!$B$11,入力!$B$10,入力!$B$12),0)</f>
        <v>0</v>
      </c>
      <c r="F461" s="32">
        <f t="shared" si="119"/>
        <v>0</v>
      </c>
      <c r="G461" s="32">
        <f>ROUND(IF(NOT(AND(T460="",A461&lt;=S460)),0,IF(A461=入力!$B$15+1,IF(E461=0,ROUND(C461/入力!$B$19,0),ROUND(-PMT(E461/12,入力!$B$19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),0)</f>
        <v>0</v>
      </c>
      <c r="H461" s="32">
        <f t="shared" si="120"/>
        <v>0</v>
      </c>
      <c r="I461" s="32">
        <f t="shared" si="121"/>
        <v>0</v>
      </c>
      <c r="J461" s="32">
        <f t="shared" si="122"/>
        <v>0</v>
      </c>
      <c r="K461" s="32">
        <f t="shared" si="123"/>
        <v>0</v>
      </c>
      <c r="L461" s="32">
        <f t="shared" si="124"/>
        <v>0</v>
      </c>
      <c r="M461" s="32">
        <f>IF(AND(AND(T460="",A461&lt;=S460),A461=入力!$B$15),ROUND(MIN(入力!$B$16,MAX(0,C461-L461)),0),0)</f>
        <v>0</v>
      </c>
      <c r="N461" s="32">
        <f t="shared" si="125"/>
        <v>0</v>
      </c>
      <c r="O461" s="32">
        <f t="shared" si="126"/>
        <v>10751874</v>
      </c>
      <c r="P461" s="34" t="str">
        <f>IF(NOT(AND(T460="",A461&lt;=S460)),"",IF(A461=入力!$B$15+1,"繰上返済後再計算","")&amp;IF(AND(入力!$B$13="有効",A461&gt;1,MOD(A461-1,60)=0),IF(A461=入力!$B$15+1,"・","")&amp;"5年見直し","")&amp;IF(AND(A461=入力!$B$11,A461&gt;1),IF(OR(A461=入力!$B$15+1,AND(入力!$B$13="有効",A461&gt;1,MOD(A461-1,60)=0)),"・","")&amp;"金利変更","")&amp;IF(AND(OR(AND(入力!$B$13="有効",A461&gt;1,MOD(A461-1,60)=0),AND(A461=入力!$B$11,A461&gt;1)),入力!$B$14="有効",IF(E461=0,ROUND(C461/MAX(1,S460-A461+1),0),ROUND(-PMT(E461/12,MAX(1,S460-A461+1),C461),0))&gt;ROUND(G460*1.25,0),NOT(A461=入力!$B$15+1)),"・上限適用",""))</f>
        <v/>
      </c>
      <c r="Q461" s="35" t="str">
        <f>IF(AND(T460="",A461&lt;=S460),入力!$B$13,"")</f>
        <v/>
      </c>
      <c r="R461" s="32" t="str">
        <f>IF(AND(AND(T460="",A461&lt;=S460),OR(AND(入力!$B$13="有効",A461&gt;1,MOD(A461-1,60)=0),AND(A461=入力!$B$11,A461&gt;1)),入力!$B$14="有効"),ROUND(G460*1.25,0),"")</f>
        <v/>
      </c>
      <c r="S461" s="36">
        <f>IF(A461=入力!$B$15,A461+入力!$B$19,S460)</f>
        <v>360</v>
      </c>
      <c r="T461" s="35" t="str">
        <f t="shared" si="127"/>
        <v/>
      </c>
      <c r="U461" s="3">
        <f t="shared" si="112"/>
        <v>0</v>
      </c>
      <c r="V461" s="3">
        <f t="shared" si="113"/>
        <v>0</v>
      </c>
      <c r="W461" s="3">
        <f t="shared" si="114"/>
        <v>0</v>
      </c>
      <c r="X461" s="3">
        <f t="shared" si="115"/>
        <v>0</v>
      </c>
      <c r="Y461" s="3">
        <f>IF(A461&lt;入力!$B$15,ABS(G461-何もしない_月次!G461),0)</f>
        <v>0</v>
      </c>
      <c r="Z461" s="3">
        <f t="shared" si="116"/>
        <v>0</v>
      </c>
      <c r="AA461">
        <f>ROUND(IF(A461=入力!$B$15+1,IF(E461=0,ROUND(C461/入力!$B$19,0),ROUND(-PMT(E461/12,入力!$B$19,C461),0)),IF(OR(AND(入力!$B$13="有効",A461&gt;1,MOD(A461-1,60)=0),AND(A461=入力!$B$11,A461&gt;1)),IF(入力!$B$14="有効",MIN(IF(E461=0,ROUND(C461/MAX(1,S460-A461+1),0),ROUND(-PMT(E461/12,MAX(1,S460-A461+1),C461),0)),ROUND(G460*1.25,0)),IF(E461=0,ROUND(C461/MAX(1,S460-A461+1),0),ROUND(-PMT(E461/12,MAX(1,S460-A461+1),C461),0))),G460)),0)</f>
        <v>0</v>
      </c>
    </row>
    <row r="462" spans="1:27">
      <c r="A462" s="30">
        <f>457</f>
        <v>457</v>
      </c>
      <c r="B462" s="31">
        <f>EDATE(入力!$B$6,A462-1)</f>
        <v>60115</v>
      </c>
      <c r="C462" s="32">
        <f t="shared" si="117"/>
        <v>0</v>
      </c>
      <c r="D462" s="32">
        <f t="shared" si="118"/>
        <v>0</v>
      </c>
      <c r="E462" s="33">
        <f>IF(AND(T461="",A462&lt;=S461),IF(A462&lt;入力!$B$11,入力!$B$10,入力!$B$12),0)</f>
        <v>0</v>
      </c>
      <c r="F462" s="32">
        <f t="shared" si="119"/>
        <v>0</v>
      </c>
      <c r="G462" s="32">
        <f>ROUND(IF(NOT(AND(T461="",A462&lt;=S461)),0,IF(A462=入力!$B$15+1,IF(E462=0,ROUND(C462/入力!$B$19,0),ROUND(-PMT(E462/12,入力!$B$19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),0)</f>
        <v>0</v>
      </c>
      <c r="H462" s="32">
        <f t="shared" si="120"/>
        <v>0</v>
      </c>
      <c r="I462" s="32">
        <f t="shared" si="121"/>
        <v>0</v>
      </c>
      <c r="J462" s="32">
        <f t="shared" si="122"/>
        <v>0</v>
      </c>
      <c r="K462" s="32">
        <f t="shared" si="123"/>
        <v>0</v>
      </c>
      <c r="L462" s="32">
        <f t="shared" si="124"/>
        <v>0</v>
      </c>
      <c r="M462" s="32">
        <f>IF(AND(AND(T461="",A462&lt;=S461),A462=入力!$B$15),ROUND(MIN(入力!$B$16,MAX(0,C462-L462)),0),0)</f>
        <v>0</v>
      </c>
      <c r="N462" s="32">
        <f t="shared" si="125"/>
        <v>0</v>
      </c>
      <c r="O462" s="32">
        <f t="shared" si="126"/>
        <v>10751874</v>
      </c>
      <c r="P462" s="34" t="str">
        <f>IF(NOT(AND(T461="",A462&lt;=S461)),"",IF(A462=入力!$B$15+1,"繰上返済後再計算","")&amp;IF(AND(入力!$B$13="有効",A462&gt;1,MOD(A462-1,60)=0),IF(A462=入力!$B$15+1,"・","")&amp;"5年見直し","")&amp;IF(AND(A462=入力!$B$11,A462&gt;1),IF(OR(A462=入力!$B$15+1,AND(入力!$B$13="有効",A462&gt;1,MOD(A462-1,60)=0)),"・","")&amp;"金利変更","")&amp;IF(AND(OR(AND(入力!$B$13="有効",A462&gt;1,MOD(A462-1,60)=0),AND(A462=入力!$B$11,A462&gt;1)),入力!$B$14="有効",IF(E462=0,ROUND(C462/MAX(1,S461-A462+1),0),ROUND(-PMT(E462/12,MAX(1,S461-A462+1),C462),0))&gt;ROUND(G461*1.25,0),NOT(A462=入力!$B$15+1)),"・上限適用",""))</f>
        <v/>
      </c>
      <c r="Q462" s="35" t="str">
        <f>IF(AND(T461="",A462&lt;=S461),入力!$B$13,"")</f>
        <v/>
      </c>
      <c r="R462" s="32" t="str">
        <f>IF(AND(AND(T461="",A462&lt;=S461),OR(AND(入力!$B$13="有効",A462&gt;1,MOD(A462-1,60)=0),AND(A462=入力!$B$11,A462&gt;1)),入力!$B$14="有効"),ROUND(G461*1.25,0),"")</f>
        <v/>
      </c>
      <c r="S462" s="36">
        <f>IF(A462=入力!$B$15,A462+入力!$B$19,S461)</f>
        <v>360</v>
      </c>
      <c r="T462" s="35" t="str">
        <f t="shared" si="127"/>
        <v/>
      </c>
      <c r="U462" s="3">
        <f t="shared" si="112"/>
        <v>0</v>
      </c>
      <c r="V462" s="3">
        <f t="shared" si="113"/>
        <v>0</v>
      </c>
      <c r="W462" s="3">
        <f t="shared" si="114"/>
        <v>0</v>
      </c>
      <c r="X462" s="3">
        <f t="shared" si="115"/>
        <v>0</v>
      </c>
      <c r="Y462" s="3">
        <f>IF(A462&lt;入力!$B$15,ABS(G462-何もしない_月次!G462),0)</f>
        <v>0</v>
      </c>
      <c r="Z462" s="3">
        <f t="shared" si="116"/>
        <v>0</v>
      </c>
      <c r="AA462">
        <f>ROUND(IF(A462=入力!$B$15+1,IF(E462=0,ROUND(C462/入力!$B$19,0),ROUND(-PMT(E462/12,入力!$B$19,C462),0)),IF(OR(AND(入力!$B$13="有効",A462&gt;1,MOD(A462-1,60)=0),AND(A462=入力!$B$11,A462&gt;1)),IF(入力!$B$14="有効",MIN(IF(E462=0,ROUND(C462/MAX(1,S461-A462+1),0),ROUND(-PMT(E462/12,MAX(1,S461-A462+1),C462),0)),ROUND(G461*1.25,0)),IF(E462=0,ROUND(C462/MAX(1,S461-A462+1),0),ROUND(-PMT(E462/12,MAX(1,S461-A462+1),C462),0))),G461)),0)</f>
        <v>0</v>
      </c>
    </row>
    <row r="463" spans="1:27">
      <c r="A463" s="30">
        <f>458</f>
        <v>458</v>
      </c>
      <c r="B463" s="31">
        <f>EDATE(入力!$B$6,A463-1)</f>
        <v>60146</v>
      </c>
      <c r="C463" s="32">
        <f t="shared" si="117"/>
        <v>0</v>
      </c>
      <c r="D463" s="32">
        <f t="shared" si="118"/>
        <v>0</v>
      </c>
      <c r="E463" s="33">
        <f>IF(AND(T462="",A463&lt;=S462),IF(A463&lt;入力!$B$11,入力!$B$10,入力!$B$12),0)</f>
        <v>0</v>
      </c>
      <c r="F463" s="32">
        <f t="shared" si="119"/>
        <v>0</v>
      </c>
      <c r="G463" s="32">
        <f>ROUND(IF(NOT(AND(T462="",A463&lt;=S462)),0,IF(A463=入力!$B$15+1,IF(E463=0,ROUND(C463/入力!$B$19,0),ROUND(-PMT(E463/12,入力!$B$19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),0)</f>
        <v>0</v>
      </c>
      <c r="H463" s="32">
        <f t="shared" si="120"/>
        <v>0</v>
      </c>
      <c r="I463" s="32">
        <f t="shared" si="121"/>
        <v>0</v>
      </c>
      <c r="J463" s="32">
        <f t="shared" si="122"/>
        <v>0</v>
      </c>
      <c r="K463" s="32">
        <f t="shared" si="123"/>
        <v>0</v>
      </c>
      <c r="L463" s="32">
        <f t="shared" si="124"/>
        <v>0</v>
      </c>
      <c r="M463" s="32">
        <f>IF(AND(AND(T462="",A463&lt;=S462),A463=入力!$B$15),ROUND(MIN(入力!$B$16,MAX(0,C463-L463)),0),0)</f>
        <v>0</v>
      </c>
      <c r="N463" s="32">
        <f t="shared" si="125"/>
        <v>0</v>
      </c>
      <c r="O463" s="32">
        <f t="shared" si="126"/>
        <v>10751874</v>
      </c>
      <c r="P463" s="34" t="str">
        <f>IF(NOT(AND(T462="",A463&lt;=S462)),"",IF(A463=入力!$B$15+1,"繰上返済後再計算","")&amp;IF(AND(入力!$B$13="有効",A463&gt;1,MOD(A463-1,60)=0),IF(A463=入力!$B$15+1,"・","")&amp;"5年見直し","")&amp;IF(AND(A463=入力!$B$11,A463&gt;1),IF(OR(A463=入力!$B$15+1,AND(入力!$B$13="有効",A463&gt;1,MOD(A463-1,60)=0)),"・","")&amp;"金利変更","")&amp;IF(AND(OR(AND(入力!$B$13="有効",A463&gt;1,MOD(A463-1,60)=0),AND(A463=入力!$B$11,A463&gt;1)),入力!$B$14="有効",IF(E463=0,ROUND(C463/MAX(1,S462-A463+1),0),ROUND(-PMT(E463/12,MAX(1,S462-A463+1),C463),0))&gt;ROUND(G462*1.25,0),NOT(A463=入力!$B$15+1)),"・上限適用",""))</f>
        <v/>
      </c>
      <c r="Q463" s="35" t="str">
        <f>IF(AND(T462="",A463&lt;=S462),入力!$B$13,"")</f>
        <v/>
      </c>
      <c r="R463" s="32" t="str">
        <f>IF(AND(AND(T462="",A463&lt;=S462),OR(AND(入力!$B$13="有効",A463&gt;1,MOD(A463-1,60)=0),AND(A463=入力!$B$11,A463&gt;1)),入力!$B$14="有効"),ROUND(G462*1.25,0),"")</f>
        <v/>
      </c>
      <c r="S463" s="36">
        <f>IF(A463=入力!$B$15,A463+入力!$B$19,S462)</f>
        <v>360</v>
      </c>
      <c r="T463" s="35" t="str">
        <f t="shared" si="127"/>
        <v/>
      </c>
      <c r="U463" s="3">
        <f t="shared" si="112"/>
        <v>0</v>
      </c>
      <c r="V463" s="3">
        <f t="shared" si="113"/>
        <v>0</v>
      </c>
      <c r="W463" s="3">
        <f t="shared" si="114"/>
        <v>0</v>
      </c>
      <c r="X463" s="3">
        <f t="shared" si="115"/>
        <v>0</v>
      </c>
      <c r="Y463" s="3">
        <f>IF(A463&lt;入力!$B$15,ABS(G463-何もしない_月次!G463),0)</f>
        <v>0</v>
      </c>
      <c r="Z463" s="3">
        <f t="shared" si="116"/>
        <v>0</v>
      </c>
      <c r="AA463">
        <f>ROUND(IF(A463=入力!$B$15+1,IF(E463=0,ROUND(C463/入力!$B$19,0),ROUND(-PMT(E463/12,入力!$B$19,C463),0)),IF(OR(AND(入力!$B$13="有効",A463&gt;1,MOD(A463-1,60)=0),AND(A463=入力!$B$11,A463&gt;1)),IF(入力!$B$14="有効",MIN(IF(E463=0,ROUND(C463/MAX(1,S462-A463+1),0),ROUND(-PMT(E463/12,MAX(1,S462-A463+1),C463),0)),ROUND(G462*1.25,0)),IF(E463=0,ROUND(C463/MAX(1,S462-A463+1),0),ROUND(-PMT(E463/12,MAX(1,S462-A463+1),C463),0))),G462)),0)</f>
        <v>0</v>
      </c>
    </row>
    <row r="464" spans="1:27">
      <c r="A464" s="30">
        <f>459</f>
        <v>459</v>
      </c>
      <c r="B464" s="31">
        <f>EDATE(入力!$B$6,A464-1)</f>
        <v>60176</v>
      </c>
      <c r="C464" s="32">
        <f t="shared" si="117"/>
        <v>0</v>
      </c>
      <c r="D464" s="32">
        <f t="shared" si="118"/>
        <v>0</v>
      </c>
      <c r="E464" s="33">
        <f>IF(AND(T463="",A464&lt;=S463),IF(A464&lt;入力!$B$11,入力!$B$10,入力!$B$12),0)</f>
        <v>0</v>
      </c>
      <c r="F464" s="32">
        <f t="shared" si="119"/>
        <v>0</v>
      </c>
      <c r="G464" s="32">
        <f>ROUND(IF(NOT(AND(T463="",A464&lt;=S463)),0,IF(A464=入力!$B$15+1,IF(E464=0,ROUND(C464/入力!$B$19,0),ROUND(-PMT(E464/12,入力!$B$19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),0)</f>
        <v>0</v>
      </c>
      <c r="H464" s="32">
        <f t="shared" si="120"/>
        <v>0</v>
      </c>
      <c r="I464" s="32">
        <f t="shared" si="121"/>
        <v>0</v>
      </c>
      <c r="J464" s="32">
        <f t="shared" si="122"/>
        <v>0</v>
      </c>
      <c r="K464" s="32">
        <f t="shared" si="123"/>
        <v>0</v>
      </c>
      <c r="L464" s="32">
        <f t="shared" si="124"/>
        <v>0</v>
      </c>
      <c r="M464" s="32">
        <f>IF(AND(AND(T463="",A464&lt;=S463),A464=入力!$B$15),ROUND(MIN(入力!$B$16,MAX(0,C464-L464)),0),0)</f>
        <v>0</v>
      </c>
      <c r="N464" s="32">
        <f t="shared" si="125"/>
        <v>0</v>
      </c>
      <c r="O464" s="32">
        <f t="shared" si="126"/>
        <v>10751874</v>
      </c>
      <c r="P464" s="34" t="str">
        <f>IF(NOT(AND(T463="",A464&lt;=S463)),"",IF(A464=入力!$B$15+1,"繰上返済後再計算","")&amp;IF(AND(入力!$B$13="有効",A464&gt;1,MOD(A464-1,60)=0),IF(A464=入力!$B$15+1,"・","")&amp;"5年見直し","")&amp;IF(AND(A464=入力!$B$11,A464&gt;1),IF(OR(A464=入力!$B$15+1,AND(入力!$B$13="有効",A464&gt;1,MOD(A464-1,60)=0)),"・","")&amp;"金利変更","")&amp;IF(AND(OR(AND(入力!$B$13="有効",A464&gt;1,MOD(A464-1,60)=0),AND(A464=入力!$B$11,A464&gt;1)),入力!$B$14="有効",IF(E464=0,ROUND(C464/MAX(1,S463-A464+1),0),ROUND(-PMT(E464/12,MAX(1,S463-A464+1),C464),0))&gt;ROUND(G463*1.25,0),NOT(A464=入力!$B$15+1)),"・上限適用",""))</f>
        <v/>
      </c>
      <c r="Q464" s="35" t="str">
        <f>IF(AND(T463="",A464&lt;=S463),入力!$B$13,"")</f>
        <v/>
      </c>
      <c r="R464" s="32" t="str">
        <f>IF(AND(AND(T463="",A464&lt;=S463),OR(AND(入力!$B$13="有効",A464&gt;1,MOD(A464-1,60)=0),AND(A464=入力!$B$11,A464&gt;1)),入力!$B$14="有効"),ROUND(G463*1.25,0),"")</f>
        <v/>
      </c>
      <c r="S464" s="36">
        <f>IF(A464=入力!$B$15,A464+入力!$B$19,S463)</f>
        <v>360</v>
      </c>
      <c r="T464" s="35" t="str">
        <f t="shared" si="127"/>
        <v/>
      </c>
      <c r="U464" s="3">
        <f t="shared" si="112"/>
        <v>0</v>
      </c>
      <c r="V464" s="3">
        <f t="shared" si="113"/>
        <v>0</v>
      </c>
      <c r="W464" s="3">
        <f t="shared" si="114"/>
        <v>0</v>
      </c>
      <c r="X464" s="3">
        <f t="shared" si="115"/>
        <v>0</v>
      </c>
      <c r="Y464" s="3">
        <f>IF(A464&lt;入力!$B$15,ABS(G464-何もしない_月次!G464),0)</f>
        <v>0</v>
      </c>
      <c r="Z464" s="3">
        <f t="shared" si="116"/>
        <v>0</v>
      </c>
      <c r="AA464">
        <f>ROUND(IF(A464=入力!$B$15+1,IF(E464=0,ROUND(C464/入力!$B$19,0),ROUND(-PMT(E464/12,入力!$B$19,C464),0)),IF(OR(AND(入力!$B$13="有効",A464&gt;1,MOD(A464-1,60)=0),AND(A464=入力!$B$11,A464&gt;1)),IF(入力!$B$14="有効",MIN(IF(E464=0,ROUND(C464/MAX(1,S463-A464+1),0),ROUND(-PMT(E464/12,MAX(1,S463-A464+1),C464),0)),ROUND(G463*1.25,0)),IF(E464=0,ROUND(C464/MAX(1,S463-A464+1),0),ROUND(-PMT(E464/12,MAX(1,S463-A464+1),C464),0))),G463)),0)</f>
        <v>0</v>
      </c>
    </row>
    <row r="465" spans="1:27">
      <c r="A465" s="30">
        <f>460</f>
        <v>460</v>
      </c>
      <c r="B465" s="31">
        <f>EDATE(入力!$B$6,A465-1)</f>
        <v>60207</v>
      </c>
      <c r="C465" s="32">
        <f t="shared" si="117"/>
        <v>0</v>
      </c>
      <c r="D465" s="32">
        <f t="shared" si="118"/>
        <v>0</v>
      </c>
      <c r="E465" s="33">
        <f>IF(AND(T464="",A465&lt;=S464),IF(A465&lt;入力!$B$11,入力!$B$10,入力!$B$12),0)</f>
        <v>0</v>
      </c>
      <c r="F465" s="32">
        <f t="shared" si="119"/>
        <v>0</v>
      </c>
      <c r="G465" s="32">
        <f>ROUND(IF(NOT(AND(T464="",A465&lt;=S464)),0,IF(A465=入力!$B$15+1,IF(E465=0,ROUND(C465/入力!$B$19,0),ROUND(-PMT(E465/12,入力!$B$19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),0)</f>
        <v>0</v>
      </c>
      <c r="H465" s="32">
        <f t="shared" si="120"/>
        <v>0</v>
      </c>
      <c r="I465" s="32">
        <f t="shared" si="121"/>
        <v>0</v>
      </c>
      <c r="J465" s="32">
        <f t="shared" si="122"/>
        <v>0</v>
      </c>
      <c r="K465" s="32">
        <f t="shared" si="123"/>
        <v>0</v>
      </c>
      <c r="L465" s="32">
        <f t="shared" si="124"/>
        <v>0</v>
      </c>
      <c r="M465" s="32">
        <f>IF(AND(AND(T464="",A465&lt;=S464),A465=入力!$B$15),ROUND(MIN(入力!$B$16,MAX(0,C465-L465)),0),0)</f>
        <v>0</v>
      </c>
      <c r="N465" s="32">
        <f t="shared" si="125"/>
        <v>0</v>
      </c>
      <c r="O465" s="32">
        <f t="shared" si="126"/>
        <v>10751874</v>
      </c>
      <c r="P465" s="34" t="str">
        <f>IF(NOT(AND(T464="",A465&lt;=S464)),"",IF(A465=入力!$B$15+1,"繰上返済後再計算","")&amp;IF(AND(入力!$B$13="有効",A465&gt;1,MOD(A465-1,60)=0),IF(A465=入力!$B$15+1,"・","")&amp;"5年見直し","")&amp;IF(AND(A465=入力!$B$11,A465&gt;1),IF(OR(A465=入力!$B$15+1,AND(入力!$B$13="有効",A465&gt;1,MOD(A465-1,60)=0)),"・","")&amp;"金利変更","")&amp;IF(AND(OR(AND(入力!$B$13="有効",A465&gt;1,MOD(A465-1,60)=0),AND(A465=入力!$B$11,A465&gt;1)),入力!$B$14="有効",IF(E465=0,ROUND(C465/MAX(1,S464-A465+1),0),ROUND(-PMT(E465/12,MAX(1,S464-A465+1),C465),0))&gt;ROUND(G464*1.25,0),NOT(A465=入力!$B$15+1)),"・上限適用",""))</f>
        <v/>
      </c>
      <c r="Q465" s="35" t="str">
        <f>IF(AND(T464="",A465&lt;=S464),入力!$B$13,"")</f>
        <v/>
      </c>
      <c r="R465" s="32" t="str">
        <f>IF(AND(AND(T464="",A465&lt;=S464),OR(AND(入力!$B$13="有効",A465&gt;1,MOD(A465-1,60)=0),AND(A465=入力!$B$11,A465&gt;1)),入力!$B$14="有効"),ROUND(G464*1.25,0),"")</f>
        <v/>
      </c>
      <c r="S465" s="36">
        <f>IF(A465=入力!$B$15,A465+入力!$B$19,S464)</f>
        <v>360</v>
      </c>
      <c r="T465" s="35" t="str">
        <f t="shared" si="127"/>
        <v/>
      </c>
      <c r="U465" s="3">
        <f t="shared" si="112"/>
        <v>0</v>
      </c>
      <c r="V465" s="3">
        <f t="shared" si="113"/>
        <v>0</v>
      </c>
      <c r="W465" s="3">
        <f t="shared" si="114"/>
        <v>0</v>
      </c>
      <c r="X465" s="3">
        <f t="shared" si="115"/>
        <v>0</v>
      </c>
      <c r="Y465" s="3">
        <f>IF(A465&lt;入力!$B$15,ABS(G465-何もしない_月次!G465),0)</f>
        <v>0</v>
      </c>
      <c r="Z465" s="3">
        <f t="shared" si="116"/>
        <v>0</v>
      </c>
      <c r="AA465">
        <f>ROUND(IF(A465=入力!$B$15+1,IF(E465=0,ROUND(C465/入力!$B$19,0),ROUND(-PMT(E465/12,入力!$B$19,C465),0)),IF(OR(AND(入力!$B$13="有効",A465&gt;1,MOD(A465-1,60)=0),AND(A465=入力!$B$11,A465&gt;1)),IF(入力!$B$14="有効",MIN(IF(E465=0,ROUND(C465/MAX(1,S464-A465+1),0),ROUND(-PMT(E465/12,MAX(1,S464-A465+1),C465),0)),ROUND(G464*1.25,0)),IF(E465=0,ROUND(C465/MAX(1,S464-A465+1),0),ROUND(-PMT(E465/12,MAX(1,S464-A465+1),C465),0))),G464)),0)</f>
        <v>0</v>
      </c>
    </row>
    <row r="466" spans="1:27">
      <c r="A466" s="30">
        <f>461</f>
        <v>461</v>
      </c>
      <c r="B466" s="31">
        <f>EDATE(入力!$B$6,A466-1)</f>
        <v>60237</v>
      </c>
      <c r="C466" s="32">
        <f t="shared" si="117"/>
        <v>0</v>
      </c>
      <c r="D466" s="32">
        <f t="shared" si="118"/>
        <v>0</v>
      </c>
      <c r="E466" s="33">
        <f>IF(AND(T465="",A466&lt;=S465),IF(A466&lt;入力!$B$11,入力!$B$10,入力!$B$12),0)</f>
        <v>0</v>
      </c>
      <c r="F466" s="32">
        <f t="shared" si="119"/>
        <v>0</v>
      </c>
      <c r="G466" s="32">
        <f>ROUND(IF(NOT(AND(T465="",A466&lt;=S465)),0,IF(A466=入力!$B$15+1,IF(E466=0,ROUND(C466/入力!$B$19,0),ROUND(-PMT(E466/12,入力!$B$19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),0)</f>
        <v>0</v>
      </c>
      <c r="H466" s="32">
        <f t="shared" si="120"/>
        <v>0</v>
      </c>
      <c r="I466" s="32">
        <f t="shared" si="121"/>
        <v>0</v>
      </c>
      <c r="J466" s="32">
        <f t="shared" si="122"/>
        <v>0</v>
      </c>
      <c r="K466" s="32">
        <f t="shared" si="123"/>
        <v>0</v>
      </c>
      <c r="L466" s="32">
        <f t="shared" si="124"/>
        <v>0</v>
      </c>
      <c r="M466" s="32">
        <f>IF(AND(AND(T465="",A466&lt;=S465),A466=入力!$B$15),ROUND(MIN(入力!$B$16,MAX(0,C466-L466)),0),0)</f>
        <v>0</v>
      </c>
      <c r="N466" s="32">
        <f t="shared" si="125"/>
        <v>0</v>
      </c>
      <c r="O466" s="32">
        <f t="shared" si="126"/>
        <v>10751874</v>
      </c>
      <c r="P466" s="34" t="str">
        <f>IF(NOT(AND(T465="",A466&lt;=S465)),"",IF(A466=入力!$B$15+1,"繰上返済後再計算","")&amp;IF(AND(入力!$B$13="有効",A466&gt;1,MOD(A466-1,60)=0),IF(A466=入力!$B$15+1,"・","")&amp;"5年見直し","")&amp;IF(AND(A466=入力!$B$11,A466&gt;1),IF(OR(A466=入力!$B$15+1,AND(入力!$B$13="有効",A466&gt;1,MOD(A466-1,60)=0)),"・","")&amp;"金利変更","")&amp;IF(AND(OR(AND(入力!$B$13="有効",A466&gt;1,MOD(A466-1,60)=0),AND(A466=入力!$B$11,A466&gt;1)),入力!$B$14="有効",IF(E466=0,ROUND(C466/MAX(1,S465-A466+1),0),ROUND(-PMT(E466/12,MAX(1,S465-A466+1),C466),0))&gt;ROUND(G465*1.25,0),NOT(A466=入力!$B$15+1)),"・上限適用",""))</f>
        <v/>
      </c>
      <c r="Q466" s="35" t="str">
        <f>IF(AND(T465="",A466&lt;=S465),入力!$B$13,"")</f>
        <v/>
      </c>
      <c r="R466" s="32" t="str">
        <f>IF(AND(AND(T465="",A466&lt;=S465),OR(AND(入力!$B$13="有効",A466&gt;1,MOD(A466-1,60)=0),AND(A466=入力!$B$11,A466&gt;1)),入力!$B$14="有効"),ROUND(G465*1.25,0),"")</f>
        <v/>
      </c>
      <c r="S466" s="36">
        <f>IF(A466=入力!$B$15,A466+入力!$B$19,S465)</f>
        <v>360</v>
      </c>
      <c r="T466" s="35" t="str">
        <f t="shared" si="127"/>
        <v/>
      </c>
      <c r="U466" s="3">
        <f t="shared" si="112"/>
        <v>0</v>
      </c>
      <c r="V466" s="3">
        <f t="shared" si="113"/>
        <v>0</v>
      </c>
      <c r="W466" s="3">
        <f t="shared" si="114"/>
        <v>0</v>
      </c>
      <c r="X466" s="3">
        <f t="shared" si="115"/>
        <v>0</v>
      </c>
      <c r="Y466" s="3">
        <f>IF(A466&lt;入力!$B$15,ABS(G466-何もしない_月次!G466),0)</f>
        <v>0</v>
      </c>
      <c r="Z466" s="3">
        <f t="shared" si="116"/>
        <v>0</v>
      </c>
      <c r="AA466">
        <f>ROUND(IF(A466=入力!$B$15+1,IF(E466=0,ROUND(C466/入力!$B$19,0),ROUND(-PMT(E466/12,入力!$B$19,C466),0)),IF(OR(AND(入力!$B$13="有効",A466&gt;1,MOD(A466-1,60)=0),AND(A466=入力!$B$11,A466&gt;1)),IF(入力!$B$14="有効",MIN(IF(E466=0,ROUND(C466/MAX(1,S465-A466+1),0),ROUND(-PMT(E466/12,MAX(1,S465-A466+1),C466),0)),ROUND(G465*1.25,0)),IF(E466=0,ROUND(C466/MAX(1,S465-A466+1),0),ROUND(-PMT(E466/12,MAX(1,S465-A466+1),C466),0))),G465)),0)</f>
        <v>0</v>
      </c>
    </row>
    <row r="467" spans="1:27">
      <c r="A467" s="30">
        <f>462</f>
        <v>462</v>
      </c>
      <c r="B467" s="31">
        <f>EDATE(入力!$B$6,A467-1)</f>
        <v>60268</v>
      </c>
      <c r="C467" s="32">
        <f t="shared" si="117"/>
        <v>0</v>
      </c>
      <c r="D467" s="32">
        <f t="shared" si="118"/>
        <v>0</v>
      </c>
      <c r="E467" s="33">
        <f>IF(AND(T466="",A467&lt;=S466),IF(A467&lt;入力!$B$11,入力!$B$10,入力!$B$12),0)</f>
        <v>0</v>
      </c>
      <c r="F467" s="32">
        <f t="shared" si="119"/>
        <v>0</v>
      </c>
      <c r="G467" s="32">
        <f>ROUND(IF(NOT(AND(T466="",A467&lt;=S466)),0,IF(A467=入力!$B$15+1,IF(E467=0,ROUND(C467/入力!$B$19,0),ROUND(-PMT(E467/12,入力!$B$19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),0)</f>
        <v>0</v>
      </c>
      <c r="H467" s="32">
        <f t="shared" si="120"/>
        <v>0</v>
      </c>
      <c r="I467" s="32">
        <f t="shared" si="121"/>
        <v>0</v>
      </c>
      <c r="J467" s="32">
        <f t="shared" si="122"/>
        <v>0</v>
      </c>
      <c r="K467" s="32">
        <f t="shared" si="123"/>
        <v>0</v>
      </c>
      <c r="L467" s="32">
        <f t="shared" si="124"/>
        <v>0</v>
      </c>
      <c r="M467" s="32">
        <f>IF(AND(AND(T466="",A467&lt;=S466),A467=入力!$B$15),ROUND(MIN(入力!$B$16,MAX(0,C467-L467)),0),0)</f>
        <v>0</v>
      </c>
      <c r="N467" s="32">
        <f t="shared" si="125"/>
        <v>0</v>
      </c>
      <c r="O467" s="32">
        <f t="shared" si="126"/>
        <v>10751874</v>
      </c>
      <c r="P467" s="34" t="str">
        <f>IF(NOT(AND(T466="",A467&lt;=S466)),"",IF(A467=入力!$B$15+1,"繰上返済後再計算","")&amp;IF(AND(入力!$B$13="有効",A467&gt;1,MOD(A467-1,60)=0),IF(A467=入力!$B$15+1,"・","")&amp;"5年見直し","")&amp;IF(AND(A467=入力!$B$11,A467&gt;1),IF(OR(A467=入力!$B$15+1,AND(入力!$B$13="有効",A467&gt;1,MOD(A467-1,60)=0)),"・","")&amp;"金利変更","")&amp;IF(AND(OR(AND(入力!$B$13="有効",A467&gt;1,MOD(A467-1,60)=0),AND(A467=入力!$B$11,A467&gt;1)),入力!$B$14="有効",IF(E467=0,ROUND(C467/MAX(1,S466-A467+1),0),ROUND(-PMT(E467/12,MAX(1,S466-A467+1),C467),0))&gt;ROUND(G466*1.25,0),NOT(A467=入力!$B$15+1)),"・上限適用",""))</f>
        <v/>
      </c>
      <c r="Q467" s="35" t="str">
        <f>IF(AND(T466="",A467&lt;=S466),入力!$B$13,"")</f>
        <v/>
      </c>
      <c r="R467" s="32" t="str">
        <f>IF(AND(AND(T466="",A467&lt;=S466),OR(AND(入力!$B$13="有効",A467&gt;1,MOD(A467-1,60)=0),AND(A467=入力!$B$11,A467&gt;1)),入力!$B$14="有効"),ROUND(G466*1.25,0),"")</f>
        <v/>
      </c>
      <c r="S467" s="36">
        <f>IF(A467=入力!$B$15,A467+入力!$B$19,S466)</f>
        <v>360</v>
      </c>
      <c r="T467" s="35" t="str">
        <f t="shared" si="127"/>
        <v/>
      </c>
      <c r="U467" s="3">
        <f t="shared" si="112"/>
        <v>0</v>
      </c>
      <c r="V467" s="3">
        <f t="shared" si="113"/>
        <v>0</v>
      </c>
      <c r="W467" s="3">
        <f t="shared" si="114"/>
        <v>0</v>
      </c>
      <c r="X467" s="3">
        <f t="shared" si="115"/>
        <v>0</v>
      </c>
      <c r="Y467" s="3">
        <f>IF(A467&lt;入力!$B$15,ABS(G467-何もしない_月次!G467),0)</f>
        <v>0</v>
      </c>
      <c r="Z467" s="3">
        <f t="shared" si="116"/>
        <v>0</v>
      </c>
      <c r="AA467">
        <f>ROUND(IF(A467=入力!$B$15+1,IF(E467=0,ROUND(C467/入力!$B$19,0),ROUND(-PMT(E467/12,入力!$B$19,C467),0)),IF(OR(AND(入力!$B$13="有効",A467&gt;1,MOD(A467-1,60)=0),AND(A467=入力!$B$11,A467&gt;1)),IF(入力!$B$14="有効",MIN(IF(E467=0,ROUND(C467/MAX(1,S466-A467+1),0),ROUND(-PMT(E467/12,MAX(1,S466-A467+1),C467),0)),ROUND(G466*1.25,0)),IF(E467=0,ROUND(C467/MAX(1,S466-A467+1),0),ROUND(-PMT(E467/12,MAX(1,S466-A467+1),C467),0))),G466)),0)</f>
        <v>0</v>
      </c>
    </row>
    <row r="468" spans="1:27">
      <c r="A468" s="30">
        <f>463</f>
        <v>463</v>
      </c>
      <c r="B468" s="31">
        <f>EDATE(入力!$B$6,A468-1)</f>
        <v>60299</v>
      </c>
      <c r="C468" s="32">
        <f t="shared" si="117"/>
        <v>0</v>
      </c>
      <c r="D468" s="32">
        <f t="shared" si="118"/>
        <v>0</v>
      </c>
      <c r="E468" s="33">
        <f>IF(AND(T467="",A468&lt;=S467),IF(A468&lt;入力!$B$11,入力!$B$10,入力!$B$12),0)</f>
        <v>0</v>
      </c>
      <c r="F468" s="32">
        <f t="shared" si="119"/>
        <v>0</v>
      </c>
      <c r="G468" s="32">
        <f>ROUND(IF(NOT(AND(T467="",A468&lt;=S467)),0,IF(A468=入力!$B$15+1,IF(E468=0,ROUND(C468/入力!$B$19,0),ROUND(-PMT(E468/12,入力!$B$19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),0)</f>
        <v>0</v>
      </c>
      <c r="H468" s="32">
        <f t="shared" si="120"/>
        <v>0</v>
      </c>
      <c r="I468" s="32">
        <f t="shared" si="121"/>
        <v>0</v>
      </c>
      <c r="J468" s="32">
        <f t="shared" si="122"/>
        <v>0</v>
      </c>
      <c r="K468" s="32">
        <f t="shared" si="123"/>
        <v>0</v>
      </c>
      <c r="L468" s="32">
        <f t="shared" si="124"/>
        <v>0</v>
      </c>
      <c r="M468" s="32">
        <f>IF(AND(AND(T467="",A468&lt;=S467),A468=入力!$B$15),ROUND(MIN(入力!$B$16,MAX(0,C468-L468)),0),0)</f>
        <v>0</v>
      </c>
      <c r="N468" s="32">
        <f t="shared" si="125"/>
        <v>0</v>
      </c>
      <c r="O468" s="32">
        <f t="shared" si="126"/>
        <v>10751874</v>
      </c>
      <c r="P468" s="34" t="str">
        <f>IF(NOT(AND(T467="",A468&lt;=S467)),"",IF(A468=入力!$B$15+1,"繰上返済後再計算","")&amp;IF(AND(入力!$B$13="有効",A468&gt;1,MOD(A468-1,60)=0),IF(A468=入力!$B$15+1,"・","")&amp;"5年見直し","")&amp;IF(AND(A468=入力!$B$11,A468&gt;1),IF(OR(A468=入力!$B$15+1,AND(入力!$B$13="有効",A468&gt;1,MOD(A468-1,60)=0)),"・","")&amp;"金利変更","")&amp;IF(AND(OR(AND(入力!$B$13="有効",A468&gt;1,MOD(A468-1,60)=0),AND(A468=入力!$B$11,A468&gt;1)),入力!$B$14="有効",IF(E468=0,ROUND(C468/MAX(1,S467-A468+1),0),ROUND(-PMT(E468/12,MAX(1,S467-A468+1),C468),0))&gt;ROUND(G467*1.25,0),NOT(A468=入力!$B$15+1)),"・上限適用",""))</f>
        <v/>
      </c>
      <c r="Q468" s="35" t="str">
        <f>IF(AND(T467="",A468&lt;=S467),入力!$B$13,"")</f>
        <v/>
      </c>
      <c r="R468" s="32" t="str">
        <f>IF(AND(AND(T467="",A468&lt;=S467),OR(AND(入力!$B$13="有効",A468&gt;1,MOD(A468-1,60)=0),AND(A468=入力!$B$11,A468&gt;1)),入力!$B$14="有効"),ROUND(G467*1.25,0),"")</f>
        <v/>
      </c>
      <c r="S468" s="36">
        <f>IF(A468=入力!$B$15,A468+入力!$B$19,S467)</f>
        <v>360</v>
      </c>
      <c r="T468" s="35" t="str">
        <f t="shared" si="127"/>
        <v/>
      </c>
      <c r="U468" s="3">
        <f t="shared" si="112"/>
        <v>0</v>
      </c>
      <c r="V468" s="3">
        <f t="shared" si="113"/>
        <v>0</v>
      </c>
      <c r="W468" s="3">
        <f t="shared" si="114"/>
        <v>0</v>
      </c>
      <c r="X468" s="3">
        <f t="shared" si="115"/>
        <v>0</v>
      </c>
      <c r="Y468" s="3">
        <f>IF(A468&lt;入力!$B$15,ABS(G468-何もしない_月次!G468),0)</f>
        <v>0</v>
      </c>
      <c r="Z468" s="3">
        <f t="shared" si="116"/>
        <v>0</v>
      </c>
      <c r="AA468">
        <f>ROUND(IF(A468=入力!$B$15+1,IF(E468=0,ROUND(C468/入力!$B$19,0),ROUND(-PMT(E468/12,入力!$B$19,C468),0)),IF(OR(AND(入力!$B$13="有効",A468&gt;1,MOD(A468-1,60)=0),AND(A468=入力!$B$11,A468&gt;1)),IF(入力!$B$14="有効",MIN(IF(E468=0,ROUND(C468/MAX(1,S467-A468+1),0),ROUND(-PMT(E468/12,MAX(1,S467-A468+1),C468),0)),ROUND(G467*1.25,0)),IF(E468=0,ROUND(C468/MAX(1,S467-A468+1),0),ROUND(-PMT(E468/12,MAX(1,S467-A468+1),C468),0))),G467)),0)</f>
        <v>0</v>
      </c>
    </row>
    <row r="469" spans="1:27">
      <c r="A469" s="30">
        <f>464</f>
        <v>464</v>
      </c>
      <c r="B469" s="31">
        <f>EDATE(入力!$B$6,A469-1)</f>
        <v>60327</v>
      </c>
      <c r="C469" s="32">
        <f t="shared" si="117"/>
        <v>0</v>
      </c>
      <c r="D469" s="32">
        <f t="shared" si="118"/>
        <v>0</v>
      </c>
      <c r="E469" s="33">
        <f>IF(AND(T468="",A469&lt;=S468),IF(A469&lt;入力!$B$11,入力!$B$10,入力!$B$12),0)</f>
        <v>0</v>
      </c>
      <c r="F469" s="32">
        <f t="shared" si="119"/>
        <v>0</v>
      </c>
      <c r="G469" s="32">
        <f>ROUND(IF(NOT(AND(T468="",A469&lt;=S468)),0,IF(A469=入力!$B$15+1,IF(E469=0,ROUND(C469/入力!$B$19,0),ROUND(-PMT(E469/12,入力!$B$19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),0)</f>
        <v>0</v>
      </c>
      <c r="H469" s="32">
        <f t="shared" si="120"/>
        <v>0</v>
      </c>
      <c r="I469" s="32">
        <f t="shared" si="121"/>
        <v>0</v>
      </c>
      <c r="J469" s="32">
        <f t="shared" si="122"/>
        <v>0</v>
      </c>
      <c r="K469" s="32">
        <f t="shared" si="123"/>
        <v>0</v>
      </c>
      <c r="L469" s="32">
        <f t="shared" si="124"/>
        <v>0</v>
      </c>
      <c r="M469" s="32">
        <f>IF(AND(AND(T468="",A469&lt;=S468),A469=入力!$B$15),ROUND(MIN(入力!$B$16,MAX(0,C469-L469)),0),0)</f>
        <v>0</v>
      </c>
      <c r="N469" s="32">
        <f t="shared" si="125"/>
        <v>0</v>
      </c>
      <c r="O469" s="32">
        <f t="shared" si="126"/>
        <v>10751874</v>
      </c>
      <c r="P469" s="34" t="str">
        <f>IF(NOT(AND(T468="",A469&lt;=S468)),"",IF(A469=入力!$B$15+1,"繰上返済後再計算","")&amp;IF(AND(入力!$B$13="有効",A469&gt;1,MOD(A469-1,60)=0),IF(A469=入力!$B$15+1,"・","")&amp;"5年見直し","")&amp;IF(AND(A469=入力!$B$11,A469&gt;1),IF(OR(A469=入力!$B$15+1,AND(入力!$B$13="有効",A469&gt;1,MOD(A469-1,60)=0)),"・","")&amp;"金利変更","")&amp;IF(AND(OR(AND(入力!$B$13="有効",A469&gt;1,MOD(A469-1,60)=0),AND(A469=入力!$B$11,A469&gt;1)),入力!$B$14="有効",IF(E469=0,ROUND(C469/MAX(1,S468-A469+1),0),ROUND(-PMT(E469/12,MAX(1,S468-A469+1),C469),0))&gt;ROUND(G468*1.25,0),NOT(A469=入力!$B$15+1)),"・上限適用",""))</f>
        <v/>
      </c>
      <c r="Q469" s="35" t="str">
        <f>IF(AND(T468="",A469&lt;=S468),入力!$B$13,"")</f>
        <v/>
      </c>
      <c r="R469" s="32" t="str">
        <f>IF(AND(AND(T468="",A469&lt;=S468),OR(AND(入力!$B$13="有効",A469&gt;1,MOD(A469-1,60)=0),AND(A469=入力!$B$11,A469&gt;1)),入力!$B$14="有効"),ROUND(G468*1.25,0),"")</f>
        <v/>
      </c>
      <c r="S469" s="36">
        <f>IF(A469=入力!$B$15,A469+入力!$B$19,S468)</f>
        <v>360</v>
      </c>
      <c r="T469" s="35" t="str">
        <f t="shared" si="127"/>
        <v/>
      </c>
      <c r="U469" s="3">
        <f t="shared" si="112"/>
        <v>0</v>
      </c>
      <c r="V469" s="3">
        <f t="shared" si="113"/>
        <v>0</v>
      </c>
      <c r="W469" s="3">
        <f t="shared" si="114"/>
        <v>0</v>
      </c>
      <c r="X469" s="3">
        <f t="shared" si="115"/>
        <v>0</v>
      </c>
      <c r="Y469" s="3">
        <f>IF(A469&lt;入力!$B$15,ABS(G469-何もしない_月次!G469),0)</f>
        <v>0</v>
      </c>
      <c r="Z469" s="3">
        <f t="shared" si="116"/>
        <v>0</v>
      </c>
      <c r="AA469">
        <f>ROUND(IF(A469=入力!$B$15+1,IF(E469=0,ROUND(C469/入力!$B$19,0),ROUND(-PMT(E469/12,入力!$B$19,C469),0)),IF(OR(AND(入力!$B$13="有効",A469&gt;1,MOD(A469-1,60)=0),AND(A469=入力!$B$11,A469&gt;1)),IF(入力!$B$14="有効",MIN(IF(E469=0,ROUND(C469/MAX(1,S468-A469+1),0),ROUND(-PMT(E469/12,MAX(1,S468-A469+1),C469),0)),ROUND(G468*1.25,0)),IF(E469=0,ROUND(C469/MAX(1,S468-A469+1),0),ROUND(-PMT(E469/12,MAX(1,S468-A469+1),C469),0))),G468)),0)</f>
        <v>0</v>
      </c>
    </row>
    <row r="470" spans="1:27">
      <c r="A470" s="30">
        <f>465</f>
        <v>465</v>
      </c>
      <c r="B470" s="31">
        <f>EDATE(入力!$B$6,A470-1)</f>
        <v>60358</v>
      </c>
      <c r="C470" s="32">
        <f t="shared" si="117"/>
        <v>0</v>
      </c>
      <c r="D470" s="32">
        <f t="shared" si="118"/>
        <v>0</v>
      </c>
      <c r="E470" s="33">
        <f>IF(AND(T469="",A470&lt;=S469),IF(A470&lt;入力!$B$11,入力!$B$10,入力!$B$12),0)</f>
        <v>0</v>
      </c>
      <c r="F470" s="32">
        <f t="shared" si="119"/>
        <v>0</v>
      </c>
      <c r="G470" s="32">
        <f>ROUND(IF(NOT(AND(T469="",A470&lt;=S469)),0,IF(A470=入力!$B$15+1,IF(E470=0,ROUND(C470/入力!$B$19,0),ROUND(-PMT(E470/12,入力!$B$19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),0)</f>
        <v>0</v>
      </c>
      <c r="H470" s="32">
        <f t="shared" si="120"/>
        <v>0</v>
      </c>
      <c r="I470" s="32">
        <f t="shared" si="121"/>
        <v>0</v>
      </c>
      <c r="J470" s="32">
        <f t="shared" si="122"/>
        <v>0</v>
      </c>
      <c r="K470" s="32">
        <f t="shared" si="123"/>
        <v>0</v>
      </c>
      <c r="L470" s="32">
        <f t="shared" si="124"/>
        <v>0</v>
      </c>
      <c r="M470" s="32">
        <f>IF(AND(AND(T469="",A470&lt;=S469),A470=入力!$B$15),ROUND(MIN(入力!$B$16,MAX(0,C470-L470)),0),0)</f>
        <v>0</v>
      </c>
      <c r="N470" s="32">
        <f t="shared" si="125"/>
        <v>0</v>
      </c>
      <c r="O470" s="32">
        <f t="shared" si="126"/>
        <v>10751874</v>
      </c>
      <c r="P470" s="34" t="str">
        <f>IF(NOT(AND(T469="",A470&lt;=S469)),"",IF(A470=入力!$B$15+1,"繰上返済後再計算","")&amp;IF(AND(入力!$B$13="有効",A470&gt;1,MOD(A470-1,60)=0),IF(A470=入力!$B$15+1,"・","")&amp;"5年見直し","")&amp;IF(AND(A470=入力!$B$11,A470&gt;1),IF(OR(A470=入力!$B$15+1,AND(入力!$B$13="有効",A470&gt;1,MOD(A470-1,60)=0)),"・","")&amp;"金利変更","")&amp;IF(AND(OR(AND(入力!$B$13="有効",A470&gt;1,MOD(A470-1,60)=0),AND(A470=入力!$B$11,A470&gt;1)),入力!$B$14="有効",IF(E470=0,ROUND(C470/MAX(1,S469-A470+1),0),ROUND(-PMT(E470/12,MAX(1,S469-A470+1),C470),0))&gt;ROUND(G469*1.25,0),NOT(A470=入力!$B$15+1)),"・上限適用",""))</f>
        <v/>
      </c>
      <c r="Q470" s="35" t="str">
        <f>IF(AND(T469="",A470&lt;=S469),入力!$B$13,"")</f>
        <v/>
      </c>
      <c r="R470" s="32" t="str">
        <f>IF(AND(AND(T469="",A470&lt;=S469),OR(AND(入力!$B$13="有効",A470&gt;1,MOD(A470-1,60)=0),AND(A470=入力!$B$11,A470&gt;1)),入力!$B$14="有効"),ROUND(G469*1.25,0),"")</f>
        <v/>
      </c>
      <c r="S470" s="36">
        <f>IF(A470=入力!$B$15,A470+入力!$B$19,S469)</f>
        <v>360</v>
      </c>
      <c r="T470" s="35" t="str">
        <f t="shared" si="127"/>
        <v/>
      </c>
      <c r="U470" s="3">
        <f t="shared" si="112"/>
        <v>0</v>
      </c>
      <c r="V470" s="3">
        <f t="shared" si="113"/>
        <v>0</v>
      </c>
      <c r="W470" s="3">
        <f t="shared" si="114"/>
        <v>0</v>
      </c>
      <c r="X470" s="3">
        <f t="shared" si="115"/>
        <v>0</v>
      </c>
      <c r="Y470" s="3">
        <f>IF(A470&lt;入力!$B$15,ABS(G470-何もしない_月次!G470),0)</f>
        <v>0</v>
      </c>
      <c r="Z470" s="3">
        <f t="shared" si="116"/>
        <v>0</v>
      </c>
      <c r="AA470">
        <f>ROUND(IF(A470=入力!$B$15+1,IF(E470=0,ROUND(C470/入力!$B$19,0),ROUND(-PMT(E470/12,入力!$B$19,C470),0)),IF(OR(AND(入力!$B$13="有効",A470&gt;1,MOD(A470-1,60)=0),AND(A470=入力!$B$11,A470&gt;1)),IF(入力!$B$14="有効",MIN(IF(E470=0,ROUND(C470/MAX(1,S469-A470+1),0),ROUND(-PMT(E470/12,MAX(1,S469-A470+1),C470),0)),ROUND(G469*1.25,0)),IF(E470=0,ROUND(C470/MAX(1,S469-A470+1),0),ROUND(-PMT(E470/12,MAX(1,S469-A470+1),C470),0))),G469)),0)</f>
        <v>0</v>
      </c>
    </row>
    <row r="471" spans="1:27">
      <c r="A471" s="30">
        <f>466</f>
        <v>466</v>
      </c>
      <c r="B471" s="31">
        <f>EDATE(入力!$B$6,A471-1)</f>
        <v>60388</v>
      </c>
      <c r="C471" s="32">
        <f t="shared" si="117"/>
        <v>0</v>
      </c>
      <c r="D471" s="32">
        <f t="shared" si="118"/>
        <v>0</v>
      </c>
      <c r="E471" s="33">
        <f>IF(AND(T470="",A471&lt;=S470),IF(A471&lt;入力!$B$11,入力!$B$10,入力!$B$12),0)</f>
        <v>0</v>
      </c>
      <c r="F471" s="32">
        <f t="shared" si="119"/>
        <v>0</v>
      </c>
      <c r="G471" s="32">
        <f>ROUND(IF(NOT(AND(T470="",A471&lt;=S470)),0,IF(A471=入力!$B$15+1,IF(E471=0,ROUND(C471/入力!$B$19,0),ROUND(-PMT(E471/12,入力!$B$19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),0)</f>
        <v>0</v>
      </c>
      <c r="H471" s="32">
        <f t="shared" si="120"/>
        <v>0</v>
      </c>
      <c r="I471" s="32">
        <f t="shared" si="121"/>
        <v>0</v>
      </c>
      <c r="J471" s="32">
        <f t="shared" si="122"/>
        <v>0</v>
      </c>
      <c r="K471" s="32">
        <f t="shared" si="123"/>
        <v>0</v>
      </c>
      <c r="L471" s="32">
        <f t="shared" si="124"/>
        <v>0</v>
      </c>
      <c r="M471" s="32">
        <f>IF(AND(AND(T470="",A471&lt;=S470),A471=入力!$B$15),ROUND(MIN(入力!$B$16,MAX(0,C471-L471)),0),0)</f>
        <v>0</v>
      </c>
      <c r="N471" s="32">
        <f t="shared" si="125"/>
        <v>0</v>
      </c>
      <c r="O471" s="32">
        <f t="shared" si="126"/>
        <v>10751874</v>
      </c>
      <c r="P471" s="34" t="str">
        <f>IF(NOT(AND(T470="",A471&lt;=S470)),"",IF(A471=入力!$B$15+1,"繰上返済後再計算","")&amp;IF(AND(入力!$B$13="有効",A471&gt;1,MOD(A471-1,60)=0),IF(A471=入力!$B$15+1,"・","")&amp;"5年見直し","")&amp;IF(AND(A471=入力!$B$11,A471&gt;1),IF(OR(A471=入力!$B$15+1,AND(入力!$B$13="有効",A471&gt;1,MOD(A471-1,60)=0)),"・","")&amp;"金利変更","")&amp;IF(AND(OR(AND(入力!$B$13="有効",A471&gt;1,MOD(A471-1,60)=0),AND(A471=入力!$B$11,A471&gt;1)),入力!$B$14="有効",IF(E471=0,ROUND(C471/MAX(1,S470-A471+1),0),ROUND(-PMT(E471/12,MAX(1,S470-A471+1),C471),0))&gt;ROUND(G470*1.25,0),NOT(A471=入力!$B$15+1)),"・上限適用",""))</f>
        <v/>
      </c>
      <c r="Q471" s="35" t="str">
        <f>IF(AND(T470="",A471&lt;=S470),入力!$B$13,"")</f>
        <v/>
      </c>
      <c r="R471" s="32" t="str">
        <f>IF(AND(AND(T470="",A471&lt;=S470),OR(AND(入力!$B$13="有効",A471&gt;1,MOD(A471-1,60)=0),AND(A471=入力!$B$11,A471&gt;1)),入力!$B$14="有効"),ROUND(G470*1.25,0),"")</f>
        <v/>
      </c>
      <c r="S471" s="36">
        <f>IF(A471=入力!$B$15,A471+入力!$B$19,S470)</f>
        <v>360</v>
      </c>
      <c r="T471" s="35" t="str">
        <f t="shared" si="127"/>
        <v/>
      </c>
      <c r="U471" s="3">
        <f t="shared" si="112"/>
        <v>0</v>
      </c>
      <c r="V471" s="3">
        <f t="shared" si="113"/>
        <v>0</v>
      </c>
      <c r="W471" s="3">
        <f t="shared" si="114"/>
        <v>0</v>
      </c>
      <c r="X471" s="3">
        <f t="shared" si="115"/>
        <v>0</v>
      </c>
      <c r="Y471" s="3">
        <f>IF(A471&lt;入力!$B$15,ABS(G471-何もしない_月次!G471),0)</f>
        <v>0</v>
      </c>
      <c r="Z471" s="3">
        <f t="shared" si="116"/>
        <v>0</v>
      </c>
      <c r="AA471">
        <f>ROUND(IF(A471=入力!$B$15+1,IF(E471=0,ROUND(C471/入力!$B$19,0),ROUND(-PMT(E471/12,入力!$B$19,C471),0)),IF(OR(AND(入力!$B$13="有効",A471&gt;1,MOD(A471-1,60)=0),AND(A471=入力!$B$11,A471&gt;1)),IF(入力!$B$14="有効",MIN(IF(E471=0,ROUND(C471/MAX(1,S470-A471+1),0),ROUND(-PMT(E471/12,MAX(1,S470-A471+1),C471),0)),ROUND(G470*1.25,0)),IF(E471=0,ROUND(C471/MAX(1,S470-A471+1),0),ROUND(-PMT(E471/12,MAX(1,S470-A471+1),C471),0))),G470)),0)</f>
        <v>0</v>
      </c>
    </row>
    <row r="472" spans="1:27">
      <c r="A472" s="30">
        <f>467</f>
        <v>467</v>
      </c>
      <c r="B472" s="31">
        <f>EDATE(入力!$B$6,A472-1)</f>
        <v>60419</v>
      </c>
      <c r="C472" s="32">
        <f t="shared" si="117"/>
        <v>0</v>
      </c>
      <c r="D472" s="32">
        <f t="shared" si="118"/>
        <v>0</v>
      </c>
      <c r="E472" s="33">
        <f>IF(AND(T471="",A472&lt;=S471),IF(A472&lt;入力!$B$11,入力!$B$10,入力!$B$12),0)</f>
        <v>0</v>
      </c>
      <c r="F472" s="32">
        <f t="shared" si="119"/>
        <v>0</v>
      </c>
      <c r="G472" s="32">
        <f>ROUND(IF(NOT(AND(T471="",A472&lt;=S471)),0,IF(A472=入力!$B$15+1,IF(E472=0,ROUND(C472/入力!$B$19,0),ROUND(-PMT(E472/12,入力!$B$19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),0)</f>
        <v>0</v>
      </c>
      <c r="H472" s="32">
        <f t="shared" si="120"/>
        <v>0</v>
      </c>
      <c r="I472" s="32">
        <f t="shared" si="121"/>
        <v>0</v>
      </c>
      <c r="J472" s="32">
        <f t="shared" si="122"/>
        <v>0</v>
      </c>
      <c r="K472" s="32">
        <f t="shared" si="123"/>
        <v>0</v>
      </c>
      <c r="L472" s="32">
        <f t="shared" si="124"/>
        <v>0</v>
      </c>
      <c r="M472" s="32">
        <f>IF(AND(AND(T471="",A472&lt;=S471),A472=入力!$B$15),ROUND(MIN(入力!$B$16,MAX(0,C472-L472)),0),0)</f>
        <v>0</v>
      </c>
      <c r="N472" s="32">
        <f t="shared" si="125"/>
        <v>0</v>
      </c>
      <c r="O472" s="32">
        <f t="shared" si="126"/>
        <v>10751874</v>
      </c>
      <c r="P472" s="34" t="str">
        <f>IF(NOT(AND(T471="",A472&lt;=S471)),"",IF(A472=入力!$B$15+1,"繰上返済後再計算","")&amp;IF(AND(入力!$B$13="有効",A472&gt;1,MOD(A472-1,60)=0),IF(A472=入力!$B$15+1,"・","")&amp;"5年見直し","")&amp;IF(AND(A472=入力!$B$11,A472&gt;1),IF(OR(A472=入力!$B$15+1,AND(入力!$B$13="有効",A472&gt;1,MOD(A472-1,60)=0)),"・","")&amp;"金利変更","")&amp;IF(AND(OR(AND(入力!$B$13="有効",A472&gt;1,MOD(A472-1,60)=0),AND(A472=入力!$B$11,A472&gt;1)),入力!$B$14="有効",IF(E472=0,ROUND(C472/MAX(1,S471-A472+1),0),ROUND(-PMT(E472/12,MAX(1,S471-A472+1),C472),0))&gt;ROUND(G471*1.25,0),NOT(A472=入力!$B$15+1)),"・上限適用",""))</f>
        <v/>
      </c>
      <c r="Q472" s="35" t="str">
        <f>IF(AND(T471="",A472&lt;=S471),入力!$B$13,"")</f>
        <v/>
      </c>
      <c r="R472" s="32" t="str">
        <f>IF(AND(AND(T471="",A472&lt;=S471),OR(AND(入力!$B$13="有効",A472&gt;1,MOD(A472-1,60)=0),AND(A472=入力!$B$11,A472&gt;1)),入力!$B$14="有効"),ROUND(G471*1.25,0),"")</f>
        <v/>
      </c>
      <c r="S472" s="36">
        <f>IF(A472=入力!$B$15,A472+入力!$B$19,S471)</f>
        <v>360</v>
      </c>
      <c r="T472" s="35" t="str">
        <f t="shared" si="127"/>
        <v/>
      </c>
      <c r="U472" s="3">
        <f t="shared" si="112"/>
        <v>0</v>
      </c>
      <c r="V472" s="3">
        <f t="shared" si="113"/>
        <v>0</v>
      </c>
      <c r="W472" s="3">
        <f t="shared" si="114"/>
        <v>0</v>
      </c>
      <c r="X472" s="3">
        <f t="shared" si="115"/>
        <v>0</v>
      </c>
      <c r="Y472" s="3">
        <f>IF(A472&lt;入力!$B$15,ABS(G472-何もしない_月次!G472),0)</f>
        <v>0</v>
      </c>
      <c r="Z472" s="3">
        <f t="shared" si="116"/>
        <v>0</v>
      </c>
      <c r="AA472">
        <f>ROUND(IF(A472=入力!$B$15+1,IF(E472=0,ROUND(C472/入力!$B$19,0),ROUND(-PMT(E472/12,入力!$B$19,C472),0)),IF(OR(AND(入力!$B$13="有効",A472&gt;1,MOD(A472-1,60)=0),AND(A472=入力!$B$11,A472&gt;1)),IF(入力!$B$14="有効",MIN(IF(E472=0,ROUND(C472/MAX(1,S471-A472+1),0),ROUND(-PMT(E472/12,MAX(1,S471-A472+1),C472),0)),ROUND(G471*1.25,0)),IF(E472=0,ROUND(C472/MAX(1,S471-A472+1),0),ROUND(-PMT(E472/12,MAX(1,S471-A472+1),C472),0))),G471)),0)</f>
        <v>0</v>
      </c>
    </row>
    <row r="473" spans="1:27">
      <c r="A473" s="30">
        <f>468</f>
        <v>468</v>
      </c>
      <c r="B473" s="31">
        <f>EDATE(入力!$B$6,A473-1)</f>
        <v>60449</v>
      </c>
      <c r="C473" s="32">
        <f t="shared" si="117"/>
        <v>0</v>
      </c>
      <c r="D473" s="32">
        <f t="shared" si="118"/>
        <v>0</v>
      </c>
      <c r="E473" s="33">
        <f>IF(AND(T472="",A473&lt;=S472),IF(A473&lt;入力!$B$11,入力!$B$10,入力!$B$12),0)</f>
        <v>0</v>
      </c>
      <c r="F473" s="32">
        <f t="shared" si="119"/>
        <v>0</v>
      </c>
      <c r="G473" s="32">
        <f>ROUND(IF(NOT(AND(T472="",A473&lt;=S472)),0,IF(A473=入力!$B$15+1,IF(E473=0,ROUND(C473/入力!$B$19,0),ROUND(-PMT(E473/12,入力!$B$19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),0)</f>
        <v>0</v>
      </c>
      <c r="H473" s="32">
        <f t="shared" si="120"/>
        <v>0</v>
      </c>
      <c r="I473" s="32">
        <f t="shared" si="121"/>
        <v>0</v>
      </c>
      <c r="J473" s="32">
        <f t="shared" si="122"/>
        <v>0</v>
      </c>
      <c r="K473" s="32">
        <f t="shared" si="123"/>
        <v>0</v>
      </c>
      <c r="L473" s="32">
        <f t="shared" si="124"/>
        <v>0</v>
      </c>
      <c r="M473" s="32">
        <f>IF(AND(AND(T472="",A473&lt;=S472),A473=入力!$B$15),ROUND(MIN(入力!$B$16,MAX(0,C473-L473)),0),0)</f>
        <v>0</v>
      </c>
      <c r="N473" s="32">
        <f t="shared" si="125"/>
        <v>0</v>
      </c>
      <c r="O473" s="32">
        <f t="shared" si="126"/>
        <v>10751874</v>
      </c>
      <c r="P473" s="34" t="str">
        <f>IF(NOT(AND(T472="",A473&lt;=S472)),"",IF(A473=入力!$B$15+1,"繰上返済後再計算","")&amp;IF(AND(入力!$B$13="有効",A473&gt;1,MOD(A473-1,60)=0),IF(A473=入力!$B$15+1,"・","")&amp;"5年見直し","")&amp;IF(AND(A473=入力!$B$11,A473&gt;1),IF(OR(A473=入力!$B$15+1,AND(入力!$B$13="有効",A473&gt;1,MOD(A473-1,60)=0)),"・","")&amp;"金利変更","")&amp;IF(AND(OR(AND(入力!$B$13="有効",A473&gt;1,MOD(A473-1,60)=0),AND(A473=入力!$B$11,A473&gt;1)),入力!$B$14="有効",IF(E473=0,ROUND(C473/MAX(1,S472-A473+1),0),ROUND(-PMT(E473/12,MAX(1,S472-A473+1),C473),0))&gt;ROUND(G472*1.25,0),NOT(A473=入力!$B$15+1)),"・上限適用",""))</f>
        <v/>
      </c>
      <c r="Q473" s="35" t="str">
        <f>IF(AND(T472="",A473&lt;=S472),入力!$B$13,"")</f>
        <v/>
      </c>
      <c r="R473" s="32" t="str">
        <f>IF(AND(AND(T472="",A473&lt;=S472),OR(AND(入力!$B$13="有効",A473&gt;1,MOD(A473-1,60)=0),AND(A473=入力!$B$11,A473&gt;1)),入力!$B$14="有効"),ROUND(G472*1.25,0),"")</f>
        <v/>
      </c>
      <c r="S473" s="36">
        <f>IF(A473=入力!$B$15,A473+入力!$B$19,S472)</f>
        <v>360</v>
      </c>
      <c r="T473" s="35" t="str">
        <f t="shared" si="127"/>
        <v/>
      </c>
      <c r="U473" s="3">
        <f t="shared" si="112"/>
        <v>0</v>
      </c>
      <c r="V473" s="3">
        <f t="shared" si="113"/>
        <v>0</v>
      </c>
      <c r="W473" s="3">
        <f t="shared" si="114"/>
        <v>0</v>
      </c>
      <c r="X473" s="3">
        <f t="shared" si="115"/>
        <v>0</v>
      </c>
      <c r="Y473" s="3">
        <f>IF(A473&lt;入力!$B$15,ABS(G473-何もしない_月次!G473),0)</f>
        <v>0</v>
      </c>
      <c r="Z473" s="3">
        <f t="shared" si="116"/>
        <v>0</v>
      </c>
      <c r="AA473">
        <f>ROUND(IF(A473=入力!$B$15+1,IF(E473=0,ROUND(C473/入力!$B$19,0),ROUND(-PMT(E473/12,入力!$B$19,C473),0)),IF(OR(AND(入力!$B$13="有効",A473&gt;1,MOD(A473-1,60)=0),AND(A473=入力!$B$11,A473&gt;1)),IF(入力!$B$14="有効",MIN(IF(E473=0,ROUND(C473/MAX(1,S472-A473+1),0),ROUND(-PMT(E473/12,MAX(1,S472-A473+1),C473),0)),ROUND(G472*1.25,0)),IF(E473=0,ROUND(C473/MAX(1,S472-A473+1),0),ROUND(-PMT(E473/12,MAX(1,S472-A473+1),C473),0))),G472)),0)</f>
        <v>0</v>
      </c>
    </row>
    <row r="474" spans="1:27">
      <c r="A474" s="30">
        <f>469</f>
        <v>469</v>
      </c>
      <c r="B474" s="31">
        <f>EDATE(入力!$B$6,A474-1)</f>
        <v>60480</v>
      </c>
      <c r="C474" s="32">
        <f t="shared" si="117"/>
        <v>0</v>
      </c>
      <c r="D474" s="32">
        <f t="shared" si="118"/>
        <v>0</v>
      </c>
      <c r="E474" s="33">
        <f>IF(AND(T473="",A474&lt;=S473),IF(A474&lt;入力!$B$11,入力!$B$10,入力!$B$12),0)</f>
        <v>0</v>
      </c>
      <c r="F474" s="32">
        <f t="shared" si="119"/>
        <v>0</v>
      </c>
      <c r="G474" s="32">
        <f>ROUND(IF(NOT(AND(T473="",A474&lt;=S473)),0,IF(A474=入力!$B$15+1,IF(E474=0,ROUND(C474/入力!$B$19,0),ROUND(-PMT(E474/12,入力!$B$19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),0)</f>
        <v>0</v>
      </c>
      <c r="H474" s="32">
        <f t="shared" si="120"/>
        <v>0</v>
      </c>
      <c r="I474" s="32">
        <f t="shared" si="121"/>
        <v>0</v>
      </c>
      <c r="J474" s="32">
        <f t="shared" si="122"/>
        <v>0</v>
      </c>
      <c r="K474" s="32">
        <f t="shared" si="123"/>
        <v>0</v>
      </c>
      <c r="L474" s="32">
        <f t="shared" si="124"/>
        <v>0</v>
      </c>
      <c r="M474" s="32">
        <f>IF(AND(AND(T473="",A474&lt;=S473),A474=入力!$B$15),ROUND(MIN(入力!$B$16,MAX(0,C474-L474)),0),0)</f>
        <v>0</v>
      </c>
      <c r="N474" s="32">
        <f t="shared" si="125"/>
        <v>0</v>
      </c>
      <c r="O474" s="32">
        <f t="shared" si="126"/>
        <v>10751874</v>
      </c>
      <c r="P474" s="34" t="str">
        <f>IF(NOT(AND(T473="",A474&lt;=S473)),"",IF(A474=入力!$B$15+1,"繰上返済後再計算","")&amp;IF(AND(入力!$B$13="有効",A474&gt;1,MOD(A474-1,60)=0),IF(A474=入力!$B$15+1,"・","")&amp;"5年見直し","")&amp;IF(AND(A474=入力!$B$11,A474&gt;1),IF(OR(A474=入力!$B$15+1,AND(入力!$B$13="有効",A474&gt;1,MOD(A474-1,60)=0)),"・","")&amp;"金利変更","")&amp;IF(AND(OR(AND(入力!$B$13="有効",A474&gt;1,MOD(A474-1,60)=0),AND(A474=入力!$B$11,A474&gt;1)),入力!$B$14="有効",IF(E474=0,ROUND(C474/MAX(1,S473-A474+1),0),ROUND(-PMT(E474/12,MAX(1,S473-A474+1),C474),0))&gt;ROUND(G473*1.25,0),NOT(A474=入力!$B$15+1)),"・上限適用",""))</f>
        <v/>
      </c>
      <c r="Q474" s="35" t="str">
        <f>IF(AND(T473="",A474&lt;=S473),入力!$B$13,"")</f>
        <v/>
      </c>
      <c r="R474" s="32" t="str">
        <f>IF(AND(AND(T473="",A474&lt;=S473),OR(AND(入力!$B$13="有効",A474&gt;1,MOD(A474-1,60)=0),AND(A474=入力!$B$11,A474&gt;1)),入力!$B$14="有効"),ROUND(G473*1.25,0),"")</f>
        <v/>
      </c>
      <c r="S474" s="36">
        <f>IF(A474=入力!$B$15,A474+入力!$B$19,S473)</f>
        <v>360</v>
      </c>
      <c r="T474" s="35" t="str">
        <f t="shared" si="127"/>
        <v/>
      </c>
      <c r="U474" s="3">
        <f t="shared" si="112"/>
        <v>0</v>
      </c>
      <c r="V474" s="3">
        <f t="shared" si="113"/>
        <v>0</v>
      </c>
      <c r="W474" s="3">
        <f t="shared" si="114"/>
        <v>0</v>
      </c>
      <c r="X474" s="3">
        <f t="shared" si="115"/>
        <v>0</v>
      </c>
      <c r="Y474" s="3">
        <f>IF(A474&lt;入力!$B$15,ABS(G474-何もしない_月次!G474),0)</f>
        <v>0</v>
      </c>
      <c r="Z474" s="3">
        <f t="shared" si="116"/>
        <v>0</v>
      </c>
      <c r="AA474">
        <f>ROUND(IF(A474=入力!$B$15+1,IF(E474=0,ROUND(C474/入力!$B$19,0),ROUND(-PMT(E474/12,入力!$B$19,C474),0)),IF(OR(AND(入力!$B$13="有効",A474&gt;1,MOD(A474-1,60)=0),AND(A474=入力!$B$11,A474&gt;1)),IF(入力!$B$14="有効",MIN(IF(E474=0,ROUND(C474/MAX(1,S473-A474+1),0),ROUND(-PMT(E474/12,MAX(1,S473-A474+1),C474),0)),ROUND(G473*1.25,0)),IF(E474=0,ROUND(C474/MAX(1,S473-A474+1),0),ROUND(-PMT(E474/12,MAX(1,S473-A474+1),C474),0))),G473)),0)</f>
        <v>0</v>
      </c>
    </row>
    <row r="475" spans="1:27">
      <c r="A475" s="30">
        <f>470</f>
        <v>470</v>
      </c>
      <c r="B475" s="31">
        <f>EDATE(入力!$B$6,A475-1)</f>
        <v>60511</v>
      </c>
      <c r="C475" s="32">
        <f t="shared" si="117"/>
        <v>0</v>
      </c>
      <c r="D475" s="32">
        <f t="shared" si="118"/>
        <v>0</v>
      </c>
      <c r="E475" s="33">
        <f>IF(AND(T474="",A475&lt;=S474),IF(A475&lt;入力!$B$11,入力!$B$10,入力!$B$12),0)</f>
        <v>0</v>
      </c>
      <c r="F475" s="32">
        <f t="shared" si="119"/>
        <v>0</v>
      </c>
      <c r="G475" s="32">
        <f>ROUND(IF(NOT(AND(T474="",A475&lt;=S474)),0,IF(A475=入力!$B$15+1,IF(E475=0,ROUND(C475/入力!$B$19,0),ROUND(-PMT(E475/12,入力!$B$19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),0)</f>
        <v>0</v>
      </c>
      <c r="H475" s="32">
        <f t="shared" si="120"/>
        <v>0</v>
      </c>
      <c r="I475" s="32">
        <f t="shared" si="121"/>
        <v>0</v>
      </c>
      <c r="J475" s="32">
        <f t="shared" si="122"/>
        <v>0</v>
      </c>
      <c r="K475" s="32">
        <f t="shared" si="123"/>
        <v>0</v>
      </c>
      <c r="L475" s="32">
        <f t="shared" si="124"/>
        <v>0</v>
      </c>
      <c r="M475" s="32">
        <f>IF(AND(AND(T474="",A475&lt;=S474),A475=入力!$B$15),ROUND(MIN(入力!$B$16,MAX(0,C475-L475)),0),0)</f>
        <v>0</v>
      </c>
      <c r="N475" s="32">
        <f t="shared" si="125"/>
        <v>0</v>
      </c>
      <c r="O475" s="32">
        <f t="shared" si="126"/>
        <v>10751874</v>
      </c>
      <c r="P475" s="34" t="str">
        <f>IF(NOT(AND(T474="",A475&lt;=S474)),"",IF(A475=入力!$B$15+1,"繰上返済後再計算","")&amp;IF(AND(入力!$B$13="有効",A475&gt;1,MOD(A475-1,60)=0),IF(A475=入力!$B$15+1,"・","")&amp;"5年見直し","")&amp;IF(AND(A475=入力!$B$11,A475&gt;1),IF(OR(A475=入力!$B$15+1,AND(入力!$B$13="有効",A475&gt;1,MOD(A475-1,60)=0)),"・","")&amp;"金利変更","")&amp;IF(AND(OR(AND(入力!$B$13="有効",A475&gt;1,MOD(A475-1,60)=0),AND(A475=入力!$B$11,A475&gt;1)),入力!$B$14="有効",IF(E475=0,ROUND(C475/MAX(1,S474-A475+1),0),ROUND(-PMT(E475/12,MAX(1,S474-A475+1),C475),0))&gt;ROUND(G474*1.25,0),NOT(A475=入力!$B$15+1)),"・上限適用",""))</f>
        <v/>
      </c>
      <c r="Q475" s="35" t="str">
        <f>IF(AND(T474="",A475&lt;=S474),入力!$B$13,"")</f>
        <v/>
      </c>
      <c r="R475" s="32" t="str">
        <f>IF(AND(AND(T474="",A475&lt;=S474),OR(AND(入力!$B$13="有効",A475&gt;1,MOD(A475-1,60)=0),AND(A475=入力!$B$11,A475&gt;1)),入力!$B$14="有効"),ROUND(G474*1.25,0),"")</f>
        <v/>
      </c>
      <c r="S475" s="36">
        <f>IF(A475=入力!$B$15,A475+入力!$B$19,S474)</f>
        <v>360</v>
      </c>
      <c r="T475" s="35" t="str">
        <f t="shared" si="127"/>
        <v/>
      </c>
      <c r="U475" s="3">
        <f t="shared" si="112"/>
        <v>0</v>
      </c>
      <c r="V475" s="3">
        <f t="shared" si="113"/>
        <v>0</v>
      </c>
      <c r="W475" s="3">
        <f t="shared" si="114"/>
        <v>0</v>
      </c>
      <c r="X475" s="3">
        <f t="shared" si="115"/>
        <v>0</v>
      </c>
      <c r="Y475" s="3">
        <f>IF(A475&lt;入力!$B$15,ABS(G475-何もしない_月次!G475),0)</f>
        <v>0</v>
      </c>
      <c r="Z475" s="3">
        <f t="shared" si="116"/>
        <v>0</v>
      </c>
      <c r="AA475">
        <f>ROUND(IF(A475=入力!$B$15+1,IF(E475=0,ROUND(C475/入力!$B$19,0),ROUND(-PMT(E475/12,入力!$B$19,C475),0)),IF(OR(AND(入力!$B$13="有効",A475&gt;1,MOD(A475-1,60)=0),AND(A475=入力!$B$11,A475&gt;1)),IF(入力!$B$14="有効",MIN(IF(E475=0,ROUND(C475/MAX(1,S474-A475+1),0),ROUND(-PMT(E475/12,MAX(1,S474-A475+1),C475),0)),ROUND(G474*1.25,0)),IF(E475=0,ROUND(C475/MAX(1,S474-A475+1),0),ROUND(-PMT(E475/12,MAX(1,S474-A475+1),C475),0))),G474)),0)</f>
        <v>0</v>
      </c>
    </row>
    <row r="476" spans="1:27">
      <c r="A476" s="30">
        <f>471</f>
        <v>471</v>
      </c>
      <c r="B476" s="31">
        <f>EDATE(入力!$B$6,A476-1)</f>
        <v>60541</v>
      </c>
      <c r="C476" s="32">
        <f t="shared" si="117"/>
        <v>0</v>
      </c>
      <c r="D476" s="32">
        <f t="shared" si="118"/>
        <v>0</v>
      </c>
      <c r="E476" s="33">
        <f>IF(AND(T475="",A476&lt;=S475),IF(A476&lt;入力!$B$11,入力!$B$10,入力!$B$12),0)</f>
        <v>0</v>
      </c>
      <c r="F476" s="32">
        <f t="shared" si="119"/>
        <v>0</v>
      </c>
      <c r="G476" s="32">
        <f>ROUND(IF(NOT(AND(T475="",A476&lt;=S475)),0,IF(A476=入力!$B$15+1,IF(E476=0,ROUND(C476/入力!$B$19,0),ROUND(-PMT(E476/12,入力!$B$19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),0)</f>
        <v>0</v>
      </c>
      <c r="H476" s="32">
        <f t="shared" si="120"/>
        <v>0</v>
      </c>
      <c r="I476" s="32">
        <f t="shared" si="121"/>
        <v>0</v>
      </c>
      <c r="J476" s="32">
        <f t="shared" si="122"/>
        <v>0</v>
      </c>
      <c r="K476" s="32">
        <f t="shared" si="123"/>
        <v>0</v>
      </c>
      <c r="L476" s="32">
        <f t="shared" si="124"/>
        <v>0</v>
      </c>
      <c r="M476" s="32">
        <f>IF(AND(AND(T475="",A476&lt;=S475),A476=入力!$B$15),ROUND(MIN(入力!$B$16,MAX(0,C476-L476)),0),0)</f>
        <v>0</v>
      </c>
      <c r="N476" s="32">
        <f t="shared" si="125"/>
        <v>0</v>
      </c>
      <c r="O476" s="32">
        <f t="shared" si="126"/>
        <v>10751874</v>
      </c>
      <c r="P476" s="34" t="str">
        <f>IF(NOT(AND(T475="",A476&lt;=S475)),"",IF(A476=入力!$B$15+1,"繰上返済後再計算","")&amp;IF(AND(入力!$B$13="有効",A476&gt;1,MOD(A476-1,60)=0),IF(A476=入力!$B$15+1,"・","")&amp;"5年見直し","")&amp;IF(AND(A476=入力!$B$11,A476&gt;1),IF(OR(A476=入力!$B$15+1,AND(入力!$B$13="有効",A476&gt;1,MOD(A476-1,60)=0)),"・","")&amp;"金利変更","")&amp;IF(AND(OR(AND(入力!$B$13="有効",A476&gt;1,MOD(A476-1,60)=0),AND(A476=入力!$B$11,A476&gt;1)),入力!$B$14="有効",IF(E476=0,ROUND(C476/MAX(1,S475-A476+1),0),ROUND(-PMT(E476/12,MAX(1,S475-A476+1),C476),0))&gt;ROUND(G475*1.25,0),NOT(A476=入力!$B$15+1)),"・上限適用",""))</f>
        <v/>
      </c>
      <c r="Q476" s="35" t="str">
        <f>IF(AND(T475="",A476&lt;=S475),入力!$B$13,"")</f>
        <v/>
      </c>
      <c r="R476" s="32" t="str">
        <f>IF(AND(AND(T475="",A476&lt;=S475),OR(AND(入力!$B$13="有効",A476&gt;1,MOD(A476-1,60)=0),AND(A476=入力!$B$11,A476&gt;1)),入力!$B$14="有効"),ROUND(G475*1.25,0),"")</f>
        <v/>
      </c>
      <c r="S476" s="36">
        <f>IF(A476=入力!$B$15,A476+入力!$B$19,S475)</f>
        <v>360</v>
      </c>
      <c r="T476" s="35" t="str">
        <f t="shared" si="127"/>
        <v/>
      </c>
      <c r="U476" s="3">
        <f t="shared" si="112"/>
        <v>0</v>
      </c>
      <c r="V476" s="3">
        <f t="shared" si="113"/>
        <v>0</v>
      </c>
      <c r="W476" s="3">
        <f t="shared" si="114"/>
        <v>0</v>
      </c>
      <c r="X476" s="3">
        <f t="shared" si="115"/>
        <v>0</v>
      </c>
      <c r="Y476" s="3">
        <f>IF(A476&lt;入力!$B$15,ABS(G476-何もしない_月次!G476),0)</f>
        <v>0</v>
      </c>
      <c r="Z476" s="3">
        <f t="shared" si="116"/>
        <v>0</v>
      </c>
      <c r="AA476">
        <f>ROUND(IF(A476=入力!$B$15+1,IF(E476=0,ROUND(C476/入力!$B$19,0),ROUND(-PMT(E476/12,入力!$B$19,C476),0)),IF(OR(AND(入力!$B$13="有効",A476&gt;1,MOD(A476-1,60)=0),AND(A476=入力!$B$11,A476&gt;1)),IF(入力!$B$14="有効",MIN(IF(E476=0,ROUND(C476/MAX(1,S475-A476+1),0),ROUND(-PMT(E476/12,MAX(1,S475-A476+1),C476),0)),ROUND(G475*1.25,0)),IF(E476=0,ROUND(C476/MAX(1,S475-A476+1),0),ROUND(-PMT(E476/12,MAX(1,S475-A476+1),C476),0))),G475)),0)</f>
        <v>0</v>
      </c>
    </row>
    <row r="477" spans="1:27">
      <c r="A477" s="30">
        <f>472</f>
        <v>472</v>
      </c>
      <c r="B477" s="31">
        <f>EDATE(入力!$B$6,A477-1)</f>
        <v>60572</v>
      </c>
      <c r="C477" s="32">
        <f t="shared" si="117"/>
        <v>0</v>
      </c>
      <c r="D477" s="32">
        <f t="shared" si="118"/>
        <v>0</v>
      </c>
      <c r="E477" s="33">
        <f>IF(AND(T476="",A477&lt;=S476),IF(A477&lt;入力!$B$11,入力!$B$10,入力!$B$12),0)</f>
        <v>0</v>
      </c>
      <c r="F477" s="32">
        <f t="shared" si="119"/>
        <v>0</v>
      </c>
      <c r="G477" s="32">
        <f>ROUND(IF(NOT(AND(T476="",A477&lt;=S476)),0,IF(A477=入力!$B$15+1,IF(E477=0,ROUND(C477/入力!$B$19,0),ROUND(-PMT(E477/12,入力!$B$19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),0)</f>
        <v>0</v>
      </c>
      <c r="H477" s="32">
        <f t="shared" si="120"/>
        <v>0</v>
      </c>
      <c r="I477" s="32">
        <f t="shared" si="121"/>
        <v>0</v>
      </c>
      <c r="J477" s="32">
        <f t="shared" si="122"/>
        <v>0</v>
      </c>
      <c r="K477" s="32">
        <f t="shared" si="123"/>
        <v>0</v>
      </c>
      <c r="L477" s="32">
        <f t="shared" si="124"/>
        <v>0</v>
      </c>
      <c r="M477" s="32">
        <f>IF(AND(AND(T476="",A477&lt;=S476),A477=入力!$B$15),ROUND(MIN(入力!$B$16,MAX(0,C477-L477)),0),0)</f>
        <v>0</v>
      </c>
      <c r="N477" s="32">
        <f t="shared" si="125"/>
        <v>0</v>
      </c>
      <c r="O477" s="32">
        <f t="shared" si="126"/>
        <v>10751874</v>
      </c>
      <c r="P477" s="34" t="str">
        <f>IF(NOT(AND(T476="",A477&lt;=S476)),"",IF(A477=入力!$B$15+1,"繰上返済後再計算","")&amp;IF(AND(入力!$B$13="有効",A477&gt;1,MOD(A477-1,60)=0),IF(A477=入力!$B$15+1,"・","")&amp;"5年見直し","")&amp;IF(AND(A477=入力!$B$11,A477&gt;1),IF(OR(A477=入力!$B$15+1,AND(入力!$B$13="有効",A477&gt;1,MOD(A477-1,60)=0)),"・","")&amp;"金利変更","")&amp;IF(AND(OR(AND(入力!$B$13="有効",A477&gt;1,MOD(A477-1,60)=0),AND(A477=入力!$B$11,A477&gt;1)),入力!$B$14="有効",IF(E477=0,ROUND(C477/MAX(1,S476-A477+1),0),ROUND(-PMT(E477/12,MAX(1,S476-A477+1),C477),0))&gt;ROUND(G476*1.25,0),NOT(A477=入力!$B$15+1)),"・上限適用",""))</f>
        <v/>
      </c>
      <c r="Q477" s="35" t="str">
        <f>IF(AND(T476="",A477&lt;=S476),入力!$B$13,"")</f>
        <v/>
      </c>
      <c r="R477" s="32" t="str">
        <f>IF(AND(AND(T476="",A477&lt;=S476),OR(AND(入力!$B$13="有効",A477&gt;1,MOD(A477-1,60)=0),AND(A477=入力!$B$11,A477&gt;1)),入力!$B$14="有効"),ROUND(G476*1.25,0),"")</f>
        <v/>
      </c>
      <c r="S477" s="36">
        <f>IF(A477=入力!$B$15,A477+入力!$B$19,S476)</f>
        <v>360</v>
      </c>
      <c r="T477" s="35" t="str">
        <f t="shared" si="127"/>
        <v/>
      </c>
      <c r="U477" s="3">
        <f t="shared" si="112"/>
        <v>0</v>
      </c>
      <c r="V477" s="3">
        <f t="shared" si="113"/>
        <v>0</v>
      </c>
      <c r="W477" s="3">
        <f t="shared" si="114"/>
        <v>0</v>
      </c>
      <c r="X477" s="3">
        <f t="shared" si="115"/>
        <v>0</v>
      </c>
      <c r="Y477" s="3">
        <f>IF(A477&lt;入力!$B$15,ABS(G477-何もしない_月次!G477),0)</f>
        <v>0</v>
      </c>
      <c r="Z477" s="3">
        <f t="shared" si="116"/>
        <v>0</v>
      </c>
      <c r="AA477">
        <f>ROUND(IF(A477=入力!$B$15+1,IF(E477=0,ROUND(C477/入力!$B$19,0),ROUND(-PMT(E477/12,入力!$B$19,C477),0)),IF(OR(AND(入力!$B$13="有効",A477&gt;1,MOD(A477-1,60)=0),AND(A477=入力!$B$11,A477&gt;1)),IF(入力!$B$14="有効",MIN(IF(E477=0,ROUND(C477/MAX(1,S476-A477+1),0),ROUND(-PMT(E477/12,MAX(1,S476-A477+1),C477),0)),ROUND(G476*1.25,0)),IF(E477=0,ROUND(C477/MAX(1,S476-A477+1),0),ROUND(-PMT(E477/12,MAX(1,S476-A477+1),C477),0))),G476)),0)</f>
        <v>0</v>
      </c>
    </row>
    <row r="478" spans="1:27">
      <c r="A478" s="30">
        <f>473</f>
        <v>473</v>
      </c>
      <c r="B478" s="31">
        <f>EDATE(入力!$B$6,A478-1)</f>
        <v>60602</v>
      </c>
      <c r="C478" s="32">
        <f t="shared" si="117"/>
        <v>0</v>
      </c>
      <c r="D478" s="32">
        <f t="shared" si="118"/>
        <v>0</v>
      </c>
      <c r="E478" s="33">
        <f>IF(AND(T477="",A478&lt;=S477),IF(A478&lt;入力!$B$11,入力!$B$10,入力!$B$12),0)</f>
        <v>0</v>
      </c>
      <c r="F478" s="32">
        <f t="shared" si="119"/>
        <v>0</v>
      </c>
      <c r="G478" s="32">
        <f>ROUND(IF(NOT(AND(T477="",A478&lt;=S477)),0,IF(A478=入力!$B$15+1,IF(E478=0,ROUND(C478/入力!$B$19,0),ROUND(-PMT(E478/12,入力!$B$19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),0)</f>
        <v>0</v>
      </c>
      <c r="H478" s="32">
        <f t="shared" si="120"/>
        <v>0</v>
      </c>
      <c r="I478" s="32">
        <f t="shared" si="121"/>
        <v>0</v>
      </c>
      <c r="J478" s="32">
        <f t="shared" si="122"/>
        <v>0</v>
      </c>
      <c r="K478" s="32">
        <f t="shared" si="123"/>
        <v>0</v>
      </c>
      <c r="L478" s="32">
        <f t="shared" si="124"/>
        <v>0</v>
      </c>
      <c r="M478" s="32">
        <f>IF(AND(AND(T477="",A478&lt;=S477),A478=入力!$B$15),ROUND(MIN(入力!$B$16,MAX(0,C478-L478)),0),0)</f>
        <v>0</v>
      </c>
      <c r="N478" s="32">
        <f t="shared" si="125"/>
        <v>0</v>
      </c>
      <c r="O478" s="32">
        <f t="shared" si="126"/>
        <v>10751874</v>
      </c>
      <c r="P478" s="34" t="str">
        <f>IF(NOT(AND(T477="",A478&lt;=S477)),"",IF(A478=入力!$B$15+1,"繰上返済後再計算","")&amp;IF(AND(入力!$B$13="有効",A478&gt;1,MOD(A478-1,60)=0),IF(A478=入力!$B$15+1,"・","")&amp;"5年見直し","")&amp;IF(AND(A478=入力!$B$11,A478&gt;1),IF(OR(A478=入力!$B$15+1,AND(入力!$B$13="有効",A478&gt;1,MOD(A478-1,60)=0)),"・","")&amp;"金利変更","")&amp;IF(AND(OR(AND(入力!$B$13="有効",A478&gt;1,MOD(A478-1,60)=0),AND(A478=入力!$B$11,A478&gt;1)),入力!$B$14="有効",IF(E478=0,ROUND(C478/MAX(1,S477-A478+1),0),ROUND(-PMT(E478/12,MAX(1,S477-A478+1),C478),0))&gt;ROUND(G477*1.25,0),NOT(A478=入力!$B$15+1)),"・上限適用",""))</f>
        <v/>
      </c>
      <c r="Q478" s="35" t="str">
        <f>IF(AND(T477="",A478&lt;=S477),入力!$B$13,"")</f>
        <v/>
      </c>
      <c r="R478" s="32" t="str">
        <f>IF(AND(AND(T477="",A478&lt;=S477),OR(AND(入力!$B$13="有効",A478&gt;1,MOD(A478-1,60)=0),AND(A478=入力!$B$11,A478&gt;1)),入力!$B$14="有効"),ROUND(G477*1.25,0),"")</f>
        <v/>
      </c>
      <c r="S478" s="36">
        <f>IF(A478=入力!$B$15,A478+入力!$B$19,S477)</f>
        <v>360</v>
      </c>
      <c r="T478" s="35" t="str">
        <f t="shared" si="127"/>
        <v/>
      </c>
      <c r="U478" s="3">
        <f t="shared" si="112"/>
        <v>0</v>
      </c>
      <c r="V478" s="3">
        <f t="shared" si="113"/>
        <v>0</v>
      </c>
      <c r="W478" s="3">
        <f t="shared" si="114"/>
        <v>0</v>
      </c>
      <c r="X478" s="3">
        <f t="shared" si="115"/>
        <v>0</v>
      </c>
      <c r="Y478" s="3">
        <f>IF(A478&lt;入力!$B$15,ABS(G478-何もしない_月次!G478),0)</f>
        <v>0</v>
      </c>
      <c r="Z478" s="3">
        <f t="shared" si="116"/>
        <v>0</v>
      </c>
      <c r="AA478">
        <f>ROUND(IF(A478=入力!$B$15+1,IF(E478=0,ROUND(C478/入力!$B$19,0),ROUND(-PMT(E478/12,入力!$B$19,C478),0)),IF(OR(AND(入力!$B$13="有効",A478&gt;1,MOD(A478-1,60)=0),AND(A478=入力!$B$11,A478&gt;1)),IF(入力!$B$14="有効",MIN(IF(E478=0,ROUND(C478/MAX(1,S477-A478+1),0),ROUND(-PMT(E478/12,MAX(1,S477-A478+1),C478),0)),ROUND(G477*1.25,0)),IF(E478=0,ROUND(C478/MAX(1,S477-A478+1),0),ROUND(-PMT(E478/12,MAX(1,S477-A478+1),C478),0))),G477)),0)</f>
        <v>0</v>
      </c>
    </row>
    <row r="479" spans="1:27">
      <c r="A479" s="30">
        <f>474</f>
        <v>474</v>
      </c>
      <c r="B479" s="31">
        <f>EDATE(入力!$B$6,A479-1)</f>
        <v>60633</v>
      </c>
      <c r="C479" s="32">
        <f t="shared" si="117"/>
        <v>0</v>
      </c>
      <c r="D479" s="32">
        <f t="shared" si="118"/>
        <v>0</v>
      </c>
      <c r="E479" s="33">
        <f>IF(AND(T478="",A479&lt;=S478),IF(A479&lt;入力!$B$11,入力!$B$10,入力!$B$12),0)</f>
        <v>0</v>
      </c>
      <c r="F479" s="32">
        <f t="shared" si="119"/>
        <v>0</v>
      </c>
      <c r="G479" s="32">
        <f>ROUND(IF(NOT(AND(T478="",A479&lt;=S478)),0,IF(A479=入力!$B$15+1,IF(E479=0,ROUND(C479/入力!$B$19,0),ROUND(-PMT(E479/12,入力!$B$19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),0)</f>
        <v>0</v>
      </c>
      <c r="H479" s="32">
        <f t="shared" si="120"/>
        <v>0</v>
      </c>
      <c r="I479" s="32">
        <f t="shared" si="121"/>
        <v>0</v>
      </c>
      <c r="J479" s="32">
        <f t="shared" si="122"/>
        <v>0</v>
      </c>
      <c r="K479" s="32">
        <f t="shared" si="123"/>
        <v>0</v>
      </c>
      <c r="L479" s="32">
        <f t="shared" si="124"/>
        <v>0</v>
      </c>
      <c r="M479" s="32">
        <f>IF(AND(AND(T478="",A479&lt;=S478),A479=入力!$B$15),ROUND(MIN(入力!$B$16,MAX(0,C479-L479)),0),0)</f>
        <v>0</v>
      </c>
      <c r="N479" s="32">
        <f t="shared" si="125"/>
        <v>0</v>
      </c>
      <c r="O479" s="32">
        <f t="shared" si="126"/>
        <v>10751874</v>
      </c>
      <c r="P479" s="34" t="str">
        <f>IF(NOT(AND(T478="",A479&lt;=S478)),"",IF(A479=入力!$B$15+1,"繰上返済後再計算","")&amp;IF(AND(入力!$B$13="有効",A479&gt;1,MOD(A479-1,60)=0),IF(A479=入力!$B$15+1,"・","")&amp;"5年見直し","")&amp;IF(AND(A479=入力!$B$11,A479&gt;1),IF(OR(A479=入力!$B$15+1,AND(入力!$B$13="有効",A479&gt;1,MOD(A479-1,60)=0)),"・","")&amp;"金利変更","")&amp;IF(AND(OR(AND(入力!$B$13="有効",A479&gt;1,MOD(A479-1,60)=0),AND(A479=入力!$B$11,A479&gt;1)),入力!$B$14="有効",IF(E479=0,ROUND(C479/MAX(1,S478-A479+1),0),ROUND(-PMT(E479/12,MAX(1,S478-A479+1),C479),0))&gt;ROUND(G478*1.25,0),NOT(A479=入力!$B$15+1)),"・上限適用",""))</f>
        <v/>
      </c>
      <c r="Q479" s="35" t="str">
        <f>IF(AND(T478="",A479&lt;=S478),入力!$B$13,"")</f>
        <v/>
      </c>
      <c r="R479" s="32" t="str">
        <f>IF(AND(AND(T478="",A479&lt;=S478),OR(AND(入力!$B$13="有効",A479&gt;1,MOD(A479-1,60)=0),AND(A479=入力!$B$11,A479&gt;1)),入力!$B$14="有効"),ROUND(G478*1.25,0),"")</f>
        <v/>
      </c>
      <c r="S479" s="36">
        <f>IF(A479=入力!$B$15,A479+入力!$B$19,S478)</f>
        <v>360</v>
      </c>
      <c r="T479" s="35" t="str">
        <f t="shared" si="127"/>
        <v/>
      </c>
      <c r="U479" s="3">
        <f t="shared" si="112"/>
        <v>0</v>
      </c>
      <c r="V479" s="3">
        <f t="shared" si="113"/>
        <v>0</v>
      </c>
      <c r="W479" s="3">
        <f t="shared" si="114"/>
        <v>0</v>
      </c>
      <c r="X479" s="3">
        <f t="shared" si="115"/>
        <v>0</v>
      </c>
      <c r="Y479" s="3">
        <f>IF(A479&lt;入力!$B$15,ABS(G479-何もしない_月次!G479),0)</f>
        <v>0</v>
      </c>
      <c r="Z479" s="3">
        <f t="shared" si="116"/>
        <v>0</v>
      </c>
      <c r="AA479">
        <f>ROUND(IF(A479=入力!$B$15+1,IF(E479=0,ROUND(C479/入力!$B$19,0),ROUND(-PMT(E479/12,入力!$B$19,C479),0)),IF(OR(AND(入力!$B$13="有効",A479&gt;1,MOD(A479-1,60)=0),AND(A479=入力!$B$11,A479&gt;1)),IF(入力!$B$14="有効",MIN(IF(E479=0,ROUND(C479/MAX(1,S478-A479+1),0),ROUND(-PMT(E479/12,MAX(1,S478-A479+1),C479),0)),ROUND(G478*1.25,0)),IF(E479=0,ROUND(C479/MAX(1,S478-A479+1),0),ROUND(-PMT(E479/12,MAX(1,S478-A479+1),C479),0))),G478)),0)</f>
        <v>0</v>
      </c>
    </row>
    <row r="480" spans="1:27">
      <c r="A480" s="30">
        <f>475</f>
        <v>475</v>
      </c>
      <c r="B480" s="31">
        <f>EDATE(入力!$B$6,A480-1)</f>
        <v>60664</v>
      </c>
      <c r="C480" s="32">
        <f t="shared" si="117"/>
        <v>0</v>
      </c>
      <c r="D480" s="32">
        <f t="shared" si="118"/>
        <v>0</v>
      </c>
      <c r="E480" s="33">
        <f>IF(AND(T479="",A480&lt;=S479),IF(A480&lt;入力!$B$11,入力!$B$10,入力!$B$12),0)</f>
        <v>0</v>
      </c>
      <c r="F480" s="32">
        <f t="shared" si="119"/>
        <v>0</v>
      </c>
      <c r="G480" s="32">
        <f>ROUND(IF(NOT(AND(T479="",A480&lt;=S479)),0,IF(A480=入力!$B$15+1,IF(E480=0,ROUND(C480/入力!$B$19,0),ROUND(-PMT(E480/12,入力!$B$19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),0)</f>
        <v>0</v>
      </c>
      <c r="H480" s="32">
        <f t="shared" si="120"/>
        <v>0</v>
      </c>
      <c r="I480" s="32">
        <f t="shared" si="121"/>
        <v>0</v>
      </c>
      <c r="J480" s="32">
        <f t="shared" si="122"/>
        <v>0</v>
      </c>
      <c r="K480" s="32">
        <f t="shared" si="123"/>
        <v>0</v>
      </c>
      <c r="L480" s="32">
        <f t="shared" si="124"/>
        <v>0</v>
      </c>
      <c r="M480" s="32">
        <f>IF(AND(AND(T479="",A480&lt;=S479),A480=入力!$B$15),ROUND(MIN(入力!$B$16,MAX(0,C480-L480)),0),0)</f>
        <v>0</v>
      </c>
      <c r="N480" s="32">
        <f t="shared" si="125"/>
        <v>0</v>
      </c>
      <c r="O480" s="32">
        <f t="shared" si="126"/>
        <v>10751874</v>
      </c>
      <c r="P480" s="34" t="str">
        <f>IF(NOT(AND(T479="",A480&lt;=S479)),"",IF(A480=入力!$B$15+1,"繰上返済後再計算","")&amp;IF(AND(入力!$B$13="有効",A480&gt;1,MOD(A480-1,60)=0),IF(A480=入力!$B$15+1,"・","")&amp;"5年見直し","")&amp;IF(AND(A480=入力!$B$11,A480&gt;1),IF(OR(A480=入力!$B$15+1,AND(入力!$B$13="有効",A480&gt;1,MOD(A480-1,60)=0)),"・","")&amp;"金利変更","")&amp;IF(AND(OR(AND(入力!$B$13="有効",A480&gt;1,MOD(A480-1,60)=0),AND(A480=入力!$B$11,A480&gt;1)),入力!$B$14="有効",IF(E480=0,ROUND(C480/MAX(1,S479-A480+1),0),ROUND(-PMT(E480/12,MAX(1,S479-A480+1),C480),0))&gt;ROUND(G479*1.25,0),NOT(A480=入力!$B$15+1)),"・上限適用",""))</f>
        <v/>
      </c>
      <c r="Q480" s="35" t="str">
        <f>IF(AND(T479="",A480&lt;=S479),入力!$B$13,"")</f>
        <v/>
      </c>
      <c r="R480" s="32" t="str">
        <f>IF(AND(AND(T479="",A480&lt;=S479),OR(AND(入力!$B$13="有効",A480&gt;1,MOD(A480-1,60)=0),AND(A480=入力!$B$11,A480&gt;1)),入力!$B$14="有効"),ROUND(G479*1.25,0),"")</f>
        <v/>
      </c>
      <c r="S480" s="36">
        <f>IF(A480=入力!$B$15,A480+入力!$B$19,S479)</f>
        <v>360</v>
      </c>
      <c r="T480" s="35" t="str">
        <f t="shared" si="127"/>
        <v/>
      </c>
      <c r="U480" s="3">
        <f t="shared" si="112"/>
        <v>0</v>
      </c>
      <c r="V480" s="3">
        <f t="shared" si="113"/>
        <v>0</v>
      </c>
      <c r="W480" s="3">
        <f t="shared" si="114"/>
        <v>0</v>
      </c>
      <c r="X480" s="3">
        <f t="shared" si="115"/>
        <v>0</v>
      </c>
      <c r="Y480" s="3">
        <f>IF(A480&lt;入力!$B$15,ABS(G480-何もしない_月次!G480),0)</f>
        <v>0</v>
      </c>
      <c r="Z480" s="3">
        <f t="shared" si="116"/>
        <v>0</v>
      </c>
      <c r="AA480">
        <f>ROUND(IF(A480=入力!$B$15+1,IF(E480=0,ROUND(C480/入力!$B$19,0),ROUND(-PMT(E480/12,入力!$B$19,C480),0)),IF(OR(AND(入力!$B$13="有効",A480&gt;1,MOD(A480-1,60)=0),AND(A480=入力!$B$11,A480&gt;1)),IF(入力!$B$14="有効",MIN(IF(E480=0,ROUND(C480/MAX(1,S479-A480+1),0),ROUND(-PMT(E480/12,MAX(1,S479-A480+1),C480),0)),ROUND(G479*1.25,0)),IF(E480=0,ROUND(C480/MAX(1,S479-A480+1),0),ROUND(-PMT(E480/12,MAX(1,S479-A480+1),C480),0))),G479)),0)</f>
        <v>0</v>
      </c>
    </row>
    <row r="481" spans="1:27">
      <c r="A481" s="30">
        <f>476</f>
        <v>476</v>
      </c>
      <c r="B481" s="31">
        <f>EDATE(入力!$B$6,A481-1)</f>
        <v>60692</v>
      </c>
      <c r="C481" s="32">
        <f t="shared" si="117"/>
        <v>0</v>
      </c>
      <c r="D481" s="32">
        <f t="shared" si="118"/>
        <v>0</v>
      </c>
      <c r="E481" s="33">
        <f>IF(AND(T480="",A481&lt;=S480),IF(A481&lt;入力!$B$11,入力!$B$10,入力!$B$12),0)</f>
        <v>0</v>
      </c>
      <c r="F481" s="32">
        <f t="shared" si="119"/>
        <v>0</v>
      </c>
      <c r="G481" s="32">
        <f>ROUND(IF(NOT(AND(T480="",A481&lt;=S480)),0,IF(A481=入力!$B$15+1,IF(E481=0,ROUND(C481/入力!$B$19,0),ROUND(-PMT(E481/12,入力!$B$19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),0)</f>
        <v>0</v>
      </c>
      <c r="H481" s="32">
        <f t="shared" si="120"/>
        <v>0</v>
      </c>
      <c r="I481" s="32">
        <f t="shared" si="121"/>
        <v>0</v>
      </c>
      <c r="J481" s="32">
        <f t="shared" si="122"/>
        <v>0</v>
      </c>
      <c r="K481" s="32">
        <f t="shared" si="123"/>
        <v>0</v>
      </c>
      <c r="L481" s="32">
        <f t="shared" si="124"/>
        <v>0</v>
      </c>
      <c r="M481" s="32">
        <f>IF(AND(AND(T480="",A481&lt;=S480),A481=入力!$B$15),ROUND(MIN(入力!$B$16,MAX(0,C481-L481)),0),0)</f>
        <v>0</v>
      </c>
      <c r="N481" s="32">
        <f t="shared" si="125"/>
        <v>0</v>
      </c>
      <c r="O481" s="32">
        <f t="shared" si="126"/>
        <v>10751874</v>
      </c>
      <c r="P481" s="34" t="str">
        <f>IF(NOT(AND(T480="",A481&lt;=S480)),"",IF(A481=入力!$B$15+1,"繰上返済後再計算","")&amp;IF(AND(入力!$B$13="有効",A481&gt;1,MOD(A481-1,60)=0),IF(A481=入力!$B$15+1,"・","")&amp;"5年見直し","")&amp;IF(AND(A481=入力!$B$11,A481&gt;1),IF(OR(A481=入力!$B$15+1,AND(入力!$B$13="有効",A481&gt;1,MOD(A481-1,60)=0)),"・","")&amp;"金利変更","")&amp;IF(AND(OR(AND(入力!$B$13="有効",A481&gt;1,MOD(A481-1,60)=0),AND(A481=入力!$B$11,A481&gt;1)),入力!$B$14="有効",IF(E481=0,ROUND(C481/MAX(1,S480-A481+1),0),ROUND(-PMT(E481/12,MAX(1,S480-A481+1),C481),0))&gt;ROUND(G480*1.25,0),NOT(A481=入力!$B$15+1)),"・上限適用",""))</f>
        <v/>
      </c>
      <c r="Q481" s="35" t="str">
        <f>IF(AND(T480="",A481&lt;=S480),入力!$B$13,"")</f>
        <v/>
      </c>
      <c r="R481" s="32" t="str">
        <f>IF(AND(AND(T480="",A481&lt;=S480),OR(AND(入力!$B$13="有効",A481&gt;1,MOD(A481-1,60)=0),AND(A481=入力!$B$11,A481&gt;1)),入力!$B$14="有効"),ROUND(G480*1.25,0),"")</f>
        <v/>
      </c>
      <c r="S481" s="36">
        <f>IF(A481=入力!$B$15,A481+入力!$B$19,S480)</f>
        <v>360</v>
      </c>
      <c r="T481" s="35" t="str">
        <f t="shared" si="127"/>
        <v/>
      </c>
      <c r="U481" s="3">
        <f t="shared" si="112"/>
        <v>0</v>
      </c>
      <c r="V481" s="3">
        <f t="shared" si="113"/>
        <v>0</v>
      </c>
      <c r="W481" s="3">
        <f t="shared" si="114"/>
        <v>0</v>
      </c>
      <c r="X481" s="3">
        <f t="shared" si="115"/>
        <v>0</v>
      </c>
      <c r="Y481" s="3">
        <f>IF(A481&lt;入力!$B$15,ABS(G481-何もしない_月次!G481),0)</f>
        <v>0</v>
      </c>
      <c r="Z481" s="3">
        <f t="shared" si="116"/>
        <v>0</v>
      </c>
      <c r="AA481">
        <f>ROUND(IF(A481=入力!$B$15+1,IF(E481=0,ROUND(C481/入力!$B$19,0),ROUND(-PMT(E481/12,入力!$B$19,C481),0)),IF(OR(AND(入力!$B$13="有効",A481&gt;1,MOD(A481-1,60)=0),AND(A481=入力!$B$11,A481&gt;1)),IF(入力!$B$14="有効",MIN(IF(E481=0,ROUND(C481/MAX(1,S480-A481+1),0),ROUND(-PMT(E481/12,MAX(1,S480-A481+1),C481),0)),ROUND(G480*1.25,0)),IF(E481=0,ROUND(C481/MAX(1,S480-A481+1),0),ROUND(-PMT(E481/12,MAX(1,S480-A481+1),C481),0))),G480)),0)</f>
        <v>0</v>
      </c>
    </row>
    <row r="482" spans="1:27">
      <c r="A482" s="30">
        <f>477</f>
        <v>477</v>
      </c>
      <c r="B482" s="31">
        <f>EDATE(入力!$B$6,A482-1)</f>
        <v>60723</v>
      </c>
      <c r="C482" s="32">
        <f t="shared" si="117"/>
        <v>0</v>
      </c>
      <c r="D482" s="32">
        <f t="shared" si="118"/>
        <v>0</v>
      </c>
      <c r="E482" s="33">
        <f>IF(AND(T481="",A482&lt;=S481),IF(A482&lt;入力!$B$11,入力!$B$10,入力!$B$12),0)</f>
        <v>0</v>
      </c>
      <c r="F482" s="32">
        <f t="shared" si="119"/>
        <v>0</v>
      </c>
      <c r="G482" s="32">
        <f>ROUND(IF(NOT(AND(T481="",A482&lt;=S481)),0,IF(A482=入力!$B$15+1,IF(E482=0,ROUND(C482/入力!$B$19,0),ROUND(-PMT(E482/12,入力!$B$19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),0)</f>
        <v>0</v>
      </c>
      <c r="H482" s="32">
        <f t="shared" si="120"/>
        <v>0</v>
      </c>
      <c r="I482" s="32">
        <f t="shared" si="121"/>
        <v>0</v>
      </c>
      <c r="J482" s="32">
        <f t="shared" si="122"/>
        <v>0</v>
      </c>
      <c r="K482" s="32">
        <f t="shared" si="123"/>
        <v>0</v>
      </c>
      <c r="L482" s="32">
        <f t="shared" si="124"/>
        <v>0</v>
      </c>
      <c r="M482" s="32">
        <f>IF(AND(AND(T481="",A482&lt;=S481),A482=入力!$B$15),ROUND(MIN(入力!$B$16,MAX(0,C482-L482)),0),0)</f>
        <v>0</v>
      </c>
      <c r="N482" s="32">
        <f t="shared" si="125"/>
        <v>0</v>
      </c>
      <c r="O482" s="32">
        <f t="shared" si="126"/>
        <v>10751874</v>
      </c>
      <c r="P482" s="34" t="str">
        <f>IF(NOT(AND(T481="",A482&lt;=S481)),"",IF(A482=入力!$B$15+1,"繰上返済後再計算","")&amp;IF(AND(入力!$B$13="有効",A482&gt;1,MOD(A482-1,60)=0),IF(A482=入力!$B$15+1,"・","")&amp;"5年見直し","")&amp;IF(AND(A482=入力!$B$11,A482&gt;1),IF(OR(A482=入力!$B$15+1,AND(入力!$B$13="有効",A482&gt;1,MOD(A482-1,60)=0)),"・","")&amp;"金利変更","")&amp;IF(AND(OR(AND(入力!$B$13="有効",A482&gt;1,MOD(A482-1,60)=0),AND(A482=入力!$B$11,A482&gt;1)),入力!$B$14="有効",IF(E482=0,ROUND(C482/MAX(1,S481-A482+1),0),ROUND(-PMT(E482/12,MAX(1,S481-A482+1),C482),0))&gt;ROUND(G481*1.25,0),NOT(A482=入力!$B$15+1)),"・上限適用",""))</f>
        <v/>
      </c>
      <c r="Q482" s="35" t="str">
        <f>IF(AND(T481="",A482&lt;=S481),入力!$B$13,"")</f>
        <v/>
      </c>
      <c r="R482" s="32" t="str">
        <f>IF(AND(AND(T481="",A482&lt;=S481),OR(AND(入力!$B$13="有効",A482&gt;1,MOD(A482-1,60)=0),AND(A482=入力!$B$11,A482&gt;1)),入力!$B$14="有効"),ROUND(G481*1.25,0),"")</f>
        <v/>
      </c>
      <c r="S482" s="36">
        <f>IF(A482=入力!$B$15,A482+入力!$B$19,S481)</f>
        <v>360</v>
      </c>
      <c r="T482" s="35" t="str">
        <f t="shared" si="127"/>
        <v/>
      </c>
      <c r="U482" s="3">
        <f t="shared" si="112"/>
        <v>0</v>
      </c>
      <c r="V482" s="3">
        <f t="shared" si="113"/>
        <v>0</v>
      </c>
      <c r="W482" s="3">
        <f t="shared" si="114"/>
        <v>0</v>
      </c>
      <c r="X482" s="3">
        <f t="shared" si="115"/>
        <v>0</v>
      </c>
      <c r="Y482" s="3">
        <f>IF(A482&lt;入力!$B$15,ABS(G482-何もしない_月次!G482),0)</f>
        <v>0</v>
      </c>
      <c r="Z482" s="3">
        <f t="shared" si="116"/>
        <v>0</v>
      </c>
      <c r="AA482">
        <f>ROUND(IF(A482=入力!$B$15+1,IF(E482=0,ROUND(C482/入力!$B$19,0),ROUND(-PMT(E482/12,入力!$B$19,C482),0)),IF(OR(AND(入力!$B$13="有効",A482&gt;1,MOD(A482-1,60)=0),AND(A482=入力!$B$11,A482&gt;1)),IF(入力!$B$14="有効",MIN(IF(E482=0,ROUND(C482/MAX(1,S481-A482+1),0),ROUND(-PMT(E482/12,MAX(1,S481-A482+1),C482),0)),ROUND(G481*1.25,0)),IF(E482=0,ROUND(C482/MAX(1,S481-A482+1),0),ROUND(-PMT(E482/12,MAX(1,S481-A482+1),C482),0))),G481)),0)</f>
        <v>0</v>
      </c>
    </row>
    <row r="483" spans="1:27">
      <c r="A483" s="30">
        <f>478</f>
        <v>478</v>
      </c>
      <c r="B483" s="31">
        <f>EDATE(入力!$B$6,A483-1)</f>
        <v>60753</v>
      </c>
      <c r="C483" s="32">
        <f t="shared" si="117"/>
        <v>0</v>
      </c>
      <c r="D483" s="32">
        <f t="shared" si="118"/>
        <v>0</v>
      </c>
      <c r="E483" s="33">
        <f>IF(AND(T482="",A483&lt;=S482),IF(A483&lt;入力!$B$11,入力!$B$10,入力!$B$12),0)</f>
        <v>0</v>
      </c>
      <c r="F483" s="32">
        <f t="shared" si="119"/>
        <v>0</v>
      </c>
      <c r="G483" s="32">
        <f>ROUND(IF(NOT(AND(T482="",A483&lt;=S482)),0,IF(A483=入力!$B$15+1,IF(E483=0,ROUND(C483/入力!$B$19,0),ROUND(-PMT(E483/12,入力!$B$19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),0)</f>
        <v>0</v>
      </c>
      <c r="H483" s="32">
        <f t="shared" si="120"/>
        <v>0</v>
      </c>
      <c r="I483" s="32">
        <f t="shared" si="121"/>
        <v>0</v>
      </c>
      <c r="J483" s="32">
        <f t="shared" si="122"/>
        <v>0</v>
      </c>
      <c r="K483" s="32">
        <f t="shared" si="123"/>
        <v>0</v>
      </c>
      <c r="L483" s="32">
        <f t="shared" si="124"/>
        <v>0</v>
      </c>
      <c r="M483" s="32">
        <f>IF(AND(AND(T482="",A483&lt;=S482),A483=入力!$B$15),ROUND(MIN(入力!$B$16,MAX(0,C483-L483)),0),0)</f>
        <v>0</v>
      </c>
      <c r="N483" s="32">
        <f t="shared" si="125"/>
        <v>0</v>
      </c>
      <c r="O483" s="32">
        <f t="shared" si="126"/>
        <v>10751874</v>
      </c>
      <c r="P483" s="34" t="str">
        <f>IF(NOT(AND(T482="",A483&lt;=S482)),"",IF(A483=入力!$B$15+1,"繰上返済後再計算","")&amp;IF(AND(入力!$B$13="有効",A483&gt;1,MOD(A483-1,60)=0),IF(A483=入力!$B$15+1,"・","")&amp;"5年見直し","")&amp;IF(AND(A483=入力!$B$11,A483&gt;1),IF(OR(A483=入力!$B$15+1,AND(入力!$B$13="有効",A483&gt;1,MOD(A483-1,60)=0)),"・","")&amp;"金利変更","")&amp;IF(AND(OR(AND(入力!$B$13="有効",A483&gt;1,MOD(A483-1,60)=0),AND(A483=入力!$B$11,A483&gt;1)),入力!$B$14="有効",IF(E483=0,ROUND(C483/MAX(1,S482-A483+1),0),ROUND(-PMT(E483/12,MAX(1,S482-A483+1),C483),0))&gt;ROUND(G482*1.25,0),NOT(A483=入力!$B$15+1)),"・上限適用",""))</f>
        <v/>
      </c>
      <c r="Q483" s="35" t="str">
        <f>IF(AND(T482="",A483&lt;=S482),入力!$B$13,"")</f>
        <v/>
      </c>
      <c r="R483" s="32" t="str">
        <f>IF(AND(AND(T482="",A483&lt;=S482),OR(AND(入力!$B$13="有効",A483&gt;1,MOD(A483-1,60)=0),AND(A483=入力!$B$11,A483&gt;1)),入力!$B$14="有効"),ROUND(G482*1.25,0),"")</f>
        <v/>
      </c>
      <c r="S483" s="36">
        <f>IF(A483=入力!$B$15,A483+入力!$B$19,S482)</f>
        <v>360</v>
      </c>
      <c r="T483" s="35" t="str">
        <f t="shared" si="127"/>
        <v/>
      </c>
      <c r="U483" s="3">
        <f t="shared" si="112"/>
        <v>0</v>
      </c>
      <c r="V483" s="3">
        <f t="shared" si="113"/>
        <v>0</v>
      </c>
      <c r="W483" s="3">
        <f t="shared" si="114"/>
        <v>0</v>
      </c>
      <c r="X483" s="3">
        <f t="shared" si="115"/>
        <v>0</v>
      </c>
      <c r="Y483" s="3">
        <f>IF(A483&lt;入力!$B$15,ABS(G483-何もしない_月次!G483),0)</f>
        <v>0</v>
      </c>
      <c r="Z483" s="3">
        <f t="shared" si="116"/>
        <v>0</v>
      </c>
      <c r="AA483">
        <f>ROUND(IF(A483=入力!$B$15+1,IF(E483=0,ROUND(C483/入力!$B$19,0),ROUND(-PMT(E483/12,入力!$B$19,C483),0)),IF(OR(AND(入力!$B$13="有効",A483&gt;1,MOD(A483-1,60)=0),AND(A483=入力!$B$11,A483&gt;1)),IF(入力!$B$14="有効",MIN(IF(E483=0,ROUND(C483/MAX(1,S482-A483+1),0),ROUND(-PMT(E483/12,MAX(1,S482-A483+1),C483),0)),ROUND(G482*1.25,0)),IF(E483=0,ROUND(C483/MAX(1,S482-A483+1),0),ROUND(-PMT(E483/12,MAX(1,S482-A483+1),C483),0))),G482)),0)</f>
        <v>0</v>
      </c>
    </row>
    <row r="484" spans="1:27">
      <c r="A484" s="30">
        <f>479</f>
        <v>479</v>
      </c>
      <c r="B484" s="31">
        <f>EDATE(入力!$B$6,A484-1)</f>
        <v>60784</v>
      </c>
      <c r="C484" s="32">
        <f t="shared" si="117"/>
        <v>0</v>
      </c>
      <c r="D484" s="32">
        <f t="shared" si="118"/>
        <v>0</v>
      </c>
      <c r="E484" s="33">
        <f>IF(AND(T483="",A484&lt;=S483),IF(A484&lt;入力!$B$11,入力!$B$10,入力!$B$12),0)</f>
        <v>0</v>
      </c>
      <c r="F484" s="32">
        <f t="shared" si="119"/>
        <v>0</v>
      </c>
      <c r="G484" s="32">
        <f>ROUND(IF(NOT(AND(T483="",A484&lt;=S483)),0,IF(A484=入力!$B$15+1,IF(E484=0,ROUND(C484/入力!$B$19,0),ROUND(-PMT(E484/12,入力!$B$19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),0)</f>
        <v>0</v>
      </c>
      <c r="H484" s="32">
        <f t="shared" si="120"/>
        <v>0</v>
      </c>
      <c r="I484" s="32">
        <f t="shared" si="121"/>
        <v>0</v>
      </c>
      <c r="J484" s="32">
        <f t="shared" si="122"/>
        <v>0</v>
      </c>
      <c r="K484" s="32">
        <f t="shared" si="123"/>
        <v>0</v>
      </c>
      <c r="L484" s="32">
        <f t="shared" si="124"/>
        <v>0</v>
      </c>
      <c r="M484" s="32">
        <f>IF(AND(AND(T483="",A484&lt;=S483),A484=入力!$B$15),ROUND(MIN(入力!$B$16,MAX(0,C484-L484)),0),0)</f>
        <v>0</v>
      </c>
      <c r="N484" s="32">
        <f t="shared" si="125"/>
        <v>0</v>
      </c>
      <c r="O484" s="32">
        <f t="shared" si="126"/>
        <v>10751874</v>
      </c>
      <c r="P484" s="34" t="str">
        <f>IF(NOT(AND(T483="",A484&lt;=S483)),"",IF(A484=入力!$B$15+1,"繰上返済後再計算","")&amp;IF(AND(入力!$B$13="有効",A484&gt;1,MOD(A484-1,60)=0),IF(A484=入力!$B$15+1,"・","")&amp;"5年見直し","")&amp;IF(AND(A484=入力!$B$11,A484&gt;1),IF(OR(A484=入力!$B$15+1,AND(入力!$B$13="有効",A484&gt;1,MOD(A484-1,60)=0)),"・","")&amp;"金利変更","")&amp;IF(AND(OR(AND(入力!$B$13="有効",A484&gt;1,MOD(A484-1,60)=0),AND(A484=入力!$B$11,A484&gt;1)),入力!$B$14="有効",IF(E484=0,ROUND(C484/MAX(1,S483-A484+1),0),ROUND(-PMT(E484/12,MAX(1,S483-A484+1),C484),0))&gt;ROUND(G483*1.25,0),NOT(A484=入力!$B$15+1)),"・上限適用",""))</f>
        <v/>
      </c>
      <c r="Q484" s="35" t="str">
        <f>IF(AND(T483="",A484&lt;=S483),入力!$B$13,"")</f>
        <v/>
      </c>
      <c r="R484" s="32" t="str">
        <f>IF(AND(AND(T483="",A484&lt;=S483),OR(AND(入力!$B$13="有効",A484&gt;1,MOD(A484-1,60)=0),AND(A484=入力!$B$11,A484&gt;1)),入力!$B$14="有効"),ROUND(G483*1.25,0),"")</f>
        <v/>
      </c>
      <c r="S484" s="36">
        <f>IF(A484=入力!$B$15,A484+入力!$B$19,S483)</f>
        <v>360</v>
      </c>
      <c r="T484" s="35" t="str">
        <f t="shared" si="127"/>
        <v/>
      </c>
      <c r="U484" s="3">
        <f t="shared" si="112"/>
        <v>0</v>
      </c>
      <c r="V484" s="3">
        <f t="shared" si="113"/>
        <v>0</v>
      </c>
      <c r="W484" s="3">
        <f t="shared" si="114"/>
        <v>0</v>
      </c>
      <c r="X484" s="3">
        <f t="shared" si="115"/>
        <v>0</v>
      </c>
      <c r="Y484" s="3">
        <f>IF(A484&lt;入力!$B$15,ABS(G484-何もしない_月次!G484),0)</f>
        <v>0</v>
      </c>
      <c r="Z484" s="3">
        <f t="shared" si="116"/>
        <v>0</v>
      </c>
      <c r="AA484">
        <f>ROUND(IF(A484=入力!$B$15+1,IF(E484=0,ROUND(C484/入力!$B$19,0),ROUND(-PMT(E484/12,入力!$B$19,C484),0)),IF(OR(AND(入力!$B$13="有効",A484&gt;1,MOD(A484-1,60)=0),AND(A484=入力!$B$11,A484&gt;1)),IF(入力!$B$14="有効",MIN(IF(E484=0,ROUND(C484/MAX(1,S483-A484+1),0),ROUND(-PMT(E484/12,MAX(1,S483-A484+1),C484),0)),ROUND(G483*1.25,0)),IF(E484=0,ROUND(C484/MAX(1,S483-A484+1),0),ROUND(-PMT(E484/12,MAX(1,S483-A484+1),C484),0))),G483)),0)</f>
        <v>0</v>
      </c>
    </row>
    <row r="485" spans="1:27">
      <c r="A485" s="30">
        <f>480</f>
        <v>480</v>
      </c>
      <c r="B485" s="31">
        <f>EDATE(入力!$B$6,A485-1)</f>
        <v>60814</v>
      </c>
      <c r="C485" s="32">
        <f t="shared" si="117"/>
        <v>0</v>
      </c>
      <c r="D485" s="32">
        <f t="shared" si="118"/>
        <v>0</v>
      </c>
      <c r="E485" s="33">
        <f>IF(AND(T484="",A485&lt;=S484),IF(A485&lt;入力!$B$11,入力!$B$10,入力!$B$12),0)</f>
        <v>0</v>
      </c>
      <c r="F485" s="32">
        <f t="shared" si="119"/>
        <v>0</v>
      </c>
      <c r="G485" s="32">
        <f>ROUND(IF(NOT(AND(T484="",A485&lt;=S484)),0,IF(A485=入力!$B$15+1,IF(E485=0,ROUND(C485/入力!$B$19,0),ROUND(-PMT(E485/12,入力!$B$19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),0)</f>
        <v>0</v>
      </c>
      <c r="H485" s="32">
        <f t="shared" si="120"/>
        <v>0</v>
      </c>
      <c r="I485" s="32">
        <f t="shared" si="121"/>
        <v>0</v>
      </c>
      <c r="J485" s="32">
        <f t="shared" si="122"/>
        <v>0</v>
      </c>
      <c r="K485" s="32">
        <f t="shared" si="123"/>
        <v>0</v>
      </c>
      <c r="L485" s="32">
        <f t="shared" si="124"/>
        <v>0</v>
      </c>
      <c r="M485" s="32">
        <f>IF(AND(AND(T484="",A485&lt;=S484),A485=入力!$B$15),ROUND(MIN(入力!$B$16,MAX(0,C485-L485)),0),0)</f>
        <v>0</v>
      </c>
      <c r="N485" s="32">
        <f t="shared" si="125"/>
        <v>0</v>
      </c>
      <c r="O485" s="32">
        <f t="shared" si="126"/>
        <v>10751874</v>
      </c>
      <c r="P485" s="34" t="str">
        <f>IF(NOT(AND(T484="",A485&lt;=S484)),"",IF(A485=入力!$B$15+1,"繰上返済後再計算","")&amp;IF(AND(入力!$B$13="有効",A485&gt;1,MOD(A485-1,60)=0),IF(A485=入力!$B$15+1,"・","")&amp;"5年見直し","")&amp;IF(AND(A485=入力!$B$11,A485&gt;1),IF(OR(A485=入力!$B$15+1,AND(入力!$B$13="有効",A485&gt;1,MOD(A485-1,60)=0)),"・","")&amp;"金利変更","")&amp;IF(AND(OR(AND(入力!$B$13="有効",A485&gt;1,MOD(A485-1,60)=0),AND(A485=入力!$B$11,A485&gt;1)),入力!$B$14="有効",IF(E485=0,ROUND(C485/MAX(1,S484-A485+1),0),ROUND(-PMT(E485/12,MAX(1,S484-A485+1),C485),0))&gt;ROUND(G484*1.25,0),NOT(A485=入力!$B$15+1)),"・上限適用",""))</f>
        <v/>
      </c>
      <c r="Q485" s="35" t="str">
        <f>IF(AND(T484="",A485&lt;=S484),入力!$B$13,"")</f>
        <v/>
      </c>
      <c r="R485" s="32" t="str">
        <f>IF(AND(AND(T484="",A485&lt;=S484),OR(AND(入力!$B$13="有効",A485&gt;1,MOD(A485-1,60)=0),AND(A485=入力!$B$11,A485&gt;1)),入力!$B$14="有効"),ROUND(G484*1.25,0),"")</f>
        <v/>
      </c>
      <c r="S485" s="36">
        <f>IF(A485=入力!$B$15,A485+入力!$B$19,S484)</f>
        <v>360</v>
      </c>
      <c r="T485" s="35" t="str">
        <f t="shared" si="127"/>
        <v/>
      </c>
      <c r="U485" s="3">
        <f t="shared" si="112"/>
        <v>0</v>
      </c>
      <c r="V485" s="3">
        <f t="shared" si="113"/>
        <v>0</v>
      </c>
      <c r="W485" s="3">
        <f t="shared" si="114"/>
        <v>0</v>
      </c>
      <c r="X485" s="3">
        <f t="shared" si="115"/>
        <v>0</v>
      </c>
      <c r="Y485" s="3">
        <f>IF(A485&lt;入力!$B$15,ABS(G485-何もしない_月次!G485),0)</f>
        <v>0</v>
      </c>
      <c r="Z485" s="3">
        <f t="shared" si="116"/>
        <v>0</v>
      </c>
      <c r="AA485">
        <f>ROUND(IF(A485=入力!$B$15+1,IF(E485=0,ROUND(C485/入力!$B$19,0),ROUND(-PMT(E485/12,入力!$B$19,C485),0)),IF(OR(AND(入力!$B$13="有効",A485&gt;1,MOD(A485-1,60)=0),AND(A485=入力!$B$11,A485&gt;1)),IF(入力!$B$14="有効",MIN(IF(E485=0,ROUND(C485/MAX(1,S484-A485+1),0),ROUND(-PMT(E485/12,MAX(1,S484-A485+1),C485),0)),ROUND(G484*1.25,0)),IF(E485=0,ROUND(C485/MAX(1,S484-A485+1),0),ROUND(-PMT(E485/12,MAX(1,S484-A485+1),C485),0))),G484)),0)</f>
        <v>0</v>
      </c>
    </row>
    <row r="486" spans="1:27">
      <c r="A486" s="30">
        <f>481</f>
        <v>481</v>
      </c>
      <c r="B486" s="31">
        <f>EDATE(入力!$B$6,A486-1)</f>
        <v>60845</v>
      </c>
      <c r="C486" s="32">
        <f t="shared" si="117"/>
        <v>0</v>
      </c>
      <c r="D486" s="32">
        <f t="shared" si="118"/>
        <v>0</v>
      </c>
      <c r="E486" s="33">
        <f>IF(AND(T485="",A486&lt;=S485),IF(A486&lt;入力!$B$11,入力!$B$10,入力!$B$12),0)</f>
        <v>0</v>
      </c>
      <c r="F486" s="32">
        <f t="shared" si="119"/>
        <v>0</v>
      </c>
      <c r="G486" s="32">
        <f>ROUND(IF(NOT(AND(T485="",A486&lt;=S485)),0,IF(A486=入力!$B$15+1,IF(E486=0,ROUND(C486/入力!$B$19,0),ROUND(-PMT(E486/12,入力!$B$19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),0)</f>
        <v>0</v>
      </c>
      <c r="H486" s="32">
        <f t="shared" si="120"/>
        <v>0</v>
      </c>
      <c r="I486" s="32">
        <f t="shared" si="121"/>
        <v>0</v>
      </c>
      <c r="J486" s="32">
        <f t="shared" si="122"/>
        <v>0</v>
      </c>
      <c r="K486" s="32">
        <f t="shared" si="123"/>
        <v>0</v>
      </c>
      <c r="L486" s="32">
        <f t="shared" si="124"/>
        <v>0</v>
      </c>
      <c r="M486" s="32">
        <f>IF(AND(AND(T485="",A486&lt;=S485),A486=入力!$B$15),ROUND(MIN(入力!$B$16,MAX(0,C486-L486)),0),0)</f>
        <v>0</v>
      </c>
      <c r="N486" s="32">
        <f t="shared" si="125"/>
        <v>0</v>
      </c>
      <c r="O486" s="32">
        <f t="shared" si="126"/>
        <v>10751874</v>
      </c>
      <c r="P486" s="34" t="str">
        <f>IF(NOT(AND(T485="",A486&lt;=S485)),"",IF(A486=入力!$B$15+1,"繰上返済後再計算","")&amp;IF(AND(入力!$B$13="有効",A486&gt;1,MOD(A486-1,60)=0),IF(A486=入力!$B$15+1,"・","")&amp;"5年見直し","")&amp;IF(AND(A486=入力!$B$11,A486&gt;1),IF(OR(A486=入力!$B$15+1,AND(入力!$B$13="有効",A486&gt;1,MOD(A486-1,60)=0)),"・","")&amp;"金利変更","")&amp;IF(AND(OR(AND(入力!$B$13="有効",A486&gt;1,MOD(A486-1,60)=0),AND(A486=入力!$B$11,A486&gt;1)),入力!$B$14="有効",IF(E486=0,ROUND(C486/MAX(1,S485-A486+1),0),ROUND(-PMT(E486/12,MAX(1,S485-A486+1),C486),0))&gt;ROUND(G485*1.25,0),NOT(A486=入力!$B$15+1)),"・上限適用",""))</f>
        <v/>
      </c>
      <c r="Q486" s="35" t="str">
        <f>IF(AND(T485="",A486&lt;=S485),入力!$B$13,"")</f>
        <v/>
      </c>
      <c r="R486" s="32" t="str">
        <f>IF(AND(AND(T485="",A486&lt;=S485),OR(AND(入力!$B$13="有効",A486&gt;1,MOD(A486-1,60)=0),AND(A486=入力!$B$11,A486&gt;1)),入力!$B$14="有効"),ROUND(G485*1.25,0),"")</f>
        <v/>
      </c>
      <c r="S486" s="36">
        <f>IF(A486=入力!$B$15,A486+入力!$B$19,S485)</f>
        <v>360</v>
      </c>
      <c r="T486" s="35" t="str">
        <f t="shared" si="127"/>
        <v/>
      </c>
      <c r="U486" s="3">
        <f t="shared" si="112"/>
        <v>0</v>
      </c>
      <c r="V486" s="3">
        <f t="shared" si="113"/>
        <v>0</v>
      </c>
      <c r="W486" s="3">
        <f t="shared" si="114"/>
        <v>0</v>
      </c>
      <c r="X486" s="3">
        <f t="shared" si="115"/>
        <v>0</v>
      </c>
      <c r="Y486" s="3">
        <f>IF(A486&lt;入力!$B$15,ABS(G486-何もしない_月次!G486),0)</f>
        <v>0</v>
      </c>
      <c r="Z486" s="3">
        <f t="shared" si="116"/>
        <v>0</v>
      </c>
      <c r="AA486">
        <f>ROUND(IF(A486=入力!$B$15+1,IF(E486=0,ROUND(C486/入力!$B$19,0),ROUND(-PMT(E486/12,入力!$B$19,C486),0)),IF(OR(AND(入力!$B$13="有効",A486&gt;1,MOD(A486-1,60)=0),AND(A486=入力!$B$11,A486&gt;1)),IF(入力!$B$14="有効",MIN(IF(E486=0,ROUND(C486/MAX(1,S485-A486+1),0),ROUND(-PMT(E486/12,MAX(1,S485-A486+1),C486),0)),ROUND(G485*1.25,0)),IF(E486=0,ROUND(C486/MAX(1,S485-A486+1),0),ROUND(-PMT(E486/12,MAX(1,S485-A486+1),C486),0))),G485)),0)</f>
        <v>0</v>
      </c>
    </row>
    <row r="487" spans="1:27">
      <c r="A487" s="30">
        <f>482</f>
        <v>482</v>
      </c>
      <c r="B487" s="31">
        <f>EDATE(入力!$B$6,A487-1)</f>
        <v>60876</v>
      </c>
      <c r="C487" s="32">
        <f t="shared" si="117"/>
        <v>0</v>
      </c>
      <c r="D487" s="32">
        <f t="shared" si="118"/>
        <v>0</v>
      </c>
      <c r="E487" s="33">
        <f>IF(AND(T486="",A487&lt;=S486),IF(A487&lt;入力!$B$11,入力!$B$10,入力!$B$12),0)</f>
        <v>0</v>
      </c>
      <c r="F487" s="32">
        <f t="shared" si="119"/>
        <v>0</v>
      </c>
      <c r="G487" s="32">
        <f>ROUND(IF(NOT(AND(T486="",A487&lt;=S486)),0,IF(A487=入力!$B$15+1,IF(E487=0,ROUND(C487/入力!$B$19,0),ROUND(-PMT(E487/12,入力!$B$19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),0)</f>
        <v>0</v>
      </c>
      <c r="H487" s="32">
        <f t="shared" si="120"/>
        <v>0</v>
      </c>
      <c r="I487" s="32">
        <f t="shared" si="121"/>
        <v>0</v>
      </c>
      <c r="J487" s="32">
        <f t="shared" si="122"/>
        <v>0</v>
      </c>
      <c r="K487" s="32">
        <f t="shared" si="123"/>
        <v>0</v>
      </c>
      <c r="L487" s="32">
        <f t="shared" si="124"/>
        <v>0</v>
      </c>
      <c r="M487" s="32">
        <f>IF(AND(AND(T486="",A487&lt;=S486),A487=入力!$B$15),ROUND(MIN(入力!$B$16,MAX(0,C487-L487)),0),0)</f>
        <v>0</v>
      </c>
      <c r="N487" s="32">
        <f t="shared" si="125"/>
        <v>0</v>
      </c>
      <c r="O487" s="32">
        <f t="shared" si="126"/>
        <v>10751874</v>
      </c>
      <c r="P487" s="34" t="str">
        <f>IF(NOT(AND(T486="",A487&lt;=S486)),"",IF(A487=入力!$B$15+1,"繰上返済後再計算","")&amp;IF(AND(入力!$B$13="有効",A487&gt;1,MOD(A487-1,60)=0),IF(A487=入力!$B$15+1,"・","")&amp;"5年見直し","")&amp;IF(AND(A487=入力!$B$11,A487&gt;1),IF(OR(A487=入力!$B$15+1,AND(入力!$B$13="有効",A487&gt;1,MOD(A487-1,60)=0)),"・","")&amp;"金利変更","")&amp;IF(AND(OR(AND(入力!$B$13="有効",A487&gt;1,MOD(A487-1,60)=0),AND(A487=入力!$B$11,A487&gt;1)),入力!$B$14="有効",IF(E487=0,ROUND(C487/MAX(1,S486-A487+1),0),ROUND(-PMT(E487/12,MAX(1,S486-A487+1),C487),0))&gt;ROUND(G486*1.25,0),NOT(A487=入力!$B$15+1)),"・上限適用",""))</f>
        <v/>
      </c>
      <c r="Q487" s="35" t="str">
        <f>IF(AND(T486="",A487&lt;=S486),入力!$B$13,"")</f>
        <v/>
      </c>
      <c r="R487" s="32" t="str">
        <f>IF(AND(AND(T486="",A487&lt;=S486),OR(AND(入力!$B$13="有効",A487&gt;1,MOD(A487-1,60)=0),AND(A487=入力!$B$11,A487&gt;1)),入力!$B$14="有効"),ROUND(G486*1.25,0),"")</f>
        <v/>
      </c>
      <c r="S487" s="36">
        <f>IF(A487=入力!$B$15,A487+入力!$B$19,S486)</f>
        <v>360</v>
      </c>
      <c r="T487" s="35" t="str">
        <f t="shared" si="127"/>
        <v/>
      </c>
      <c r="U487" s="3">
        <f t="shared" si="112"/>
        <v>0</v>
      </c>
      <c r="V487" s="3">
        <f t="shared" si="113"/>
        <v>0</v>
      </c>
      <c r="W487" s="3">
        <f t="shared" si="114"/>
        <v>0</v>
      </c>
      <c r="X487" s="3">
        <f t="shared" si="115"/>
        <v>0</v>
      </c>
      <c r="Y487" s="3">
        <f>IF(A487&lt;入力!$B$15,ABS(G487-何もしない_月次!G487),0)</f>
        <v>0</v>
      </c>
      <c r="Z487" s="3">
        <f t="shared" si="116"/>
        <v>0</v>
      </c>
      <c r="AA487">
        <f>ROUND(IF(A487=入力!$B$15+1,IF(E487=0,ROUND(C487/入力!$B$19,0),ROUND(-PMT(E487/12,入力!$B$19,C487),0)),IF(OR(AND(入力!$B$13="有効",A487&gt;1,MOD(A487-1,60)=0),AND(A487=入力!$B$11,A487&gt;1)),IF(入力!$B$14="有効",MIN(IF(E487=0,ROUND(C487/MAX(1,S486-A487+1),0),ROUND(-PMT(E487/12,MAX(1,S486-A487+1),C487),0)),ROUND(G486*1.25,0)),IF(E487=0,ROUND(C487/MAX(1,S486-A487+1),0),ROUND(-PMT(E487/12,MAX(1,S486-A487+1),C487),0))),G486)),0)</f>
        <v>0</v>
      </c>
    </row>
    <row r="488" spans="1:27">
      <c r="A488" s="30">
        <f>483</f>
        <v>483</v>
      </c>
      <c r="B488" s="31">
        <f>EDATE(入力!$B$6,A488-1)</f>
        <v>60906</v>
      </c>
      <c r="C488" s="32">
        <f t="shared" si="117"/>
        <v>0</v>
      </c>
      <c r="D488" s="32">
        <f t="shared" si="118"/>
        <v>0</v>
      </c>
      <c r="E488" s="33">
        <f>IF(AND(T487="",A488&lt;=S487),IF(A488&lt;入力!$B$11,入力!$B$10,入力!$B$12),0)</f>
        <v>0</v>
      </c>
      <c r="F488" s="32">
        <f t="shared" si="119"/>
        <v>0</v>
      </c>
      <c r="G488" s="32">
        <f>ROUND(IF(NOT(AND(T487="",A488&lt;=S487)),0,IF(A488=入力!$B$15+1,IF(E488=0,ROUND(C488/入力!$B$19,0),ROUND(-PMT(E488/12,入力!$B$19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),0)</f>
        <v>0</v>
      </c>
      <c r="H488" s="32">
        <f t="shared" si="120"/>
        <v>0</v>
      </c>
      <c r="I488" s="32">
        <f t="shared" si="121"/>
        <v>0</v>
      </c>
      <c r="J488" s="32">
        <f t="shared" si="122"/>
        <v>0</v>
      </c>
      <c r="K488" s="32">
        <f t="shared" si="123"/>
        <v>0</v>
      </c>
      <c r="L488" s="32">
        <f t="shared" si="124"/>
        <v>0</v>
      </c>
      <c r="M488" s="32">
        <f>IF(AND(AND(T487="",A488&lt;=S487),A488=入力!$B$15),ROUND(MIN(入力!$B$16,MAX(0,C488-L488)),0),0)</f>
        <v>0</v>
      </c>
      <c r="N488" s="32">
        <f t="shared" si="125"/>
        <v>0</v>
      </c>
      <c r="O488" s="32">
        <f t="shared" si="126"/>
        <v>10751874</v>
      </c>
      <c r="P488" s="34" t="str">
        <f>IF(NOT(AND(T487="",A488&lt;=S487)),"",IF(A488=入力!$B$15+1,"繰上返済後再計算","")&amp;IF(AND(入力!$B$13="有効",A488&gt;1,MOD(A488-1,60)=0),IF(A488=入力!$B$15+1,"・","")&amp;"5年見直し","")&amp;IF(AND(A488=入力!$B$11,A488&gt;1),IF(OR(A488=入力!$B$15+1,AND(入力!$B$13="有効",A488&gt;1,MOD(A488-1,60)=0)),"・","")&amp;"金利変更","")&amp;IF(AND(OR(AND(入力!$B$13="有効",A488&gt;1,MOD(A488-1,60)=0),AND(A488=入力!$B$11,A488&gt;1)),入力!$B$14="有効",IF(E488=0,ROUND(C488/MAX(1,S487-A488+1),0),ROUND(-PMT(E488/12,MAX(1,S487-A488+1),C488),0))&gt;ROUND(G487*1.25,0),NOT(A488=入力!$B$15+1)),"・上限適用",""))</f>
        <v/>
      </c>
      <c r="Q488" s="35" t="str">
        <f>IF(AND(T487="",A488&lt;=S487),入力!$B$13,"")</f>
        <v/>
      </c>
      <c r="R488" s="32" t="str">
        <f>IF(AND(AND(T487="",A488&lt;=S487),OR(AND(入力!$B$13="有効",A488&gt;1,MOD(A488-1,60)=0),AND(A488=入力!$B$11,A488&gt;1)),入力!$B$14="有効"),ROUND(G487*1.25,0),"")</f>
        <v/>
      </c>
      <c r="S488" s="36">
        <f>IF(A488=入力!$B$15,A488+入力!$B$19,S487)</f>
        <v>360</v>
      </c>
      <c r="T488" s="35" t="str">
        <f t="shared" si="127"/>
        <v/>
      </c>
      <c r="U488" s="3">
        <f t="shared" si="112"/>
        <v>0</v>
      </c>
      <c r="V488" s="3">
        <f t="shared" si="113"/>
        <v>0</v>
      </c>
      <c r="W488" s="3">
        <f t="shared" si="114"/>
        <v>0</v>
      </c>
      <c r="X488" s="3">
        <f t="shared" si="115"/>
        <v>0</v>
      </c>
      <c r="Y488" s="3">
        <f>IF(A488&lt;入力!$B$15,ABS(G488-何もしない_月次!G488),0)</f>
        <v>0</v>
      </c>
      <c r="Z488" s="3">
        <f t="shared" si="116"/>
        <v>0</v>
      </c>
      <c r="AA488">
        <f>ROUND(IF(A488=入力!$B$15+1,IF(E488=0,ROUND(C488/入力!$B$19,0),ROUND(-PMT(E488/12,入力!$B$19,C488),0)),IF(OR(AND(入力!$B$13="有効",A488&gt;1,MOD(A488-1,60)=0),AND(A488=入力!$B$11,A488&gt;1)),IF(入力!$B$14="有効",MIN(IF(E488=0,ROUND(C488/MAX(1,S487-A488+1),0),ROUND(-PMT(E488/12,MAX(1,S487-A488+1),C488),0)),ROUND(G487*1.25,0)),IF(E488=0,ROUND(C488/MAX(1,S487-A488+1),0),ROUND(-PMT(E488/12,MAX(1,S487-A488+1),C488),0))),G487)),0)</f>
        <v>0</v>
      </c>
    </row>
    <row r="489" spans="1:27">
      <c r="A489" s="30">
        <f>484</f>
        <v>484</v>
      </c>
      <c r="B489" s="31">
        <f>EDATE(入力!$B$6,A489-1)</f>
        <v>60937</v>
      </c>
      <c r="C489" s="32">
        <f t="shared" si="117"/>
        <v>0</v>
      </c>
      <c r="D489" s="32">
        <f t="shared" si="118"/>
        <v>0</v>
      </c>
      <c r="E489" s="33">
        <f>IF(AND(T488="",A489&lt;=S488),IF(A489&lt;入力!$B$11,入力!$B$10,入力!$B$12),0)</f>
        <v>0</v>
      </c>
      <c r="F489" s="32">
        <f t="shared" si="119"/>
        <v>0</v>
      </c>
      <c r="G489" s="32">
        <f>ROUND(IF(NOT(AND(T488="",A489&lt;=S488)),0,IF(A489=入力!$B$15+1,IF(E489=0,ROUND(C489/入力!$B$19,0),ROUND(-PMT(E489/12,入力!$B$19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),0)</f>
        <v>0</v>
      </c>
      <c r="H489" s="32">
        <f t="shared" si="120"/>
        <v>0</v>
      </c>
      <c r="I489" s="32">
        <f t="shared" si="121"/>
        <v>0</v>
      </c>
      <c r="J489" s="32">
        <f t="shared" si="122"/>
        <v>0</v>
      </c>
      <c r="K489" s="32">
        <f t="shared" si="123"/>
        <v>0</v>
      </c>
      <c r="L489" s="32">
        <f t="shared" si="124"/>
        <v>0</v>
      </c>
      <c r="M489" s="32">
        <f>IF(AND(AND(T488="",A489&lt;=S488),A489=入力!$B$15),ROUND(MIN(入力!$B$16,MAX(0,C489-L489)),0),0)</f>
        <v>0</v>
      </c>
      <c r="N489" s="32">
        <f t="shared" si="125"/>
        <v>0</v>
      </c>
      <c r="O489" s="32">
        <f t="shared" si="126"/>
        <v>10751874</v>
      </c>
      <c r="P489" s="34" t="str">
        <f>IF(NOT(AND(T488="",A489&lt;=S488)),"",IF(A489=入力!$B$15+1,"繰上返済後再計算","")&amp;IF(AND(入力!$B$13="有効",A489&gt;1,MOD(A489-1,60)=0),IF(A489=入力!$B$15+1,"・","")&amp;"5年見直し","")&amp;IF(AND(A489=入力!$B$11,A489&gt;1),IF(OR(A489=入力!$B$15+1,AND(入力!$B$13="有効",A489&gt;1,MOD(A489-1,60)=0)),"・","")&amp;"金利変更","")&amp;IF(AND(OR(AND(入力!$B$13="有効",A489&gt;1,MOD(A489-1,60)=0),AND(A489=入力!$B$11,A489&gt;1)),入力!$B$14="有効",IF(E489=0,ROUND(C489/MAX(1,S488-A489+1),0),ROUND(-PMT(E489/12,MAX(1,S488-A489+1),C489),0))&gt;ROUND(G488*1.25,0),NOT(A489=入力!$B$15+1)),"・上限適用",""))</f>
        <v/>
      </c>
      <c r="Q489" s="35" t="str">
        <f>IF(AND(T488="",A489&lt;=S488),入力!$B$13,"")</f>
        <v/>
      </c>
      <c r="R489" s="32" t="str">
        <f>IF(AND(AND(T488="",A489&lt;=S488),OR(AND(入力!$B$13="有効",A489&gt;1,MOD(A489-1,60)=0),AND(A489=入力!$B$11,A489&gt;1)),入力!$B$14="有効"),ROUND(G488*1.25,0),"")</f>
        <v/>
      </c>
      <c r="S489" s="36">
        <f>IF(A489=入力!$B$15,A489+入力!$B$19,S488)</f>
        <v>360</v>
      </c>
      <c r="T489" s="35" t="str">
        <f t="shared" si="127"/>
        <v/>
      </c>
      <c r="U489" s="3">
        <f t="shared" si="112"/>
        <v>0</v>
      </c>
      <c r="V489" s="3">
        <f t="shared" si="113"/>
        <v>0</v>
      </c>
      <c r="W489" s="3">
        <f t="shared" si="114"/>
        <v>0</v>
      </c>
      <c r="X489" s="3">
        <f t="shared" si="115"/>
        <v>0</v>
      </c>
      <c r="Y489" s="3">
        <f>IF(A489&lt;入力!$B$15,ABS(G489-何もしない_月次!G489),0)</f>
        <v>0</v>
      </c>
      <c r="Z489" s="3">
        <f t="shared" si="116"/>
        <v>0</v>
      </c>
      <c r="AA489">
        <f>ROUND(IF(A489=入力!$B$15+1,IF(E489=0,ROUND(C489/入力!$B$19,0),ROUND(-PMT(E489/12,入力!$B$19,C489),0)),IF(OR(AND(入力!$B$13="有効",A489&gt;1,MOD(A489-1,60)=0),AND(A489=入力!$B$11,A489&gt;1)),IF(入力!$B$14="有効",MIN(IF(E489=0,ROUND(C489/MAX(1,S488-A489+1),0),ROUND(-PMT(E489/12,MAX(1,S488-A489+1),C489),0)),ROUND(G488*1.25,0)),IF(E489=0,ROUND(C489/MAX(1,S488-A489+1),0),ROUND(-PMT(E489/12,MAX(1,S488-A489+1),C489),0))),G488)),0)</f>
        <v>0</v>
      </c>
    </row>
    <row r="490" spans="1:27">
      <c r="A490" s="30">
        <f>485</f>
        <v>485</v>
      </c>
      <c r="B490" s="31">
        <f>EDATE(入力!$B$6,A490-1)</f>
        <v>60967</v>
      </c>
      <c r="C490" s="32">
        <f t="shared" si="117"/>
        <v>0</v>
      </c>
      <c r="D490" s="32">
        <f t="shared" si="118"/>
        <v>0</v>
      </c>
      <c r="E490" s="33">
        <f>IF(AND(T489="",A490&lt;=S489),IF(A490&lt;入力!$B$11,入力!$B$10,入力!$B$12),0)</f>
        <v>0</v>
      </c>
      <c r="F490" s="32">
        <f t="shared" si="119"/>
        <v>0</v>
      </c>
      <c r="G490" s="32">
        <f>ROUND(IF(NOT(AND(T489="",A490&lt;=S489)),0,IF(A490=入力!$B$15+1,IF(E490=0,ROUND(C490/入力!$B$19,0),ROUND(-PMT(E490/12,入力!$B$19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),0)</f>
        <v>0</v>
      </c>
      <c r="H490" s="32">
        <f t="shared" si="120"/>
        <v>0</v>
      </c>
      <c r="I490" s="32">
        <f t="shared" si="121"/>
        <v>0</v>
      </c>
      <c r="J490" s="32">
        <f t="shared" si="122"/>
        <v>0</v>
      </c>
      <c r="K490" s="32">
        <f t="shared" si="123"/>
        <v>0</v>
      </c>
      <c r="L490" s="32">
        <f t="shared" si="124"/>
        <v>0</v>
      </c>
      <c r="M490" s="32">
        <f>IF(AND(AND(T489="",A490&lt;=S489),A490=入力!$B$15),ROUND(MIN(入力!$B$16,MAX(0,C490-L490)),0),0)</f>
        <v>0</v>
      </c>
      <c r="N490" s="32">
        <f t="shared" si="125"/>
        <v>0</v>
      </c>
      <c r="O490" s="32">
        <f t="shared" si="126"/>
        <v>10751874</v>
      </c>
      <c r="P490" s="34" t="str">
        <f>IF(NOT(AND(T489="",A490&lt;=S489)),"",IF(A490=入力!$B$15+1,"繰上返済後再計算","")&amp;IF(AND(入力!$B$13="有効",A490&gt;1,MOD(A490-1,60)=0),IF(A490=入力!$B$15+1,"・","")&amp;"5年見直し","")&amp;IF(AND(A490=入力!$B$11,A490&gt;1),IF(OR(A490=入力!$B$15+1,AND(入力!$B$13="有効",A490&gt;1,MOD(A490-1,60)=0)),"・","")&amp;"金利変更","")&amp;IF(AND(OR(AND(入力!$B$13="有効",A490&gt;1,MOD(A490-1,60)=0),AND(A490=入力!$B$11,A490&gt;1)),入力!$B$14="有効",IF(E490=0,ROUND(C490/MAX(1,S489-A490+1),0),ROUND(-PMT(E490/12,MAX(1,S489-A490+1),C490),0))&gt;ROUND(G489*1.25,0),NOT(A490=入力!$B$15+1)),"・上限適用",""))</f>
        <v/>
      </c>
      <c r="Q490" s="35" t="str">
        <f>IF(AND(T489="",A490&lt;=S489),入力!$B$13,"")</f>
        <v/>
      </c>
      <c r="R490" s="32" t="str">
        <f>IF(AND(AND(T489="",A490&lt;=S489),OR(AND(入力!$B$13="有効",A490&gt;1,MOD(A490-1,60)=0),AND(A490=入力!$B$11,A490&gt;1)),入力!$B$14="有効"),ROUND(G489*1.25,0),"")</f>
        <v/>
      </c>
      <c r="S490" s="36">
        <f>IF(A490=入力!$B$15,A490+入力!$B$19,S489)</f>
        <v>360</v>
      </c>
      <c r="T490" s="35" t="str">
        <f t="shared" si="127"/>
        <v/>
      </c>
      <c r="U490" s="3">
        <f t="shared" si="112"/>
        <v>0</v>
      </c>
      <c r="V490" s="3">
        <f t="shared" si="113"/>
        <v>0</v>
      </c>
      <c r="W490" s="3">
        <f t="shared" si="114"/>
        <v>0</v>
      </c>
      <c r="X490" s="3">
        <f t="shared" si="115"/>
        <v>0</v>
      </c>
      <c r="Y490" s="3">
        <f>IF(A490&lt;入力!$B$15,ABS(G490-何もしない_月次!G490),0)</f>
        <v>0</v>
      </c>
      <c r="Z490" s="3">
        <f t="shared" si="116"/>
        <v>0</v>
      </c>
      <c r="AA490">
        <f>ROUND(IF(A490=入力!$B$15+1,IF(E490=0,ROUND(C490/入力!$B$19,0),ROUND(-PMT(E490/12,入力!$B$19,C490),0)),IF(OR(AND(入力!$B$13="有効",A490&gt;1,MOD(A490-1,60)=0),AND(A490=入力!$B$11,A490&gt;1)),IF(入力!$B$14="有効",MIN(IF(E490=0,ROUND(C490/MAX(1,S489-A490+1),0),ROUND(-PMT(E490/12,MAX(1,S489-A490+1),C490),0)),ROUND(G489*1.25,0)),IF(E490=0,ROUND(C490/MAX(1,S489-A490+1),0),ROUND(-PMT(E490/12,MAX(1,S489-A490+1),C490),0))),G489)),0)</f>
        <v>0</v>
      </c>
    </row>
    <row r="491" spans="1:27">
      <c r="A491" s="30">
        <f>486</f>
        <v>486</v>
      </c>
      <c r="B491" s="31">
        <f>EDATE(入力!$B$6,A491-1)</f>
        <v>60998</v>
      </c>
      <c r="C491" s="32">
        <f t="shared" si="117"/>
        <v>0</v>
      </c>
      <c r="D491" s="32">
        <f t="shared" si="118"/>
        <v>0</v>
      </c>
      <c r="E491" s="33">
        <f>IF(AND(T490="",A491&lt;=S490),IF(A491&lt;入力!$B$11,入力!$B$10,入力!$B$12),0)</f>
        <v>0</v>
      </c>
      <c r="F491" s="32">
        <f t="shared" si="119"/>
        <v>0</v>
      </c>
      <c r="G491" s="32">
        <f>ROUND(IF(NOT(AND(T490="",A491&lt;=S490)),0,IF(A491=入力!$B$15+1,IF(E491=0,ROUND(C491/入力!$B$19,0),ROUND(-PMT(E491/12,入力!$B$19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),0)</f>
        <v>0</v>
      </c>
      <c r="H491" s="32">
        <f t="shared" si="120"/>
        <v>0</v>
      </c>
      <c r="I491" s="32">
        <f t="shared" si="121"/>
        <v>0</v>
      </c>
      <c r="J491" s="32">
        <f t="shared" si="122"/>
        <v>0</v>
      </c>
      <c r="K491" s="32">
        <f t="shared" si="123"/>
        <v>0</v>
      </c>
      <c r="L491" s="32">
        <f t="shared" si="124"/>
        <v>0</v>
      </c>
      <c r="M491" s="32">
        <f>IF(AND(AND(T490="",A491&lt;=S490),A491=入力!$B$15),ROUND(MIN(入力!$B$16,MAX(0,C491-L491)),0),0)</f>
        <v>0</v>
      </c>
      <c r="N491" s="32">
        <f t="shared" si="125"/>
        <v>0</v>
      </c>
      <c r="O491" s="32">
        <f t="shared" si="126"/>
        <v>10751874</v>
      </c>
      <c r="P491" s="34" t="str">
        <f>IF(NOT(AND(T490="",A491&lt;=S490)),"",IF(A491=入力!$B$15+1,"繰上返済後再計算","")&amp;IF(AND(入力!$B$13="有効",A491&gt;1,MOD(A491-1,60)=0),IF(A491=入力!$B$15+1,"・","")&amp;"5年見直し","")&amp;IF(AND(A491=入力!$B$11,A491&gt;1),IF(OR(A491=入力!$B$15+1,AND(入力!$B$13="有効",A491&gt;1,MOD(A491-1,60)=0)),"・","")&amp;"金利変更","")&amp;IF(AND(OR(AND(入力!$B$13="有効",A491&gt;1,MOD(A491-1,60)=0),AND(A491=入力!$B$11,A491&gt;1)),入力!$B$14="有効",IF(E491=0,ROUND(C491/MAX(1,S490-A491+1),0),ROUND(-PMT(E491/12,MAX(1,S490-A491+1),C491),0))&gt;ROUND(G490*1.25,0),NOT(A491=入力!$B$15+1)),"・上限適用",""))</f>
        <v/>
      </c>
      <c r="Q491" s="35" t="str">
        <f>IF(AND(T490="",A491&lt;=S490),入力!$B$13,"")</f>
        <v/>
      </c>
      <c r="R491" s="32" t="str">
        <f>IF(AND(AND(T490="",A491&lt;=S490),OR(AND(入力!$B$13="有効",A491&gt;1,MOD(A491-1,60)=0),AND(A491=入力!$B$11,A491&gt;1)),入力!$B$14="有効"),ROUND(G490*1.25,0),"")</f>
        <v/>
      </c>
      <c r="S491" s="36">
        <f>IF(A491=入力!$B$15,A491+入力!$B$19,S490)</f>
        <v>360</v>
      </c>
      <c r="T491" s="35" t="str">
        <f t="shared" si="127"/>
        <v/>
      </c>
      <c r="U491" s="3">
        <f t="shared" si="112"/>
        <v>0</v>
      </c>
      <c r="V491" s="3">
        <f t="shared" si="113"/>
        <v>0</v>
      </c>
      <c r="W491" s="3">
        <f t="shared" si="114"/>
        <v>0</v>
      </c>
      <c r="X491" s="3">
        <f t="shared" si="115"/>
        <v>0</v>
      </c>
      <c r="Y491" s="3">
        <f>IF(A491&lt;入力!$B$15,ABS(G491-何もしない_月次!G491),0)</f>
        <v>0</v>
      </c>
      <c r="Z491" s="3">
        <f t="shared" si="116"/>
        <v>0</v>
      </c>
      <c r="AA491">
        <f>ROUND(IF(A491=入力!$B$15+1,IF(E491=0,ROUND(C491/入力!$B$19,0),ROUND(-PMT(E491/12,入力!$B$19,C491),0)),IF(OR(AND(入力!$B$13="有効",A491&gt;1,MOD(A491-1,60)=0),AND(A491=入力!$B$11,A491&gt;1)),IF(入力!$B$14="有効",MIN(IF(E491=0,ROUND(C491/MAX(1,S490-A491+1),0),ROUND(-PMT(E491/12,MAX(1,S490-A491+1),C491),0)),ROUND(G490*1.25,0)),IF(E491=0,ROUND(C491/MAX(1,S490-A491+1),0),ROUND(-PMT(E491/12,MAX(1,S490-A491+1),C491),0))),G490)),0)</f>
        <v>0</v>
      </c>
    </row>
    <row r="492" spans="1:27">
      <c r="A492" s="30">
        <f>487</f>
        <v>487</v>
      </c>
      <c r="B492" s="31">
        <f>EDATE(入力!$B$6,A492-1)</f>
        <v>61029</v>
      </c>
      <c r="C492" s="32">
        <f t="shared" si="117"/>
        <v>0</v>
      </c>
      <c r="D492" s="32">
        <f t="shared" si="118"/>
        <v>0</v>
      </c>
      <c r="E492" s="33">
        <f>IF(AND(T491="",A492&lt;=S491),IF(A492&lt;入力!$B$11,入力!$B$10,入力!$B$12),0)</f>
        <v>0</v>
      </c>
      <c r="F492" s="32">
        <f t="shared" si="119"/>
        <v>0</v>
      </c>
      <c r="G492" s="32">
        <f>ROUND(IF(NOT(AND(T491="",A492&lt;=S491)),0,IF(A492=入力!$B$15+1,IF(E492=0,ROUND(C492/入力!$B$19,0),ROUND(-PMT(E492/12,入力!$B$19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),0)</f>
        <v>0</v>
      </c>
      <c r="H492" s="32">
        <f t="shared" si="120"/>
        <v>0</v>
      </c>
      <c r="I492" s="32">
        <f t="shared" si="121"/>
        <v>0</v>
      </c>
      <c r="J492" s="32">
        <f t="shared" si="122"/>
        <v>0</v>
      </c>
      <c r="K492" s="32">
        <f t="shared" si="123"/>
        <v>0</v>
      </c>
      <c r="L492" s="32">
        <f t="shared" si="124"/>
        <v>0</v>
      </c>
      <c r="M492" s="32">
        <f>IF(AND(AND(T491="",A492&lt;=S491),A492=入力!$B$15),ROUND(MIN(入力!$B$16,MAX(0,C492-L492)),0),0)</f>
        <v>0</v>
      </c>
      <c r="N492" s="32">
        <f t="shared" si="125"/>
        <v>0</v>
      </c>
      <c r="O492" s="32">
        <f t="shared" si="126"/>
        <v>10751874</v>
      </c>
      <c r="P492" s="34" t="str">
        <f>IF(NOT(AND(T491="",A492&lt;=S491)),"",IF(A492=入力!$B$15+1,"繰上返済後再計算","")&amp;IF(AND(入力!$B$13="有効",A492&gt;1,MOD(A492-1,60)=0),IF(A492=入力!$B$15+1,"・","")&amp;"5年見直し","")&amp;IF(AND(A492=入力!$B$11,A492&gt;1),IF(OR(A492=入力!$B$15+1,AND(入力!$B$13="有効",A492&gt;1,MOD(A492-1,60)=0)),"・","")&amp;"金利変更","")&amp;IF(AND(OR(AND(入力!$B$13="有効",A492&gt;1,MOD(A492-1,60)=0),AND(A492=入力!$B$11,A492&gt;1)),入力!$B$14="有効",IF(E492=0,ROUND(C492/MAX(1,S491-A492+1),0),ROUND(-PMT(E492/12,MAX(1,S491-A492+1),C492),0))&gt;ROUND(G491*1.25,0),NOT(A492=入力!$B$15+1)),"・上限適用",""))</f>
        <v/>
      </c>
      <c r="Q492" s="35" t="str">
        <f>IF(AND(T491="",A492&lt;=S491),入力!$B$13,"")</f>
        <v/>
      </c>
      <c r="R492" s="32" t="str">
        <f>IF(AND(AND(T491="",A492&lt;=S491),OR(AND(入力!$B$13="有効",A492&gt;1,MOD(A492-1,60)=0),AND(A492=入力!$B$11,A492&gt;1)),入力!$B$14="有効"),ROUND(G491*1.25,0),"")</f>
        <v/>
      </c>
      <c r="S492" s="36">
        <f>IF(A492=入力!$B$15,A492+入力!$B$19,S491)</f>
        <v>360</v>
      </c>
      <c r="T492" s="35" t="str">
        <f t="shared" si="127"/>
        <v/>
      </c>
      <c r="U492" s="3">
        <f t="shared" si="112"/>
        <v>0</v>
      </c>
      <c r="V492" s="3">
        <f t="shared" si="113"/>
        <v>0</v>
      </c>
      <c r="W492" s="3">
        <f t="shared" si="114"/>
        <v>0</v>
      </c>
      <c r="X492" s="3">
        <f t="shared" si="115"/>
        <v>0</v>
      </c>
      <c r="Y492" s="3">
        <f>IF(A492&lt;入力!$B$15,ABS(G492-何もしない_月次!G492),0)</f>
        <v>0</v>
      </c>
      <c r="Z492" s="3">
        <f t="shared" si="116"/>
        <v>0</v>
      </c>
      <c r="AA492">
        <f>ROUND(IF(A492=入力!$B$15+1,IF(E492=0,ROUND(C492/入力!$B$19,0),ROUND(-PMT(E492/12,入力!$B$19,C492),0)),IF(OR(AND(入力!$B$13="有効",A492&gt;1,MOD(A492-1,60)=0),AND(A492=入力!$B$11,A492&gt;1)),IF(入力!$B$14="有効",MIN(IF(E492=0,ROUND(C492/MAX(1,S491-A492+1),0),ROUND(-PMT(E492/12,MAX(1,S491-A492+1),C492),0)),ROUND(G491*1.25,0)),IF(E492=0,ROUND(C492/MAX(1,S491-A492+1),0),ROUND(-PMT(E492/12,MAX(1,S491-A492+1),C492),0))),G491)),0)</f>
        <v>0</v>
      </c>
    </row>
    <row r="493" spans="1:27">
      <c r="A493" s="30">
        <f>488</f>
        <v>488</v>
      </c>
      <c r="B493" s="31">
        <f>EDATE(入力!$B$6,A493-1)</f>
        <v>61057</v>
      </c>
      <c r="C493" s="32">
        <f t="shared" si="117"/>
        <v>0</v>
      </c>
      <c r="D493" s="32">
        <f t="shared" si="118"/>
        <v>0</v>
      </c>
      <c r="E493" s="33">
        <f>IF(AND(T492="",A493&lt;=S492),IF(A493&lt;入力!$B$11,入力!$B$10,入力!$B$12),0)</f>
        <v>0</v>
      </c>
      <c r="F493" s="32">
        <f t="shared" si="119"/>
        <v>0</v>
      </c>
      <c r="G493" s="32">
        <f>ROUND(IF(NOT(AND(T492="",A493&lt;=S492)),0,IF(A493=入力!$B$15+1,IF(E493=0,ROUND(C493/入力!$B$19,0),ROUND(-PMT(E493/12,入力!$B$19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),0)</f>
        <v>0</v>
      </c>
      <c r="H493" s="32">
        <f t="shared" si="120"/>
        <v>0</v>
      </c>
      <c r="I493" s="32">
        <f t="shared" si="121"/>
        <v>0</v>
      </c>
      <c r="J493" s="32">
        <f t="shared" si="122"/>
        <v>0</v>
      </c>
      <c r="K493" s="32">
        <f t="shared" si="123"/>
        <v>0</v>
      </c>
      <c r="L493" s="32">
        <f t="shared" si="124"/>
        <v>0</v>
      </c>
      <c r="M493" s="32">
        <f>IF(AND(AND(T492="",A493&lt;=S492),A493=入力!$B$15),ROUND(MIN(入力!$B$16,MAX(0,C493-L493)),0),0)</f>
        <v>0</v>
      </c>
      <c r="N493" s="32">
        <f t="shared" si="125"/>
        <v>0</v>
      </c>
      <c r="O493" s="32">
        <f t="shared" si="126"/>
        <v>10751874</v>
      </c>
      <c r="P493" s="34" t="str">
        <f>IF(NOT(AND(T492="",A493&lt;=S492)),"",IF(A493=入力!$B$15+1,"繰上返済後再計算","")&amp;IF(AND(入力!$B$13="有効",A493&gt;1,MOD(A493-1,60)=0),IF(A493=入力!$B$15+1,"・","")&amp;"5年見直し","")&amp;IF(AND(A493=入力!$B$11,A493&gt;1),IF(OR(A493=入力!$B$15+1,AND(入力!$B$13="有効",A493&gt;1,MOD(A493-1,60)=0)),"・","")&amp;"金利変更","")&amp;IF(AND(OR(AND(入力!$B$13="有効",A493&gt;1,MOD(A493-1,60)=0),AND(A493=入力!$B$11,A493&gt;1)),入力!$B$14="有効",IF(E493=0,ROUND(C493/MAX(1,S492-A493+1),0),ROUND(-PMT(E493/12,MAX(1,S492-A493+1),C493),0))&gt;ROUND(G492*1.25,0),NOT(A493=入力!$B$15+1)),"・上限適用",""))</f>
        <v/>
      </c>
      <c r="Q493" s="35" t="str">
        <f>IF(AND(T492="",A493&lt;=S492),入力!$B$13,"")</f>
        <v/>
      </c>
      <c r="R493" s="32" t="str">
        <f>IF(AND(AND(T492="",A493&lt;=S492),OR(AND(入力!$B$13="有効",A493&gt;1,MOD(A493-1,60)=0),AND(A493=入力!$B$11,A493&gt;1)),入力!$B$14="有効"),ROUND(G492*1.25,0),"")</f>
        <v/>
      </c>
      <c r="S493" s="36">
        <f>IF(A493=入力!$B$15,A493+入力!$B$19,S492)</f>
        <v>360</v>
      </c>
      <c r="T493" s="35" t="str">
        <f t="shared" si="127"/>
        <v/>
      </c>
      <c r="U493" s="3">
        <f t="shared" si="112"/>
        <v>0</v>
      </c>
      <c r="V493" s="3">
        <f t="shared" si="113"/>
        <v>0</v>
      </c>
      <c r="W493" s="3">
        <f t="shared" si="114"/>
        <v>0</v>
      </c>
      <c r="X493" s="3">
        <f t="shared" si="115"/>
        <v>0</v>
      </c>
      <c r="Y493" s="3">
        <f>IF(A493&lt;入力!$B$15,ABS(G493-何もしない_月次!G493),0)</f>
        <v>0</v>
      </c>
      <c r="Z493" s="3">
        <f t="shared" si="116"/>
        <v>0</v>
      </c>
      <c r="AA493">
        <f>ROUND(IF(A493=入力!$B$15+1,IF(E493=0,ROUND(C493/入力!$B$19,0),ROUND(-PMT(E493/12,入力!$B$19,C493),0)),IF(OR(AND(入力!$B$13="有効",A493&gt;1,MOD(A493-1,60)=0),AND(A493=入力!$B$11,A493&gt;1)),IF(入力!$B$14="有効",MIN(IF(E493=0,ROUND(C493/MAX(1,S492-A493+1),0),ROUND(-PMT(E493/12,MAX(1,S492-A493+1),C493),0)),ROUND(G492*1.25,0)),IF(E493=0,ROUND(C493/MAX(1,S492-A493+1),0),ROUND(-PMT(E493/12,MAX(1,S492-A493+1),C493),0))),G492)),0)</f>
        <v>0</v>
      </c>
    </row>
    <row r="494" spans="1:27">
      <c r="A494" s="30">
        <f>489</f>
        <v>489</v>
      </c>
      <c r="B494" s="31">
        <f>EDATE(入力!$B$6,A494-1)</f>
        <v>61088</v>
      </c>
      <c r="C494" s="32">
        <f t="shared" si="117"/>
        <v>0</v>
      </c>
      <c r="D494" s="32">
        <f t="shared" si="118"/>
        <v>0</v>
      </c>
      <c r="E494" s="33">
        <f>IF(AND(T493="",A494&lt;=S493),IF(A494&lt;入力!$B$11,入力!$B$10,入力!$B$12),0)</f>
        <v>0</v>
      </c>
      <c r="F494" s="32">
        <f t="shared" si="119"/>
        <v>0</v>
      </c>
      <c r="G494" s="32">
        <f>ROUND(IF(NOT(AND(T493="",A494&lt;=S493)),0,IF(A494=入力!$B$15+1,IF(E494=0,ROUND(C494/入力!$B$19,0),ROUND(-PMT(E494/12,入力!$B$19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),0)</f>
        <v>0</v>
      </c>
      <c r="H494" s="32">
        <f t="shared" si="120"/>
        <v>0</v>
      </c>
      <c r="I494" s="32">
        <f t="shared" si="121"/>
        <v>0</v>
      </c>
      <c r="J494" s="32">
        <f t="shared" si="122"/>
        <v>0</v>
      </c>
      <c r="K494" s="32">
        <f t="shared" si="123"/>
        <v>0</v>
      </c>
      <c r="L494" s="32">
        <f t="shared" si="124"/>
        <v>0</v>
      </c>
      <c r="M494" s="32">
        <f>IF(AND(AND(T493="",A494&lt;=S493),A494=入力!$B$15),ROUND(MIN(入力!$B$16,MAX(0,C494-L494)),0),0)</f>
        <v>0</v>
      </c>
      <c r="N494" s="32">
        <f t="shared" si="125"/>
        <v>0</v>
      </c>
      <c r="O494" s="32">
        <f t="shared" si="126"/>
        <v>10751874</v>
      </c>
      <c r="P494" s="34" t="str">
        <f>IF(NOT(AND(T493="",A494&lt;=S493)),"",IF(A494=入力!$B$15+1,"繰上返済後再計算","")&amp;IF(AND(入力!$B$13="有効",A494&gt;1,MOD(A494-1,60)=0),IF(A494=入力!$B$15+1,"・","")&amp;"5年見直し","")&amp;IF(AND(A494=入力!$B$11,A494&gt;1),IF(OR(A494=入力!$B$15+1,AND(入力!$B$13="有効",A494&gt;1,MOD(A494-1,60)=0)),"・","")&amp;"金利変更","")&amp;IF(AND(OR(AND(入力!$B$13="有効",A494&gt;1,MOD(A494-1,60)=0),AND(A494=入力!$B$11,A494&gt;1)),入力!$B$14="有効",IF(E494=0,ROUND(C494/MAX(1,S493-A494+1),0),ROUND(-PMT(E494/12,MAX(1,S493-A494+1),C494),0))&gt;ROUND(G493*1.25,0),NOT(A494=入力!$B$15+1)),"・上限適用",""))</f>
        <v/>
      </c>
      <c r="Q494" s="35" t="str">
        <f>IF(AND(T493="",A494&lt;=S493),入力!$B$13,"")</f>
        <v/>
      </c>
      <c r="R494" s="32" t="str">
        <f>IF(AND(AND(T493="",A494&lt;=S493),OR(AND(入力!$B$13="有効",A494&gt;1,MOD(A494-1,60)=0),AND(A494=入力!$B$11,A494&gt;1)),入力!$B$14="有効"),ROUND(G493*1.25,0),"")</f>
        <v/>
      </c>
      <c r="S494" s="36">
        <f>IF(A494=入力!$B$15,A494+入力!$B$19,S493)</f>
        <v>360</v>
      </c>
      <c r="T494" s="35" t="str">
        <f t="shared" si="127"/>
        <v/>
      </c>
      <c r="U494" s="3">
        <f t="shared" si="112"/>
        <v>0</v>
      </c>
      <c r="V494" s="3">
        <f t="shared" si="113"/>
        <v>0</v>
      </c>
      <c r="W494" s="3">
        <f t="shared" si="114"/>
        <v>0</v>
      </c>
      <c r="X494" s="3">
        <f t="shared" si="115"/>
        <v>0</v>
      </c>
      <c r="Y494" s="3">
        <f>IF(A494&lt;入力!$B$15,ABS(G494-何もしない_月次!G494),0)</f>
        <v>0</v>
      </c>
      <c r="Z494" s="3">
        <f t="shared" si="116"/>
        <v>0</v>
      </c>
      <c r="AA494">
        <f>ROUND(IF(A494=入力!$B$15+1,IF(E494=0,ROUND(C494/入力!$B$19,0),ROUND(-PMT(E494/12,入力!$B$19,C494),0)),IF(OR(AND(入力!$B$13="有効",A494&gt;1,MOD(A494-1,60)=0),AND(A494=入力!$B$11,A494&gt;1)),IF(入力!$B$14="有効",MIN(IF(E494=0,ROUND(C494/MAX(1,S493-A494+1),0),ROUND(-PMT(E494/12,MAX(1,S493-A494+1),C494),0)),ROUND(G493*1.25,0)),IF(E494=0,ROUND(C494/MAX(1,S493-A494+1),0),ROUND(-PMT(E494/12,MAX(1,S493-A494+1),C494),0))),G493)),0)</f>
        <v>0</v>
      </c>
    </row>
    <row r="495" spans="1:27">
      <c r="A495" s="30">
        <f>490</f>
        <v>490</v>
      </c>
      <c r="B495" s="31">
        <f>EDATE(入力!$B$6,A495-1)</f>
        <v>61118</v>
      </c>
      <c r="C495" s="32">
        <f t="shared" si="117"/>
        <v>0</v>
      </c>
      <c r="D495" s="32">
        <f t="shared" si="118"/>
        <v>0</v>
      </c>
      <c r="E495" s="33">
        <f>IF(AND(T494="",A495&lt;=S494),IF(A495&lt;入力!$B$11,入力!$B$10,入力!$B$12),0)</f>
        <v>0</v>
      </c>
      <c r="F495" s="32">
        <f t="shared" si="119"/>
        <v>0</v>
      </c>
      <c r="G495" s="32">
        <f>ROUND(IF(NOT(AND(T494="",A495&lt;=S494)),0,IF(A495=入力!$B$15+1,IF(E495=0,ROUND(C495/入力!$B$19,0),ROUND(-PMT(E495/12,入力!$B$19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),0)</f>
        <v>0</v>
      </c>
      <c r="H495" s="32">
        <f t="shared" si="120"/>
        <v>0</v>
      </c>
      <c r="I495" s="32">
        <f t="shared" si="121"/>
        <v>0</v>
      </c>
      <c r="J495" s="32">
        <f t="shared" si="122"/>
        <v>0</v>
      </c>
      <c r="K495" s="32">
        <f t="shared" si="123"/>
        <v>0</v>
      </c>
      <c r="L495" s="32">
        <f t="shared" si="124"/>
        <v>0</v>
      </c>
      <c r="M495" s="32">
        <f>IF(AND(AND(T494="",A495&lt;=S494),A495=入力!$B$15),ROUND(MIN(入力!$B$16,MAX(0,C495-L495)),0),0)</f>
        <v>0</v>
      </c>
      <c r="N495" s="32">
        <f t="shared" si="125"/>
        <v>0</v>
      </c>
      <c r="O495" s="32">
        <f t="shared" si="126"/>
        <v>10751874</v>
      </c>
      <c r="P495" s="34" t="str">
        <f>IF(NOT(AND(T494="",A495&lt;=S494)),"",IF(A495=入力!$B$15+1,"繰上返済後再計算","")&amp;IF(AND(入力!$B$13="有効",A495&gt;1,MOD(A495-1,60)=0),IF(A495=入力!$B$15+1,"・","")&amp;"5年見直し","")&amp;IF(AND(A495=入力!$B$11,A495&gt;1),IF(OR(A495=入力!$B$15+1,AND(入力!$B$13="有効",A495&gt;1,MOD(A495-1,60)=0)),"・","")&amp;"金利変更","")&amp;IF(AND(OR(AND(入力!$B$13="有効",A495&gt;1,MOD(A495-1,60)=0),AND(A495=入力!$B$11,A495&gt;1)),入力!$B$14="有効",IF(E495=0,ROUND(C495/MAX(1,S494-A495+1),0),ROUND(-PMT(E495/12,MAX(1,S494-A495+1),C495),0))&gt;ROUND(G494*1.25,0),NOT(A495=入力!$B$15+1)),"・上限適用",""))</f>
        <v/>
      </c>
      <c r="Q495" s="35" t="str">
        <f>IF(AND(T494="",A495&lt;=S494),入力!$B$13,"")</f>
        <v/>
      </c>
      <c r="R495" s="32" t="str">
        <f>IF(AND(AND(T494="",A495&lt;=S494),OR(AND(入力!$B$13="有効",A495&gt;1,MOD(A495-1,60)=0),AND(A495=入力!$B$11,A495&gt;1)),入力!$B$14="有効"),ROUND(G494*1.25,0),"")</f>
        <v/>
      </c>
      <c r="S495" s="36">
        <f>IF(A495=入力!$B$15,A495+入力!$B$19,S494)</f>
        <v>360</v>
      </c>
      <c r="T495" s="35" t="str">
        <f t="shared" si="127"/>
        <v/>
      </c>
      <c r="U495" s="3">
        <f t="shared" si="112"/>
        <v>0</v>
      </c>
      <c r="V495" s="3">
        <f t="shared" si="113"/>
        <v>0</v>
      </c>
      <c r="W495" s="3">
        <f t="shared" si="114"/>
        <v>0</v>
      </c>
      <c r="X495" s="3">
        <f t="shared" si="115"/>
        <v>0</v>
      </c>
      <c r="Y495" s="3">
        <f>IF(A495&lt;入力!$B$15,ABS(G495-何もしない_月次!G495),0)</f>
        <v>0</v>
      </c>
      <c r="Z495" s="3">
        <f t="shared" si="116"/>
        <v>0</v>
      </c>
      <c r="AA495">
        <f>ROUND(IF(A495=入力!$B$15+1,IF(E495=0,ROUND(C495/入力!$B$19,0),ROUND(-PMT(E495/12,入力!$B$19,C495),0)),IF(OR(AND(入力!$B$13="有効",A495&gt;1,MOD(A495-1,60)=0),AND(A495=入力!$B$11,A495&gt;1)),IF(入力!$B$14="有効",MIN(IF(E495=0,ROUND(C495/MAX(1,S494-A495+1),0),ROUND(-PMT(E495/12,MAX(1,S494-A495+1),C495),0)),ROUND(G494*1.25,0)),IF(E495=0,ROUND(C495/MAX(1,S494-A495+1),0),ROUND(-PMT(E495/12,MAX(1,S494-A495+1),C495),0))),G494)),0)</f>
        <v>0</v>
      </c>
    </row>
    <row r="496" spans="1:27">
      <c r="A496" s="30">
        <f>491</f>
        <v>491</v>
      </c>
      <c r="B496" s="31">
        <f>EDATE(入力!$B$6,A496-1)</f>
        <v>61149</v>
      </c>
      <c r="C496" s="32">
        <f t="shared" si="117"/>
        <v>0</v>
      </c>
      <c r="D496" s="32">
        <f t="shared" si="118"/>
        <v>0</v>
      </c>
      <c r="E496" s="33">
        <f>IF(AND(T495="",A496&lt;=S495),IF(A496&lt;入力!$B$11,入力!$B$10,入力!$B$12),0)</f>
        <v>0</v>
      </c>
      <c r="F496" s="32">
        <f t="shared" si="119"/>
        <v>0</v>
      </c>
      <c r="G496" s="32">
        <f>ROUND(IF(NOT(AND(T495="",A496&lt;=S495)),0,IF(A496=入力!$B$15+1,IF(E496=0,ROUND(C496/入力!$B$19,0),ROUND(-PMT(E496/12,入力!$B$19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),0)</f>
        <v>0</v>
      </c>
      <c r="H496" s="32">
        <f t="shared" si="120"/>
        <v>0</v>
      </c>
      <c r="I496" s="32">
        <f t="shared" si="121"/>
        <v>0</v>
      </c>
      <c r="J496" s="32">
        <f t="shared" si="122"/>
        <v>0</v>
      </c>
      <c r="K496" s="32">
        <f t="shared" si="123"/>
        <v>0</v>
      </c>
      <c r="L496" s="32">
        <f t="shared" si="124"/>
        <v>0</v>
      </c>
      <c r="M496" s="32">
        <f>IF(AND(AND(T495="",A496&lt;=S495),A496=入力!$B$15),ROUND(MIN(入力!$B$16,MAX(0,C496-L496)),0),0)</f>
        <v>0</v>
      </c>
      <c r="N496" s="32">
        <f t="shared" si="125"/>
        <v>0</v>
      </c>
      <c r="O496" s="32">
        <f t="shared" si="126"/>
        <v>10751874</v>
      </c>
      <c r="P496" s="34" t="str">
        <f>IF(NOT(AND(T495="",A496&lt;=S495)),"",IF(A496=入力!$B$15+1,"繰上返済後再計算","")&amp;IF(AND(入力!$B$13="有効",A496&gt;1,MOD(A496-1,60)=0),IF(A496=入力!$B$15+1,"・","")&amp;"5年見直し","")&amp;IF(AND(A496=入力!$B$11,A496&gt;1),IF(OR(A496=入力!$B$15+1,AND(入力!$B$13="有効",A496&gt;1,MOD(A496-1,60)=0)),"・","")&amp;"金利変更","")&amp;IF(AND(OR(AND(入力!$B$13="有効",A496&gt;1,MOD(A496-1,60)=0),AND(A496=入力!$B$11,A496&gt;1)),入力!$B$14="有効",IF(E496=0,ROUND(C496/MAX(1,S495-A496+1),0),ROUND(-PMT(E496/12,MAX(1,S495-A496+1),C496),0))&gt;ROUND(G495*1.25,0),NOT(A496=入力!$B$15+1)),"・上限適用",""))</f>
        <v/>
      </c>
      <c r="Q496" s="35" t="str">
        <f>IF(AND(T495="",A496&lt;=S495),入力!$B$13,"")</f>
        <v/>
      </c>
      <c r="R496" s="32" t="str">
        <f>IF(AND(AND(T495="",A496&lt;=S495),OR(AND(入力!$B$13="有効",A496&gt;1,MOD(A496-1,60)=0),AND(A496=入力!$B$11,A496&gt;1)),入力!$B$14="有効"),ROUND(G495*1.25,0),"")</f>
        <v/>
      </c>
      <c r="S496" s="36">
        <f>IF(A496=入力!$B$15,A496+入力!$B$19,S495)</f>
        <v>360</v>
      </c>
      <c r="T496" s="35" t="str">
        <f t="shared" si="127"/>
        <v/>
      </c>
      <c r="U496" s="3">
        <f t="shared" si="112"/>
        <v>0</v>
      </c>
      <c r="V496" s="3">
        <f t="shared" si="113"/>
        <v>0</v>
      </c>
      <c r="W496" s="3">
        <f t="shared" si="114"/>
        <v>0</v>
      </c>
      <c r="X496" s="3">
        <f t="shared" si="115"/>
        <v>0</v>
      </c>
      <c r="Y496" s="3">
        <f>IF(A496&lt;入力!$B$15,ABS(G496-何もしない_月次!G496),0)</f>
        <v>0</v>
      </c>
      <c r="Z496" s="3">
        <f t="shared" si="116"/>
        <v>0</v>
      </c>
      <c r="AA496">
        <f>ROUND(IF(A496=入力!$B$15+1,IF(E496=0,ROUND(C496/入力!$B$19,0),ROUND(-PMT(E496/12,入力!$B$19,C496),0)),IF(OR(AND(入力!$B$13="有効",A496&gt;1,MOD(A496-1,60)=0),AND(A496=入力!$B$11,A496&gt;1)),IF(入力!$B$14="有効",MIN(IF(E496=0,ROUND(C496/MAX(1,S495-A496+1),0),ROUND(-PMT(E496/12,MAX(1,S495-A496+1),C496),0)),ROUND(G495*1.25,0)),IF(E496=0,ROUND(C496/MAX(1,S495-A496+1),0),ROUND(-PMT(E496/12,MAX(1,S495-A496+1),C496),0))),G495)),0)</f>
        <v>0</v>
      </c>
    </row>
    <row r="497" spans="1:27">
      <c r="A497" s="30">
        <f>492</f>
        <v>492</v>
      </c>
      <c r="B497" s="31">
        <f>EDATE(入力!$B$6,A497-1)</f>
        <v>61179</v>
      </c>
      <c r="C497" s="32">
        <f t="shared" si="117"/>
        <v>0</v>
      </c>
      <c r="D497" s="32">
        <f t="shared" si="118"/>
        <v>0</v>
      </c>
      <c r="E497" s="33">
        <f>IF(AND(T496="",A497&lt;=S496),IF(A497&lt;入力!$B$11,入力!$B$10,入力!$B$12),0)</f>
        <v>0</v>
      </c>
      <c r="F497" s="32">
        <f t="shared" si="119"/>
        <v>0</v>
      </c>
      <c r="G497" s="32">
        <f>ROUND(IF(NOT(AND(T496="",A497&lt;=S496)),0,IF(A497=入力!$B$15+1,IF(E497=0,ROUND(C497/入力!$B$19,0),ROUND(-PMT(E497/12,入力!$B$19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),0)</f>
        <v>0</v>
      </c>
      <c r="H497" s="32">
        <f t="shared" si="120"/>
        <v>0</v>
      </c>
      <c r="I497" s="32">
        <f t="shared" si="121"/>
        <v>0</v>
      </c>
      <c r="J497" s="32">
        <f t="shared" si="122"/>
        <v>0</v>
      </c>
      <c r="K497" s="32">
        <f t="shared" si="123"/>
        <v>0</v>
      </c>
      <c r="L497" s="32">
        <f t="shared" si="124"/>
        <v>0</v>
      </c>
      <c r="M497" s="32">
        <f>IF(AND(AND(T496="",A497&lt;=S496),A497=入力!$B$15),ROUND(MIN(入力!$B$16,MAX(0,C497-L497)),0),0)</f>
        <v>0</v>
      </c>
      <c r="N497" s="32">
        <f t="shared" si="125"/>
        <v>0</v>
      </c>
      <c r="O497" s="32">
        <f t="shared" si="126"/>
        <v>10751874</v>
      </c>
      <c r="P497" s="34" t="str">
        <f>IF(NOT(AND(T496="",A497&lt;=S496)),"",IF(A497=入力!$B$15+1,"繰上返済後再計算","")&amp;IF(AND(入力!$B$13="有効",A497&gt;1,MOD(A497-1,60)=0),IF(A497=入力!$B$15+1,"・","")&amp;"5年見直し","")&amp;IF(AND(A497=入力!$B$11,A497&gt;1),IF(OR(A497=入力!$B$15+1,AND(入力!$B$13="有効",A497&gt;1,MOD(A497-1,60)=0)),"・","")&amp;"金利変更","")&amp;IF(AND(OR(AND(入力!$B$13="有効",A497&gt;1,MOD(A497-1,60)=0),AND(A497=入力!$B$11,A497&gt;1)),入力!$B$14="有効",IF(E497=0,ROUND(C497/MAX(1,S496-A497+1),0),ROUND(-PMT(E497/12,MAX(1,S496-A497+1),C497),0))&gt;ROUND(G496*1.25,0),NOT(A497=入力!$B$15+1)),"・上限適用",""))</f>
        <v/>
      </c>
      <c r="Q497" s="35" t="str">
        <f>IF(AND(T496="",A497&lt;=S496),入力!$B$13,"")</f>
        <v/>
      </c>
      <c r="R497" s="32" t="str">
        <f>IF(AND(AND(T496="",A497&lt;=S496),OR(AND(入力!$B$13="有効",A497&gt;1,MOD(A497-1,60)=0),AND(A497=入力!$B$11,A497&gt;1)),入力!$B$14="有効"),ROUND(G496*1.25,0),"")</f>
        <v/>
      </c>
      <c r="S497" s="36">
        <f>IF(A497=入力!$B$15,A497+入力!$B$19,S496)</f>
        <v>360</v>
      </c>
      <c r="T497" s="35" t="str">
        <f t="shared" si="127"/>
        <v/>
      </c>
      <c r="U497" s="3">
        <f t="shared" si="112"/>
        <v>0</v>
      </c>
      <c r="V497" s="3">
        <f t="shared" si="113"/>
        <v>0</v>
      </c>
      <c r="W497" s="3">
        <f t="shared" si="114"/>
        <v>0</v>
      </c>
      <c r="X497" s="3">
        <f t="shared" si="115"/>
        <v>0</v>
      </c>
      <c r="Y497" s="3">
        <f>IF(A497&lt;入力!$B$15,ABS(G497-何もしない_月次!G497),0)</f>
        <v>0</v>
      </c>
      <c r="Z497" s="3">
        <f t="shared" si="116"/>
        <v>0</v>
      </c>
      <c r="AA497">
        <f>ROUND(IF(A497=入力!$B$15+1,IF(E497=0,ROUND(C497/入力!$B$19,0),ROUND(-PMT(E497/12,入力!$B$19,C497),0)),IF(OR(AND(入力!$B$13="有効",A497&gt;1,MOD(A497-1,60)=0),AND(A497=入力!$B$11,A497&gt;1)),IF(入力!$B$14="有効",MIN(IF(E497=0,ROUND(C497/MAX(1,S496-A497+1),0),ROUND(-PMT(E497/12,MAX(1,S496-A497+1),C497),0)),ROUND(G496*1.25,0)),IF(E497=0,ROUND(C497/MAX(1,S496-A497+1),0),ROUND(-PMT(E497/12,MAX(1,S496-A497+1),C497),0))),G496)),0)</f>
        <v>0</v>
      </c>
    </row>
    <row r="498" spans="1:27">
      <c r="A498" s="30">
        <f>493</f>
        <v>493</v>
      </c>
      <c r="B498" s="31">
        <f>EDATE(入力!$B$6,A498-1)</f>
        <v>61210</v>
      </c>
      <c r="C498" s="32">
        <f t="shared" si="117"/>
        <v>0</v>
      </c>
      <c r="D498" s="32">
        <f t="shared" si="118"/>
        <v>0</v>
      </c>
      <c r="E498" s="33">
        <f>IF(AND(T497="",A498&lt;=S497),IF(A498&lt;入力!$B$11,入力!$B$10,入力!$B$12),0)</f>
        <v>0</v>
      </c>
      <c r="F498" s="32">
        <f t="shared" si="119"/>
        <v>0</v>
      </c>
      <c r="G498" s="32">
        <f>ROUND(IF(NOT(AND(T497="",A498&lt;=S497)),0,IF(A498=入力!$B$15+1,IF(E498=0,ROUND(C498/入力!$B$19,0),ROUND(-PMT(E498/12,入力!$B$19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),0)</f>
        <v>0</v>
      </c>
      <c r="H498" s="32">
        <f t="shared" si="120"/>
        <v>0</v>
      </c>
      <c r="I498" s="32">
        <f t="shared" si="121"/>
        <v>0</v>
      </c>
      <c r="J498" s="32">
        <f t="shared" si="122"/>
        <v>0</v>
      </c>
      <c r="K498" s="32">
        <f t="shared" si="123"/>
        <v>0</v>
      </c>
      <c r="L498" s="32">
        <f t="shared" si="124"/>
        <v>0</v>
      </c>
      <c r="M498" s="32">
        <f>IF(AND(AND(T497="",A498&lt;=S497),A498=入力!$B$15),ROUND(MIN(入力!$B$16,MAX(0,C498-L498)),0),0)</f>
        <v>0</v>
      </c>
      <c r="N498" s="32">
        <f t="shared" si="125"/>
        <v>0</v>
      </c>
      <c r="O498" s="32">
        <f t="shared" si="126"/>
        <v>10751874</v>
      </c>
      <c r="P498" s="34" t="str">
        <f>IF(NOT(AND(T497="",A498&lt;=S497)),"",IF(A498=入力!$B$15+1,"繰上返済後再計算","")&amp;IF(AND(入力!$B$13="有効",A498&gt;1,MOD(A498-1,60)=0),IF(A498=入力!$B$15+1,"・","")&amp;"5年見直し","")&amp;IF(AND(A498=入力!$B$11,A498&gt;1),IF(OR(A498=入力!$B$15+1,AND(入力!$B$13="有効",A498&gt;1,MOD(A498-1,60)=0)),"・","")&amp;"金利変更","")&amp;IF(AND(OR(AND(入力!$B$13="有効",A498&gt;1,MOD(A498-1,60)=0),AND(A498=入力!$B$11,A498&gt;1)),入力!$B$14="有効",IF(E498=0,ROUND(C498/MAX(1,S497-A498+1),0),ROUND(-PMT(E498/12,MAX(1,S497-A498+1),C498),0))&gt;ROUND(G497*1.25,0),NOT(A498=入力!$B$15+1)),"・上限適用",""))</f>
        <v/>
      </c>
      <c r="Q498" s="35" t="str">
        <f>IF(AND(T497="",A498&lt;=S497),入力!$B$13,"")</f>
        <v/>
      </c>
      <c r="R498" s="32" t="str">
        <f>IF(AND(AND(T497="",A498&lt;=S497),OR(AND(入力!$B$13="有効",A498&gt;1,MOD(A498-1,60)=0),AND(A498=入力!$B$11,A498&gt;1)),入力!$B$14="有効"),ROUND(G497*1.25,0),"")</f>
        <v/>
      </c>
      <c r="S498" s="36">
        <f>IF(A498=入力!$B$15,A498+入力!$B$19,S497)</f>
        <v>360</v>
      </c>
      <c r="T498" s="35" t="str">
        <f t="shared" si="127"/>
        <v/>
      </c>
      <c r="U498" s="3">
        <f t="shared" si="112"/>
        <v>0</v>
      </c>
      <c r="V498" s="3">
        <f t="shared" si="113"/>
        <v>0</v>
      </c>
      <c r="W498" s="3">
        <f t="shared" si="114"/>
        <v>0</v>
      </c>
      <c r="X498" s="3">
        <f t="shared" si="115"/>
        <v>0</v>
      </c>
      <c r="Y498" s="3">
        <f>IF(A498&lt;入力!$B$15,ABS(G498-何もしない_月次!G498),0)</f>
        <v>0</v>
      </c>
      <c r="Z498" s="3">
        <f t="shared" si="116"/>
        <v>0</v>
      </c>
      <c r="AA498">
        <f>ROUND(IF(A498=入力!$B$15+1,IF(E498=0,ROUND(C498/入力!$B$19,0),ROUND(-PMT(E498/12,入力!$B$19,C498),0)),IF(OR(AND(入力!$B$13="有効",A498&gt;1,MOD(A498-1,60)=0),AND(A498=入力!$B$11,A498&gt;1)),IF(入力!$B$14="有効",MIN(IF(E498=0,ROUND(C498/MAX(1,S497-A498+1),0),ROUND(-PMT(E498/12,MAX(1,S497-A498+1),C498),0)),ROUND(G497*1.25,0)),IF(E498=0,ROUND(C498/MAX(1,S497-A498+1),0),ROUND(-PMT(E498/12,MAX(1,S497-A498+1),C498),0))),G497)),0)</f>
        <v>0</v>
      </c>
    </row>
    <row r="499" spans="1:27">
      <c r="A499" s="30">
        <f>494</f>
        <v>494</v>
      </c>
      <c r="B499" s="31">
        <f>EDATE(入力!$B$6,A499-1)</f>
        <v>61241</v>
      </c>
      <c r="C499" s="32">
        <f t="shared" si="117"/>
        <v>0</v>
      </c>
      <c r="D499" s="32">
        <f t="shared" si="118"/>
        <v>0</v>
      </c>
      <c r="E499" s="33">
        <f>IF(AND(T498="",A499&lt;=S498),IF(A499&lt;入力!$B$11,入力!$B$10,入力!$B$12),0)</f>
        <v>0</v>
      </c>
      <c r="F499" s="32">
        <f t="shared" si="119"/>
        <v>0</v>
      </c>
      <c r="G499" s="32">
        <f>ROUND(IF(NOT(AND(T498="",A499&lt;=S498)),0,IF(A499=入力!$B$15+1,IF(E499=0,ROUND(C499/入力!$B$19,0),ROUND(-PMT(E499/12,入力!$B$19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),0)</f>
        <v>0</v>
      </c>
      <c r="H499" s="32">
        <f t="shared" si="120"/>
        <v>0</v>
      </c>
      <c r="I499" s="32">
        <f t="shared" si="121"/>
        <v>0</v>
      </c>
      <c r="J499" s="32">
        <f t="shared" si="122"/>
        <v>0</v>
      </c>
      <c r="K499" s="32">
        <f t="shared" si="123"/>
        <v>0</v>
      </c>
      <c r="L499" s="32">
        <f t="shared" si="124"/>
        <v>0</v>
      </c>
      <c r="M499" s="32">
        <f>IF(AND(AND(T498="",A499&lt;=S498),A499=入力!$B$15),ROUND(MIN(入力!$B$16,MAX(0,C499-L499)),0),0)</f>
        <v>0</v>
      </c>
      <c r="N499" s="32">
        <f t="shared" si="125"/>
        <v>0</v>
      </c>
      <c r="O499" s="32">
        <f t="shared" si="126"/>
        <v>10751874</v>
      </c>
      <c r="P499" s="34" t="str">
        <f>IF(NOT(AND(T498="",A499&lt;=S498)),"",IF(A499=入力!$B$15+1,"繰上返済後再計算","")&amp;IF(AND(入力!$B$13="有効",A499&gt;1,MOD(A499-1,60)=0),IF(A499=入力!$B$15+1,"・","")&amp;"5年見直し","")&amp;IF(AND(A499=入力!$B$11,A499&gt;1),IF(OR(A499=入力!$B$15+1,AND(入力!$B$13="有効",A499&gt;1,MOD(A499-1,60)=0)),"・","")&amp;"金利変更","")&amp;IF(AND(OR(AND(入力!$B$13="有効",A499&gt;1,MOD(A499-1,60)=0),AND(A499=入力!$B$11,A499&gt;1)),入力!$B$14="有効",IF(E499=0,ROUND(C499/MAX(1,S498-A499+1),0),ROUND(-PMT(E499/12,MAX(1,S498-A499+1),C499),0))&gt;ROUND(G498*1.25,0),NOT(A499=入力!$B$15+1)),"・上限適用",""))</f>
        <v/>
      </c>
      <c r="Q499" s="35" t="str">
        <f>IF(AND(T498="",A499&lt;=S498),入力!$B$13,"")</f>
        <v/>
      </c>
      <c r="R499" s="32" t="str">
        <f>IF(AND(AND(T498="",A499&lt;=S498),OR(AND(入力!$B$13="有効",A499&gt;1,MOD(A499-1,60)=0),AND(A499=入力!$B$11,A499&gt;1)),入力!$B$14="有効"),ROUND(G498*1.25,0),"")</f>
        <v/>
      </c>
      <c r="S499" s="36">
        <f>IF(A499=入力!$B$15,A499+入力!$B$19,S498)</f>
        <v>360</v>
      </c>
      <c r="T499" s="35" t="str">
        <f t="shared" si="127"/>
        <v/>
      </c>
      <c r="U499" s="3">
        <f t="shared" si="112"/>
        <v>0</v>
      </c>
      <c r="V499" s="3">
        <f t="shared" si="113"/>
        <v>0</v>
      </c>
      <c r="W499" s="3">
        <f t="shared" si="114"/>
        <v>0</v>
      </c>
      <c r="X499" s="3">
        <f t="shared" si="115"/>
        <v>0</v>
      </c>
      <c r="Y499" s="3">
        <f>IF(A499&lt;入力!$B$15,ABS(G499-何もしない_月次!G499),0)</f>
        <v>0</v>
      </c>
      <c r="Z499" s="3">
        <f t="shared" si="116"/>
        <v>0</v>
      </c>
      <c r="AA499">
        <f>ROUND(IF(A499=入力!$B$15+1,IF(E499=0,ROUND(C499/入力!$B$19,0),ROUND(-PMT(E499/12,入力!$B$19,C499),0)),IF(OR(AND(入力!$B$13="有効",A499&gt;1,MOD(A499-1,60)=0),AND(A499=入力!$B$11,A499&gt;1)),IF(入力!$B$14="有効",MIN(IF(E499=0,ROUND(C499/MAX(1,S498-A499+1),0),ROUND(-PMT(E499/12,MAX(1,S498-A499+1),C499),0)),ROUND(G498*1.25,0)),IF(E499=0,ROUND(C499/MAX(1,S498-A499+1),0),ROUND(-PMT(E499/12,MAX(1,S498-A499+1),C499),0))),G498)),0)</f>
        <v>0</v>
      </c>
    </row>
    <row r="500" spans="1:27">
      <c r="A500" s="30">
        <f>495</f>
        <v>495</v>
      </c>
      <c r="B500" s="31">
        <f>EDATE(入力!$B$6,A500-1)</f>
        <v>61271</v>
      </c>
      <c r="C500" s="32">
        <f t="shared" si="117"/>
        <v>0</v>
      </c>
      <c r="D500" s="32">
        <f t="shared" si="118"/>
        <v>0</v>
      </c>
      <c r="E500" s="33">
        <f>IF(AND(T499="",A500&lt;=S499),IF(A500&lt;入力!$B$11,入力!$B$10,入力!$B$12),0)</f>
        <v>0</v>
      </c>
      <c r="F500" s="32">
        <f t="shared" si="119"/>
        <v>0</v>
      </c>
      <c r="G500" s="32">
        <f>ROUND(IF(NOT(AND(T499="",A500&lt;=S499)),0,IF(A500=入力!$B$15+1,IF(E500=0,ROUND(C500/入力!$B$19,0),ROUND(-PMT(E500/12,入力!$B$19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),0)</f>
        <v>0</v>
      </c>
      <c r="H500" s="32">
        <f t="shared" si="120"/>
        <v>0</v>
      </c>
      <c r="I500" s="32">
        <f t="shared" si="121"/>
        <v>0</v>
      </c>
      <c r="J500" s="32">
        <f t="shared" si="122"/>
        <v>0</v>
      </c>
      <c r="K500" s="32">
        <f t="shared" si="123"/>
        <v>0</v>
      </c>
      <c r="L500" s="32">
        <f t="shared" si="124"/>
        <v>0</v>
      </c>
      <c r="M500" s="32">
        <f>IF(AND(AND(T499="",A500&lt;=S499),A500=入力!$B$15),ROUND(MIN(入力!$B$16,MAX(0,C500-L500)),0),0)</f>
        <v>0</v>
      </c>
      <c r="N500" s="32">
        <f t="shared" si="125"/>
        <v>0</v>
      </c>
      <c r="O500" s="32">
        <f t="shared" si="126"/>
        <v>10751874</v>
      </c>
      <c r="P500" s="34" t="str">
        <f>IF(NOT(AND(T499="",A500&lt;=S499)),"",IF(A500=入力!$B$15+1,"繰上返済後再計算","")&amp;IF(AND(入力!$B$13="有効",A500&gt;1,MOD(A500-1,60)=0),IF(A500=入力!$B$15+1,"・","")&amp;"5年見直し","")&amp;IF(AND(A500=入力!$B$11,A500&gt;1),IF(OR(A500=入力!$B$15+1,AND(入力!$B$13="有効",A500&gt;1,MOD(A500-1,60)=0)),"・","")&amp;"金利変更","")&amp;IF(AND(OR(AND(入力!$B$13="有効",A500&gt;1,MOD(A500-1,60)=0),AND(A500=入力!$B$11,A500&gt;1)),入力!$B$14="有効",IF(E500=0,ROUND(C500/MAX(1,S499-A500+1),0),ROUND(-PMT(E500/12,MAX(1,S499-A500+1),C500),0))&gt;ROUND(G499*1.25,0),NOT(A500=入力!$B$15+1)),"・上限適用",""))</f>
        <v/>
      </c>
      <c r="Q500" s="35" t="str">
        <f>IF(AND(T499="",A500&lt;=S499),入力!$B$13,"")</f>
        <v/>
      </c>
      <c r="R500" s="32" t="str">
        <f>IF(AND(AND(T499="",A500&lt;=S499),OR(AND(入力!$B$13="有効",A500&gt;1,MOD(A500-1,60)=0),AND(A500=入力!$B$11,A500&gt;1)),入力!$B$14="有効"),ROUND(G499*1.25,0),"")</f>
        <v/>
      </c>
      <c r="S500" s="36">
        <f>IF(A500=入力!$B$15,A500+入力!$B$19,S499)</f>
        <v>360</v>
      </c>
      <c r="T500" s="35" t="str">
        <f t="shared" si="127"/>
        <v/>
      </c>
      <c r="U500" s="3">
        <f t="shared" si="112"/>
        <v>0</v>
      </c>
      <c r="V500" s="3">
        <f t="shared" si="113"/>
        <v>0</v>
      </c>
      <c r="W500" s="3">
        <f t="shared" si="114"/>
        <v>0</v>
      </c>
      <c r="X500" s="3">
        <f t="shared" si="115"/>
        <v>0</v>
      </c>
      <c r="Y500" s="3">
        <f>IF(A500&lt;入力!$B$15,ABS(G500-何もしない_月次!G500),0)</f>
        <v>0</v>
      </c>
      <c r="Z500" s="3">
        <f t="shared" si="116"/>
        <v>0</v>
      </c>
      <c r="AA500">
        <f>ROUND(IF(A500=入力!$B$15+1,IF(E500=0,ROUND(C500/入力!$B$19,0),ROUND(-PMT(E500/12,入力!$B$19,C500),0)),IF(OR(AND(入力!$B$13="有効",A500&gt;1,MOD(A500-1,60)=0),AND(A500=入力!$B$11,A500&gt;1)),IF(入力!$B$14="有効",MIN(IF(E500=0,ROUND(C500/MAX(1,S499-A500+1),0),ROUND(-PMT(E500/12,MAX(1,S499-A500+1),C500),0)),ROUND(G499*1.25,0)),IF(E500=0,ROUND(C500/MAX(1,S499-A500+1),0),ROUND(-PMT(E500/12,MAX(1,S499-A500+1),C500),0))),G499)),0)</f>
        <v>0</v>
      </c>
    </row>
    <row r="501" spans="1:27">
      <c r="A501" s="30">
        <f>496</f>
        <v>496</v>
      </c>
      <c r="B501" s="31">
        <f>EDATE(入力!$B$6,A501-1)</f>
        <v>61302</v>
      </c>
      <c r="C501" s="32">
        <f t="shared" si="117"/>
        <v>0</v>
      </c>
      <c r="D501" s="32">
        <f t="shared" si="118"/>
        <v>0</v>
      </c>
      <c r="E501" s="33">
        <f>IF(AND(T500="",A501&lt;=S500),IF(A501&lt;入力!$B$11,入力!$B$10,入力!$B$12),0)</f>
        <v>0</v>
      </c>
      <c r="F501" s="32">
        <f t="shared" si="119"/>
        <v>0</v>
      </c>
      <c r="G501" s="32">
        <f>ROUND(IF(NOT(AND(T500="",A501&lt;=S500)),0,IF(A501=入力!$B$15+1,IF(E501=0,ROUND(C501/入力!$B$19,0),ROUND(-PMT(E501/12,入力!$B$19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),0)</f>
        <v>0</v>
      </c>
      <c r="H501" s="32">
        <f t="shared" si="120"/>
        <v>0</v>
      </c>
      <c r="I501" s="32">
        <f t="shared" si="121"/>
        <v>0</v>
      </c>
      <c r="J501" s="32">
        <f t="shared" si="122"/>
        <v>0</v>
      </c>
      <c r="K501" s="32">
        <f t="shared" si="123"/>
        <v>0</v>
      </c>
      <c r="L501" s="32">
        <f t="shared" si="124"/>
        <v>0</v>
      </c>
      <c r="M501" s="32">
        <f>IF(AND(AND(T500="",A501&lt;=S500),A501=入力!$B$15),ROUND(MIN(入力!$B$16,MAX(0,C501-L501)),0),0)</f>
        <v>0</v>
      </c>
      <c r="N501" s="32">
        <f t="shared" si="125"/>
        <v>0</v>
      </c>
      <c r="O501" s="32">
        <f t="shared" si="126"/>
        <v>10751874</v>
      </c>
      <c r="P501" s="34" t="str">
        <f>IF(NOT(AND(T500="",A501&lt;=S500)),"",IF(A501=入力!$B$15+1,"繰上返済後再計算","")&amp;IF(AND(入力!$B$13="有効",A501&gt;1,MOD(A501-1,60)=0),IF(A501=入力!$B$15+1,"・","")&amp;"5年見直し","")&amp;IF(AND(A501=入力!$B$11,A501&gt;1),IF(OR(A501=入力!$B$15+1,AND(入力!$B$13="有効",A501&gt;1,MOD(A501-1,60)=0)),"・","")&amp;"金利変更","")&amp;IF(AND(OR(AND(入力!$B$13="有効",A501&gt;1,MOD(A501-1,60)=0),AND(A501=入力!$B$11,A501&gt;1)),入力!$B$14="有効",IF(E501=0,ROUND(C501/MAX(1,S500-A501+1),0),ROUND(-PMT(E501/12,MAX(1,S500-A501+1),C501),0))&gt;ROUND(G500*1.25,0),NOT(A501=入力!$B$15+1)),"・上限適用",""))</f>
        <v/>
      </c>
      <c r="Q501" s="35" t="str">
        <f>IF(AND(T500="",A501&lt;=S500),入力!$B$13,"")</f>
        <v/>
      </c>
      <c r="R501" s="32" t="str">
        <f>IF(AND(AND(T500="",A501&lt;=S500),OR(AND(入力!$B$13="有効",A501&gt;1,MOD(A501-1,60)=0),AND(A501=入力!$B$11,A501&gt;1)),入力!$B$14="有効"),ROUND(G500*1.25,0),"")</f>
        <v/>
      </c>
      <c r="S501" s="36">
        <f>IF(A501=入力!$B$15,A501+入力!$B$19,S500)</f>
        <v>360</v>
      </c>
      <c r="T501" s="35" t="str">
        <f t="shared" si="127"/>
        <v/>
      </c>
      <c r="U501" s="3">
        <f t="shared" si="112"/>
        <v>0</v>
      </c>
      <c r="V501" s="3">
        <f t="shared" si="113"/>
        <v>0</v>
      </c>
      <c r="W501" s="3">
        <f t="shared" si="114"/>
        <v>0</v>
      </c>
      <c r="X501" s="3">
        <f t="shared" si="115"/>
        <v>0</v>
      </c>
      <c r="Y501" s="3">
        <f>IF(A501&lt;入力!$B$15,ABS(G501-何もしない_月次!G501),0)</f>
        <v>0</v>
      </c>
      <c r="Z501" s="3">
        <f t="shared" si="116"/>
        <v>0</v>
      </c>
      <c r="AA501">
        <f>ROUND(IF(A501=入力!$B$15+1,IF(E501=0,ROUND(C501/入力!$B$19,0),ROUND(-PMT(E501/12,入力!$B$19,C501),0)),IF(OR(AND(入力!$B$13="有効",A501&gt;1,MOD(A501-1,60)=0),AND(A501=入力!$B$11,A501&gt;1)),IF(入力!$B$14="有効",MIN(IF(E501=0,ROUND(C501/MAX(1,S500-A501+1),0),ROUND(-PMT(E501/12,MAX(1,S500-A501+1),C501),0)),ROUND(G500*1.25,0)),IF(E501=0,ROUND(C501/MAX(1,S500-A501+1),0),ROUND(-PMT(E501/12,MAX(1,S500-A501+1),C501),0))),G500)),0)</f>
        <v>0</v>
      </c>
    </row>
    <row r="502" spans="1:27">
      <c r="A502" s="30">
        <f>497</f>
        <v>497</v>
      </c>
      <c r="B502" s="31">
        <f>EDATE(入力!$B$6,A502-1)</f>
        <v>61332</v>
      </c>
      <c r="C502" s="32">
        <f t="shared" si="117"/>
        <v>0</v>
      </c>
      <c r="D502" s="32">
        <f t="shared" si="118"/>
        <v>0</v>
      </c>
      <c r="E502" s="33">
        <f>IF(AND(T501="",A502&lt;=S501),IF(A502&lt;入力!$B$11,入力!$B$10,入力!$B$12),0)</f>
        <v>0</v>
      </c>
      <c r="F502" s="32">
        <f t="shared" si="119"/>
        <v>0</v>
      </c>
      <c r="G502" s="32">
        <f>ROUND(IF(NOT(AND(T501="",A502&lt;=S501)),0,IF(A502=入力!$B$15+1,IF(E502=0,ROUND(C502/入力!$B$19,0),ROUND(-PMT(E502/12,入力!$B$19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),0)</f>
        <v>0</v>
      </c>
      <c r="H502" s="32">
        <f t="shared" si="120"/>
        <v>0</v>
      </c>
      <c r="I502" s="32">
        <f t="shared" si="121"/>
        <v>0</v>
      </c>
      <c r="J502" s="32">
        <f t="shared" si="122"/>
        <v>0</v>
      </c>
      <c r="K502" s="32">
        <f t="shared" si="123"/>
        <v>0</v>
      </c>
      <c r="L502" s="32">
        <f t="shared" si="124"/>
        <v>0</v>
      </c>
      <c r="M502" s="32">
        <f>IF(AND(AND(T501="",A502&lt;=S501),A502=入力!$B$15),ROUND(MIN(入力!$B$16,MAX(0,C502-L502)),0),0)</f>
        <v>0</v>
      </c>
      <c r="N502" s="32">
        <f t="shared" si="125"/>
        <v>0</v>
      </c>
      <c r="O502" s="32">
        <f t="shared" si="126"/>
        <v>10751874</v>
      </c>
      <c r="P502" s="34" t="str">
        <f>IF(NOT(AND(T501="",A502&lt;=S501)),"",IF(A502=入力!$B$15+1,"繰上返済後再計算","")&amp;IF(AND(入力!$B$13="有効",A502&gt;1,MOD(A502-1,60)=0),IF(A502=入力!$B$15+1,"・","")&amp;"5年見直し","")&amp;IF(AND(A502=入力!$B$11,A502&gt;1),IF(OR(A502=入力!$B$15+1,AND(入力!$B$13="有効",A502&gt;1,MOD(A502-1,60)=0)),"・","")&amp;"金利変更","")&amp;IF(AND(OR(AND(入力!$B$13="有効",A502&gt;1,MOD(A502-1,60)=0),AND(A502=入力!$B$11,A502&gt;1)),入力!$B$14="有効",IF(E502=0,ROUND(C502/MAX(1,S501-A502+1),0),ROUND(-PMT(E502/12,MAX(1,S501-A502+1),C502),0))&gt;ROUND(G501*1.25,0),NOT(A502=入力!$B$15+1)),"・上限適用",""))</f>
        <v/>
      </c>
      <c r="Q502" s="35" t="str">
        <f>IF(AND(T501="",A502&lt;=S501),入力!$B$13,"")</f>
        <v/>
      </c>
      <c r="R502" s="32" t="str">
        <f>IF(AND(AND(T501="",A502&lt;=S501),OR(AND(入力!$B$13="有効",A502&gt;1,MOD(A502-1,60)=0),AND(A502=入力!$B$11,A502&gt;1)),入力!$B$14="有効"),ROUND(G501*1.25,0),"")</f>
        <v/>
      </c>
      <c r="S502" s="36">
        <f>IF(A502=入力!$B$15,A502+入力!$B$19,S501)</f>
        <v>360</v>
      </c>
      <c r="T502" s="35" t="str">
        <f t="shared" si="127"/>
        <v/>
      </c>
      <c r="U502" s="3">
        <f t="shared" si="112"/>
        <v>0</v>
      </c>
      <c r="V502" s="3">
        <f t="shared" si="113"/>
        <v>0</v>
      </c>
      <c r="W502" s="3">
        <f t="shared" si="114"/>
        <v>0</v>
      </c>
      <c r="X502" s="3">
        <f t="shared" si="115"/>
        <v>0</v>
      </c>
      <c r="Y502" s="3">
        <f>IF(A502&lt;入力!$B$15,ABS(G502-何もしない_月次!G502),0)</f>
        <v>0</v>
      </c>
      <c r="Z502" s="3">
        <f t="shared" si="116"/>
        <v>0</v>
      </c>
      <c r="AA502">
        <f>ROUND(IF(A502=入力!$B$15+1,IF(E502=0,ROUND(C502/入力!$B$19,0),ROUND(-PMT(E502/12,入力!$B$19,C502),0)),IF(OR(AND(入力!$B$13="有効",A502&gt;1,MOD(A502-1,60)=0),AND(A502=入力!$B$11,A502&gt;1)),IF(入力!$B$14="有効",MIN(IF(E502=0,ROUND(C502/MAX(1,S501-A502+1),0),ROUND(-PMT(E502/12,MAX(1,S501-A502+1),C502),0)),ROUND(G501*1.25,0)),IF(E502=0,ROUND(C502/MAX(1,S501-A502+1),0),ROUND(-PMT(E502/12,MAX(1,S501-A502+1),C502),0))),G501)),0)</f>
        <v>0</v>
      </c>
    </row>
    <row r="503" spans="1:27">
      <c r="A503" s="30">
        <f>498</f>
        <v>498</v>
      </c>
      <c r="B503" s="31">
        <f>EDATE(入力!$B$6,A503-1)</f>
        <v>61363</v>
      </c>
      <c r="C503" s="32">
        <f t="shared" si="117"/>
        <v>0</v>
      </c>
      <c r="D503" s="32">
        <f t="shared" si="118"/>
        <v>0</v>
      </c>
      <c r="E503" s="33">
        <f>IF(AND(T502="",A503&lt;=S502),IF(A503&lt;入力!$B$11,入力!$B$10,入力!$B$12),0)</f>
        <v>0</v>
      </c>
      <c r="F503" s="32">
        <f t="shared" si="119"/>
        <v>0</v>
      </c>
      <c r="G503" s="32">
        <f>ROUND(IF(NOT(AND(T502="",A503&lt;=S502)),0,IF(A503=入力!$B$15+1,IF(E503=0,ROUND(C503/入力!$B$19,0),ROUND(-PMT(E503/12,入力!$B$19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),0)</f>
        <v>0</v>
      </c>
      <c r="H503" s="32">
        <f t="shared" si="120"/>
        <v>0</v>
      </c>
      <c r="I503" s="32">
        <f t="shared" si="121"/>
        <v>0</v>
      </c>
      <c r="J503" s="32">
        <f t="shared" si="122"/>
        <v>0</v>
      </c>
      <c r="K503" s="32">
        <f t="shared" si="123"/>
        <v>0</v>
      </c>
      <c r="L503" s="32">
        <f t="shared" si="124"/>
        <v>0</v>
      </c>
      <c r="M503" s="32">
        <f>IF(AND(AND(T502="",A503&lt;=S502),A503=入力!$B$15),ROUND(MIN(入力!$B$16,MAX(0,C503-L503)),0),0)</f>
        <v>0</v>
      </c>
      <c r="N503" s="32">
        <f t="shared" si="125"/>
        <v>0</v>
      </c>
      <c r="O503" s="32">
        <f t="shared" si="126"/>
        <v>10751874</v>
      </c>
      <c r="P503" s="34" t="str">
        <f>IF(NOT(AND(T502="",A503&lt;=S502)),"",IF(A503=入力!$B$15+1,"繰上返済後再計算","")&amp;IF(AND(入力!$B$13="有効",A503&gt;1,MOD(A503-1,60)=0),IF(A503=入力!$B$15+1,"・","")&amp;"5年見直し","")&amp;IF(AND(A503=入力!$B$11,A503&gt;1),IF(OR(A503=入力!$B$15+1,AND(入力!$B$13="有効",A503&gt;1,MOD(A503-1,60)=0)),"・","")&amp;"金利変更","")&amp;IF(AND(OR(AND(入力!$B$13="有効",A503&gt;1,MOD(A503-1,60)=0),AND(A503=入力!$B$11,A503&gt;1)),入力!$B$14="有効",IF(E503=0,ROUND(C503/MAX(1,S502-A503+1),0),ROUND(-PMT(E503/12,MAX(1,S502-A503+1),C503),0))&gt;ROUND(G502*1.25,0),NOT(A503=入力!$B$15+1)),"・上限適用",""))</f>
        <v/>
      </c>
      <c r="Q503" s="35" t="str">
        <f>IF(AND(T502="",A503&lt;=S502),入力!$B$13,"")</f>
        <v/>
      </c>
      <c r="R503" s="32" t="str">
        <f>IF(AND(AND(T502="",A503&lt;=S502),OR(AND(入力!$B$13="有効",A503&gt;1,MOD(A503-1,60)=0),AND(A503=入力!$B$11,A503&gt;1)),入力!$B$14="有効"),ROUND(G502*1.25,0),"")</f>
        <v/>
      </c>
      <c r="S503" s="36">
        <f>IF(A503=入力!$B$15,A503+入力!$B$19,S502)</f>
        <v>360</v>
      </c>
      <c r="T503" s="35" t="str">
        <f t="shared" si="127"/>
        <v/>
      </c>
      <c r="U503" s="3">
        <f t="shared" si="112"/>
        <v>0</v>
      </c>
      <c r="V503" s="3">
        <f t="shared" si="113"/>
        <v>0</v>
      </c>
      <c r="W503" s="3">
        <f t="shared" si="114"/>
        <v>0</v>
      </c>
      <c r="X503" s="3">
        <f t="shared" si="115"/>
        <v>0</v>
      </c>
      <c r="Y503" s="3">
        <f>IF(A503&lt;入力!$B$15,ABS(G503-何もしない_月次!G503),0)</f>
        <v>0</v>
      </c>
      <c r="Z503" s="3">
        <f t="shared" si="116"/>
        <v>0</v>
      </c>
      <c r="AA503">
        <f>ROUND(IF(A503=入力!$B$15+1,IF(E503=0,ROUND(C503/入力!$B$19,0),ROUND(-PMT(E503/12,入力!$B$19,C503),0)),IF(OR(AND(入力!$B$13="有効",A503&gt;1,MOD(A503-1,60)=0),AND(A503=入力!$B$11,A503&gt;1)),IF(入力!$B$14="有効",MIN(IF(E503=0,ROUND(C503/MAX(1,S502-A503+1),0),ROUND(-PMT(E503/12,MAX(1,S502-A503+1),C503),0)),ROUND(G502*1.25,0)),IF(E503=0,ROUND(C503/MAX(1,S502-A503+1),0),ROUND(-PMT(E503/12,MAX(1,S502-A503+1),C503),0))),G502)),0)</f>
        <v>0</v>
      </c>
    </row>
    <row r="504" spans="1:27">
      <c r="A504" s="30">
        <f>499</f>
        <v>499</v>
      </c>
      <c r="B504" s="31">
        <f>EDATE(入力!$B$6,A504-1)</f>
        <v>61394</v>
      </c>
      <c r="C504" s="32">
        <f t="shared" si="117"/>
        <v>0</v>
      </c>
      <c r="D504" s="32">
        <f t="shared" si="118"/>
        <v>0</v>
      </c>
      <c r="E504" s="33">
        <f>IF(AND(T503="",A504&lt;=S503),IF(A504&lt;入力!$B$11,入力!$B$10,入力!$B$12),0)</f>
        <v>0</v>
      </c>
      <c r="F504" s="32">
        <f t="shared" si="119"/>
        <v>0</v>
      </c>
      <c r="G504" s="32">
        <f>ROUND(IF(NOT(AND(T503="",A504&lt;=S503)),0,IF(A504=入力!$B$15+1,IF(E504=0,ROUND(C504/入力!$B$19,0),ROUND(-PMT(E504/12,入力!$B$19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),0)</f>
        <v>0</v>
      </c>
      <c r="H504" s="32">
        <f t="shared" si="120"/>
        <v>0</v>
      </c>
      <c r="I504" s="32">
        <f t="shared" si="121"/>
        <v>0</v>
      </c>
      <c r="J504" s="32">
        <f t="shared" si="122"/>
        <v>0</v>
      </c>
      <c r="K504" s="32">
        <f t="shared" si="123"/>
        <v>0</v>
      </c>
      <c r="L504" s="32">
        <f t="shared" si="124"/>
        <v>0</v>
      </c>
      <c r="M504" s="32">
        <f>IF(AND(AND(T503="",A504&lt;=S503),A504=入力!$B$15),ROUND(MIN(入力!$B$16,MAX(0,C504-L504)),0),0)</f>
        <v>0</v>
      </c>
      <c r="N504" s="32">
        <f t="shared" si="125"/>
        <v>0</v>
      </c>
      <c r="O504" s="32">
        <f t="shared" si="126"/>
        <v>10751874</v>
      </c>
      <c r="P504" s="34" t="str">
        <f>IF(NOT(AND(T503="",A504&lt;=S503)),"",IF(A504=入力!$B$15+1,"繰上返済後再計算","")&amp;IF(AND(入力!$B$13="有効",A504&gt;1,MOD(A504-1,60)=0),IF(A504=入力!$B$15+1,"・","")&amp;"5年見直し","")&amp;IF(AND(A504=入力!$B$11,A504&gt;1),IF(OR(A504=入力!$B$15+1,AND(入力!$B$13="有効",A504&gt;1,MOD(A504-1,60)=0)),"・","")&amp;"金利変更","")&amp;IF(AND(OR(AND(入力!$B$13="有効",A504&gt;1,MOD(A504-1,60)=0),AND(A504=入力!$B$11,A504&gt;1)),入力!$B$14="有効",IF(E504=0,ROUND(C504/MAX(1,S503-A504+1),0),ROUND(-PMT(E504/12,MAX(1,S503-A504+1),C504),0))&gt;ROUND(G503*1.25,0),NOT(A504=入力!$B$15+1)),"・上限適用",""))</f>
        <v/>
      </c>
      <c r="Q504" s="35" t="str">
        <f>IF(AND(T503="",A504&lt;=S503),入力!$B$13,"")</f>
        <v/>
      </c>
      <c r="R504" s="32" t="str">
        <f>IF(AND(AND(T503="",A504&lt;=S503),OR(AND(入力!$B$13="有効",A504&gt;1,MOD(A504-1,60)=0),AND(A504=入力!$B$11,A504&gt;1)),入力!$B$14="有効"),ROUND(G503*1.25,0),"")</f>
        <v/>
      </c>
      <c r="S504" s="36">
        <f>IF(A504=入力!$B$15,A504+入力!$B$19,S503)</f>
        <v>360</v>
      </c>
      <c r="T504" s="35" t="str">
        <f t="shared" si="127"/>
        <v/>
      </c>
      <c r="U504" s="3">
        <f t="shared" si="112"/>
        <v>0</v>
      </c>
      <c r="V504" s="3">
        <f t="shared" si="113"/>
        <v>0</v>
      </c>
      <c r="W504" s="3">
        <f t="shared" si="114"/>
        <v>0</v>
      </c>
      <c r="X504" s="3">
        <f t="shared" si="115"/>
        <v>0</v>
      </c>
      <c r="Y504" s="3">
        <f>IF(A504&lt;入力!$B$15,ABS(G504-何もしない_月次!G504),0)</f>
        <v>0</v>
      </c>
      <c r="Z504" s="3">
        <f t="shared" si="116"/>
        <v>0</v>
      </c>
      <c r="AA504">
        <f>ROUND(IF(A504=入力!$B$15+1,IF(E504=0,ROUND(C504/入力!$B$19,0),ROUND(-PMT(E504/12,入力!$B$19,C504),0)),IF(OR(AND(入力!$B$13="有効",A504&gt;1,MOD(A504-1,60)=0),AND(A504=入力!$B$11,A504&gt;1)),IF(入力!$B$14="有効",MIN(IF(E504=0,ROUND(C504/MAX(1,S503-A504+1),0),ROUND(-PMT(E504/12,MAX(1,S503-A504+1),C504),0)),ROUND(G503*1.25,0)),IF(E504=0,ROUND(C504/MAX(1,S503-A504+1),0),ROUND(-PMT(E504/12,MAX(1,S503-A504+1),C504),0))),G503)),0)</f>
        <v>0</v>
      </c>
    </row>
    <row r="505" spans="1:27">
      <c r="A505" s="30">
        <f>500</f>
        <v>500</v>
      </c>
      <c r="B505" s="31">
        <f>EDATE(入力!$B$6,A505-1)</f>
        <v>61423</v>
      </c>
      <c r="C505" s="32">
        <f t="shared" si="117"/>
        <v>0</v>
      </c>
      <c r="D505" s="32">
        <f t="shared" si="118"/>
        <v>0</v>
      </c>
      <c r="E505" s="33">
        <f>IF(AND(T504="",A505&lt;=S504),IF(A505&lt;入力!$B$11,入力!$B$10,入力!$B$12),0)</f>
        <v>0</v>
      </c>
      <c r="F505" s="32">
        <f t="shared" si="119"/>
        <v>0</v>
      </c>
      <c r="G505" s="32">
        <f>ROUND(IF(NOT(AND(T504="",A505&lt;=S504)),0,IF(A505=入力!$B$15+1,IF(E505=0,ROUND(C505/入力!$B$19,0),ROUND(-PMT(E505/12,入力!$B$19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),0)</f>
        <v>0</v>
      </c>
      <c r="H505" s="32">
        <f t="shared" si="120"/>
        <v>0</v>
      </c>
      <c r="I505" s="32">
        <f t="shared" si="121"/>
        <v>0</v>
      </c>
      <c r="J505" s="32">
        <f t="shared" si="122"/>
        <v>0</v>
      </c>
      <c r="K505" s="32">
        <f t="shared" si="123"/>
        <v>0</v>
      </c>
      <c r="L505" s="32">
        <f t="shared" si="124"/>
        <v>0</v>
      </c>
      <c r="M505" s="32">
        <f>IF(AND(AND(T504="",A505&lt;=S504),A505=入力!$B$15),ROUND(MIN(入力!$B$16,MAX(0,C505-L505)),0),0)</f>
        <v>0</v>
      </c>
      <c r="N505" s="32">
        <f t="shared" si="125"/>
        <v>0</v>
      </c>
      <c r="O505" s="32">
        <f t="shared" si="126"/>
        <v>10751874</v>
      </c>
      <c r="P505" s="34" t="str">
        <f>IF(NOT(AND(T504="",A505&lt;=S504)),"",IF(A505=入力!$B$15+1,"繰上返済後再計算","")&amp;IF(AND(入力!$B$13="有効",A505&gt;1,MOD(A505-1,60)=0),IF(A505=入力!$B$15+1,"・","")&amp;"5年見直し","")&amp;IF(AND(A505=入力!$B$11,A505&gt;1),IF(OR(A505=入力!$B$15+1,AND(入力!$B$13="有効",A505&gt;1,MOD(A505-1,60)=0)),"・","")&amp;"金利変更","")&amp;IF(AND(OR(AND(入力!$B$13="有効",A505&gt;1,MOD(A505-1,60)=0),AND(A505=入力!$B$11,A505&gt;1)),入力!$B$14="有効",IF(E505=0,ROUND(C505/MAX(1,S504-A505+1),0),ROUND(-PMT(E505/12,MAX(1,S504-A505+1),C505),0))&gt;ROUND(G504*1.25,0),NOT(A505=入力!$B$15+1)),"・上限適用",""))</f>
        <v/>
      </c>
      <c r="Q505" s="35" t="str">
        <f>IF(AND(T504="",A505&lt;=S504),入力!$B$13,"")</f>
        <v/>
      </c>
      <c r="R505" s="32" t="str">
        <f>IF(AND(AND(T504="",A505&lt;=S504),OR(AND(入力!$B$13="有効",A505&gt;1,MOD(A505-1,60)=0),AND(A505=入力!$B$11,A505&gt;1)),入力!$B$14="有効"),ROUND(G504*1.25,0),"")</f>
        <v/>
      </c>
      <c r="S505" s="36">
        <f>IF(A505=入力!$B$15,A505+入力!$B$19,S504)</f>
        <v>360</v>
      </c>
      <c r="T505" s="35" t="str">
        <f t="shared" si="127"/>
        <v/>
      </c>
      <c r="U505" s="3">
        <f t="shared" si="112"/>
        <v>0</v>
      </c>
      <c r="V505" s="3">
        <f t="shared" si="113"/>
        <v>0</v>
      </c>
      <c r="W505" s="3">
        <f t="shared" si="114"/>
        <v>0</v>
      </c>
      <c r="X505" s="3">
        <f t="shared" si="115"/>
        <v>0</v>
      </c>
      <c r="Y505" s="3">
        <f>IF(A505&lt;入力!$B$15,ABS(G505-何もしない_月次!G505),0)</f>
        <v>0</v>
      </c>
      <c r="Z505" s="3">
        <f t="shared" si="116"/>
        <v>0</v>
      </c>
      <c r="AA505">
        <f>ROUND(IF(A505=入力!$B$15+1,IF(E505=0,ROUND(C505/入力!$B$19,0),ROUND(-PMT(E505/12,入力!$B$19,C505),0)),IF(OR(AND(入力!$B$13="有効",A505&gt;1,MOD(A505-1,60)=0),AND(A505=入力!$B$11,A505&gt;1)),IF(入力!$B$14="有効",MIN(IF(E505=0,ROUND(C505/MAX(1,S504-A505+1),0),ROUND(-PMT(E505/12,MAX(1,S504-A505+1),C505),0)),ROUND(G504*1.25,0)),IF(E505=0,ROUND(C505/MAX(1,S504-A505+1),0),ROUND(-PMT(E505/12,MAX(1,S504-A505+1),C505),0))),G504)),0)</f>
        <v>0</v>
      </c>
    </row>
    <row r="506" spans="1:27">
      <c r="A506" s="30">
        <f>501</f>
        <v>501</v>
      </c>
      <c r="B506" s="31">
        <f>EDATE(入力!$B$6,A506-1)</f>
        <v>61454</v>
      </c>
      <c r="C506" s="32">
        <f t="shared" si="117"/>
        <v>0</v>
      </c>
      <c r="D506" s="32">
        <f t="shared" si="118"/>
        <v>0</v>
      </c>
      <c r="E506" s="33">
        <f>IF(AND(T505="",A506&lt;=S505),IF(A506&lt;入力!$B$11,入力!$B$10,入力!$B$12),0)</f>
        <v>0</v>
      </c>
      <c r="F506" s="32">
        <f t="shared" si="119"/>
        <v>0</v>
      </c>
      <c r="G506" s="32">
        <f>ROUND(IF(NOT(AND(T505="",A506&lt;=S505)),0,IF(A506=入力!$B$15+1,IF(E506=0,ROUND(C506/入力!$B$19,0),ROUND(-PMT(E506/12,入力!$B$19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),0)</f>
        <v>0</v>
      </c>
      <c r="H506" s="32">
        <f t="shared" si="120"/>
        <v>0</v>
      </c>
      <c r="I506" s="32">
        <f t="shared" si="121"/>
        <v>0</v>
      </c>
      <c r="J506" s="32">
        <f t="shared" si="122"/>
        <v>0</v>
      </c>
      <c r="K506" s="32">
        <f t="shared" si="123"/>
        <v>0</v>
      </c>
      <c r="L506" s="32">
        <f t="shared" si="124"/>
        <v>0</v>
      </c>
      <c r="M506" s="32">
        <f>IF(AND(AND(T505="",A506&lt;=S505),A506=入力!$B$15),ROUND(MIN(入力!$B$16,MAX(0,C506-L506)),0),0)</f>
        <v>0</v>
      </c>
      <c r="N506" s="32">
        <f t="shared" si="125"/>
        <v>0</v>
      </c>
      <c r="O506" s="32">
        <f t="shared" si="126"/>
        <v>10751874</v>
      </c>
      <c r="P506" s="34" t="str">
        <f>IF(NOT(AND(T505="",A506&lt;=S505)),"",IF(A506=入力!$B$15+1,"繰上返済後再計算","")&amp;IF(AND(入力!$B$13="有効",A506&gt;1,MOD(A506-1,60)=0),IF(A506=入力!$B$15+1,"・","")&amp;"5年見直し","")&amp;IF(AND(A506=入力!$B$11,A506&gt;1),IF(OR(A506=入力!$B$15+1,AND(入力!$B$13="有効",A506&gt;1,MOD(A506-1,60)=0)),"・","")&amp;"金利変更","")&amp;IF(AND(OR(AND(入力!$B$13="有効",A506&gt;1,MOD(A506-1,60)=0),AND(A506=入力!$B$11,A506&gt;1)),入力!$B$14="有効",IF(E506=0,ROUND(C506/MAX(1,S505-A506+1),0),ROUND(-PMT(E506/12,MAX(1,S505-A506+1),C506),0))&gt;ROUND(G505*1.25,0),NOT(A506=入力!$B$15+1)),"・上限適用",""))</f>
        <v/>
      </c>
      <c r="Q506" s="35" t="str">
        <f>IF(AND(T505="",A506&lt;=S505),入力!$B$13,"")</f>
        <v/>
      </c>
      <c r="R506" s="32" t="str">
        <f>IF(AND(AND(T505="",A506&lt;=S505),OR(AND(入力!$B$13="有効",A506&gt;1,MOD(A506-1,60)=0),AND(A506=入力!$B$11,A506&gt;1)),入力!$B$14="有効"),ROUND(G505*1.25,0),"")</f>
        <v/>
      </c>
      <c r="S506" s="36">
        <f>IF(A506=入力!$B$15,A506+入力!$B$19,S505)</f>
        <v>360</v>
      </c>
      <c r="T506" s="35" t="str">
        <f t="shared" si="127"/>
        <v/>
      </c>
      <c r="U506" s="3">
        <f t="shared" si="112"/>
        <v>0</v>
      </c>
      <c r="V506" s="3">
        <f t="shared" si="113"/>
        <v>0</v>
      </c>
      <c r="W506" s="3">
        <f t="shared" si="114"/>
        <v>0</v>
      </c>
      <c r="X506" s="3">
        <f t="shared" si="115"/>
        <v>0</v>
      </c>
      <c r="Y506" s="3">
        <f>IF(A506&lt;入力!$B$15,ABS(G506-何もしない_月次!G506),0)</f>
        <v>0</v>
      </c>
      <c r="Z506" s="3">
        <f t="shared" si="116"/>
        <v>0</v>
      </c>
      <c r="AA506">
        <f>ROUND(IF(A506=入力!$B$15+1,IF(E506=0,ROUND(C506/入力!$B$19,0),ROUND(-PMT(E506/12,入力!$B$19,C506),0)),IF(OR(AND(入力!$B$13="有効",A506&gt;1,MOD(A506-1,60)=0),AND(A506=入力!$B$11,A506&gt;1)),IF(入力!$B$14="有効",MIN(IF(E506=0,ROUND(C506/MAX(1,S505-A506+1),0),ROUND(-PMT(E506/12,MAX(1,S505-A506+1),C506),0)),ROUND(G505*1.25,0)),IF(E506=0,ROUND(C506/MAX(1,S505-A506+1),0),ROUND(-PMT(E506/12,MAX(1,S505-A506+1),C506),0))),G505)),0)</f>
        <v>0</v>
      </c>
    </row>
    <row r="507" spans="1:27">
      <c r="A507" s="30">
        <f>502</f>
        <v>502</v>
      </c>
      <c r="B507" s="31">
        <f>EDATE(入力!$B$6,A507-1)</f>
        <v>61484</v>
      </c>
      <c r="C507" s="32">
        <f t="shared" si="117"/>
        <v>0</v>
      </c>
      <c r="D507" s="32">
        <f t="shared" si="118"/>
        <v>0</v>
      </c>
      <c r="E507" s="33">
        <f>IF(AND(T506="",A507&lt;=S506),IF(A507&lt;入力!$B$11,入力!$B$10,入力!$B$12),0)</f>
        <v>0</v>
      </c>
      <c r="F507" s="32">
        <f t="shared" si="119"/>
        <v>0</v>
      </c>
      <c r="G507" s="32">
        <f>ROUND(IF(NOT(AND(T506="",A507&lt;=S506)),0,IF(A507=入力!$B$15+1,IF(E507=0,ROUND(C507/入力!$B$19,0),ROUND(-PMT(E507/12,入力!$B$19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),0)</f>
        <v>0</v>
      </c>
      <c r="H507" s="32">
        <f t="shared" si="120"/>
        <v>0</v>
      </c>
      <c r="I507" s="32">
        <f t="shared" si="121"/>
        <v>0</v>
      </c>
      <c r="J507" s="32">
        <f t="shared" si="122"/>
        <v>0</v>
      </c>
      <c r="K507" s="32">
        <f t="shared" si="123"/>
        <v>0</v>
      </c>
      <c r="L507" s="32">
        <f t="shared" si="124"/>
        <v>0</v>
      </c>
      <c r="M507" s="32">
        <f>IF(AND(AND(T506="",A507&lt;=S506),A507=入力!$B$15),ROUND(MIN(入力!$B$16,MAX(0,C507-L507)),0),0)</f>
        <v>0</v>
      </c>
      <c r="N507" s="32">
        <f t="shared" si="125"/>
        <v>0</v>
      </c>
      <c r="O507" s="32">
        <f t="shared" si="126"/>
        <v>10751874</v>
      </c>
      <c r="P507" s="34" t="str">
        <f>IF(NOT(AND(T506="",A507&lt;=S506)),"",IF(A507=入力!$B$15+1,"繰上返済後再計算","")&amp;IF(AND(入力!$B$13="有効",A507&gt;1,MOD(A507-1,60)=0),IF(A507=入力!$B$15+1,"・","")&amp;"5年見直し","")&amp;IF(AND(A507=入力!$B$11,A507&gt;1),IF(OR(A507=入力!$B$15+1,AND(入力!$B$13="有効",A507&gt;1,MOD(A507-1,60)=0)),"・","")&amp;"金利変更","")&amp;IF(AND(OR(AND(入力!$B$13="有効",A507&gt;1,MOD(A507-1,60)=0),AND(A507=入力!$B$11,A507&gt;1)),入力!$B$14="有効",IF(E507=0,ROUND(C507/MAX(1,S506-A507+1),0),ROUND(-PMT(E507/12,MAX(1,S506-A507+1),C507),0))&gt;ROUND(G506*1.25,0),NOT(A507=入力!$B$15+1)),"・上限適用",""))</f>
        <v/>
      </c>
      <c r="Q507" s="35" t="str">
        <f>IF(AND(T506="",A507&lt;=S506),入力!$B$13,"")</f>
        <v/>
      </c>
      <c r="R507" s="32" t="str">
        <f>IF(AND(AND(T506="",A507&lt;=S506),OR(AND(入力!$B$13="有効",A507&gt;1,MOD(A507-1,60)=0),AND(A507=入力!$B$11,A507&gt;1)),入力!$B$14="有効"),ROUND(G506*1.25,0),"")</f>
        <v/>
      </c>
      <c r="S507" s="36">
        <f>IF(A507=入力!$B$15,A507+入力!$B$19,S506)</f>
        <v>360</v>
      </c>
      <c r="T507" s="35" t="str">
        <f t="shared" si="127"/>
        <v/>
      </c>
      <c r="U507" s="3">
        <f t="shared" si="112"/>
        <v>0</v>
      </c>
      <c r="V507" s="3">
        <f t="shared" si="113"/>
        <v>0</v>
      </c>
      <c r="W507" s="3">
        <f t="shared" si="114"/>
        <v>0</v>
      </c>
      <c r="X507" s="3">
        <f t="shared" si="115"/>
        <v>0</v>
      </c>
      <c r="Y507" s="3">
        <f>IF(A507&lt;入力!$B$15,ABS(G507-何もしない_月次!G507),0)</f>
        <v>0</v>
      </c>
      <c r="Z507" s="3">
        <f t="shared" si="116"/>
        <v>0</v>
      </c>
      <c r="AA507">
        <f>ROUND(IF(A507=入力!$B$15+1,IF(E507=0,ROUND(C507/入力!$B$19,0),ROUND(-PMT(E507/12,入力!$B$19,C507),0)),IF(OR(AND(入力!$B$13="有効",A507&gt;1,MOD(A507-1,60)=0),AND(A507=入力!$B$11,A507&gt;1)),IF(入力!$B$14="有効",MIN(IF(E507=0,ROUND(C507/MAX(1,S506-A507+1),0),ROUND(-PMT(E507/12,MAX(1,S506-A507+1),C507),0)),ROUND(G506*1.25,0)),IF(E507=0,ROUND(C507/MAX(1,S506-A507+1),0),ROUND(-PMT(E507/12,MAX(1,S506-A507+1),C507),0))),G506)),0)</f>
        <v>0</v>
      </c>
    </row>
    <row r="508" spans="1:27">
      <c r="A508" s="30">
        <f>503</f>
        <v>503</v>
      </c>
      <c r="B508" s="31">
        <f>EDATE(入力!$B$6,A508-1)</f>
        <v>61515</v>
      </c>
      <c r="C508" s="32">
        <f t="shared" si="117"/>
        <v>0</v>
      </c>
      <c r="D508" s="32">
        <f t="shared" si="118"/>
        <v>0</v>
      </c>
      <c r="E508" s="33">
        <f>IF(AND(T507="",A508&lt;=S507),IF(A508&lt;入力!$B$11,入力!$B$10,入力!$B$12),0)</f>
        <v>0</v>
      </c>
      <c r="F508" s="32">
        <f t="shared" si="119"/>
        <v>0</v>
      </c>
      <c r="G508" s="32">
        <f>ROUND(IF(NOT(AND(T507="",A508&lt;=S507)),0,IF(A508=入力!$B$15+1,IF(E508=0,ROUND(C508/入力!$B$19,0),ROUND(-PMT(E508/12,入力!$B$19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),0)</f>
        <v>0</v>
      </c>
      <c r="H508" s="32">
        <f t="shared" si="120"/>
        <v>0</v>
      </c>
      <c r="I508" s="32">
        <f t="shared" si="121"/>
        <v>0</v>
      </c>
      <c r="J508" s="32">
        <f t="shared" si="122"/>
        <v>0</v>
      </c>
      <c r="K508" s="32">
        <f t="shared" si="123"/>
        <v>0</v>
      </c>
      <c r="L508" s="32">
        <f t="shared" si="124"/>
        <v>0</v>
      </c>
      <c r="M508" s="32">
        <f>IF(AND(AND(T507="",A508&lt;=S507),A508=入力!$B$15),ROUND(MIN(入力!$B$16,MAX(0,C508-L508)),0),0)</f>
        <v>0</v>
      </c>
      <c r="N508" s="32">
        <f t="shared" si="125"/>
        <v>0</v>
      </c>
      <c r="O508" s="32">
        <f t="shared" si="126"/>
        <v>10751874</v>
      </c>
      <c r="P508" s="34" t="str">
        <f>IF(NOT(AND(T507="",A508&lt;=S507)),"",IF(A508=入力!$B$15+1,"繰上返済後再計算","")&amp;IF(AND(入力!$B$13="有効",A508&gt;1,MOD(A508-1,60)=0),IF(A508=入力!$B$15+1,"・","")&amp;"5年見直し","")&amp;IF(AND(A508=入力!$B$11,A508&gt;1),IF(OR(A508=入力!$B$15+1,AND(入力!$B$13="有効",A508&gt;1,MOD(A508-1,60)=0)),"・","")&amp;"金利変更","")&amp;IF(AND(OR(AND(入力!$B$13="有効",A508&gt;1,MOD(A508-1,60)=0),AND(A508=入力!$B$11,A508&gt;1)),入力!$B$14="有効",IF(E508=0,ROUND(C508/MAX(1,S507-A508+1),0),ROUND(-PMT(E508/12,MAX(1,S507-A508+1),C508),0))&gt;ROUND(G507*1.25,0),NOT(A508=入力!$B$15+1)),"・上限適用",""))</f>
        <v/>
      </c>
      <c r="Q508" s="35" t="str">
        <f>IF(AND(T507="",A508&lt;=S507),入力!$B$13,"")</f>
        <v/>
      </c>
      <c r="R508" s="32" t="str">
        <f>IF(AND(AND(T507="",A508&lt;=S507),OR(AND(入力!$B$13="有効",A508&gt;1,MOD(A508-1,60)=0),AND(A508=入力!$B$11,A508&gt;1)),入力!$B$14="有効"),ROUND(G507*1.25,0),"")</f>
        <v/>
      </c>
      <c r="S508" s="36">
        <f>IF(A508=入力!$B$15,A508+入力!$B$19,S507)</f>
        <v>360</v>
      </c>
      <c r="T508" s="35" t="str">
        <f t="shared" si="127"/>
        <v/>
      </c>
      <c r="U508" s="3">
        <f t="shared" si="112"/>
        <v>0</v>
      </c>
      <c r="V508" s="3">
        <f t="shared" si="113"/>
        <v>0</v>
      </c>
      <c r="W508" s="3">
        <f t="shared" si="114"/>
        <v>0</v>
      </c>
      <c r="X508" s="3">
        <f t="shared" si="115"/>
        <v>0</v>
      </c>
      <c r="Y508" s="3">
        <f>IF(A508&lt;入力!$B$15,ABS(G508-何もしない_月次!G508),0)</f>
        <v>0</v>
      </c>
      <c r="Z508" s="3">
        <f t="shared" si="116"/>
        <v>0</v>
      </c>
      <c r="AA508">
        <f>ROUND(IF(A508=入力!$B$15+1,IF(E508=0,ROUND(C508/入力!$B$19,0),ROUND(-PMT(E508/12,入力!$B$19,C508),0)),IF(OR(AND(入力!$B$13="有効",A508&gt;1,MOD(A508-1,60)=0),AND(A508=入力!$B$11,A508&gt;1)),IF(入力!$B$14="有効",MIN(IF(E508=0,ROUND(C508/MAX(1,S507-A508+1),0),ROUND(-PMT(E508/12,MAX(1,S507-A508+1),C508),0)),ROUND(G507*1.25,0)),IF(E508=0,ROUND(C508/MAX(1,S507-A508+1),0),ROUND(-PMT(E508/12,MAX(1,S507-A508+1),C508),0))),G507)),0)</f>
        <v>0</v>
      </c>
    </row>
    <row r="509" spans="1:27">
      <c r="A509" s="30">
        <f>504</f>
        <v>504</v>
      </c>
      <c r="B509" s="31">
        <f>EDATE(入力!$B$6,A509-1)</f>
        <v>61545</v>
      </c>
      <c r="C509" s="32">
        <f t="shared" si="117"/>
        <v>0</v>
      </c>
      <c r="D509" s="32">
        <f t="shared" si="118"/>
        <v>0</v>
      </c>
      <c r="E509" s="33">
        <f>IF(AND(T508="",A509&lt;=S508),IF(A509&lt;入力!$B$11,入力!$B$10,入力!$B$12),0)</f>
        <v>0</v>
      </c>
      <c r="F509" s="32">
        <f t="shared" si="119"/>
        <v>0</v>
      </c>
      <c r="G509" s="32">
        <f>ROUND(IF(NOT(AND(T508="",A509&lt;=S508)),0,IF(A509=入力!$B$15+1,IF(E509=0,ROUND(C509/入力!$B$19,0),ROUND(-PMT(E509/12,入力!$B$19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),0)</f>
        <v>0</v>
      </c>
      <c r="H509" s="32">
        <f t="shared" si="120"/>
        <v>0</v>
      </c>
      <c r="I509" s="32">
        <f t="shared" si="121"/>
        <v>0</v>
      </c>
      <c r="J509" s="32">
        <f t="shared" si="122"/>
        <v>0</v>
      </c>
      <c r="K509" s="32">
        <f t="shared" si="123"/>
        <v>0</v>
      </c>
      <c r="L509" s="32">
        <f t="shared" si="124"/>
        <v>0</v>
      </c>
      <c r="M509" s="32">
        <f>IF(AND(AND(T508="",A509&lt;=S508),A509=入力!$B$15),ROUND(MIN(入力!$B$16,MAX(0,C509-L509)),0),0)</f>
        <v>0</v>
      </c>
      <c r="N509" s="32">
        <f t="shared" si="125"/>
        <v>0</v>
      </c>
      <c r="O509" s="32">
        <f t="shared" si="126"/>
        <v>10751874</v>
      </c>
      <c r="P509" s="34" t="str">
        <f>IF(NOT(AND(T508="",A509&lt;=S508)),"",IF(A509=入力!$B$15+1,"繰上返済後再計算","")&amp;IF(AND(入力!$B$13="有効",A509&gt;1,MOD(A509-1,60)=0),IF(A509=入力!$B$15+1,"・","")&amp;"5年見直し","")&amp;IF(AND(A509=入力!$B$11,A509&gt;1),IF(OR(A509=入力!$B$15+1,AND(入力!$B$13="有効",A509&gt;1,MOD(A509-1,60)=0)),"・","")&amp;"金利変更","")&amp;IF(AND(OR(AND(入力!$B$13="有効",A509&gt;1,MOD(A509-1,60)=0),AND(A509=入力!$B$11,A509&gt;1)),入力!$B$14="有効",IF(E509=0,ROUND(C509/MAX(1,S508-A509+1),0),ROUND(-PMT(E509/12,MAX(1,S508-A509+1),C509),0))&gt;ROUND(G508*1.25,0),NOT(A509=入力!$B$15+1)),"・上限適用",""))</f>
        <v/>
      </c>
      <c r="Q509" s="35" t="str">
        <f>IF(AND(T508="",A509&lt;=S508),入力!$B$13,"")</f>
        <v/>
      </c>
      <c r="R509" s="32" t="str">
        <f>IF(AND(AND(T508="",A509&lt;=S508),OR(AND(入力!$B$13="有効",A509&gt;1,MOD(A509-1,60)=0),AND(A509=入力!$B$11,A509&gt;1)),入力!$B$14="有効"),ROUND(G508*1.25,0),"")</f>
        <v/>
      </c>
      <c r="S509" s="36">
        <f>IF(A509=入力!$B$15,A509+入力!$B$19,S508)</f>
        <v>360</v>
      </c>
      <c r="T509" s="35" t="str">
        <f t="shared" si="127"/>
        <v/>
      </c>
      <c r="U509" s="3">
        <f t="shared" si="112"/>
        <v>0</v>
      </c>
      <c r="V509" s="3">
        <f t="shared" si="113"/>
        <v>0</v>
      </c>
      <c r="W509" s="3">
        <f t="shared" si="114"/>
        <v>0</v>
      </c>
      <c r="X509" s="3">
        <f t="shared" si="115"/>
        <v>0</v>
      </c>
      <c r="Y509" s="3">
        <f>IF(A509&lt;入力!$B$15,ABS(G509-何もしない_月次!G509),0)</f>
        <v>0</v>
      </c>
      <c r="Z509" s="3">
        <f t="shared" si="116"/>
        <v>0</v>
      </c>
      <c r="AA509">
        <f>ROUND(IF(A509=入力!$B$15+1,IF(E509=0,ROUND(C509/入力!$B$19,0),ROUND(-PMT(E509/12,入力!$B$19,C509),0)),IF(OR(AND(入力!$B$13="有効",A509&gt;1,MOD(A509-1,60)=0),AND(A509=入力!$B$11,A509&gt;1)),IF(入力!$B$14="有効",MIN(IF(E509=0,ROUND(C509/MAX(1,S508-A509+1),0),ROUND(-PMT(E509/12,MAX(1,S508-A509+1),C509),0)),ROUND(G508*1.25,0)),IF(E509=0,ROUND(C509/MAX(1,S508-A509+1),0),ROUND(-PMT(E509/12,MAX(1,S508-A509+1),C509),0))),G508)),0)</f>
        <v>0</v>
      </c>
    </row>
    <row r="510" spans="1:27">
      <c r="A510" s="30">
        <f>505</f>
        <v>505</v>
      </c>
      <c r="B510" s="31">
        <f>EDATE(入力!$B$6,A510-1)</f>
        <v>61576</v>
      </c>
      <c r="C510" s="32">
        <f t="shared" si="117"/>
        <v>0</v>
      </c>
      <c r="D510" s="32">
        <f t="shared" si="118"/>
        <v>0</v>
      </c>
      <c r="E510" s="33">
        <f>IF(AND(T509="",A510&lt;=S509),IF(A510&lt;入力!$B$11,入力!$B$10,入力!$B$12),0)</f>
        <v>0</v>
      </c>
      <c r="F510" s="32">
        <f t="shared" si="119"/>
        <v>0</v>
      </c>
      <c r="G510" s="32">
        <f>ROUND(IF(NOT(AND(T509="",A510&lt;=S509)),0,IF(A510=入力!$B$15+1,IF(E510=0,ROUND(C510/入力!$B$19,0),ROUND(-PMT(E510/12,入力!$B$19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),0)</f>
        <v>0</v>
      </c>
      <c r="H510" s="32">
        <f t="shared" si="120"/>
        <v>0</v>
      </c>
      <c r="I510" s="32">
        <f t="shared" si="121"/>
        <v>0</v>
      </c>
      <c r="J510" s="32">
        <f t="shared" si="122"/>
        <v>0</v>
      </c>
      <c r="K510" s="32">
        <f t="shared" si="123"/>
        <v>0</v>
      </c>
      <c r="L510" s="32">
        <f t="shared" si="124"/>
        <v>0</v>
      </c>
      <c r="M510" s="32">
        <f>IF(AND(AND(T509="",A510&lt;=S509),A510=入力!$B$15),ROUND(MIN(入力!$B$16,MAX(0,C510-L510)),0),0)</f>
        <v>0</v>
      </c>
      <c r="N510" s="32">
        <f t="shared" si="125"/>
        <v>0</v>
      </c>
      <c r="O510" s="32">
        <f t="shared" si="126"/>
        <v>10751874</v>
      </c>
      <c r="P510" s="34" t="str">
        <f>IF(NOT(AND(T509="",A510&lt;=S509)),"",IF(A510=入力!$B$15+1,"繰上返済後再計算","")&amp;IF(AND(入力!$B$13="有効",A510&gt;1,MOD(A510-1,60)=0),IF(A510=入力!$B$15+1,"・","")&amp;"5年見直し","")&amp;IF(AND(A510=入力!$B$11,A510&gt;1),IF(OR(A510=入力!$B$15+1,AND(入力!$B$13="有効",A510&gt;1,MOD(A510-1,60)=0)),"・","")&amp;"金利変更","")&amp;IF(AND(OR(AND(入力!$B$13="有効",A510&gt;1,MOD(A510-1,60)=0),AND(A510=入力!$B$11,A510&gt;1)),入力!$B$14="有効",IF(E510=0,ROUND(C510/MAX(1,S509-A510+1),0),ROUND(-PMT(E510/12,MAX(1,S509-A510+1),C510),0))&gt;ROUND(G509*1.25,0),NOT(A510=入力!$B$15+1)),"・上限適用",""))</f>
        <v/>
      </c>
      <c r="Q510" s="35" t="str">
        <f>IF(AND(T509="",A510&lt;=S509),入力!$B$13,"")</f>
        <v/>
      </c>
      <c r="R510" s="32" t="str">
        <f>IF(AND(AND(T509="",A510&lt;=S509),OR(AND(入力!$B$13="有効",A510&gt;1,MOD(A510-1,60)=0),AND(A510=入力!$B$11,A510&gt;1)),入力!$B$14="有効"),ROUND(G509*1.25,0),"")</f>
        <v/>
      </c>
      <c r="S510" s="36">
        <f>IF(A510=入力!$B$15,A510+入力!$B$19,S509)</f>
        <v>360</v>
      </c>
      <c r="T510" s="35" t="str">
        <f t="shared" si="127"/>
        <v/>
      </c>
      <c r="U510" s="3">
        <f t="shared" si="112"/>
        <v>0</v>
      </c>
      <c r="V510" s="3">
        <f t="shared" si="113"/>
        <v>0</v>
      </c>
      <c r="W510" s="3">
        <f t="shared" si="114"/>
        <v>0</v>
      </c>
      <c r="X510" s="3">
        <f t="shared" si="115"/>
        <v>0</v>
      </c>
      <c r="Y510" s="3">
        <f>IF(A510&lt;入力!$B$15,ABS(G510-何もしない_月次!G510),0)</f>
        <v>0</v>
      </c>
      <c r="Z510" s="3">
        <f t="shared" si="116"/>
        <v>0</v>
      </c>
      <c r="AA510">
        <f>ROUND(IF(A510=入力!$B$15+1,IF(E510=0,ROUND(C510/入力!$B$19,0),ROUND(-PMT(E510/12,入力!$B$19,C510),0)),IF(OR(AND(入力!$B$13="有効",A510&gt;1,MOD(A510-1,60)=0),AND(A510=入力!$B$11,A510&gt;1)),IF(入力!$B$14="有効",MIN(IF(E510=0,ROUND(C510/MAX(1,S509-A510+1),0),ROUND(-PMT(E510/12,MAX(1,S509-A510+1),C510),0)),ROUND(G509*1.25,0)),IF(E510=0,ROUND(C510/MAX(1,S509-A510+1),0),ROUND(-PMT(E510/12,MAX(1,S509-A510+1),C510),0))),G509)),0)</f>
        <v>0</v>
      </c>
    </row>
    <row r="511" spans="1:27">
      <c r="A511" s="30">
        <f>506</f>
        <v>506</v>
      </c>
      <c r="B511" s="31">
        <f>EDATE(入力!$B$6,A511-1)</f>
        <v>61607</v>
      </c>
      <c r="C511" s="32">
        <f t="shared" si="117"/>
        <v>0</v>
      </c>
      <c r="D511" s="32">
        <f t="shared" si="118"/>
        <v>0</v>
      </c>
      <c r="E511" s="33">
        <f>IF(AND(T510="",A511&lt;=S510),IF(A511&lt;入力!$B$11,入力!$B$10,入力!$B$12),0)</f>
        <v>0</v>
      </c>
      <c r="F511" s="32">
        <f t="shared" si="119"/>
        <v>0</v>
      </c>
      <c r="G511" s="32">
        <f>ROUND(IF(NOT(AND(T510="",A511&lt;=S510)),0,IF(A511=入力!$B$15+1,IF(E511=0,ROUND(C511/入力!$B$19,0),ROUND(-PMT(E511/12,入力!$B$19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),0)</f>
        <v>0</v>
      </c>
      <c r="H511" s="32">
        <f t="shared" si="120"/>
        <v>0</v>
      </c>
      <c r="I511" s="32">
        <f t="shared" si="121"/>
        <v>0</v>
      </c>
      <c r="J511" s="32">
        <f t="shared" si="122"/>
        <v>0</v>
      </c>
      <c r="K511" s="32">
        <f t="shared" si="123"/>
        <v>0</v>
      </c>
      <c r="L511" s="32">
        <f t="shared" si="124"/>
        <v>0</v>
      </c>
      <c r="M511" s="32">
        <f>IF(AND(AND(T510="",A511&lt;=S510),A511=入力!$B$15),ROUND(MIN(入力!$B$16,MAX(0,C511-L511)),0),0)</f>
        <v>0</v>
      </c>
      <c r="N511" s="32">
        <f t="shared" si="125"/>
        <v>0</v>
      </c>
      <c r="O511" s="32">
        <f t="shared" si="126"/>
        <v>10751874</v>
      </c>
      <c r="P511" s="34" t="str">
        <f>IF(NOT(AND(T510="",A511&lt;=S510)),"",IF(A511=入力!$B$15+1,"繰上返済後再計算","")&amp;IF(AND(入力!$B$13="有効",A511&gt;1,MOD(A511-1,60)=0),IF(A511=入力!$B$15+1,"・","")&amp;"5年見直し","")&amp;IF(AND(A511=入力!$B$11,A511&gt;1),IF(OR(A511=入力!$B$15+1,AND(入力!$B$13="有効",A511&gt;1,MOD(A511-1,60)=0)),"・","")&amp;"金利変更","")&amp;IF(AND(OR(AND(入力!$B$13="有効",A511&gt;1,MOD(A511-1,60)=0),AND(A511=入力!$B$11,A511&gt;1)),入力!$B$14="有効",IF(E511=0,ROUND(C511/MAX(1,S510-A511+1),0),ROUND(-PMT(E511/12,MAX(1,S510-A511+1),C511),0))&gt;ROUND(G510*1.25,0),NOT(A511=入力!$B$15+1)),"・上限適用",""))</f>
        <v/>
      </c>
      <c r="Q511" s="35" t="str">
        <f>IF(AND(T510="",A511&lt;=S510),入力!$B$13,"")</f>
        <v/>
      </c>
      <c r="R511" s="32" t="str">
        <f>IF(AND(AND(T510="",A511&lt;=S510),OR(AND(入力!$B$13="有効",A511&gt;1,MOD(A511-1,60)=0),AND(A511=入力!$B$11,A511&gt;1)),入力!$B$14="有効"),ROUND(G510*1.25,0),"")</f>
        <v/>
      </c>
      <c r="S511" s="36">
        <f>IF(A511=入力!$B$15,A511+入力!$B$19,S510)</f>
        <v>360</v>
      </c>
      <c r="T511" s="35" t="str">
        <f t="shared" si="127"/>
        <v/>
      </c>
      <c r="U511" s="3">
        <f t="shared" si="112"/>
        <v>0</v>
      </c>
      <c r="V511" s="3">
        <f t="shared" si="113"/>
        <v>0</v>
      </c>
      <c r="W511" s="3">
        <f t="shared" si="114"/>
        <v>0</v>
      </c>
      <c r="X511" s="3">
        <f t="shared" si="115"/>
        <v>0</v>
      </c>
      <c r="Y511" s="3">
        <f>IF(A511&lt;入力!$B$15,ABS(G511-何もしない_月次!G511),0)</f>
        <v>0</v>
      </c>
      <c r="Z511" s="3">
        <f t="shared" si="116"/>
        <v>0</v>
      </c>
      <c r="AA511">
        <f>ROUND(IF(A511=入力!$B$15+1,IF(E511=0,ROUND(C511/入力!$B$19,0),ROUND(-PMT(E511/12,入力!$B$19,C511),0)),IF(OR(AND(入力!$B$13="有効",A511&gt;1,MOD(A511-1,60)=0),AND(A511=入力!$B$11,A511&gt;1)),IF(入力!$B$14="有効",MIN(IF(E511=0,ROUND(C511/MAX(1,S510-A511+1),0),ROUND(-PMT(E511/12,MAX(1,S510-A511+1),C511),0)),ROUND(G510*1.25,0)),IF(E511=0,ROUND(C511/MAX(1,S510-A511+1),0),ROUND(-PMT(E511/12,MAX(1,S510-A511+1),C511),0))),G510)),0)</f>
        <v>0</v>
      </c>
    </row>
    <row r="512" spans="1:27">
      <c r="A512" s="30">
        <f>507</f>
        <v>507</v>
      </c>
      <c r="B512" s="31">
        <f>EDATE(入力!$B$6,A512-1)</f>
        <v>61637</v>
      </c>
      <c r="C512" s="32">
        <f t="shared" si="117"/>
        <v>0</v>
      </c>
      <c r="D512" s="32">
        <f t="shared" si="118"/>
        <v>0</v>
      </c>
      <c r="E512" s="33">
        <f>IF(AND(T511="",A512&lt;=S511),IF(A512&lt;入力!$B$11,入力!$B$10,入力!$B$12),0)</f>
        <v>0</v>
      </c>
      <c r="F512" s="32">
        <f t="shared" si="119"/>
        <v>0</v>
      </c>
      <c r="G512" s="32">
        <f>ROUND(IF(NOT(AND(T511="",A512&lt;=S511)),0,IF(A512=入力!$B$15+1,IF(E512=0,ROUND(C512/入力!$B$19,0),ROUND(-PMT(E512/12,入力!$B$19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),0)</f>
        <v>0</v>
      </c>
      <c r="H512" s="32">
        <f t="shared" si="120"/>
        <v>0</v>
      </c>
      <c r="I512" s="32">
        <f t="shared" si="121"/>
        <v>0</v>
      </c>
      <c r="J512" s="32">
        <f t="shared" si="122"/>
        <v>0</v>
      </c>
      <c r="K512" s="32">
        <f t="shared" si="123"/>
        <v>0</v>
      </c>
      <c r="L512" s="32">
        <f t="shared" si="124"/>
        <v>0</v>
      </c>
      <c r="M512" s="32">
        <f>IF(AND(AND(T511="",A512&lt;=S511),A512=入力!$B$15),ROUND(MIN(入力!$B$16,MAX(0,C512-L512)),0),0)</f>
        <v>0</v>
      </c>
      <c r="N512" s="32">
        <f t="shared" si="125"/>
        <v>0</v>
      </c>
      <c r="O512" s="32">
        <f t="shared" si="126"/>
        <v>10751874</v>
      </c>
      <c r="P512" s="34" t="str">
        <f>IF(NOT(AND(T511="",A512&lt;=S511)),"",IF(A512=入力!$B$15+1,"繰上返済後再計算","")&amp;IF(AND(入力!$B$13="有効",A512&gt;1,MOD(A512-1,60)=0),IF(A512=入力!$B$15+1,"・","")&amp;"5年見直し","")&amp;IF(AND(A512=入力!$B$11,A512&gt;1),IF(OR(A512=入力!$B$15+1,AND(入力!$B$13="有効",A512&gt;1,MOD(A512-1,60)=0)),"・","")&amp;"金利変更","")&amp;IF(AND(OR(AND(入力!$B$13="有効",A512&gt;1,MOD(A512-1,60)=0),AND(A512=入力!$B$11,A512&gt;1)),入力!$B$14="有効",IF(E512=0,ROUND(C512/MAX(1,S511-A512+1),0),ROUND(-PMT(E512/12,MAX(1,S511-A512+1),C512),0))&gt;ROUND(G511*1.25,0),NOT(A512=入力!$B$15+1)),"・上限適用",""))</f>
        <v/>
      </c>
      <c r="Q512" s="35" t="str">
        <f>IF(AND(T511="",A512&lt;=S511),入力!$B$13,"")</f>
        <v/>
      </c>
      <c r="R512" s="32" t="str">
        <f>IF(AND(AND(T511="",A512&lt;=S511),OR(AND(入力!$B$13="有効",A512&gt;1,MOD(A512-1,60)=0),AND(A512=入力!$B$11,A512&gt;1)),入力!$B$14="有効"),ROUND(G511*1.25,0),"")</f>
        <v/>
      </c>
      <c r="S512" s="36">
        <f>IF(A512=入力!$B$15,A512+入力!$B$19,S511)</f>
        <v>360</v>
      </c>
      <c r="T512" s="35" t="str">
        <f t="shared" si="127"/>
        <v/>
      </c>
      <c r="U512" s="3">
        <f t="shared" si="112"/>
        <v>0</v>
      </c>
      <c r="V512" s="3">
        <f t="shared" si="113"/>
        <v>0</v>
      </c>
      <c r="W512" s="3">
        <f t="shared" si="114"/>
        <v>0</v>
      </c>
      <c r="X512" s="3">
        <f t="shared" si="115"/>
        <v>0</v>
      </c>
      <c r="Y512" s="3">
        <f>IF(A512&lt;入力!$B$15,ABS(G512-何もしない_月次!G512),0)</f>
        <v>0</v>
      </c>
      <c r="Z512" s="3">
        <f t="shared" si="116"/>
        <v>0</v>
      </c>
      <c r="AA512">
        <f>ROUND(IF(A512=入力!$B$15+1,IF(E512=0,ROUND(C512/入力!$B$19,0),ROUND(-PMT(E512/12,入力!$B$19,C512),0)),IF(OR(AND(入力!$B$13="有効",A512&gt;1,MOD(A512-1,60)=0),AND(A512=入力!$B$11,A512&gt;1)),IF(入力!$B$14="有効",MIN(IF(E512=0,ROUND(C512/MAX(1,S511-A512+1),0),ROUND(-PMT(E512/12,MAX(1,S511-A512+1),C512),0)),ROUND(G511*1.25,0)),IF(E512=0,ROUND(C512/MAX(1,S511-A512+1),0),ROUND(-PMT(E512/12,MAX(1,S511-A512+1),C512),0))),G511)),0)</f>
        <v>0</v>
      </c>
    </row>
    <row r="513" spans="1:27">
      <c r="A513" s="30">
        <f>508</f>
        <v>508</v>
      </c>
      <c r="B513" s="31">
        <f>EDATE(入力!$B$6,A513-1)</f>
        <v>61668</v>
      </c>
      <c r="C513" s="32">
        <f t="shared" si="117"/>
        <v>0</v>
      </c>
      <c r="D513" s="32">
        <f t="shared" si="118"/>
        <v>0</v>
      </c>
      <c r="E513" s="33">
        <f>IF(AND(T512="",A513&lt;=S512),IF(A513&lt;入力!$B$11,入力!$B$10,入力!$B$12),0)</f>
        <v>0</v>
      </c>
      <c r="F513" s="32">
        <f t="shared" si="119"/>
        <v>0</v>
      </c>
      <c r="G513" s="32">
        <f>ROUND(IF(NOT(AND(T512="",A513&lt;=S512)),0,IF(A513=入力!$B$15+1,IF(E513=0,ROUND(C513/入力!$B$19,0),ROUND(-PMT(E513/12,入力!$B$19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),0)</f>
        <v>0</v>
      </c>
      <c r="H513" s="32">
        <f t="shared" si="120"/>
        <v>0</v>
      </c>
      <c r="I513" s="32">
        <f t="shared" si="121"/>
        <v>0</v>
      </c>
      <c r="J513" s="32">
        <f t="shared" si="122"/>
        <v>0</v>
      </c>
      <c r="K513" s="32">
        <f t="shared" si="123"/>
        <v>0</v>
      </c>
      <c r="L513" s="32">
        <f t="shared" si="124"/>
        <v>0</v>
      </c>
      <c r="M513" s="32">
        <f>IF(AND(AND(T512="",A513&lt;=S512),A513=入力!$B$15),ROUND(MIN(入力!$B$16,MAX(0,C513-L513)),0),0)</f>
        <v>0</v>
      </c>
      <c r="N513" s="32">
        <f t="shared" si="125"/>
        <v>0</v>
      </c>
      <c r="O513" s="32">
        <f t="shared" si="126"/>
        <v>10751874</v>
      </c>
      <c r="P513" s="34" t="str">
        <f>IF(NOT(AND(T512="",A513&lt;=S512)),"",IF(A513=入力!$B$15+1,"繰上返済後再計算","")&amp;IF(AND(入力!$B$13="有効",A513&gt;1,MOD(A513-1,60)=0),IF(A513=入力!$B$15+1,"・","")&amp;"5年見直し","")&amp;IF(AND(A513=入力!$B$11,A513&gt;1),IF(OR(A513=入力!$B$15+1,AND(入力!$B$13="有効",A513&gt;1,MOD(A513-1,60)=0)),"・","")&amp;"金利変更","")&amp;IF(AND(OR(AND(入力!$B$13="有効",A513&gt;1,MOD(A513-1,60)=0),AND(A513=入力!$B$11,A513&gt;1)),入力!$B$14="有効",IF(E513=0,ROUND(C513/MAX(1,S512-A513+1),0),ROUND(-PMT(E513/12,MAX(1,S512-A513+1),C513),0))&gt;ROUND(G512*1.25,0),NOT(A513=入力!$B$15+1)),"・上限適用",""))</f>
        <v/>
      </c>
      <c r="Q513" s="35" t="str">
        <f>IF(AND(T512="",A513&lt;=S512),入力!$B$13,"")</f>
        <v/>
      </c>
      <c r="R513" s="32" t="str">
        <f>IF(AND(AND(T512="",A513&lt;=S512),OR(AND(入力!$B$13="有効",A513&gt;1,MOD(A513-1,60)=0),AND(A513=入力!$B$11,A513&gt;1)),入力!$B$14="有効"),ROUND(G512*1.25,0),"")</f>
        <v/>
      </c>
      <c r="S513" s="36">
        <f>IF(A513=入力!$B$15,A513+入力!$B$19,S512)</f>
        <v>360</v>
      </c>
      <c r="T513" s="35" t="str">
        <f t="shared" si="127"/>
        <v/>
      </c>
      <c r="U513" s="3">
        <f t="shared" si="112"/>
        <v>0</v>
      </c>
      <c r="V513" s="3">
        <f t="shared" si="113"/>
        <v>0</v>
      </c>
      <c r="W513" s="3">
        <f t="shared" si="114"/>
        <v>0</v>
      </c>
      <c r="X513" s="3">
        <f t="shared" si="115"/>
        <v>0</v>
      </c>
      <c r="Y513" s="3">
        <f>IF(A513&lt;入力!$B$15,ABS(G513-何もしない_月次!G513),0)</f>
        <v>0</v>
      </c>
      <c r="Z513" s="3">
        <f t="shared" si="116"/>
        <v>0</v>
      </c>
      <c r="AA513">
        <f>ROUND(IF(A513=入力!$B$15+1,IF(E513=0,ROUND(C513/入力!$B$19,0),ROUND(-PMT(E513/12,入力!$B$19,C513),0)),IF(OR(AND(入力!$B$13="有効",A513&gt;1,MOD(A513-1,60)=0),AND(A513=入力!$B$11,A513&gt;1)),IF(入力!$B$14="有効",MIN(IF(E513=0,ROUND(C513/MAX(1,S512-A513+1),0),ROUND(-PMT(E513/12,MAX(1,S512-A513+1),C513),0)),ROUND(G512*1.25,0)),IF(E513=0,ROUND(C513/MAX(1,S512-A513+1),0),ROUND(-PMT(E513/12,MAX(1,S512-A513+1),C513),0))),G512)),0)</f>
        <v>0</v>
      </c>
    </row>
    <row r="514" spans="1:27">
      <c r="A514" s="30">
        <f>509</f>
        <v>509</v>
      </c>
      <c r="B514" s="31">
        <f>EDATE(入力!$B$6,A514-1)</f>
        <v>61698</v>
      </c>
      <c r="C514" s="32">
        <f t="shared" si="117"/>
        <v>0</v>
      </c>
      <c r="D514" s="32">
        <f t="shared" si="118"/>
        <v>0</v>
      </c>
      <c r="E514" s="33">
        <f>IF(AND(T513="",A514&lt;=S513),IF(A514&lt;入力!$B$11,入力!$B$10,入力!$B$12),0)</f>
        <v>0</v>
      </c>
      <c r="F514" s="32">
        <f t="shared" si="119"/>
        <v>0</v>
      </c>
      <c r="G514" s="32">
        <f>ROUND(IF(NOT(AND(T513="",A514&lt;=S513)),0,IF(A514=入力!$B$15+1,IF(E514=0,ROUND(C514/入力!$B$19,0),ROUND(-PMT(E514/12,入力!$B$19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),0)</f>
        <v>0</v>
      </c>
      <c r="H514" s="32">
        <f t="shared" si="120"/>
        <v>0</v>
      </c>
      <c r="I514" s="32">
        <f t="shared" si="121"/>
        <v>0</v>
      </c>
      <c r="J514" s="32">
        <f t="shared" si="122"/>
        <v>0</v>
      </c>
      <c r="K514" s="32">
        <f t="shared" si="123"/>
        <v>0</v>
      </c>
      <c r="L514" s="32">
        <f t="shared" si="124"/>
        <v>0</v>
      </c>
      <c r="M514" s="32">
        <f>IF(AND(AND(T513="",A514&lt;=S513),A514=入力!$B$15),ROUND(MIN(入力!$B$16,MAX(0,C514-L514)),0),0)</f>
        <v>0</v>
      </c>
      <c r="N514" s="32">
        <f t="shared" si="125"/>
        <v>0</v>
      </c>
      <c r="O514" s="32">
        <f t="shared" si="126"/>
        <v>10751874</v>
      </c>
      <c r="P514" s="34" t="str">
        <f>IF(NOT(AND(T513="",A514&lt;=S513)),"",IF(A514=入力!$B$15+1,"繰上返済後再計算","")&amp;IF(AND(入力!$B$13="有効",A514&gt;1,MOD(A514-1,60)=0),IF(A514=入力!$B$15+1,"・","")&amp;"5年見直し","")&amp;IF(AND(A514=入力!$B$11,A514&gt;1),IF(OR(A514=入力!$B$15+1,AND(入力!$B$13="有効",A514&gt;1,MOD(A514-1,60)=0)),"・","")&amp;"金利変更","")&amp;IF(AND(OR(AND(入力!$B$13="有効",A514&gt;1,MOD(A514-1,60)=0),AND(A514=入力!$B$11,A514&gt;1)),入力!$B$14="有効",IF(E514=0,ROUND(C514/MAX(1,S513-A514+1),0),ROUND(-PMT(E514/12,MAX(1,S513-A514+1),C514),0))&gt;ROUND(G513*1.25,0),NOT(A514=入力!$B$15+1)),"・上限適用",""))</f>
        <v/>
      </c>
      <c r="Q514" s="35" t="str">
        <f>IF(AND(T513="",A514&lt;=S513),入力!$B$13,"")</f>
        <v/>
      </c>
      <c r="R514" s="32" t="str">
        <f>IF(AND(AND(T513="",A514&lt;=S513),OR(AND(入力!$B$13="有効",A514&gt;1,MOD(A514-1,60)=0),AND(A514=入力!$B$11,A514&gt;1)),入力!$B$14="有効"),ROUND(G513*1.25,0),"")</f>
        <v/>
      </c>
      <c r="S514" s="36">
        <f>IF(A514=入力!$B$15,A514+入力!$B$19,S513)</f>
        <v>360</v>
      </c>
      <c r="T514" s="35" t="str">
        <f t="shared" si="127"/>
        <v/>
      </c>
      <c r="U514" s="3">
        <f t="shared" si="112"/>
        <v>0</v>
      </c>
      <c r="V514" s="3">
        <f t="shared" si="113"/>
        <v>0</v>
      </c>
      <c r="W514" s="3">
        <f t="shared" si="114"/>
        <v>0</v>
      </c>
      <c r="X514" s="3">
        <f t="shared" si="115"/>
        <v>0</v>
      </c>
      <c r="Y514" s="3">
        <f>IF(A514&lt;入力!$B$15,ABS(G514-何もしない_月次!G514),0)</f>
        <v>0</v>
      </c>
      <c r="Z514" s="3">
        <f t="shared" si="116"/>
        <v>0</v>
      </c>
      <c r="AA514">
        <f>ROUND(IF(A514=入力!$B$15+1,IF(E514=0,ROUND(C514/入力!$B$19,0),ROUND(-PMT(E514/12,入力!$B$19,C514),0)),IF(OR(AND(入力!$B$13="有効",A514&gt;1,MOD(A514-1,60)=0),AND(A514=入力!$B$11,A514&gt;1)),IF(入力!$B$14="有効",MIN(IF(E514=0,ROUND(C514/MAX(1,S513-A514+1),0),ROUND(-PMT(E514/12,MAX(1,S513-A514+1),C514),0)),ROUND(G513*1.25,0)),IF(E514=0,ROUND(C514/MAX(1,S513-A514+1),0),ROUND(-PMT(E514/12,MAX(1,S513-A514+1),C514),0))),G513)),0)</f>
        <v>0</v>
      </c>
    </row>
    <row r="515" spans="1:27">
      <c r="A515" s="30">
        <f>510</f>
        <v>510</v>
      </c>
      <c r="B515" s="31">
        <f>EDATE(入力!$B$6,A515-1)</f>
        <v>61729</v>
      </c>
      <c r="C515" s="32">
        <f t="shared" si="117"/>
        <v>0</v>
      </c>
      <c r="D515" s="32">
        <f t="shared" si="118"/>
        <v>0</v>
      </c>
      <c r="E515" s="33">
        <f>IF(AND(T514="",A515&lt;=S514),IF(A515&lt;入力!$B$11,入力!$B$10,入力!$B$12),0)</f>
        <v>0</v>
      </c>
      <c r="F515" s="32">
        <f t="shared" si="119"/>
        <v>0</v>
      </c>
      <c r="G515" s="32">
        <f>ROUND(IF(NOT(AND(T514="",A515&lt;=S514)),0,IF(A515=入力!$B$15+1,IF(E515=0,ROUND(C515/入力!$B$19,0),ROUND(-PMT(E515/12,入力!$B$19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),0)</f>
        <v>0</v>
      </c>
      <c r="H515" s="32">
        <f t="shared" si="120"/>
        <v>0</v>
      </c>
      <c r="I515" s="32">
        <f t="shared" si="121"/>
        <v>0</v>
      </c>
      <c r="J515" s="32">
        <f t="shared" si="122"/>
        <v>0</v>
      </c>
      <c r="K515" s="32">
        <f t="shared" si="123"/>
        <v>0</v>
      </c>
      <c r="L515" s="32">
        <f t="shared" si="124"/>
        <v>0</v>
      </c>
      <c r="M515" s="32">
        <f>IF(AND(AND(T514="",A515&lt;=S514),A515=入力!$B$15),ROUND(MIN(入力!$B$16,MAX(0,C515-L515)),0),0)</f>
        <v>0</v>
      </c>
      <c r="N515" s="32">
        <f t="shared" si="125"/>
        <v>0</v>
      </c>
      <c r="O515" s="32">
        <f t="shared" si="126"/>
        <v>10751874</v>
      </c>
      <c r="P515" s="34" t="str">
        <f>IF(NOT(AND(T514="",A515&lt;=S514)),"",IF(A515=入力!$B$15+1,"繰上返済後再計算","")&amp;IF(AND(入力!$B$13="有効",A515&gt;1,MOD(A515-1,60)=0),IF(A515=入力!$B$15+1,"・","")&amp;"5年見直し","")&amp;IF(AND(A515=入力!$B$11,A515&gt;1),IF(OR(A515=入力!$B$15+1,AND(入力!$B$13="有効",A515&gt;1,MOD(A515-1,60)=0)),"・","")&amp;"金利変更","")&amp;IF(AND(OR(AND(入力!$B$13="有効",A515&gt;1,MOD(A515-1,60)=0),AND(A515=入力!$B$11,A515&gt;1)),入力!$B$14="有効",IF(E515=0,ROUND(C515/MAX(1,S514-A515+1),0),ROUND(-PMT(E515/12,MAX(1,S514-A515+1),C515),0))&gt;ROUND(G514*1.25,0),NOT(A515=入力!$B$15+1)),"・上限適用",""))</f>
        <v/>
      </c>
      <c r="Q515" s="35" t="str">
        <f>IF(AND(T514="",A515&lt;=S514),入力!$B$13,"")</f>
        <v/>
      </c>
      <c r="R515" s="32" t="str">
        <f>IF(AND(AND(T514="",A515&lt;=S514),OR(AND(入力!$B$13="有効",A515&gt;1,MOD(A515-1,60)=0),AND(A515=入力!$B$11,A515&gt;1)),入力!$B$14="有効"),ROUND(G514*1.25,0),"")</f>
        <v/>
      </c>
      <c r="S515" s="36">
        <f>IF(A515=入力!$B$15,A515+入力!$B$19,S514)</f>
        <v>360</v>
      </c>
      <c r="T515" s="35" t="str">
        <f t="shared" si="127"/>
        <v/>
      </c>
      <c r="U515" s="3">
        <f t="shared" si="112"/>
        <v>0</v>
      </c>
      <c r="V515" s="3">
        <f t="shared" si="113"/>
        <v>0</v>
      </c>
      <c r="W515" s="3">
        <f t="shared" si="114"/>
        <v>0</v>
      </c>
      <c r="X515" s="3">
        <f t="shared" si="115"/>
        <v>0</v>
      </c>
      <c r="Y515" s="3">
        <f>IF(A515&lt;入力!$B$15,ABS(G515-何もしない_月次!G515),0)</f>
        <v>0</v>
      </c>
      <c r="Z515" s="3">
        <f t="shared" si="116"/>
        <v>0</v>
      </c>
      <c r="AA515">
        <f>ROUND(IF(A515=入力!$B$15+1,IF(E515=0,ROUND(C515/入力!$B$19,0),ROUND(-PMT(E515/12,入力!$B$19,C515),0)),IF(OR(AND(入力!$B$13="有効",A515&gt;1,MOD(A515-1,60)=0),AND(A515=入力!$B$11,A515&gt;1)),IF(入力!$B$14="有効",MIN(IF(E515=0,ROUND(C515/MAX(1,S514-A515+1),0),ROUND(-PMT(E515/12,MAX(1,S514-A515+1),C515),0)),ROUND(G514*1.25,0)),IF(E515=0,ROUND(C515/MAX(1,S514-A515+1),0),ROUND(-PMT(E515/12,MAX(1,S514-A515+1),C515),0))),G514)),0)</f>
        <v>0</v>
      </c>
    </row>
    <row r="516" spans="1:27">
      <c r="A516" s="30">
        <f>511</f>
        <v>511</v>
      </c>
      <c r="B516" s="31">
        <f>EDATE(入力!$B$6,A516-1)</f>
        <v>61760</v>
      </c>
      <c r="C516" s="32">
        <f t="shared" si="117"/>
        <v>0</v>
      </c>
      <c r="D516" s="32">
        <f t="shared" si="118"/>
        <v>0</v>
      </c>
      <c r="E516" s="33">
        <f>IF(AND(T515="",A516&lt;=S515),IF(A516&lt;入力!$B$11,入力!$B$10,入力!$B$12),0)</f>
        <v>0</v>
      </c>
      <c r="F516" s="32">
        <f t="shared" si="119"/>
        <v>0</v>
      </c>
      <c r="G516" s="32">
        <f>ROUND(IF(NOT(AND(T515="",A516&lt;=S515)),0,IF(A516=入力!$B$15+1,IF(E516=0,ROUND(C516/入力!$B$19,0),ROUND(-PMT(E516/12,入力!$B$19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),0)</f>
        <v>0</v>
      </c>
      <c r="H516" s="32">
        <f t="shared" si="120"/>
        <v>0</v>
      </c>
      <c r="I516" s="32">
        <f t="shared" si="121"/>
        <v>0</v>
      </c>
      <c r="J516" s="32">
        <f t="shared" si="122"/>
        <v>0</v>
      </c>
      <c r="K516" s="32">
        <f t="shared" si="123"/>
        <v>0</v>
      </c>
      <c r="L516" s="32">
        <f t="shared" si="124"/>
        <v>0</v>
      </c>
      <c r="M516" s="32">
        <f>IF(AND(AND(T515="",A516&lt;=S515),A516=入力!$B$15),ROUND(MIN(入力!$B$16,MAX(0,C516-L516)),0),0)</f>
        <v>0</v>
      </c>
      <c r="N516" s="32">
        <f t="shared" si="125"/>
        <v>0</v>
      </c>
      <c r="O516" s="32">
        <f t="shared" si="126"/>
        <v>10751874</v>
      </c>
      <c r="P516" s="34" t="str">
        <f>IF(NOT(AND(T515="",A516&lt;=S515)),"",IF(A516=入力!$B$15+1,"繰上返済後再計算","")&amp;IF(AND(入力!$B$13="有効",A516&gt;1,MOD(A516-1,60)=0),IF(A516=入力!$B$15+1,"・","")&amp;"5年見直し","")&amp;IF(AND(A516=入力!$B$11,A516&gt;1),IF(OR(A516=入力!$B$15+1,AND(入力!$B$13="有効",A516&gt;1,MOD(A516-1,60)=0)),"・","")&amp;"金利変更","")&amp;IF(AND(OR(AND(入力!$B$13="有効",A516&gt;1,MOD(A516-1,60)=0),AND(A516=入力!$B$11,A516&gt;1)),入力!$B$14="有効",IF(E516=0,ROUND(C516/MAX(1,S515-A516+1),0),ROUND(-PMT(E516/12,MAX(1,S515-A516+1),C516),0))&gt;ROUND(G515*1.25,0),NOT(A516=入力!$B$15+1)),"・上限適用",""))</f>
        <v/>
      </c>
      <c r="Q516" s="35" t="str">
        <f>IF(AND(T515="",A516&lt;=S515),入力!$B$13,"")</f>
        <v/>
      </c>
      <c r="R516" s="32" t="str">
        <f>IF(AND(AND(T515="",A516&lt;=S515),OR(AND(入力!$B$13="有効",A516&gt;1,MOD(A516-1,60)=0),AND(A516=入力!$B$11,A516&gt;1)),入力!$B$14="有効"),ROUND(G515*1.25,0),"")</f>
        <v/>
      </c>
      <c r="S516" s="36">
        <f>IF(A516=入力!$B$15,A516+入力!$B$19,S515)</f>
        <v>360</v>
      </c>
      <c r="T516" s="35" t="str">
        <f t="shared" si="127"/>
        <v/>
      </c>
      <c r="U516" s="3">
        <f t="shared" si="112"/>
        <v>0</v>
      </c>
      <c r="V516" s="3">
        <f t="shared" si="113"/>
        <v>0</v>
      </c>
      <c r="W516" s="3">
        <f t="shared" si="114"/>
        <v>0</v>
      </c>
      <c r="X516" s="3">
        <f t="shared" si="115"/>
        <v>0</v>
      </c>
      <c r="Y516" s="3">
        <f>IF(A516&lt;入力!$B$15,ABS(G516-何もしない_月次!G516),0)</f>
        <v>0</v>
      </c>
      <c r="Z516" s="3">
        <f t="shared" si="116"/>
        <v>0</v>
      </c>
      <c r="AA516">
        <f>ROUND(IF(A516=入力!$B$15+1,IF(E516=0,ROUND(C516/入力!$B$19,0),ROUND(-PMT(E516/12,入力!$B$19,C516),0)),IF(OR(AND(入力!$B$13="有効",A516&gt;1,MOD(A516-1,60)=0),AND(A516=入力!$B$11,A516&gt;1)),IF(入力!$B$14="有効",MIN(IF(E516=0,ROUND(C516/MAX(1,S515-A516+1),0),ROUND(-PMT(E516/12,MAX(1,S515-A516+1),C516),0)),ROUND(G515*1.25,0)),IF(E516=0,ROUND(C516/MAX(1,S515-A516+1),0),ROUND(-PMT(E516/12,MAX(1,S515-A516+1),C516),0))),G515)),0)</f>
        <v>0</v>
      </c>
    </row>
    <row r="517" spans="1:27">
      <c r="A517" s="30">
        <f>512</f>
        <v>512</v>
      </c>
      <c r="B517" s="31">
        <f>EDATE(入力!$B$6,A517-1)</f>
        <v>61788</v>
      </c>
      <c r="C517" s="32">
        <f t="shared" si="117"/>
        <v>0</v>
      </c>
      <c r="D517" s="32">
        <f t="shared" si="118"/>
        <v>0</v>
      </c>
      <c r="E517" s="33">
        <f>IF(AND(T516="",A517&lt;=S516),IF(A517&lt;入力!$B$11,入力!$B$10,入力!$B$12),0)</f>
        <v>0</v>
      </c>
      <c r="F517" s="32">
        <f t="shared" si="119"/>
        <v>0</v>
      </c>
      <c r="G517" s="32">
        <f>ROUND(IF(NOT(AND(T516="",A517&lt;=S516)),0,IF(A517=入力!$B$15+1,IF(E517=0,ROUND(C517/入力!$B$19,0),ROUND(-PMT(E517/12,入力!$B$19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),0)</f>
        <v>0</v>
      </c>
      <c r="H517" s="32">
        <f t="shared" si="120"/>
        <v>0</v>
      </c>
      <c r="I517" s="32">
        <f t="shared" si="121"/>
        <v>0</v>
      </c>
      <c r="J517" s="32">
        <f t="shared" si="122"/>
        <v>0</v>
      </c>
      <c r="K517" s="32">
        <f t="shared" si="123"/>
        <v>0</v>
      </c>
      <c r="L517" s="32">
        <f t="shared" si="124"/>
        <v>0</v>
      </c>
      <c r="M517" s="32">
        <f>IF(AND(AND(T516="",A517&lt;=S516),A517=入力!$B$15),ROUND(MIN(入力!$B$16,MAX(0,C517-L517)),0),0)</f>
        <v>0</v>
      </c>
      <c r="N517" s="32">
        <f t="shared" si="125"/>
        <v>0</v>
      </c>
      <c r="O517" s="32">
        <f t="shared" si="126"/>
        <v>10751874</v>
      </c>
      <c r="P517" s="34" t="str">
        <f>IF(NOT(AND(T516="",A517&lt;=S516)),"",IF(A517=入力!$B$15+1,"繰上返済後再計算","")&amp;IF(AND(入力!$B$13="有効",A517&gt;1,MOD(A517-1,60)=0),IF(A517=入力!$B$15+1,"・","")&amp;"5年見直し","")&amp;IF(AND(A517=入力!$B$11,A517&gt;1),IF(OR(A517=入力!$B$15+1,AND(入力!$B$13="有効",A517&gt;1,MOD(A517-1,60)=0)),"・","")&amp;"金利変更","")&amp;IF(AND(OR(AND(入力!$B$13="有効",A517&gt;1,MOD(A517-1,60)=0),AND(A517=入力!$B$11,A517&gt;1)),入力!$B$14="有効",IF(E517=0,ROUND(C517/MAX(1,S516-A517+1),0),ROUND(-PMT(E517/12,MAX(1,S516-A517+1),C517),0))&gt;ROUND(G516*1.25,0),NOT(A517=入力!$B$15+1)),"・上限適用",""))</f>
        <v/>
      </c>
      <c r="Q517" s="35" t="str">
        <f>IF(AND(T516="",A517&lt;=S516),入力!$B$13,"")</f>
        <v/>
      </c>
      <c r="R517" s="32" t="str">
        <f>IF(AND(AND(T516="",A517&lt;=S516),OR(AND(入力!$B$13="有効",A517&gt;1,MOD(A517-1,60)=0),AND(A517=入力!$B$11,A517&gt;1)),入力!$B$14="有効"),ROUND(G516*1.25,0),"")</f>
        <v/>
      </c>
      <c r="S517" s="36">
        <f>IF(A517=入力!$B$15,A517+入力!$B$19,S516)</f>
        <v>360</v>
      </c>
      <c r="T517" s="35" t="str">
        <f t="shared" si="127"/>
        <v/>
      </c>
      <c r="U517" s="3">
        <f t="shared" si="112"/>
        <v>0</v>
      </c>
      <c r="V517" s="3">
        <f t="shared" si="113"/>
        <v>0</v>
      </c>
      <c r="W517" s="3">
        <f t="shared" si="114"/>
        <v>0</v>
      </c>
      <c r="X517" s="3">
        <f t="shared" si="115"/>
        <v>0</v>
      </c>
      <c r="Y517" s="3">
        <f>IF(A517&lt;入力!$B$15,ABS(G517-何もしない_月次!G517),0)</f>
        <v>0</v>
      </c>
      <c r="Z517" s="3">
        <f t="shared" si="116"/>
        <v>0</v>
      </c>
      <c r="AA517">
        <f>ROUND(IF(A517=入力!$B$15+1,IF(E517=0,ROUND(C517/入力!$B$19,0),ROUND(-PMT(E517/12,入力!$B$19,C517),0)),IF(OR(AND(入力!$B$13="有効",A517&gt;1,MOD(A517-1,60)=0),AND(A517=入力!$B$11,A517&gt;1)),IF(入力!$B$14="有効",MIN(IF(E517=0,ROUND(C517/MAX(1,S516-A517+1),0),ROUND(-PMT(E517/12,MAX(1,S516-A517+1),C517),0)),ROUND(G516*1.25,0)),IF(E517=0,ROUND(C517/MAX(1,S516-A517+1),0),ROUND(-PMT(E517/12,MAX(1,S516-A517+1),C517),0))),G516)),0)</f>
        <v>0</v>
      </c>
    </row>
    <row r="518" spans="1:27">
      <c r="A518" s="30">
        <f>513</f>
        <v>513</v>
      </c>
      <c r="B518" s="31">
        <f>EDATE(入力!$B$6,A518-1)</f>
        <v>61819</v>
      </c>
      <c r="C518" s="32">
        <f t="shared" si="117"/>
        <v>0</v>
      </c>
      <c r="D518" s="32">
        <f t="shared" si="118"/>
        <v>0</v>
      </c>
      <c r="E518" s="33">
        <f>IF(AND(T517="",A518&lt;=S517),IF(A518&lt;入力!$B$11,入力!$B$10,入力!$B$12),0)</f>
        <v>0</v>
      </c>
      <c r="F518" s="32">
        <f t="shared" si="119"/>
        <v>0</v>
      </c>
      <c r="G518" s="32">
        <f>ROUND(IF(NOT(AND(T517="",A518&lt;=S517)),0,IF(A518=入力!$B$15+1,IF(E518=0,ROUND(C518/入力!$B$19,0),ROUND(-PMT(E518/12,入力!$B$19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),0)</f>
        <v>0</v>
      </c>
      <c r="H518" s="32">
        <f t="shared" si="120"/>
        <v>0</v>
      </c>
      <c r="I518" s="32">
        <f t="shared" si="121"/>
        <v>0</v>
      </c>
      <c r="J518" s="32">
        <f t="shared" si="122"/>
        <v>0</v>
      </c>
      <c r="K518" s="32">
        <f t="shared" si="123"/>
        <v>0</v>
      </c>
      <c r="L518" s="32">
        <f t="shared" si="124"/>
        <v>0</v>
      </c>
      <c r="M518" s="32">
        <f>IF(AND(AND(T517="",A518&lt;=S517),A518=入力!$B$15),ROUND(MIN(入力!$B$16,MAX(0,C518-L518)),0),0)</f>
        <v>0</v>
      </c>
      <c r="N518" s="32">
        <f t="shared" si="125"/>
        <v>0</v>
      </c>
      <c r="O518" s="32">
        <f t="shared" si="126"/>
        <v>10751874</v>
      </c>
      <c r="P518" s="34" t="str">
        <f>IF(NOT(AND(T517="",A518&lt;=S517)),"",IF(A518=入力!$B$15+1,"繰上返済後再計算","")&amp;IF(AND(入力!$B$13="有効",A518&gt;1,MOD(A518-1,60)=0),IF(A518=入力!$B$15+1,"・","")&amp;"5年見直し","")&amp;IF(AND(A518=入力!$B$11,A518&gt;1),IF(OR(A518=入力!$B$15+1,AND(入力!$B$13="有効",A518&gt;1,MOD(A518-1,60)=0)),"・","")&amp;"金利変更","")&amp;IF(AND(OR(AND(入力!$B$13="有効",A518&gt;1,MOD(A518-1,60)=0),AND(A518=入力!$B$11,A518&gt;1)),入力!$B$14="有効",IF(E518=0,ROUND(C518/MAX(1,S517-A518+1),0),ROUND(-PMT(E518/12,MAX(1,S517-A518+1),C518),0))&gt;ROUND(G517*1.25,0),NOT(A518=入力!$B$15+1)),"・上限適用",""))</f>
        <v/>
      </c>
      <c r="Q518" s="35" t="str">
        <f>IF(AND(T517="",A518&lt;=S517),入力!$B$13,"")</f>
        <v/>
      </c>
      <c r="R518" s="32" t="str">
        <f>IF(AND(AND(T517="",A518&lt;=S517),OR(AND(入力!$B$13="有効",A518&gt;1,MOD(A518-1,60)=0),AND(A518=入力!$B$11,A518&gt;1)),入力!$B$14="有効"),ROUND(G517*1.25,0),"")</f>
        <v/>
      </c>
      <c r="S518" s="36">
        <f>IF(A518=入力!$B$15,A518+入力!$B$19,S517)</f>
        <v>360</v>
      </c>
      <c r="T518" s="35" t="str">
        <f t="shared" si="127"/>
        <v/>
      </c>
      <c r="U518" s="3">
        <f t="shared" ref="U518:U581" si="128">ABS(I518-MIN(H518,D518+F518))</f>
        <v>0</v>
      </c>
      <c r="V518" s="3">
        <f t="shared" ref="V518:V581" si="129">ABS(L518-(H518-I518))</f>
        <v>0</v>
      </c>
      <c r="W518" s="3">
        <f t="shared" ref="W518:W581" si="130">ABS(K518-(D518+J518))</f>
        <v>0</v>
      </c>
      <c r="X518" s="3">
        <f t="shared" ref="X518:X581" si="131">ABS(F518-ROUND(F518,0))+ABS(G518-ROUND(G518,0))+ABS(H518-ROUND(H518,0))+ABS(I518-ROUND(I518,0))+ABS(J518-ROUND(J518,0))+ABS(K518-ROUND(K518,0))+ABS(L518-ROUND(L518,0))+ABS(M518-ROUND(M518,0))+ABS(N518-ROUND(N518,0))+ABS(O518-ROUND(O518,0))</f>
        <v>0</v>
      </c>
      <c r="Y518" s="3">
        <f>IF(A518&lt;入力!$B$15,ABS(G518-何もしない_月次!G518),0)</f>
        <v>0</v>
      </c>
      <c r="Z518" s="3">
        <f t="shared" ref="Z518:Z581" si="132">SUM(--ISERROR(A518),--ISERROR(B518),--ISERROR(C518),--ISERROR(D518),--ISERROR(E518),--ISERROR(F518),--ISERROR(G518),--ISERROR(H518),--ISERROR(I518),--ISERROR(J518),--ISERROR(K518),--ISERROR(L518),--ISERROR(M518),--ISERROR(N518),--ISERROR(O518),--ISERROR(P518),--ISERROR(Q518),--ISERROR(R518),--ISERROR(S518),--ISERROR(T518))</f>
        <v>0</v>
      </c>
      <c r="AA518">
        <f>ROUND(IF(A518=入力!$B$15+1,IF(E518=0,ROUND(C518/入力!$B$19,0),ROUND(-PMT(E518/12,入力!$B$19,C518),0)),IF(OR(AND(入力!$B$13="有効",A518&gt;1,MOD(A518-1,60)=0),AND(A518=入力!$B$11,A518&gt;1)),IF(入力!$B$14="有効",MIN(IF(E518=0,ROUND(C518/MAX(1,S517-A518+1),0),ROUND(-PMT(E518/12,MAX(1,S517-A518+1),C518),0)),ROUND(G517*1.25,0)),IF(E518=0,ROUND(C518/MAX(1,S517-A518+1),0),ROUND(-PMT(E518/12,MAX(1,S517-A518+1),C518),0))),G517)),0)</f>
        <v>0</v>
      </c>
    </row>
    <row r="519" spans="1:27">
      <c r="A519" s="30">
        <f>514</f>
        <v>514</v>
      </c>
      <c r="B519" s="31">
        <f>EDATE(入力!$B$6,A519-1)</f>
        <v>61849</v>
      </c>
      <c r="C519" s="32">
        <f t="shared" ref="C519:C582" si="133">IF(AND(T518="",A519&lt;=S518),N518,0)</f>
        <v>0</v>
      </c>
      <c r="D519" s="32">
        <f t="shared" ref="D519:D582" si="134">IF(AND(T518="",A519&lt;=S518),K518,0)</f>
        <v>0</v>
      </c>
      <c r="E519" s="33">
        <f>IF(AND(T518="",A519&lt;=S518),IF(A519&lt;入力!$B$11,入力!$B$10,入力!$B$12),0)</f>
        <v>0</v>
      </c>
      <c r="F519" s="32">
        <f t="shared" ref="F519:F582" si="135">IF(AND(T518="",A519&lt;=S518),ROUND(C519*E519/12,0),0)</f>
        <v>0</v>
      </c>
      <c r="G519" s="32">
        <f>ROUND(IF(NOT(AND(T518="",A519&lt;=S518)),0,IF(A519=入力!$B$15+1,IF(E519=0,ROUND(C519/入力!$B$19,0),ROUND(-PMT(E519/12,入力!$B$19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),0)</f>
        <v>0</v>
      </c>
      <c r="H519" s="32">
        <f t="shared" ref="H519:H582" si="136">IF(AND(T518="",A519&lt;=S518),ROUND(MIN(G519,C519+D519+F519),0),0)</f>
        <v>0</v>
      </c>
      <c r="I519" s="32">
        <f t="shared" ref="I519:I582" si="137">IF(AND(T518="",A519&lt;=S518),ROUND(MIN(H519,D519+F519),0),0)</f>
        <v>0</v>
      </c>
      <c r="J519" s="32">
        <f t="shared" ref="J519:J582" si="138">IF(AND(T518="",A519&lt;=S518),ROUND(F519-I519,0),0)</f>
        <v>0</v>
      </c>
      <c r="K519" s="32">
        <f t="shared" ref="K519:K582" si="139">IF(AND(T518="",A519&lt;=S518),ROUND(D519+J519,0),0)</f>
        <v>0</v>
      </c>
      <c r="L519" s="32">
        <f t="shared" ref="L519:L582" si="140">IF(AND(T518="",A519&lt;=S518),ROUND(H519-I519,0),0)</f>
        <v>0</v>
      </c>
      <c r="M519" s="32">
        <f>IF(AND(AND(T518="",A519&lt;=S518),A519=入力!$B$15),ROUND(MIN(入力!$B$16,MAX(0,C519-L519)),0),0)</f>
        <v>0</v>
      </c>
      <c r="N519" s="32">
        <f t="shared" ref="N519:N582" si="141">IF(AND(T518="",A519&lt;=S518),ROUND(MAX(0,C519-L519-M519),0),0)</f>
        <v>0</v>
      </c>
      <c r="O519" s="32">
        <f t="shared" ref="O519:O582" si="142">IF(AND(T518="",A519&lt;=S518),ROUND(O518+F519,0),O518)</f>
        <v>10751874</v>
      </c>
      <c r="P519" s="34" t="str">
        <f>IF(NOT(AND(T518="",A519&lt;=S518)),"",IF(A519=入力!$B$15+1,"繰上返済後再計算","")&amp;IF(AND(入力!$B$13="有効",A519&gt;1,MOD(A519-1,60)=0),IF(A519=入力!$B$15+1,"・","")&amp;"5年見直し","")&amp;IF(AND(A519=入力!$B$11,A519&gt;1),IF(OR(A519=入力!$B$15+1,AND(入力!$B$13="有効",A519&gt;1,MOD(A519-1,60)=0)),"・","")&amp;"金利変更","")&amp;IF(AND(OR(AND(入力!$B$13="有効",A519&gt;1,MOD(A519-1,60)=0),AND(A519=入力!$B$11,A519&gt;1)),入力!$B$14="有効",IF(E519=0,ROUND(C519/MAX(1,S518-A519+1),0),ROUND(-PMT(E519/12,MAX(1,S518-A519+1),C519),0))&gt;ROUND(G518*1.25,0),NOT(A519=入力!$B$15+1)),"・上限適用",""))</f>
        <v/>
      </c>
      <c r="Q519" s="35" t="str">
        <f>IF(AND(T518="",A519&lt;=S518),入力!$B$13,"")</f>
        <v/>
      </c>
      <c r="R519" s="32" t="str">
        <f>IF(AND(AND(T518="",A519&lt;=S518),OR(AND(入力!$B$13="有効",A519&gt;1,MOD(A519-1,60)=0),AND(A519=入力!$B$11,A519&gt;1)),入力!$B$14="有効"),ROUND(G518*1.25,0),"")</f>
        <v/>
      </c>
      <c r="S519" s="36">
        <f>IF(A519=入力!$B$15,A519+入力!$B$19,S518)</f>
        <v>360</v>
      </c>
      <c r="T519" s="35" t="str">
        <f t="shared" ref="T519:T582" si="143">IF(NOT(AND(T518="",A519&lt;=S518)),"",IF(AND(N519=0,K519=0),"完済",IF(A519=S519,"最終回清算","")))</f>
        <v/>
      </c>
      <c r="U519" s="3">
        <f t="shared" si="128"/>
        <v>0</v>
      </c>
      <c r="V519" s="3">
        <f t="shared" si="129"/>
        <v>0</v>
      </c>
      <c r="W519" s="3">
        <f t="shared" si="130"/>
        <v>0</v>
      </c>
      <c r="X519" s="3">
        <f t="shared" si="131"/>
        <v>0</v>
      </c>
      <c r="Y519" s="3">
        <f>IF(A519&lt;入力!$B$15,ABS(G519-何もしない_月次!G519),0)</f>
        <v>0</v>
      </c>
      <c r="Z519" s="3">
        <f t="shared" si="132"/>
        <v>0</v>
      </c>
      <c r="AA519">
        <f>ROUND(IF(A519=入力!$B$15+1,IF(E519=0,ROUND(C519/入力!$B$19,0),ROUND(-PMT(E519/12,入力!$B$19,C519),0)),IF(OR(AND(入力!$B$13="有効",A519&gt;1,MOD(A519-1,60)=0),AND(A519=入力!$B$11,A519&gt;1)),IF(入力!$B$14="有効",MIN(IF(E519=0,ROUND(C519/MAX(1,S518-A519+1),0),ROUND(-PMT(E519/12,MAX(1,S518-A519+1),C519),0)),ROUND(G518*1.25,0)),IF(E519=0,ROUND(C519/MAX(1,S518-A519+1),0),ROUND(-PMT(E519/12,MAX(1,S518-A519+1),C519),0))),G518)),0)</f>
        <v>0</v>
      </c>
    </row>
    <row r="520" spans="1:27">
      <c r="A520" s="30">
        <f>515</f>
        <v>515</v>
      </c>
      <c r="B520" s="31">
        <f>EDATE(入力!$B$6,A520-1)</f>
        <v>61880</v>
      </c>
      <c r="C520" s="32">
        <f t="shared" si="133"/>
        <v>0</v>
      </c>
      <c r="D520" s="32">
        <f t="shared" si="134"/>
        <v>0</v>
      </c>
      <c r="E520" s="33">
        <f>IF(AND(T519="",A520&lt;=S519),IF(A520&lt;入力!$B$11,入力!$B$10,入力!$B$12),0)</f>
        <v>0</v>
      </c>
      <c r="F520" s="32">
        <f t="shared" si="135"/>
        <v>0</v>
      </c>
      <c r="G520" s="32">
        <f>ROUND(IF(NOT(AND(T519="",A520&lt;=S519)),0,IF(A520=入力!$B$15+1,IF(E520=0,ROUND(C520/入力!$B$19,0),ROUND(-PMT(E520/12,入力!$B$19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),0)</f>
        <v>0</v>
      </c>
      <c r="H520" s="32">
        <f t="shared" si="136"/>
        <v>0</v>
      </c>
      <c r="I520" s="32">
        <f t="shared" si="137"/>
        <v>0</v>
      </c>
      <c r="J520" s="32">
        <f t="shared" si="138"/>
        <v>0</v>
      </c>
      <c r="K520" s="32">
        <f t="shared" si="139"/>
        <v>0</v>
      </c>
      <c r="L520" s="32">
        <f t="shared" si="140"/>
        <v>0</v>
      </c>
      <c r="M520" s="32">
        <f>IF(AND(AND(T519="",A520&lt;=S519),A520=入力!$B$15),ROUND(MIN(入力!$B$16,MAX(0,C520-L520)),0),0)</f>
        <v>0</v>
      </c>
      <c r="N520" s="32">
        <f t="shared" si="141"/>
        <v>0</v>
      </c>
      <c r="O520" s="32">
        <f t="shared" si="142"/>
        <v>10751874</v>
      </c>
      <c r="P520" s="34" t="str">
        <f>IF(NOT(AND(T519="",A520&lt;=S519)),"",IF(A520=入力!$B$15+1,"繰上返済後再計算","")&amp;IF(AND(入力!$B$13="有効",A520&gt;1,MOD(A520-1,60)=0),IF(A520=入力!$B$15+1,"・","")&amp;"5年見直し","")&amp;IF(AND(A520=入力!$B$11,A520&gt;1),IF(OR(A520=入力!$B$15+1,AND(入力!$B$13="有効",A520&gt;1,MOD(A520-1,60)=0)),"・","")&amp;"金利変更","")&amp;IF(AND(OR(AND(入力!$B$13="有効",A520&gt;1,MOD(A520-1,60)=0),AND(A520=入力!$B$11,A520&gt;1)),入力!$B$14="有効",IF(E520=0,ROUND(C520/MAX(1,S519-A520+1),0),ROUND(-PMT(E520/12,MAX(1,S519-A520+1),C520),0))&gt;ROUND(G519*1.25,0),NOT(A520=入力!$B$15+1)),"・上限適用",""))</f>
        <v/>
      </c>
      <c r="Q520" s="35" t="str">
        <f>IF(AND(T519="",A520&lt;=S519),入力!$B$13,"")</f>
        <v/>
      </c>
      <c r="R520" s="32" t="str">
        <f>IF(AND(AND(T519="",A520&lt;=S519),OR(AND(入力!$B$13="有効",A520&gt;1,MOD(A520-1,60)=0),AND(A520=入力!$B$11,A520&gt;1)),入力!$B$14="有効"),ROUND(G519*1.25,0),"")</f>
        <v/>
      </c>
      <c r="S520" s="36">
        <f>IF(A520=入力!$B$15,A520+入力!$B$19,S519)</f>
        <v>360</v>
      </c>
      <c r="T520" s="35" t="str">
        <f t="shared" si="143"/>
        <v/>
      </c>
      <c r="U520" s="3">
        <f t="shared" si="128"/>
        <v>0</v>
      </c>
      <c r="V520" s="3">
        <f t="shared" si="129"/>
        <v>0</v>
      </c>
      <c r="W520" s="3">
        <f t="shared" si="130"/>
        <v>0</v>
      </c>
      <c r="X520" s="3">
        <f t="shared" si="131"/>
        <v>0</v>
      </c>
      <c r="Y520" s="3">
        <f>IF(A520&lt;入力!$B$15,ABS(G520-何もしない_月次!G520),0)</f>
        <v>0</v>
      </c>
      <c r="Z520" s="3">
        <f t="shared" si="132"/>
        <v>0</v>
      </c>
      <c r="AA520">
        <f>ROUND(IF(A520=入力!$B$15+1,IF(E520=0,ROUND(C520/入力!$B$19,0),ROUND(-PMT(E520/12,入力!$B$19,C520),0)),IF(OR(AND(入力!$B$13="有効",A520&gt;1,MOD(A520-1,60)=0),AND(A520=入力!$B$11,A520&gt;1)),IF(入力!$B$14="有効",MIN(IF(E520=0,ROUND(C520/MAX(1,S519-A520+1),0),ROUND(-PMT(E520/12,MAX(1,S519-A520+1),C520),0)),ROUND(G519*1.25,0)),IF(E520=0,ROUND(C520/MAX(1,S519-A520+1),0),ROUND(-PMT(E520/12,MAX(1,S519-A520+1),C520),0))),G519)),0)</f>
        <v>0</v>
      </c>
    </row>
    <row r="521" spans="1:27">
      <c r="A521" s="30">
        <f>516</f>
        <v>516</v>
      </c>
      <c r="B521" s="31">
        <f>EDATE(入力!$B$6,A521-1)</f>
        <v>61910</v>
      </c>
      <c r="C521" s="32">
        <f t="shared" si="133"/>
        <v>0</v>
      </c>
      <c r="D521" s="32">
        <f t="shared" si="134"/>
        <v>0</v>
      </c>
      <c r="E521" s="33">
        <f>IF(AND(T520="",A521&lt;=S520),IF(A521&lt;入力!$B$11,入力!$B$10,入力!$B$12),0)</f>
        <v>0</v>
      </c>
      <c r="F521" s="32">
        <f t="shared" si="135"/>
        <v>0</v>
      </c>
      <c r="G521" s="32">
        <f>ROUND(IF(NOT(AND(T520="",A521&lt;=S520)),0,IF(A521=入力!$B$15+1,IF(E521=0,ROUND(C521/入力!$B$19,0),ROUND(-PMT(E521/12,入力!$B$19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),0)</f>
        <v>0</v>
      </c>
      <c r="H521" s="32">
        <f t="shared" si="136"/>
        <v>0</v>
      </c>
      <c r="I521" s="32">
        <f t="shared" si="137"/>
        <v>0</v>
      </c>
      <c r="J521" s="32">
        <f t="shared" si="138"/>
        <v>0</v>
      </c>
      <c r="K521" s="32">
        <f t="shared" si="139"/>
        <v>0</v>
      </c>
      <c r="L521" s="32">
        <f t="shared" si="140"/>
        <v>0</v>
      </c>
      <c r="M521" s="32">
        <f>IF(AND(AND(T520="",A521&lt;=S520),A521=入力!$B$15),ROUND(MIN(入力!$B$16,MAX(0,C521-L521)),0),0)</f>
        <v>0</v>
      </c>
      <c r="N521" s="32">
        <f t="shared" si="141"/>
        <v>0</v>
      </c>
      <c r="O521" s="32">
        <f t="shared" si="142"/>
        <v>10751874</v>
      </c>
      <c r="P521" s="34" t="str">
        <f>IF(NOT(AND(T520="",A521&lt;=S520)),"",IF(A521=入力!$B$15+1,"繰上返済後再計算","")&amp;IF(AND(入力!$B$13="有効",A521&gt;1,MOD(A521-1,60)=0),IF(A521=入力!$B$15+1,"・","")&amp;"5年見直し","")&amp;IF(AND(A521=入力!$B$11,A521&gt;1),IF(OR(A521=入力!$B$15+1,AND(入力!$B$13="有効",A521&gt;1,MOD(A521-1,60)=0)),"・","")&amp;"金利変更","")&amp;IF(AND(OR(AND(入力!$B$13="有効",A521&gt;1,MOD(A521-1,60)=0),AND(A521=入力!$B$11,A521&gt;1)),入力!$B$14="有効",IF(E521=0,ROUND(C521/MAX(1,S520-A521+1),0),ROUND(-PMT(E521/12,MAX(1,S520-A521+1),C521),0))&gt;ROUND(G520*1.25,0),NOT(A521=入力!$B$15+1)),"・上限適用",""))</f>
        <v/>
      </c>
      <c r="Q521" s="35" t="str">
        <f>IF(AND(T520="",A521&lt;=S520),入力!$B$13,"")</f>
        <v/>
      </c>
      <c r="R521" s="32" t="str">
        <f>IF(AND(AND(T520="",A521&lt;=S520),OR(AND(入力!$B$13="有効",A521&gt;1,MOD(A521-1,60)=0),AND(A521=入力!$B$11,A521&gt;1)),入力!$B$14="有効"),ROUND(G520*1.25,0),"")</f>
        <v/>
      </c>
      <c r="S521" s="36">
        <f>IF(A521=入力!$B$15,A521+入力!$B$19,S520)</f>
        <v>360</v>
      </c>
      <c r="T521" s="35" t="str">
        <f t="shared" si="143"/>
        <v/>
      </c>
      <c r="U521" s="3">
        <f t="shared" si="128"/>
        <v>0</v>
      </c>
      <c r="V521" s="3">
        <f t="shared" si="129"/>
        <v>0</v>
      </c>
      <c r="W521" s="3">
        <f t="shared" si="130"/>
        <v>0</v>
      </c>
      <c r="X521" s="3">
        <f t="shared" si="131"/>
        <v>0</v>
      </c>
      <c r="Y521" s="3">
        <f>IF(A521&lt;入力!$B$15,ABS(G521-何もしない_月次!G521),0)</f>
        <v>0</v>
      </c>
      <c r="Z521" s="3">
        <f t="shared" si="132"/>
        <v>0</v>
      </c>
      <c r="AA521">
        <f>ROUND(IF(A521=入力!$B$15+1,IF(E521=0,ROUND(C521/入力!$B$19,0),ROUND(-PMT(E521/12,入力!$B$19,C521),0)),IF(OR(AND(入力!$B$13="有効",A521&gt;1,MOD(A521-1,60)=0),AND(A521=入力!$B$11,A521&gt;1)),IF(入力!$B$14="有効",MIN(IF(E521=0,ROUND(C521/MAX(1,S520-A521+1),0),ROUND(-PMT(E521/12,MAX(1,S520-A521+1),C521),0)),ROUND(G520*1.25,0)),IF(E521=0,ROUND(C521/MAX(1,S520-A521+1),0),ROUND(-PMT(E521/12,MAX(1,S520-A521+1),C521),0))),G520)),0)</f>
        <v>0</v>
      </c>
    </row>
    <row r="522" spans="1:27">
      <c r="A522" s="30">
        <f>517</f>
        <v>517</v>
      </c>
      <c r="B522" s="31">
        <f>EDATE(入力!$B$6,A522-1)</f>
        <v>61941</v>
      </c>
      <c r="C522" s="32">
        <f t="shared" si="133"/>
        <v>0</v>
      </c>
      <c r="D522" s="32">
        <f t="shared" si="134"/>
        <v>0</v>
      </c>
      <c r="E522" s="33">
        <f>IF(AND(T521="",A522&lt;=S521),IF(A522&lt;入力!$B$11,入力!$B$10,入力!$B$12),0)</f>
        <v>0</v>
      </c>
      <c r="F522" s="32">
        <f t="shared" si="135"/>
        <v>0</v>
      </c>
      <c r="G522" s="32">
        <f>ROUND(IF(NOT(AND(T521="",A522&lt;=S521)),0,IF(A522=入力!$B$15+1,IF(E522=0,ROUND(C522/入力!$B$19,0),ROUND(-PMT(E522/12,入力!$B$19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),0)</f>
        <v>0</v>
      </c>
      <c r="H522" s="32">
        <f t="shared" si="136"/>
        <v>0</v>
      </c>
      <c r="I522" s="32">
        <f t="shared" si="137"/>
        <v>0</v>
      </c>
      <c r="J522" s="32">
        <f t="shared" si="138"/>
        <v>0</v>
      </c>
      <c r="K522" s="32">
        <f t="shared" si="139"/>
        <v>0</v>
      </c>
      <c r="L522" s="32">
        <f t="shared" si="140"/>
        <v>0</v>
      </c>
      <c r="M522" s="32">
        <f>IF(AND(AND(T521="",A522&lt;=S521),A522=入力!$B$15),ROUND(MIN(入力!$B$16,MAX(0,C522-L522)),0),0)</f>
        <v>0</v>
      </c>
      <c r="N522" s="32">
        <f t="shared" si="141"/>
        <v>0</v>
      </c>
      <c r="O522" s="32">
        <f t="shared" si="142"/>
        <v>10751874</v>
      </c>
      <c r="P522" s="34" t="str">
        <f>IF(NOT(AND(T521="",A522&lt;=S521)),"",IF(A522=入力!$B$15+1,"繰上返済後再計算","")&amp;IF(AND(入力!$B$13="有効",A522&gt;1,MOD(A522-1,60)=0),IF(A522=入力!$B$15+1,"・","")&amp;"5年見直し","")&amp;IF(AND(A522=入力!$B$11,A522&gt;1),IF(OR(A522=入力!$B$15+1,AND(入力!$B$13="有効",A522&gt;1,MOD(A522-1,60)=0)),"・","")&amp;"金利変更","")&amp;IF(AND(OR(AND(入力!$B$13="有効",A522&gt;1,MOD(A522-1,60)=0),AND(A522=入力!$B$11,A522&gt;1)),入力!$B$14="有効",IF(E522=0,ROUND(C522/MAX(1,S521-A522+1),0),ROUND(-PMT(E522/12,MAX(1,S521-A522+1),C522),0))&gt;ROUND(G521*1.25,0),NOT(A522=入力!$B$15+1)),"・上限適用",""))</f>
        <v/>
      </c>
      <c r="Q522" s="35" t="str">
        <f>IF(AND(T521="",A522&lt;=S521),入力!$B$13,"")</f>
        <v/>
      </c>
      <c r="R522" s="32" t="str">
        <f>IF(AND(AND(T521="",A522&lt;=S521),OR(AND(入力!$B$13="有効",A522&gt;1,MOD(A522-1,60)=0),AND(A522=入力!$B$11,A522&gt;1)),入力!$B$14="有効"),ROUND(G521*1.25,0),"")</f>
        <v/>
      </c>
      <c r="S522" s="36">
        <f>IF(A522=入力!$B$15,A522+入力!$B$19,S521)</f>
        <v>360</v>
      </c>
      <c r="T522" s="35" t="str">
        <f t="shared" si="143"/>
        <v/>
      </c>
      <c r="U522" s="3">
        <f t="shared" si="128"/>
        <v>0</v>
      </c>
      <c r="V522" s="3">
        <f t="shared" si="129"/>
        <v>0</v>
      </c>
      <c r="W522" s="3">
        <f t="shared" si="130"/>
        <v>0</v>
      </c>
      <c r="X522" s="3">
        <f t="shared" si="131"/>
        <v>0</v>
      </c>
      <c r="Y522" s="3">
        <f>IF(A522&lt;入力!$B$15,ABS(G522-何もしない_月次!G522),0)</f>
        <v>0</v>
      </c>
      <c r="Z522" s="3">
        <f t="shared" si="132"/>
        <v>0</v>
      </c>
      <c r="AA522">
        <f>ROUND(IF(A522=入力!$B$15+1,IF(E522=0,ROUND(C522/入力!$B$19,0),ROUND(-PMT(E522/12,入力!$B$19,C522),0)),IF(OR(AND(入力!$B$13="有効",A522&gt;1,MOD(A522-1,60)=0),AND(A522=入力!$B$11,A522&gt;1)),IF(入力!$B$14="有効",MIN(IF(E522=0,ROUND(C522/MAX(1,S521-A522+1),0),ROUND(-PMT(E522/12,MAX(1,S521-A522+1),C522),0)),ROUND(G521*1.25,0)),IF(E522=0,ROUND(C522/MAX(1,S521-A522+1),0),ROUND(-PMT(E522/12,MAX(1,S521-A522+1),C522),0))),G521)),0)</f>
        <v>0</v>
      </c>
    </row>
    <row r="523" spans="1:27">
      <c r="A523" s="30">
        <f>518</f>
        <v>518</v>
      </c>
      <c r="B523" s="31">
        <f>EDATE(入力!$B$6,A523-1)</f>
        <v>61972</v>
      </c>
      <c r="C523" s="32">
        <f t="shared" si="133"/>
        <v>0</v>
      </c>
      <c r="D523" s="32">
        <f t="shared" si="134"/>
        <v>0</v>
      </c>
      <c r="E523" s="33">
        <f>IF(AND(T522="",A523&lt;=S522),IF(A523&lt;入力!$B$11,入力!$B$10,入力!$B$12),0)</f>
        <v>0</v>
      </c>
      <c r="F523" s="32">
        <f t="shared" si="135"/>
        <v>0</v>
      </c>
      <c r="G523" s="32">
        <f>ROUND(IF(NOT(AND(T522="",A523&lt;=S522)),0,IF(A523=入力!$B$15+1,IF(E523=0,ROUND(C523/入力!$B$19,0),ROUND(-PMT(E523/12,入力!$B$19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),0)</f>
        <v>0</v>
      </c>
      <c r="H523" s="32">
        <f t="shared" si="136"/>
        <v>0</v>
      </c>
      <c r="I523" s="32">
        <f t="shared" si="137"/>
        <v>0</v>
      </c>
      <c r="J523" s="32">
        <f t="shared" si="138"/>
        <v>0</v>
      </c>
      <c r="K523" s="32">
        <f t="shared" si="139"/>
        <v>0</v>
      </c>
      <c r="L523" s="32">
        <f t="shared" si="140"/>
        <v>0</v>
      </c>
      <c r="M523" s="32">
        <f>IF(AND(AND(T522="",A523&lt;=S522),A523=入力!$B$15),ROUND(MIN(入力!$B$16,MAX(0,C523-L523)),0),0)</f>
        <v>0</v>
      </c>
      <c r="N523" s="32">
        <f t="shared" si="141"/>
        <v>0</v>
      </c>
      <c r="O523" s="32">
        <f t="shared" si="142"/>
        <v>10751874</v>
      </c>
      <c r="P523" s="34" t="str">
        <f>IF(NOT(AND(T522="",A523&lt;=S522)),"",IF(A523=入力!$B$15+1,"繰上返済後再計算","")&amp;IF(AND(入力!$B$13="有効",A523&gt;1,MOD(A523-1,60)=0),IF(A523=入力!$B$15+1,"・","")&amp;"5年見直し","")&amp;IF(AND(A523=入力!$B$11,A523&gt;1),IF(OR(A523=入力!$B$15+1,AND(入力!$B$13="有効",A523&gt;1,MOD(A523-1,60)=0)),"・","")&amp;"金利変更","")&amp;IF(AND(OR(AND(入力!$B$13="有効",A523&gt;1,MOD(A523-1,60)=0),AND(A523=入力!$B$11,A523&gt;1)),入力!$B$14="有効",IF(E523=0,ROUND(C523/MAX(1,S522-A523+1),0),ROUND(-PMT(E523/12,MAX(1,S522-A523+1),C523),0))&gt;ROUND(G522*1.25,0),NOT(A523=入力!$B$15+1)),"・上限適用",""))</f>
        <v/>
      </c>
      <c r="Q523" s="35" t="str">
        <f>IF(AND(T522="",A523&lt;=S522),入力!$B$13,"")</f>
        <v/>
      </c>
      <c r="R523" s="32" t="str">
        <f>IF(AND(AND(T522="",A523&lt;=S522),OR(AND(入力!$B$13="有効",A523&gt;1,MOD(A523-1,60)=0),AND(A523=入力!$B$11,A523&gt;1)),入力!$B$14="有効"),ROUND(G522*1.25,0),"")</f>
        <v/>
      </c>
      <c r="S523" s="36">
        <f>IF(A523=入力!$B$15,A523+入力!$B$19,S522)</f>
        <v>360</v>
      </c>
      <c r="T523" s="35" t="str">
        <f t="shared" si="143"/>
        <v/>
      </c>
      <c r="U523" s="3">
        <f t="shared" si="128"/>
        <v>0</v>
      </c>
      <c r="V523" s="3">
        <f t="shared" si="129"/>
        <v>0</v>
      </c>
      <c r="W523" s="3">
        <f t="shared" si="130"/>
        <v>0</v>
      </c>
      <c r="X523" s="3">
        <f t="shared" si="131"/>
        <v>0</v>
      </c>
      <c r="Y523" s="3">
        <f>IF(A523&lt;入力!$B$15,ABS(G523-何もしない_月次!G523),0)</f>
        <v>0</v>
      </c>
      <c r="Z523" s="3">
        <f t="shared" si="132"/>
        <v>0</v>
      </c>
      <c r="AA523">
        <f>ROUND(IF(A523=入力!$B$15+1,IF(E523=0,ROUND(C523/入力!$B$19,0),ROUND(-PMT(E523/12,入力!$B$19,C523),0)),IF(OR(AND(入力!$B$13="有効",A523&gt;1,MOD(A523-1,60)=0),AND(A523=入力!$B$11,A523&gt;1)),IF(入力!$B$14="有効",MIN(IF(E523=0,ROUND(C523/MAX(1,S522-A523+1),0),ROUND(-PMT(E523/12,MAX(1,S522-A523+1),C523),0)),ROUND(G522*1.25,0)),IF(E523=0,ROUND(C523/MAX(1,S522-A523+1),0),ROUND(-PMT(E523/12,MAX(1,S522-A523+1),C523),0))),G522)),0)</f>
        <v>0</v>
      </c>
    </row>
    <row r="524" spans="1:27">
      <c r="A524" s="30">
        <f>519</f>
        <v>519</v>
      </c>
      <c r="B524" s="31">
        <f>EDATE(入力!$B$6,A524-1)</f>
        <v>62002</v>
      </c>
      <c r="C524" s="32">
        <f t="shared" si="133"/>
        <v>0</v>
      </c>
      <c r="D524" s="32">
        <f t="shared" si="134"/>
        <v>0</v>
      </c>
      <c r="E524" s="33">
        <f>IF(AND(T523="",A524&lt;=S523),IF(A524&lt;入力!$B$11,入力!$B$10,入力!$B$12),0)</f>
        <v>0</v>
      </c>
      <c r="F524" s="32">
        <f t="shared" si="135"/>
        <v>0</v>
      </c>
      <c r="G524" s="32">
        <f>ROUND(IF(NOT(AND(T523="",A524&lt;=S523)),0,IF(A524=入力!$B$15+1,IF(E524=0,ROUND(C524/入力!$B$19,0),ROUND(-PMT(E524/12,入力!$B$19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),0)</f>
        <v>0</v>
      </c>
      <c r="H524" s="32">
        <f t="shared" si="136"/>
        <v>0</v>
      </c>
      <c r="I524" s="32">
        <f t="shared" si="137"/>
        <v>0</v>
      </c>
      <c r="J524" s="32">
        <f t="shared" si="138"/>
        <v>0</v>
      </c>
      <c r="K524" s="32">
        <f t="shared" si="139"/>
        <v>0</v>
      </c>
      <c r="L524" s="32">
        <f t="shared" si="140"/>
        <v>0</v>
      </c>
      <c r="M524" s="32">
        <f>IF(AND(AND(T523="",A524&lt;=S523),A524=入力!$B$15),ROUND(MIN(入力!$B$16,MAX(0,C524-L524)),0),0)</f>
        <v>0</v>
      </c>
      <c r="N524" s="32">
        <f t="shared" si="141"/>
        <v>0</v>
      </c>
      <c r="O524" s="32">
        <f t="shared" si="142"/>
        <v>10751874</v>
      </c>
      <c r="P524" s="34" t="str">
        <f>IF(NOT(AND(T523="",A524&lt;=S523)),"",IF(A524=入力!$B$15+1,"繰上返済後再計算","")&amp;IF(AND(入力!$B$13="有効",A524&gt;1,MOD(A524-1,60)=0),IF(A524=入力!$B$15+1,"・","")&amp;"5年見直し","")&amp;IF(AND(A524=入力!$B$11,A524&gt;1),IF(OR(A524=入力!$B$15+1,AND(入力!$B$13="有効",A524&gt;1,MOD(A524-1,60)=0)),"・","")&amp;"金利変更","")&amp;IF(AND(OR(AND(入力!$B$13="有効",A524&gt;1,MOD(A524-1,60)=0),AND(A524=入力!$B$11,A524&gt;1)),入力!$B$14="有効",IF(E524=0,ROUND(C524/MAX(1,S523-A524+1),0),ROUND(-PMT(E524/12,MAX(1,S523-A524+1),C524),0))&gt;ROUND(G523*1.25,0),NOT(A524=入力!$B$15+1)),"・上限適用",""))</f>
        <v/>
      </c>
      <c r="Q524" s="35" t="str">
        <f>IF(AND(T523="",A524&lt;=S523),入力!$B$13,"")</f>
        <v/>
      </c>
      <c r="R524" s="32" t="str">
        <f>IF(AND(AND(T523="",A524&lt;=S523),OR(AND(入力!$B$13="有効",A524&gt;1,MOD(A524-1,60)=0),AND(A524=入力!$B$11,A524&gt;1)),入力!$B$14="有効"),ROUND(G523*1.25,0),"")</f>
        <v/>
      </c>
      <c r="S524" s="36">
        <f>IF(A524=入力!$B$15,A524+入力!$B$19,S523)</f>
        <v>360</v>
      </c>
      <c r="T524" s="35" t="str">
        <f t="shared" si="143"/>
        <v/>
      </c>
      <c r="U524" s="3">
        <f t="shared" si="128"/>
        <v>0</v>
      </c>
      <c r="V524" s="3">
        <f t="shared" si="129"/>
        <v>0</v>
      </c>
      <c r="W524" s="3">
        <f t="shared" si="130"/>
        <v>0</v>
      </c>
      <c r="X524" s="3">
        <f t="shared" si="131"/>
        <v>0</v>
      </c>
      <c r="Y524" s="3">
        <f>IF(A524&lt;入力!$B$15,ABS(G524-何もしない_月次!G524),0)</f>
        <v>0</v>
      </c>
      <c r="Z524" s="3">
        <f t="shared" si="132"/>
        <v>0</v>
      </c>
      <c r="AA524">
        <f>ROUND(IF(A524=入力!$B$15+1,IF(E524=0,ROUND(C524/入力!$B$19,0),ROUND(-PMT(E524/12,入力!$B$19,C524),0)),IF(OR(AND(入力!$B$13="有効",A524&gt;1,MOD(A524-1,60)=0),AND(A524=入力!$B$11,A524&gt;1)),IF(入力!$B$14="有効",MIN(IF(E524=0,ROUND(C524/MAX(1,S523-A524+1),0),ROUND(-PMT(E524/12,MAX(1,S523-A524+1),C524),0)),ROUND(G523*1.25,0)),IF(E524=0,ROUND(C524/MAX(1,S523-A524+1),0),ROUND(-PMT(E524/12,MAX(1,S523-A524+1),C524),0))),G523)),0)</f>
        <v>0</v>
      </c>
    </row>
    <row r="525" spans="1:27">
      <c r="A525" s="30">
        <f>520</f>
        <v>520</v>
      </c>
      <c r="B525" s="31">
        <f>EDATE(入力!$B$6,A525-1)</f>
        <v>62033</v>
      </c>
      <c r="C525" s="32">
        <f t="shared" si="133"/>
        <v>0</v>
      </c>
      <c r="D525" s="32">
        <f t="shared" si="134"/>
        <v>0</v>
      </c>
      <c r="E525" s="33">
        <f>IF(AND(T524="",A525&lt;=S524),IF(A525&lt;入力!$B$11,入力!$B$10,入力!$B$12),0)</f>
        <v>0</v>
      </c>
      <c r="F525" s="32">
        <f t="shared" si="135"/>
        <v>0</v>
      </c>
      <c r="G525" s="32">
        <f>ROUND(IF(NOT(AND(T524="",A525&lt;=S524)),0,IF(A525=入力!$B$15+1,IF(E525=0,ROUND(C525/入力!$B$19,0),ROUND(-PMT(E525/12,入力!$B$19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),0)</f>
        <v>0</v>
      </c>
      <c r="H525" s="32">
        <f t="shared" si="136"/>
        <v>0</v>
      </c>
      <c r="I525" s="32">
        <f t="shared" si="137"/>
        <v>0</v>
      </c>
      <c r="J525" s="32">
        <f t="shared" si="138"/>
        <v>0</v>
      </c>
      <c r="K525" s="32">
        <f t="shared" si="139"/>
        <v>0</v>
      </c>
      <c r="L525" s="32">
        <f t="shared" si="140"/>
        <v>0</v>
      </c>
      <c r="M525" s="32">
        <f>IF(AND(AND(T524="",A525&lt;=S524),A525=入力!$B$15),ROUND(MIN(入力!$B$16,MAX(0,C525-L525)),0),0)</f>
        <v>0</v>
      </c>
      <c r="N525" s="32">
        <f t="shared" si="141"/>
        <v>0</v>
      </c>
      <c r="O525" s="32">
        <f t="shared" si="142"/>
        <v>10751874</v>
      </c>
      <c r="P525" s="34" t="str">
        <f>IF(NOT(AND(T524="",A525&lt;=S524)),"",IF(A525=入力!$B$15+1,"繰上返済後再計算","")&amp;IF(AND(入力!$B$13="有効",A525&gt;1,MOD(A525-1,60)=0),IF(A525=入力!$B$15+1,"・","")&amp;"5年見直し","")&amp;IF(AND(A525=入力!$B$11,A525&gt;1),IF(OR(A525=入力!$B$15+1,AND(入力!$B$13="有効",A525&gt;1,MOD(A525-1,60)=0)),"・","")&amp;"金利変更","")&amp;IF(AND(OR(AND(入力!$B$13="有効",A525&gt;1,MOD(A525-1,60)=0),AND(A525=入力!$B$11,A525&gt;1)),入力!$B$14="有効",IF(E525=0,ROUND(C525/MAX(1,S524-A525+1),0),ROUND(-PMT(E525/12,MAX(1,S524-A525+1),C525),0))&gt;ROUND(G524*1.25,0),NOT(A525=入力!$B$15+1)),"・上限適用",""))</f>
        <v/>
      </c>
      <c r="Q525" s="35" t="str">
        <f>IF(AND(T524="",A525&lt;=S524),入力!$B$13,"")</f>
        <v/>
      </c>
      <c r="R525" s="32" t="str">
        <f>IF(AND(AND(T524="",A525&lt;=S524),OR(AND(入力!$B$13="有効",A525&gt;1,MOD(A525-1,60)=0),AND(A525=入力!$B$11,A525&gt;1)),入力!$B$14="有効"),ROUND(G524*1.25,0),"")</f>
        <v/>
      </c>
      <c r="S525" s="36">
        <f>IF(A525=入力!$B$15,A525+入力!$B$19,S524)</f>
        <v>360</v>
      </c>
      <c r="T525" s="35" t="str">
        <f t="shared" si="143"/>
        <v/>
      </c>
      <c r="U525" s="3">
        <f t="shared" si="128"/>
        <v>0</v>
      </c>
      <c r="V525" s="3">
        <f t="shared" si="129"/>
        <v>0</v>
      </c>
      <c r="W525" s="3">
        <f t="shared" si="130"/>
        <v>0</v>
      </c>
      <c r="X525" s="3">
        <f t="shared" si="131"/>
        <v>0</v>
      </c>
      <c r="Y525" s="3">
        <f>IF(A525&lt;入力!$B$15,ABS(G525-何もしない_月次!G525),0)</f>
        <v>0</v>
      </c>
      <c r="Z525" s="3">
        <f t="shared" si="132"/>
        <v>0</v>
      </c>
      <c r="AA525">
        <f>ROUND(IF(A525=入力!$B$15+1,IF(E525=0,ROUND(C525/入力!$B$19,0),ROUND(-PMT(E525/12,入力!$B$19,C525),0)),IF(OR(AND(入力!$B$13="有効",A525&gt;1,MOD(A525-1,60)=0),AND(A525=入力!$B$11,A525&gt;1)),IF(入力!$B$14="有効",MIN(IF(E525=0,ROUND(C525/MAX(1,S524-A525+1),0),ROUND(-PMT(E525/12,MAX(1,S524-A525+1),C525),0)),ROUND(G524*1.25,0)),IF(E525=0,ROUND(C525/MAX(1,S524-A525+1),0),ROUND(-PMT(E525/12,MAX(1,S524-A525+1),C525),0))),G524)),0)</f>
        <v>0</v>
      </c>
    </row>
    <row r="526" spans="1:27">
      <c r="A526" s="30">
        <f>521</f>
        <v>521</v>
      </c>
      <c r="B526" s="31">
        <f>EDATE(入力!$B$6,A526-1)</f>
        <v>62063</v>
      </c>
      <c r="C526" s="32">
        <f t="shared" si="133"/>
        <v>0</v>
      </c>
      <c r="D526" s="32">
        <f t="shared" si="134"/>
        <v>0</v>
      </c>
      <c r="E526" s="33">
        <f>IF(AND(T525="",A526&lt;=S525),IF(A526&lt;入力!$B$11,入力!$B$10,入力!$B$12),0)</f>
        <v>0</v>
      </c>
      <c r="F526" s="32">
        <f t="shared" si="135"/>
        <v>0</v>
      </c>
      <c r="G526" s="32">
        <f>ROUND(IF(NOT(AND(T525="",A526&lt;=S525)),0,IF(A526=入力!$B$15+1,IF(E526=0,ROUND(C526/入力!$B$19,0),ROUND(-PMT(E526/12,入力!$B$19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),0)</f>
        <v>0</v>
      </c>
      <c r="H526" s="32">
        <f t="shared" si="136"/>
        <v>0</v>
      </c>
      <c r="I526" s="32">
        <f t="shared" si="137"/>
        <v>0</v>
      </c>
      <c r="J526" s="32">
        <f t="shared" si="138"/>
        <v>0</v>
      </c>
      <c r="K526" s="32">
        <f t="shared" si="139"/>
        <v>0</v>
      </c>
      <c r="L526" s="32">
        <f t="shared" si="140"/>
        <v>0</v>
      </c>
      <c r="M526" s="32">
        <f>IF(AND(AND(T525="",A526&lt;=S525),A526=入力!$B$15),ROUND(MIN(入力!$B$16,MAX(0,C526-L526)),0),0)</f>
        <v>0</v>
      </c>
      <c r="N526" s="32">
        <f t="shared" si="141"/>
        <v>0</v>
      </c>
      <c r="O526" s="32">
        <f t="shared" si="142"/>
        <v>10751874</v>
      </c>
      <c r="P526" s="34" t="str">
        <f>IF(NOT(AND(T525="",A526&lt;=S525)),"",IF(A526=入力!$B$15+1,"繰上返済後再計算","")&amp;IF(AND(入力!$B$13="有効",A526&gt;1,MOD(A526-1,60)=0),IF(A526=入力!$B$15+1,"・","")&amp;"5年見直し","")&amp;IF(AND(A526=入力!$B$11,A526&gt;1),IF(OR(A526=入力!$B$15+1,AND(入力!$B$13="有効",A526&gt;1,MOD(A526-1,60)=0)),"・","")&amp;"金利変更","")&amp;IF(AND(OR(AND(入力!$B$13="有効",A526&gt;1,MOD(A526-1,60)=0),AND(A526=入力!$B$11,A526&gt;1)),入力!$B$14="有効",IF(E526=0,ROUND(C526/MAX(1,S525-A526+1),0),ROUND(-PMT(E526/12,MAX(1,S525-A526+1),C526),0))&gt;ROUND(G525*1.25,0),NOT(A526=入力!$B$15+1)),"・上限適用",""))</f>
        <v/>
      </c>
      <c r="Q526" s="35" t="str">
        <f>IF(AND(T525="",A526&lt;=S525),入力!$B$13,"")</f>
        <v/>
      </c>
      <c r="R526" s="32" t="str">
        <f>IF(AND(AND(T525="",A526&lt;=S525),OR(AND(入力!$B$13="有効",A526&gt;1,MOD(A526-1,60)=0),AND(A526=入力!$B$11,A526&gt;1)),入力!$B$14="有効"),ROUND(G525*1.25,0),"")</f>
        <v/>
      </c>
      <c r="S526" s="36">
        <f>IF(A526=入力!$B$15,A526+入力!$B$19,S525)</f>
        <v>360</v>
      </c>
      <c r="T526" s="35" t="str">
        <f t="shared" si="143"/>
        <v/>
      </c>
      <c r="U526" s="3">
        <f t="shared" si="128"/>
        <v>0</v>
      </c>
      <c r="V526" s="3">
        <f t="shared" si="129"/>
        <v>0</v>
      </c>
      <c r="W526" s="3">
        <f t="shared" si="130"/>
        <v>0</v>
      </c>
      <c r="X526" s="3">
        <f t="shared" si="131"/>
        <v>0</v>
      </c>
      <c r="Y526" s="3">
        <f>IF(A526&lt;入力!$B$15,ABS(G526-何もしない_月次!G526),0)</f>
        <v>0</v>
      </c>
      <c r="Z526" s="3">
        <f t="shared" si="132"/>
        <v>0</v>
      </c>
      <c r="AA526">
        <f>ROUND(IF(A526=入力!$B$15+1,IF(E526=0,ROUND(C526/入力!$B$19,0),ROUND(-PMT(E526/12,入力!$B$19,C526),0)),IF(OR(AND(入力!$B$13="有効",A526&gt;1,MOD(A526-1,60)=0),AND(A526=入力!$B$11,A526&gt;1)),IF(入力!$B$14="有効",MIN(IF(E526=0,ROUND(C526/MAX(1,S525-A526+1),0),ROUND(-PMT(E526/12,MAX(1,S525-A526+1),C526),0)),ROUND(G525*1.25,0)),IF(E526=0,ROUND(C526/MAX(1,S525-A526+1),0),ROUND(-PMT(E526/12,MAX(1,S525-A526+1),C526),0))),G525)),0)</f>
        <v>0</v>
      </c>
    </row>
    <row r="527" spans="1:27">
      <c r="A527" s="30">
        <f>522</f>
        <v>522</v>
      </c>
      <c r="B527" s="31">
        <f>EDATE(入力!$B$6,A527-1)</f>
        <v>62094</v>
      </c>
      <c r="C527" s="32">
        <f t="shared" si="133"/>
        <v>0</v>
      </c>
      <c r="D527" s="32">
        <f t="shared" si="134"/>
        <v>0</v>
      </c>
      <c r="E527" s="33">
        <f>IF(AND(T526="",A527&lt;=S526),IF(A527&lt;入力!$B$11,入力!$B$10,入力!$B$12),0)</f>
        <v>0</v>
      </c>
      <c r="F527" s="32">
        <f t="shared" si="135"/>
        <v>0</v>
      </c>
      <c r="G527" s="32">
        <f>ROUND(IF(NOT(AND(T526="",A527&lt;=S526)),0,IF(A527=入力!$B$15+1,IF(E527=0,ROUND(C527/入力!$B$19,0),ROUND(-PMT(E527/12,入力!$B$19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),0)</f>
        <v>0</v>
      </c>
      <c r="H527" s="32">
        <f t="shared" si="136"/>
        <v>0</v>
      </c>
      <c r="I527" s="32">
        <f t="shared" si="137"/>
        <v>0</v>
      </c>
      <c r="J527" s="32">
        <f t="shared" si="138"/>
        <v>0</v>
      </c>
      <c r="K527" s="32">
        <f t="shared" si="139"/>
        <v>0</v>
      </c>
      <c r="L527" s="32">
        <f t="shared" si="140"/>
        <v>0</v>
      </c>
      <c r="M527" s="32">
        <f>IF(AND(AND(T526="",A527&lt;=S526),A527=入力!$B$15),ROUND(MIN(入力!$B$16,MAX(0,C527-L527)),0),0)</f>
        <v>0</v>
      </c>
      <c r="N527" s="32">
        <f t="shared" si="141"/>
        <v>0</v>
      </c>
      <c r="O527" s="32">
        <f t="shared" si="142"/>
        <v>10751874</v>
      </c>
      <c r="P527" s="34" t="str">
        <f>IF(NOT(AND(T526="",A527&lt;=S526)),"",IF(A527=入力!$B$15+1,"繰上返済後再計算","")&amp;IF(AND(入力!$B$13="有効",A527&gt;1,MOD(A527-1,60)=0),IF(A527=入力!$B$15+1,"・","")&amp;"5年見直し","")&amp;IF(AND(A527=入力!$B$11,A527&gt;1),IF(OR(A527=入力!$B$15+1,AND(入力!$B$13="有効",A527&gt;1,MOD(A527-1,60)=0)),"・","")&amp;"金利変更","")&amp;IF(AND(OR(AND(入力!$B$13="有効",A527&gt;1,MOD(A527-1,60)=0),AND(A527=入力!$B$11,A527&gt;1)),入力!$B$14="有効",IF(E527=0,ROUND(C527/MAX(1,S526-A527+1),0),ROUND(-PMT(E527/12,MAX(1,S526-A527+1),C527),0))&gt;ROUND(G526*1.25,0),NOT(A527=入力!$B$15+1)),"・上限適用",""))</f>
        <v/>
      </c>
      <c r="Q527" s="35" t="str">
        <f>IF(AND(T526="",A527&lt;=S526),入力!$B$13,"")</f>
        <v/>
      </c>
      <c r="R527" s="32" t="str">
        <f>IF(AND(AND(T526="",A527&lt;=S526),OR(AND(入力!$B$13="有効",A527&gt;1,MOD(A527-1,60)=0),AND(A527=入力!$B$11,A527&gt;1)),入力!$B$14="有効"),ROUND(G526*1.25,0),"")</f>
        <v/>
      </c>
      <c r="S527" s="36">
        <f>IF(A527=入力!$B$15,A527+入力!$B$19,S526)</f>
        <v>360</v>
      </c>
      <c r="T527" s="35" t="str">
        <f t="shared" si="143"/>
        <v/>
      </c>
      <c r="U527" s="3">
        <f t="shared" si="128"/>
        <v>0</v>
      </c>
      <c r="V527" s="3">
        <f t="shared" si="129"/>
        <v>0</v>
      </c>
      <c r="W527" s="3">
        <f t="shared" si="130"/>
        <v>0</v>
      </c>
      <c r="X527" s="3">
        <f t="shared" si="131"/>
        <v>0</v>
      </c>
      <c r="Y527" s="3">
        <f>IF(A527&lt;入力!$B$15,ABS(G527-何もしない_月次!G527),0)</f>
        <v>0</v>
      </c>
      <c r="Z527" s="3">
        <f t="shared" si="132"/>
        <v>0</v>
      </c>
      <c r="AA527">
        <f>ROUND(IF(A527=入力!$B$15+1,IF(E527=0,ROUND(C527/入力!$B$19,0),ROUND(-PMT(E527/12,入力!$B$19,C527),0)),IF(OR(AND(入力!$B$13="有効",A527&gt;1,MOD(A527-1,60)=0),AND(A527=入力!$B$11,A527&gt;1)),IF(入力!$B$14="有効",MIN(IF(E527=0,ROUND(C527/MAX(1,S526-A527+1),0),ROUND(-PMT(E527/12,MAX(1,S526-A527+1),C527),0)),ROUND(G526*1.25,0)),IF(E527=0,ROUND(C527/MAX(1,S526-A527+1),0),ROUND(-PMT(E527/12,MAX(1,S526-A527+1),C527),0))),G526)),0)</f>
        <v>0</v>
      </c>
    </row>
    <row r="528" spans="1:27">
      <c r="A528" s="30">
        <f>523</f>
        <v>523</v>
      </c>
      <c r="B528" s="31">
        <f>EDATE(入力!$B$6,A528-1)</f>
        <v>62125</v>
      </c>
      <c r="C528" s="32">
        <f t="shared" si="133"/>
        <v>0</v>
      </c>
      <c r="D528" s="32">
        <f t="shared" si="134"/>
        <v>0</v>
      </c>
      <c r="E528" s="33">
        <f>IF(AND(T527="",A528&lt;=S527),IF(A528&lt;入力!$B$11,入力!$B$10,入力!$B$12),0)</f>
        <v>0</v>
      </c>
      <c r="F528" s="32">
        <f t="shared" si="135"/>
        <v>0</v>
      </c>
      <c r="G528" s="32">
        <f>ROUND(IF(NOT(AND(T527="",A528&lt;=S527)),0,IF(A528=入力!$B$15+1,IF(E528=0,ROUND(C528/入力!$B$19,0),ROUND(-PMT(E528/12,入力!$B$19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),0)</f>
        <v>0</v>
      </c>
      <c r="H528" s="32">
        <f t="shared" si="136"/>
        <v>0</v>
      </c>
      <c r="I528" s="32">
        <f t="shared" si="137"/>
        <v>0</v>
      </c>
      <c r="J528" s="32">
        <f t="shared" si="138"/>
        <v>0</v>
      </c>
      <c r="K528" s="32">
        <f t="shared" si="139"/>
        <v>0</v>
      </c>
      <c r="L528" s="32">
        <f t="shared" si="140"/>
        <v>0</v>
      </c>
      <c r="M528" s="32">
        <f>IF(AND(AND(T527="",A528&lt;=S527),A528=入力!$B$15),ROUND(MIN(入力!$B$16,MAX(0,C528-L528)),0),0)</f>
        <v>0</v>
      </c>
      <c r="N528" s="32">
        <f t="shared" si="141"/>
        <v>0</v>
      </c>
      <c r="O528" s="32">
        <f t="shared" si="142"/>
        <v>10751874</v>
      </c>
      <c r="P528" s="34" t="str">
        <f>IF(NOT(AND(T527="",A528&lt;=S527)),"",IF(A528=入力!$B$15+1,"繰上返済後再計算","")&amp;IF(AND(入力!$B$13="有効",A528&gt;1,MOD(A528-1,60)=0),IF(A528=入力!$B$15+1,"・","")&amp;"5年見直し","")&amp;IF(AND(A528=入力!$B$11,A528&gt;1),IF(OR(A528=入力!$B$15+1,AND(入力!$B$13="有効",A528&gt;1,MOD(A528-1,60)=0)),"・","")&amp;"金利変更","")&amp;IF(AND(OR(AND(入力!$B$13="有効",A528&gt;1,MOD(A528-1,60)=0),AND(A528=入力!$B$11,A528&gt;1)),入力!$B$14="有効",IF(E528=0,ROUND(C528/MAX(1,S527-A528+1),0),ROUND(-PMT(E528/12,MAX(1,S527-A528+1),C528),0))&gt;ROUND(G527*1.25,0),NOT(A528=入力!$B$15+1)),"・上限適用",""))</f>
        <v/>
      </c>
      <c r="Q528" s="35" t="str">
        <f>IF(AND(T527="",A528&lt;=S527),入力!$B$13,"")</f>
        <v/>
      </c>
      <c r="R528" s="32" t="str">
        <f>IF(AND(AND(T527="",A528&lt;=S527),OR(AND(入力!$B$13="有効",A528&gt;1,MOD(A528-1,60)=0),AND(A528=入力!$B$11,A528&gt;1)),入力!$B$14="有効"),ROUND(G527*1.25,0),"")</f>
        <v/>
      </c>
      <c r="S528" s="36">
        <f>IF(A528=入力!$B$15,A528+入力!$B$19,S527)</f>
        <v>360</v>
      </c>
      <c r="T528" s="35" t="str">
        <f t="shared" si="143"/>
        <v/>
      </c>
      <c r="U528" s="3">
        <f t="shared" si="128"/>
        <v>0</v>
      </c>
      <c r="V528" s="3">
        <f t="shared" si="129"/>
        <v>0</v>
      </c>
      <c r="W528" s="3">
        <f t="shared" si="130"/>
        <v>0</v>
      </c>
      <c r="X528" s="3">
        <f t="shared" si="131"/>
        <v>0</v>
      </c>
      <c r="Y528" s="3">
        <f>IF(A528&lt;入力!$B$15,ABS(G528-何もしない_月次!G528),0)</f>
        <v>0</v>
      </c>
      <c r="Z528" s="3">
        <f t="shared" si="132"/>
        <v>0</v>
      </c>
      <c r="AA528">
        <f>ROUND(IF(A528=入力!$B$15+1,IF(E528=0,ROUND(C528/入力!$B$19,0),ROUND(-PMT(E528/12,入力!$B$19,C528),0)),IF(OR(AND(入力!$B$13="有効",A528&gt;1,MOD(A528-1,60)=0),AND(A528=入力!$B$11,A528&gt;1)),IF(入力!$B$14="有効",MIN(IF(E528=0,ROUND(C528/MAX(1,S527-A528+1),0),ROUND(-PMT(E528/12,MAX(1,S527-A528+1),C528),0)),ROUND(G527*1.25,0)),IF(E528=0,ROUND(C528/MAX(1,S527-A528+1),0),ROUND(-PMT(E528/12,MAX(1,S527-A528+1),C528),0))),G527)),0)</f>
        <v>0</v>
      </c>
    </row>
    <row r="529" spans="1:27">
      <c r="A529" s="30">
        <f>524</f>
        <v>524</v>
      </c>
      <c r="B529" s="31">
        <f>EDATE(入力!$B$6,A529-1)</f>
        <v>62153</v>
      </c>
      <c r="C529" s="32">
        <f t="shared" si="133"/>
        <v>0</v>
      </c>
      <c r="D529" s="32">
        <f t="shared" si="134"/>
        <v>0</v>
      </c>
      <c r="E529" s="33">
        <f>IF(AND(T528="",A529&lt;=S528),IF(A529&lt;入力!$B$11,入力!$B$10,入力!$B$12),0)</f>
        <v>0</v>
      </c>
      <c r="F529" s="32">
        <f t="shared" si="135"/>
        <v>0</v>
      </c>
      <c r="G529" s="32">
        <f>ROUND(IF(NOT(AND(T528="",A529&lt;=S528)),0,IF(A529=入力!$B$15+1,IF(E529=0,ROUND(C529/入力!$B$19,0),ROUND(-PMT(E529/12,入力!$B$19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),0)</f>
        <v>0</v>
      </c>
      <c r="H529" s="32">
        <f t="shared" si="136"/>
        <v>0</v>
      </c>
      <c r="I529" s="32">
        <f t="shared" si="137"/>
        <v>0</v>
      </c>
      <c r="J529" s="32">
        <f t="shared" si="138"/>
        <v>0</v>
      </c>
      <c r="K529" s="32">
        <f t="shared" si="139"/>
        <v>0</v>
      </c>
      <c r="L529" s="32">
        <f t="shared" si="140"/>
        <v>0</v>
      </c>
      <c r="M529" s="32">
        <f>IF(AND(AND(T528="",A529&lt;=S528),A529=入力!$B$15),ROUND(MIN(入力!$B$16,MAX(0,C529-L529)),0),0)</f>
        <v>0</v>
      </c>
      <c r="N529" s="32">
        <f t="shared" si="141"/>
        <v>0</v>
      </c>
      <c r="O529" s="32">
        <f t="shared" si="142"/>
        <v>10751874</v>
      </c>
      <c r="P529" s="34" t="str">
        <f>IF(NOT(AND(T528="",A529&lt;=S528)),"",IF(A529=入力!$B$15+1,"繰上返済後再計算","")&amp;IF(AND(入力!$B$13="有効",A529&gt;1,MOD(A529-1,60)=0),IF(A529=入力!$B$15+1,"・","")&amp;"5年見直し","")&amp;IF(AND(A529=入力!$B$11,A529&gt;1),IF(OR(A529=入力!$B$15+1,AND(入力!$B$13="有効",A529&gt;1,MOD(A529-1,60)=0)),"・","")&amp;"金利変更","")&amp;IF(AND(OR(AND(入力!$B$13="有効",A529&gt;1,MOD(A529-1,60)=0),AND(A529=入力!$B$11,A529&gt;1)),入力!$B$14="有効",IF(E529=0,ROUND(C529/MAX(1,S528-A529+1),0),ROUND(-PMT(E529/12,MAX(1,S528-A529+1),C529),0))&gt;ROUND(G528*1.25,0),NOT(A529=入力!$B$15+1)),"・上限適用",""))</f>
        <v/>
      </c>
      <c r="Q529" s="35" t="str">
        <f>IF(AND(T528="",A529&lt;=S528),入力!$B$13,"")</f>
        <v/>
      </c>
      <c r="R529" s="32" t="str">
        <f>IF(AND(AND(T528="",A529&lt;=S528),OR(AND(入力!$B$13="有効",A529&gt;1,MOD(A529-1,60)=0),AND(A529=入力!$B$11,A529&gt;1)),入力!$B$14="有効"),ROUND(G528*1.25,0),"")</f>
        <v/>
      </c>
      <c r="S529" s="36">
        <f>IF(A529=入力!$B$15,A529+入力!$B$19,S528)</f>
        <v>360</v>
      </c>
      <c r="T529" s="35" t="str">
        <f t="shared" si="143"/>
        <v/>
      </c>
      <c r="U529" s="3">
        <f t="shared" si="128"/>
        <v>0</v>
      </c>
      <c r="V529" s="3">
        <f t="shared" si="129"/>
        <v>0</v>
      </c>
      <c r="W529" s="3">
        <f t="shared" si="130"/>
        <v>0</v>
      </c>
      <c r="X529" s="3">
        <f t="shared" si="131"/>
        <v>0</v>
      </c>
      <c r="Y529" s="3">
        <f>IF(A529&lt;入力!$B$15,ABS(G529-何もしない_月次!G529),0)</f>
        <v>0</v>
      </c>
      <c r="Z529" s="3">
        <f t="shared" si="132"/>
        <v>0</v>
      </c>
      <c r="AA529">
        <f>ROUND(IF(A529=入力!$B$15+1,IF(E529=0,ROUND(C529/入力!$B$19,0),ROUND(-PMT(E529/12,入力!$B$19,C529),0)),IF(OR(AND(入力!$B$13="有効",A529&gt;1,MOD(A529-1,60)=0),AND(A529=入力!$B$11,A529&gt;1)),IF(入力!$B$14="有効",MIN(IF(E529=0,ROUND(C529/MAX(1,S528-A529+1),0),ROUND(-PMT(E529/12,MAX(1,S528-A529+1),C529),0)),ROUND(G528*1.25,0)),IF(E529=0,ROUND(C529/MAX(1,S528-A529+1),0),ROUND(-PMT(E529/12,MAX(1,S528-A529+1),C529),0))),G528)),0)</f>
        <v>0</v>
      </c>
    </row>
    <row r="530" spans="1:27">
      <c r="A530" s="30">
        <f>525</f>
        <v>525</v>
      </c>
      <c r="B530" s="31">
        <f>EDATE(入力!$B$6,A530-1)</f>
        <v>62184</v>
      </c>
      <c r="C530" s="32">
        <f t="shared" si="133"/>
        <v>0</v>
      </c>
      <c r="D530" s="32">
        <f t="shared" si="134"/>
        <v>0</v>
      </c>
      <c r="E530" s="33">
        <f>IF(AND(T529="",A530&lt;=S529),IF(A530&lt;入力!$B$11,入力!$B$10,入力!$B$12),0)</f>
        <v>0</v>
      </c>
      <c r="F530" s="32">
        <f t="shared" si="135"/>
        <v>0</v>
      </c>
      <c r="G530" s="32">
        <f>ROUND(IF(NOT(AND(T529="",A530&lt;=S529)),0,IF(A530=入力!$B$15+1,IF(E530=0,ROUND(C530/入力!$B$19,0),ROUND(-PMT(E530/12,入力!$B$19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),0)</f>
        <v>0</v>
      </c>
      <c r="H530" s="32">
        <f t="shared" si="136"/>
        <v>0</v>
      </c>
      <c r="I530" s="32">
        <f t="shared" si="137"/>
        <v>0</v>
      </c>
      <c r="J530" s="32">
        <f t="shared" si="138"/>
        <v>0</v>
      </c>
      <c r="K530" s="32">
        <f t="shared" si="139"/>
        <v>0</v>
      </c>
      <c r="L530" s="32">
        <f t="shared" si="140"/>
        <v>0</v>
      </c>
      <c r="M530" s="32">
        <f>IF(AND(AND(T529="",A530&lt;=S529),A530=入力!$B$15),ROUND(MIN(入力!$B$16,MAX(0,C530-L530)),0),0)</f>
        <v>0</v>
      </c>
      <c r="N530" s="32">
        <f t="shared" si="141"/>
        <v>0</v>
      </c>
      <c r="O530" s="32">
        <f t="shared" si="142"/>
        <v>10751874</v>
      </c>
      <c r="P530" s="34" t="str">
        <f>IF(NOT(AND(T529="",A530&lt;=S529)),"",IF(A530=入力!$B$15+1,"繰上返済後再計算","")&amp;IF(AND(入力!$B$13="有効",A530&gt;1,MOD(A530-1,60)=0),IF(A530=入力!$B$15+1,"・","")&amp;"5年見直し","")&amp;IF(AND(A530=入力!$B$11,A530&gt;1),IF(OR(A530=入力!$B$15+1,AND(入力!$B$13="有効",A530&gt;1,MOD(A530-1,60)=0)),"・","")&amp;"金利変更","")&amp;IF(AND(OR(AND(入力!$B$13="有効",A530&gt;1,MOD(A530-1,60)=0),AND(A530=入力!$B$11,A530&gt;1)),入力!$B$14="有効",IF(E530=0,ROUND(C530/MAX(1,S529-A530+1),0),ROUND(-PMT(E530/12,MAX(1,S529-A530+1),C530),0))&gt;ROUND(G529*1.25,0),NOT(A530=入力!$B$15+1)),"・上限適用",""))</f>
        <v/>
      </c>
      <c r="Q530" s="35" t="str">
        <f>IF(AND(T529="",A530&lt;=S529),入力!$B$13,"")</f>
        <v/>
      </c>
      <c r="R530" s="32" t="str">
        <f>IF(AND(AND(T529="",A530&lt;=S529),OR(AND(入力!$B$13="有効",A530&gt;1,MOD(A530-1,60)=0),AND(A530=入力!$B$11,A530&gt;1)),入力!$B$14="有効"),ROUND(G529*1.25,0),"")</f>
        <v/>
      </c>
      <c r="S530" s="36">
        <f>IF(A530=入力!$B$15,A530+入力!$B$19,S529)</f>
        <v>360</v>
      </c>
      <c r="T530" s="35" t="str">
        <f t="shared" si="143"/>
        <v/>
      </c>
      <c r="U530" s="3">
        <f t="shared" si="128"/>
        <v>0</v>
      </c>
      <c r="V530" s="3">
        <f t="shared" si="129"/>
        <v>0</v>
      </c>
      <c r="W530" s="3">
        <f t="shared" si="130"/>
        <v>0</v>
      </c>
      <c r="X530" s="3">
        <f t="shared" si="131"/>
        <v>0</v>
      </c>
      <c r="Y530" s="3">
        <f>IF(A530&lt;入力!$B$15,ABS(G530-何もしない_月次!G530),0)</f>
        <v>0</v>
      </c>
      <c r="Z530" s="3">
        <f t="shared" si="132"/>
        <v>0</v>
      </c>
      <c r="AA530">
        <f>ROUND(IF(A530=入力!$B$15+1,IF(E530=0,ROUND(C530/入力!$B$19,0),ROUND(-PMT(E530/12,入力!$B$19,C530),0)),IF(OR(AND(入力!$B$13="有効",A530&gt;1,MOD(A530-1,60)=0),AND(A530=入力!$B$11,A530&gt;1)),IF(入力!$B$14="有効",MIN(IF(E530=0,ROUND(C530/MAX(1,S529-A530+1),0),ROUND(-PMT(E530/12,MAX(1,S529-A530+1),C530),0)),ROUND(G529*1.25,0)),IF(E530=0,ROUND(C530/MAX(1,S529-A530+1),0),ROUND(-PMT(E530/12,MAX(1,S529-A530+1),C530),0))),G529)),0)</f>
        <v>0</v>
      </c>
    </row>
    <row r="531" spans="1:27">
      <c r="A531" s="30">
        <f>526</f>
        <v>526</v>
      </c>
      <c r="B531" s="31">
        <f>EDATE(入力!$B$6,A531-1)</f>
        <v>62214</v>
      </c>
      <c r="C531" s="32">
        <f t="shared" si="133"/>
        <v>0</v>
      </c>
      <c r="D531" s="32">
        <f t="shared" si="134"/>
        <v>0</v>
      </c>
      <c r="E531" s="33">
        <f>IF(AND(T530="",A531&lt;=S530),IF(A531&lt;入力!$B$11,入力!$B$10,入力!$B$12),0)</f>
        <v>0</v>
      </c>
      <c r="F531" s="32">
        <f t="shared" si="135"/>
        <v>0</v>
      </c>
      <c r="G531" s="32">
        <f>ROUND(IF(NOT(AND(T530="",A531&lt;=S530)),0,IF(A531=入力!$B$15+1,IF(E531=0,ROUND(C531/入力!$B$19,0),ROUND(-PMT(E531/12,入力!$B$19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),0)</f>
        <v>0</v>
      </c>
      <c r="H531" s="32">
        <f t="shared" si="136"/>
        <v>0</v>
      </c>
      <c r="I531" s="32">
        <f t="shared" si="137"/>
        <v>0</v>
      </c>
      <c r="J531" s="32">
        <f t="shared" si="138"/>
        <v>0</v>
      </c>
      <c r="K531" s="32">
        <f t="shared" si="139"/>
        <v>0</v>
      </c>
      <c r="L531" s="32">
        <f t="shared" si="140"/>
        <v>0</v>
      </c>
      <c r="M531" s="32">
        <f>IF(AND(AND(T530="",A531&lt;=S530),A531=入力!$B$15),ROUND(MIN(入力!$B$16,MAX(0,C531-L531)),0),0)</f>
        <v>0</v>
      </c>
      <c r="N531" s="32">
        <f t="shared" si="141"/>
        <v>0</v>
      </c>
      <c r="O531" s="32">
        <f t="shared" si="142"/>
        <v>10751874</v>
      </c>
      <c r="P531" s="34" t="str">
        <f>IF(NOT(AND(T530="",A531&lt;=S530)),"",IF(A531=入力!$B$15+1,"繰上返済後再計算","")&amp;IF(AND(入力!$B$13="有効",A531&gt;1,MOD(A531-1,60)=0),IF(A531=入力!$B$15+1,"・","")&amp;"5年見直し","")&amp;IF(AND(A531=入力!$B$11,A531&gt;1),IF(OR(A531=入力!$B$15+1,AND(入力!$B$13="有効",A531&gt;1,MOD(A531-1,60)=0)),"・","")&amp;"金利変更","")&amp;IF(AND(OR(AND(入力!$B$13="有効",A531&gt;1,MOD(A531-1,60)=0),AND(A531=入力!$B$11,A531&gt;1)),入力!$B$14="有効",IF(E531=0,ROUND(C531/MAX(1,S530-A531+1),0),ROUND(-PMT(E531/12,MAX(1,S530-A531+1),C531),0))&gt;ROUND(G530*1.25,0),NOT(A531=入力!$B$15+1)),"・上限適用",""))</f>
        <v/>
      </c>
      <c r="Q531" s="35" t="str">
        <f>IF(AND(T530="",A531&lt;=S530),入力!$B$13,"")</f>
        <v/>
      </c>
      <c r="R531" s="32" t="str">
        <f>IF(AND(AND(T530="",A531&lt;=S530),OR(AND(入力!$B$13="有効",A531&gt;1,MOD(A531-1,60)=0),AND(A531=入力!$B$11,A531&gt;1)),入力!$B$14="有効"),ROUND(G530*1.25,0),"")</f>
        <v/>
      </c>
      <c r="S531" s="36">
        <f>IF(A531=入力!$B$15,A531+入力!$B$19,S530)</f>
        <v>360</v>
      </c>
      <c r="T531" s="35" t="str">
        <f t="shared" si="143"/>
        <v/>
      </c>
      <c r="U531" s="3">
        <f t="shared" si="128"/>
        <v>0</v>
      </c>
      <c r="V531" s="3">
        <f t="shared" si="129"/>
        <v>0</v>
      </c>
      <c r="W531" s="3">
        <f t="shared" si="130"/>
        <v>0</v>
      </c>
      <c r="X531" s="3">
        <f t="shared" si="131"/>
        <v>0</v>
      </c>
      <c r="Y531" s="3">
        <f>IF(A531&lt;入力!$B$15,ABS(G531-何もしない_月次!G531),0)</f>
        <v>0</v>
      </c>
      <c r="Z531" s="3">
        <f t="shared" si="132"/>
        <v>0</v>
      </c>
      <c r="AA531">
        <f>ROUND(IF(A531=入力!$B$15+1,IF(E531=0,ROUND(C531/入力!$B$19,0),ROUND(-PMT(E531/12,入力!$B$19,C531),0)),IF(OR(AND(入力!$B$13="有効",A531&gt;1,MOD(A531-1,60)=0),AND(A531=入力!$B$11,A531&gt;1)),IF(入力!$B$14="有効",MIN(IF(E531=0,ROUND(C531/MAX(1,S530-A531+1),0),ROUND(-PMT(E531/12,MAX(1,S530-A531+1),C531),0)),ROUND(G530*1.25,0)),IF(E531=0,ROUND(C531/MAX(1,S530-A531+1),0),ROUND(-PMT(E531/12,MAX(1,S530-A531+1),C531),0))),G530)),0)</f>
        <v>0</v>
      </c>
    </row>
    <row r="532" spans="1:27">
      <c r="A532" s="30">
        <f>527</f>
        <v>527</v>
      </c>
      <c r="B532" s="31">
        <f>EDATE(入力!$B$6,A532-1)</f>
        <v>62245</v>
      </c>
      <c r="C532" s="32">
        <f t="shared" si="133"/>
        <v>0</v>
      </c>
      <c r="D532" s="32">
        <f t="shared" si="134"/>
        <v>0</v>
      </c>
      <c r="E532" s="33">
        <f>IF(AND(T531="",A532&lt;=S531),IF(A532&lt;入力!$B$11,入力!$B$10,入力!$B$12),0)</f>
        <v>0</v>
      </c>
      <c r="F532" s="32">
        <f t="shared" si="135"/>
        <v>0</v>
      </c>
      <c r="G532" s="32">
        <f>ROUND(IF(NOT(AND(T531="",A532&lt;=S531)),0,IF(A532=入力!$B$15+1,IF(E532=0,ROUND(C532/入力!$B$19,0),ROUND(-PMT(E532/12,入力!$B$19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),0)</f>
        <v>0</v>
      </c>
      <c r="H532" s="32">
        <f t="shared" si="136"/>
        <v>0</v>
      </c>
      <c r="I532" s="32">
        <f t="shared" si="137"/>
        <v>0</v>
      </c>
      <c r="J532" s="32">
        <f t="shared" si="138"/>
        <v>0</v>
      </c>
      <c r="K532" s="32">
        <f t="shared" si="139"/>
        <v>0</v>
      </c>
      <c r="L532" s="32">
        <f t="shared" si="140"/>
        <v>0</v>
      </c>
      <c r="M532" s="32">
        <f>IF(AND(AND(T531="",A532&lt;=S531),A532=入力!$B$15),ROUND(MIN(入力!$B$16,MAX(0,C532-L532)),0),0)</f>
        <v>0</v>
      </c>
      <c r="N532" s="32">
        <f t="shared" si="141"/>
        <v>0</v>
      </c>
      <c r="O532" s="32">
        <f t="shared" si="142"/>
        <v>10751874</v>
      </c>
      <c r="P532" s="34" t="str">
        <f>IF(NOT(AND(T531="",A532&lt;=S531)),"",IF(A532=入力!$B$15+1,"繰上返済後再計算","")&amp;IF(AND(入力!$B$13="有効",A532&gt;1,MOD(A532-1,60)=0),IF(A532=入力!$B$15+1,"・","")&amp;"5年見直し","")&amp;IF(AND(A532=入力!$B$11,A532&gt;1),IF(OR(A532=入力!$B$15+1,AND(入力!$B$13="有効",A532&gt;1,MOD(A532-1,60)=0)),"・","")&amp;"金利変更","")&amp;IF(AND(OR(AND(入力!$B$13="有効",A532&gt;1,MOD(A532-1,60)=0),AND(A532=入力!$B$11,A532&gt;1)),入力!$B$14="有効",IF(E532=0,ROUND(C532/MAX(1,S531-A532+1),0),ROUND(-PMT(E532/12,MAX(1,S531-A532+1),C532),0))&gt;ROUND(G531*1.25,0),NOT(A532=入力!$B$15+1)),"・上限適用",""))</f>
        <v/>
      </c>
      <c r="Q532" s="35" t="str">
        <f>IF(AND(T531="",A532&lt;=S531),入力!$B$13,"")</f>
        <v/>
      </c>
      <c r="R532" s="32" t="str">
        <f>IF(AND(AND(T531="",A532&lt;=S531),OR(AND(入力!$B$13="有効",A532&gt;1,MOD(A532-1,60)=0),AND(A532=入力!$B$11,A532&gt;1)),入力!$B$14="有効"),ROUND(G531*1.25,0),"")</f>
        <v/>
      </c>
      <c r="S532" s="36">
        <f>IF(A532=入力!$B$15,A532+入力!$B$19,S531)</f>
        <v>360</v>
      </c>
      <c r="T532" s="35" t="str">
        <f t="shared" si="143"/>
        <v/>
      </c>
      <c r="U532" s="3">
        <f t="shared" si="128"/>
        <v>0</v>
      </c>
      <c r="V532" s="3">
        <f t="shared" si="129"/>
        <v>0</v>
      </c>
      <c r="W532" s="3">
        <f t="shared" si="130"/>
        <v>0</v>
      </c>
      <c r="X532" s="3">
        <f t="shared" si="131"/>
        <v>0</v>
      </c>
      <c r="Y532" s="3">
        <f>IF(A532&lt;入力!$B$15,ABS(G532-何もしない_月次!G532),0)</f>
        <v>0</v>
      </c>
      <c r="Z532" s="3">
        <f t="shared" si="132"/>
        <v>0</v>
      </c>
      <c r="AA532">
        <f>ROUND(IF(A532=入力!$B$15+1,IF(E532=0,ROUND(C532/入力!$B$19,0),ROUND(-PMT(E532/12,入力!$B$19,C532),0)),IF(OR(AND(入力!$B$13="有効",A532&gt;1,MOD(A532-1,60)=0),AND(A532=入力!$B$11,A532&gt;1)),IF(入力!$B$14="有効",MIN(IF(E532=0,ROUND(C532/MAX(1,S531-A532+1),0),ROUND(-PMT(E532/12,MAX(1,S531-A532+1),C532),0)),ROUND(G531*1.25,0)),IF(E532=0,ROUND(C532/MAX(1,S531-A532+1),0),ROUND(-PMT(E532/12,MAX(1,S531-A532+1),C532),0))),G531)),0)</f>
        <v>0</v>
      </c>
    </row>
    <row r="533" spans="1:27">
      <c r="A533" s="30">
        <f>528</f>
        <v>528</v>
      </c>
      <c r="B533" s="31">
        <f>EDATE(入力!$B$6,A533-1)</f>
        <v>62275</v>
      </c>
      <c r="C533" s="32">
        <f t="shared" si="133"/>
        <v>0</v>
      </c>
      <c r="D533" s="32">
        <f t="shared" si="134"/>
        <v>0</v>
      </c>
      <c r="E533" s="33">
        <f>IF(AND(T532="",A533&lt;=S532),IF(A533&lt;入力!$B$11,入力!$B$10,入力!$B$12),0)</f>
        <v>0</v>
      </c>
      <c r="F533" s="32">
        <f t="shared" si="135"/>
        <v>0</v>
      </c>
      <c r="G533" s="32">
        <f>ROUND(IF(NOT(AND(T532="",A533&lt;=S532)),0,IF(A533=入力!$B$15+1,IF(E533=0,ROUND(C533/入力!$B$19,0),ROUND(-PMT(E533/12,入力!$B$19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),0)</f>
        <v>0</v>
      </c>
      <c r="H533" s="32">
        <f t="shared" si="136"/>
        <v>0</v>
      </c>
      <c r="I533" s="32">
        <f t="shared" si="137"/>
        <v>0</v>
      </c>
      <c r="J533" s="32">
        <f t="shared" si="138"/>
        <v>0</v>
      </c>
      <c r="K533" s="32">
        <f t="shared" si="139"/>
        <v>0</v>
      </c>
      <c r="L533" s="32">
        <f t="shared" si="140"/>
        <v>0</v>
      </c>
      <c r="M533" s="32">
        <f>IF(AND(AND(T532="",A533&lt;=S532),A533=入力!$B$15),ROUND(MIN(入力!$B$16,MAX(0,C533-L533)),0),0)</f>
        <v>0</v>
      </c>
      <c r="N533" s="32">
        <f t="shared" si="141"/>
        <v>0</v>
      </c>
      <c r="O533" s="32">
        <f t="shared" si="142"/>
        <v>10751874</v>
      </c>
      <c r="P533" s="34" t="str">
        <f>IF(NOT(AND(T532="",A533&lt;=S532)),"",IF(A533=入力!$B$15+1,"繰上返済後再計算","")&amp;IF(AND(入力!$B$13="有効",A533&gt;1,MOD(A533-1,60)=0),IF(A533=入力!$B$15+1,"・","")&amp;"5年見直し","")&amp;IF(AND(A533=入力!$B$11,A533&gt;1),IF(OR(A533=入力!$B$15+1,AND(入力!$B$13="有効",A533&gt;1,MOD(A533-1,60)=0)),"・","")&amp;"金利変更","")&amp;IF(AND(OR(AND(入力!$B$13="有効",A533&gt;1,MOD(A533-1,60)=0),AND(A533=入力!$B$11,A533&gt;1)),入力!$B$14="有効",IF(E533=0,ROUND(C533/MAX(1,S532-A533+1),0),ROUND(-PMT(E533/12,MAX(1,S532-A533+1),C533),0))&gt;ROUND(G532*1.25,0),NOT(A533=入力!$B$15+1)),"・上限適用",""))</f>
        <v/>
      </c>
      <c r="Q533" s="35" t="str">
        <f>IF(AND(T532="",A533&lt;=S532),入力!$B$13,"")</f>
        <v/>
      </c>
      <c r="R533" s="32" t="str">
        <f>IF(AND(AND(T532="",A533&lt;=S532),OR(AND(入力!$B$13="有効",A533&gt;1,MOD(A533-1,60)=0),AND(A533=入力!$B$11,A533&gt;1)),入力!$B$14="有効"),ROUND(G532*1.25,0),"")</f>
        <v/>
      </c>
      <c r="S533" s="36">
        <f>IF(A533=入力!$B$15,A533+入力!$B$19,S532)</f>
        <v>360</v>
      </c>
      <c r="T533" s="35" t="str">
        <f t="shared" si="143"/>
        <v/>
      </c>
      <c r="U533" s="3">
        <f t="shared" si="128"/>
        <v>0</v>
      </c>
      <c r="V533" s="3">
        <f t="shared" si="129"/>
        <v>0</v>
      </c>
      <c r="W533" s="3">
        <f t="shared" si="130"/>
        <v>0</v>
      </c>
      <c r="X533" s="3">
        <f t="shared" si="131"/>
        <v>0</v>
      </c>
      <c r="Y533" s="3">
        <f>IF(A533&lt;入力!$B$15,ABS(G533-何もしない_月次!G533),0)</f>
        <v>0</v>
      </c>
      <c r="Z533" s="3">
        <f t="shared" si="132"/>
        <v>0</v>
      </c>
      <c r="AA533">
        <f>ROUND(IF(A533=入力!$B$15+1,IF(E533=0,ROUND(C533/入力!$B$19,0),ROUND(-PMT(E533/12,入力!$B$19,C533),0)),IF(OR(AND(入力!$B$13="有効",A533&gt;1,MOD(A533-1,60)=0),AND(A533=入力!$B$11,A533&gt;1)),IF(入力!$B$14="有効",MIN(IF(E533=0,ROUND(C533/MAX(1,S532-A533+1),0),ROUND(-PMT(E533/12,MAX(1,S532-A533+1),C533),0)),ROUND(G532*1.25,0)),IF(E533=0,ROUND(C533/MAX(1,S532-A533+1),0),ROUND(-PMT(E533/12,MAX(1,S532-A533+1),C533),0))),G532)),0)</f>
        <v>0</v>
      </c>
    </row>
    <row r="534" spans="1:27">
      <c r="A534" s="30">
        <f>529</f>
        <v>529</v>
      </c>
      <c r="B534" s="31">
        <f>EDATE(入力!$B$6,A534-1)</f>
        <v>62306</v>
      </c>
      <c r="C534" s="32">
        <f t="shared" si="133"/>
        <v>0</v>
      </c>
      <c r="D534" s="32">
        <f t="shared" si="134"/>
        <v>0</v>
      </c>
      <c r="E534" s="33">
        <f>IF(AND(T533="",A534&lt;=S533),IF(A534&lt;入力!$B$11,入力!$B$10,入力!$B$12),0)</f>
        <v>0</v>
      </c>
      <c r="F534" s="32">
        <f t="shared" si="135"/>
        <v>0</v>
      </c>
      <c r="G534" s="32">
        <f>ROUND(IF(NOT(AND(T533="",A534&lt;=S533)),0,IF(A534=入力!$B$15+1,IF(E534=0,ROUND(C534/入力!$B$19,0),ROUND(-PMT(E534/12,入力!$B$19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),0)</f>
        <v>0</v>
      </c>
      <c r="H534" s="32">
        <f t="shared" si="136"/>
        <v>0</v>
      </c>
      <c r="I534" s="32">
        <f t="shared" si="137"/>
        <v>0</v>
      </c>
      <c r="J534" s="32">
        <f t="shared" si="138"/>
        <v>0</v>
      </c>
      <c r="K534" s="32">
        <f t="shared" si="139"/>
        <v>0</v>
      </c>
      <c r="L534" s="32">
        <f t="shared" si="140"/>
        <v>0</v>
      </c>
      <c r="M534" s="32">
        <f>IF(AND(AND(T533="",A534&lt;=S533),A534=入力!$B$15),ROUND(MIN(入力!$B$16,MAX(0,C534-L534)),0),0)</f>
        <v>0</v>
      </c>
      <c r="N534" s="32">
        <f t="shared" si="141"/>
        <v>0</v>
      </c>
      <c r="O534" s="32">
        <f t="shared" si="142"/>
        <v>10751874</v>
      </c>
      <c r="P534" s="34" t="str">
        <f>IF(NOT(AND(T533="",A534&lt;=S533)),"",IF(A534=入力!$B$15+1,"繰上返済後再計算","")&amp;IF(AND(入力!$B$13="有効",A534&gt;1,MOD(A534-1,60)=0),IF(A534=入力!$B$15+1,"・","")&amp;"5年見直し","")&amp;IF(AND(A534=入力!$B$11,A534&gt;1),IF(OR(A534=入力!$B$15+1,AND(入力!$B$13="有効",A534&gt;1,MOD(A534-1,60)=0)),"・","")&amp;"金利変更","")&amp;IF(AND(OR(AND(入力!$B$13="有効",A534&gt;1,MOD(A534-1,60)=0),AND(A534=入力!$B$11,A534&gt;1)),入力!$B$14="有効",IF(E534=0,ROUND(C534/MAX(1,S533-A534+1),0),ROUND(-PMT(E534/12,MAX(1,S533-A534+1),C534),0))&gt;ROUND(G533*1.25,0),NOT(A534=入力!$B$15+1)),"・上限適用",""))</f>
        <v/>
      </c>
      <c r="Q534" s="35" t="str">
        <f>IF(AND(T533="",A534&lt;=S533),入力!$B$13,"")</f>
        <v/>
      </c>
      <c r="R534" s="32" t="str">
        <f>IF(AND(AND(T533="",A534&lt;=S533),OR(AND(入力!$B$13="有効",A534&gt;1,MOD(A534-1,60)=0),AND(A534=入力!$B$11,A534&gt;1)),入力!$B$14="有効"),ROUND(G533*1.25,0),"")</f>
        <v/>
      </c>
      <c r="S534" s="36">
        <f>IF(A534=入力!$B$15,A534+入力!$B$19,S533)</f>
        <v>360</v>
      </c>
      <c r="T534" s="35" t="str">
        <f t="shared" si="143"/>
        <v/>
      </c>
      <c r="U534" s="3">
        <f t="shared" si="128"/>
        <v>0</v>
      </c>
      <c r="V534" s="3">
        <f t="shared" si="129"/>
        <v>0</v>
      </c>
      <c r="W534" s="3">
        <f t="shared" si="130"/>
        <v>0</v>
      </c>
      <c r="X534" s="3">
        <f t="shared" si="131"/>
        <v>0</v>
      </c>
      <c r="Y534" s="3">
        <f>IF(A534&lt;入力!$B$15,ABS(G534-何もしない_月次!G534),0)</f>
        <v>0</v>
      </c>
      <c r="Z534" s="3">
        <f t="shared" si="132"/>
        <v>0</v>
      </c>
      <c r="AA534">
        <f>ROUND(IF(A534=入力!$B$15+1,IF(E534=0,ROUND(C534/入力!$B$19,0),ROUND(-PMT(E534/12,入力!$B$19,C534),0)),IF(OR(AND(入力!$B$13="有効",A534&gt;1,MOD(A534-1,60)=0),AND(A534=入力!$B$11,A534&gt;1)),IF(入力!$B$14="有効",MIN(IF(E534=0,ROUND(C534/MAX(1,S533-A534+1),0),ROUND(-PMT(E534/12,MAX(1,S533-A534+1),C534),0)),ROUND(G533*1.25,0)),IF(E534=0,ROUND(C534/MAX(1,S533-A534+1),0),ROUND(-PMT(E534/12,MAX(1,S533-A534+1),C534),0))),G533)),0)</f>
        <v>0</v>
      </c>
    </row>
    <row r="535" spans="1:27">
      <c r="A535" s="30">
        <f>530</f>
        <v>530</v>
      </c>
      <c r="B535" s="31">
        <f>EDATE(入力!$B$6,A535-1)</f>
        <v>62337</v>
      </c>
      <c r="C535" s="32">
        <f t="shared" si="133"/>
        <v>0</v>
      </c>
      <c r="D535" s="32">
        <f t="shared" si="134"/>
        <v>0</v>
      </c>
      <c r="E535" s="33">
        <f>IF(AND(T534="",A535&lt;=S534),IF(A535&lt;入力!$B$11,入力!$B$10,入力!$B$12),0)</f>
        <v>0</v>
      </c>
      <c r="F535" s="32">
        <f t="shared" si="135"/>
        <v>0</v>
      </c>
      <c r="G535" s="32">
        <f>ROUND(IF(NOT(AND(T534="",A535&lt;=S534)),0,IF(A535=入力!$B$15+1,IF(E535=0,ROUND(C535/入力!$B$19,0),ROUND(-PMT(E535/12,入力!$B$19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),0)</f>
        <v>0</v>
      </c>
      <c r="H535" s="32">
        <f t="shared" si="136"/>
        <v>0</v>
      </c>
      <c r="I535" s="32">
        <f t="shared" si="137"/>
        <v>0</v>
      </c>
      <c r="J535" s="32">
        <f t="shared" si="138"/>
        <v>0</v>
      </c>
      <c r="K535" s="32">
        <f t="shared" si="139"/>
        <v>0</v>
      </c>
      <c r="L535" s="32">
        <f t="shared" si="140"/>
        <v>0</v>
      </c>
      <c r="M535" s="32">
        <f>IF(AND(AND(T534="",A535&lt;=S534),A535=入力!$B$15),ROUND(MIN(入力!$B$16,MAX(0,C535-L535)),0),0)</f>
        <v>0</v>
      </c>
      <c r="N535" s="32">
        <f t="shared" si="141"/>
        <v>0</v>
      </c>
      <c r="O535" s="32">
        <f t="shared" si="142"/>
        <v>10751874</v>
      </c>
      <c r="P535" s="34" t="str">
        <f>IF(NOT(AND(T534="",A535&lt;=S534)),"",IF(A535=入力!$B$15+1,"繰上返済後再計算","")&amp;IF(AND(入力!$B$13="有効",A535&gt;1,MOD(A535-1,60)=0),IF(A535=入力!$B$15+1,"・","")&amp;"5年見直し","")&amp;IF(AND(A535=入力!$B$11,A535&gt;1),IF(OR(A535=入力!$B$15+1,AND(入力!$B$13="有効",A535&gt;1,MOD(A535-1,60)=0)),"・","")&amp;"金利変更","")&amp;IF(AND(OR(AND(入力!$B$13="有効",A535&gt;1,MOD(A535-1,60)=0),AND(A535=入力!$B$11,A535&gt;1)),入力!$B$14="有効",IF(E535=0,ROUND(C535/MAX(1,S534-A535+1),0),ROUND(-PMT(E535/12,MAX(1,S534-A535+1),C535),0))&gt;ROUND(G534*1.25,0),NOT(A535=入力!$B$15+1)),"・上限適用",""))</f>
        <v/>
      </c>
      <c r="Q535" s="35" t="str">
        <f>IF(AND(T534="",A535&lt;=S534),入力!$B$13,"")</f>
        <v/>
      </c>
      <c r="R535" s="32" t="str">
        <f>IF(AND(AND(T534="",A535&lt;=S534),OR(AND(入力!$B$13="有効",A535&gt;1,MOD(A535-1,60)=0),AND(A535=入力!$B$11,A535&gt;1)),入力!$B$14="有効"),ROUND(G534*1.25,0),"")</f>
        <v/>
      </c>
      <c r="S535" s="36">
        <f>IF(A535=入力!$B$15,A535+入力!$B$19,S534)</f>
        <v>360</v>
      </c>
      <c r="T535" s="35" t="str">
        <f t="shared" si="143"/>
        <v/>
      </c>
      <c r="U535" s="3">
        <f t="shared" si="128"/>
        <v>0</v>
      </c>
      <c r="V535" s="3">
        <f t="shared" si="129"/>
        <v>0</v>
      </c>
      <c r="W535" s="3">
        <f t="shared" si="130"/>
        <v>0</v>
      </c>
      <c r="X535" s="3">
        <f t="shared" si="131"/>
        <v>0</v>
      </c>
      <c r="Y535" s="3">
        <f>IF(A535&lt;入力!$B$15,ABS(G535-何もしない_月次!G535),0)</f>
        <v>0</v>
      </c>
      <c r="Z535" s="3">
        <f t="shared" si="132"/>
        <v>0</v>
      </c>
      <c r="AA535">
        <f>ROUND(IF(A535=入力!$B$15+1,IF(E535=0,ROUND(C535/入力!$B$19,0),ROUND(-PMT(E535/12,入力!$B$19,C535),0)),IF(OR(AND(入力!$B$13="有効",A535&gt;1,MOD(A535-1,60)=0),AND(A535=入力!$B$11,A535&gt;1)),IF(入力!$B$14="有効",MIN(IF(E535=0,ROUND(C535/MAX(1,S534-A535+1),0),ROUND(-PMT(E535/12,MAX(1,S534-A535+1),C535),0)),ROUND(G534*1.25,0)),IF(E535=0,ROUND(C535/MAX(1,S534-A535+1),0),ROUND(-PMT(E535/12,MAX(1,S534-A535+1),C535),0))),G534)),0)</f>
        <v>0</v>
      </c>
    </row>
    <row r="536" spans="1:27">
      <c r="A536" s="30">
        <f>531</f>
        <v>531</v>
      </c>
      <c r="B536" s="31">
        <f>EDATE(入力!$B$6,A536-1)</f>
        <v>62367</v>
      </c>
      <c r="C536" s="32">
        <f t="shared" si="133"/>
        <v>0</v>
      </c>
      <c r="D536" s="32">
        <f t="shared" si="134"/>
        <v>0</v>
      </c>
      <c r="E536" s="33">
        <f>IF(AND(T535="",A536&lt;=S535),IF(A536&lt;入力!$B$11,入力!$B$10,入力!$B$12),0)</f>
        <v>0</v>
      </c>
      <c r="F536" s="32">
        <f t="shared" si="135"/>
        <v>0</v>
      </c>
      <c r="G536" s="32">
        <f>ROUND(IF(NOT(AND(T535="",A536&lt;=S535)),0,IF(A536=入力!$B$15+1,IF(E536=0,ROUND(C536/入力!$B$19,0),ROUND(-PMT(E536/12,入力!$B$19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),0)</f>
        <v>0</v>
      </c>
      <c r="H536" s="32">
        <f t="shared" si="136"/>
        <v>0</v>
      </c>
      <c r="I536" s="32">
        <f t="shared" si="137"/>
        <v>0</v>
      </c>
      <c r="J536" s="32">
        <f t="shared" si="138"/>
        <v>0</v>
      </c>
      <c r="K536" s="32">
        <f t="shared" si="139"/>
        <v>0</v>
      </c>
      <c r="L536" s="32">
        <f t="shared" si="140"/>
        <v>0</v>
      </c>
      <c r="M536" s="32">
        <f>IF(AND(AND(T535="",A536&lt;=S535),A536=入力!$B$15),ROUND(MIN(入力!$B$16,MAX(0,C536-L536)),0),0)</f>
        <v>0</v>
      </c>
      <c r="N536" s="32">
        <f t="shared" si="141"/>
        <v>0</v>
      </c>
      <c r="O536" s="32">
        <f t="shared" si="142"/>
        <v>10751874</v>
      </c>
      <c r="P536" s="34" t="str">
        <f>IF(NOT(AND(T535="",A536&lt;=S535)),"",IF(A536=入力!$B$15+1,"繰上返済後再計算","")&amp;IF(AND(入力!$B$13="有効",A536&gt;1,MOD(A536-1,60)=0),IF(A536=入力!$B$15+1,"・","")&amp;"5年見直し","")&amp;IF(AND(A536=入力!$B$11,A536&gt;1),IF(OR(A536=入力!$B$15+1,AND(入力!$B$13="有効",A536&gt;1,MOD(A536-1,60)=0)),"・","")&amp;"金利変更","")&amp;IF(AND(OR(AND(入力!$B$13="有効",A536&gt;1,MOD(A536-1,60)=0),AND(A536=入力!$B$11,A536&gt;1)),入力!$B$14="有効",IF(E536=0,ROUND(C536/MAX(1,S535-A536+1),0),ROUND(-PMT(E536/12,MAX(1,S535-A536+1),C536),0))&gt;ROUND(G535*1.25,0),NOT(A536=入力!$B$15+1)),"・上限適用",""))</f>
        <v/>
      </c>
      <c r="Q536" s="35" t="str">
        <f>IF(AND(T535="",A536&lt;=S535),入力!$B$13,"")</f>
        <v/>
      </c>
      <c r="R536" s="32" t="str">
        <f>IF(AND(AND(T535="",A536&lt;=S535),OR(AND(入力!$B$13="有効",A536&gt;1,MOD(A536-1,60)=0),AND(A536=入力!$B$11,A536&gt;1)),入力!$B$14="有効"),ROUND(G535*1.25,0),"")</f>
        <v/>
      </c>
      <c r="S536" s="36">
        <f>IF(A536=入力!$B$15,A536+入力!$B$19,S535)</f>
        <v>360</v>
      </c>
      <c r="T536" s="35" t="str">
        <f t="shared" si="143"/>
        <v/>
      </c>
      <c r="U536" s="3">
        <f t="shared" si="128"/>
        <v>0</v>
      </c>
      <c r="V536" s="3">
        <f t="shared" si="129"/>
        <v>0</v>
      </c>
      <c r="W536" s="3">
        <f t="shared" si="130"/>
        <v>0</v>
      </c>
      <c r="X536" s="3">
        <f t="shared" si="131"/>
        <v>0</v>
      </c>
      <c r="Y536" s="3">
        <f>IF(A536&lt;入力!$B$15,ABS(G536-何もしない_月次!G536),0)</f>
        <v>0</v>
      </c>
      <c r="Z536" s="3">
        <f t="shared" si="132"/>
        <v>0</v>
      </c>
      <c r="AA536">
        <f>ROUND(IF(A536=入力!$B$15+1,IF(E536=0,ROUND(C536/入力!$B$19,0),ROUND(-PMT(E536/12,入力!$B$19,C536),0)),IF(OR(AND(入力!$B$13="有効",A536&gt;1,MOD(A536-1,60)=0),AND(A536=入力!$B$11,A536&gt;1)),IF(入力!$B$14="有効",MIN(IF(E536=0,ROUND(C536/MAX(1,S535-A536+1),0),ROUND(-PMT(E536/12,MAX(1,S535-A536+1),C536),0)),ROUND(G535*1.25,0)),IF(E536=0,ROUND(C536/MAX(1,S535-A536+1),0),ROUND(-PMT(E536/12,MAX(1,S535-A536+1),C536),0))),G535)),0)</f>
        <v>0</v>
      </c>
    </row>
    <row r="537" spans="1:27">
      <c r="A537" s="30">
        <f>532</f>
        <v>532</v>
      </c>
      <c r="B537" s="31">
        <f>EDATE(入力!$B$6,A537-1)</f>
        <v>62398</v>
      </c>
      <c r="C537" s="32">
        <f t="shared" si="133"/>
        <v>0</v>
      </c>
      <c r="D537" s="32">
        <f t="shared" si="134"/>
        <v>0</v>
      </c>
      <c r="E537" s="33">
        <f>IF(AND(T536="",A537&lt;=S536),IF(A537&lt;入力!$B$11,入力!$B$10,入力!$B$12),0)</f>
        <v>0</v>
      </c>
      <c r="F537" s="32">
        <f t="shared" si="135"/>
        <v>0</v>
      </c>
      <c r="G537" s="32">
        <f>ROUND(IF(NOT(AND(T536="",A537&lt;=S536)),0,IF(A537=入力!$B$15+1,IF(E537=0,ROUND(C537/入力!$B$19,0),ROUND(-PMT(E537/12,入力!$B$19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),0)</f>
        <v>0</v>
      </c>
      <c r="H537" s="32">
        <f t="shared" si="136"/>
        <v>0</v>
      </c>
      <c r="I537" s="32">
        <f t="shared" si="137"/>
        <v>0</v>
      </c>
      <c r="J537" s="32">
        <f t="shared" si="138"/>
        <v>0</v>
      </c>
      <c r="K537" s="32">
        <f t="shared" si="139"/>
        <v>0</v>
      </c>
      <c r="L537" s="32">
        <f t="shared" si="140"/>
        <v>0</v>
      </c>
      <c r="M537" s="32">
        <f>IF(AND(AND(T536="",A537&lt;=S536),A537=入力!$B$15),ROUND(MIN(入力!$B$16,MAX(0,C537-L537)),0),0)</f>
        <v>0</v>
      </c>
      <c r="N537" s="32">
        <f t="shared" si="141"/>
        <v>0</v>
      </c>
      <c r="O537" s="32">
        <f t="shared" si="142"/>
        <v>10751874</v>
      </c>
      <c r="P537" s="34" t="str">
        <f>IF(NOT(AND(T536="",A537&lt;=S536)),"",IF(A537=入力!$B$15+1,"繰上返済後再計算","")&amp;IF(AND(入力!$B$13="有効",A537&gt;1,MOD(A537-1,60)=0),IF(A537=入力!$B$15+1,"・","")&amp;"5年見直し","")&amp;IF(AND(A537=入力!$B$11,A537&gt;1),IF(OR(A537=入力!$B$15+1,AND(入力!$B$13="有効",A537&gt;1,MOD(A537-1,60)=0)),"・","")&amp;"金利変更","")&amp;IF(AND(OR(AND(入力!$B$13="有効",A537&gt;1,MOD(A537-1,60)=0),AND(A537=入力!$B$11,A537&gt;1)),入力!$B$14="有効",IF(E537=0,ROUND(C537/MAX(1,S536-A537+1),0),ROUND(-PMT(E537/12,MAX(1,S536-A537+1),C537),0))&gt;ROUND(G536*1.25,0),NOT(A537=入力!$B$15+1)),"・上限適用",""))</f>
        <v/>
      </c>
      <c r="Q537" s="35" t="str">
        <f>IF(AND(T536="",A537&lt;=S536),入力!$B$13,"")</f>
        <v/>
      </c>
      <c r="R537" s="32" t="str">
        <f>IF(AND(AND(T536="",A537&lt;=S536),OR(AND(入力!$B$13="有効",A537&gt;1,MOD(A537-1,60)=0),AND(A537=入力!$B$11,A537&gt;1)),入力!$B$14="有効"),ROUND(G536*1.25,0),"")</f>
        <v/>
      </c>
      <c r="S537" s="36">
        <f>IF(A537=入力!$B$15,A537+入力!$B$19,S536)</f>
        <v>360</v>
      </c>
      <c r="T537" s="35" t="str">
        <f t="shared" si="143"/>
        <v/>
      </c>
      <c r="U537" s="3">
        <f t="shared" si="128"/>
        <v>0</v>
      </c>
      <c r="V537" s="3">
        <f t="shared" si="129"/>
        <v>0</v>
      </c>
      <c r="W537" s="3">
        <f t="shared" si="130"/>
        <v>0</v>
      </c>
      <c r="X537" s="3">
        <f t="shared" si="131"/>
        <v>0</v>
      </c>
      <c r="Y537" s="3">
        <f>IF(A537&lt;入力!$B$15,ABS(G537-何もしない_月次!G537),0)</f>
        <v>0</v>
      </c>
      <c r="Z537" s="3">
        <f t="shared" si="132"/>
        <v>0</v>
      </c>
      <c r="AA537">
        <f>ROUND(IF(A537=入力!$B$15+1,IF(E537=0,ROUND(C537/入力!$B$19,0),ROUND(-PMT(E537/12,入力!$B$19,C537),0)),IF(OR(AND(入力!$B$13="有効",A537&gt;1,MOD(A537-1,60)=0),AND(A537=入力!$B$11,A537&gt;1)),IF(入力!$B$14="有効",MIN(IF(E537=0,ROUND(C537/MAX(1,S536-A537+1),0),ROUND(-PMT(E537/12,MAX(1,S536-A537+1),C537),0)),ROUND(G536*1.25,0)),IF(E537=0,ROUND(C537/MAX(1,S536-A537+1),0),ROUND(-PMT(E537/12,MAX(1,S536-A537+1),C537),0))),G536)),0)</f>
        <v>0</v>
      </c>
    </row>
    <row r="538" spans="1:27">
      <c r="A538" s="30">
        <f>533</f>
        <v>533</v>
      </c>
      <c r="B538" s="31">
        <f>EDATE(入力!$B$6,A538-1)</f>
        <v>62428</v>
      </c>
      <c r="C538" s="32">
        <f t="shared" si="133"/>
        <v>0</v>
      </c>
      <c r="D538" s="32">
        <f t="shared" si="134"/>
        <v>0</v>
      </c>
      <c r="E538" s="33">
        <f>IF(AND(T537="",A538&lt;=S537),IF(A538&lt;入力!$B$11,入力!$B$10,入力!$B$12),0)</f>
        <v>0</v>
      </c>
      <c r="F538" s="32">
        <f t="shared" si="135"/>
        <v>0</v>
      </c>
      <c r="G538" s="32">
        <f>ROUND(IF(NOT(AND(T537="",A538&lt;=S537)),0,IF(A538=入力!$B$15+1,IF(E538=0,ROUND(C538/入力!$B$19,0),ROUND(-PMT(E538/12,入力!$B$19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),0)</f>
        <v>0</v>
      </c>
      <c r="H538" s="32">
        <f t="shared" si="136"/>
        <v>0</v>
      </c>
      <c r="I538" s="32">
        <f t="shared" si="137"/>
        <v>0</v>
      </c>
      <c r="J538" s="32">
        <f t="shared" si="138"/>
        <v>0</v>
      </c>
      <c r="K538" s="32">
        <f t="shared" si="139"/>
        <v>0</v>
      </c>
      <c r="L538" s="32">
        <f t="shared" si="140"/>
        <v>0</v>
      </c>
      <c r="M538" s="32">
        <f>IF(AND(AND(T537="",A538&lt;=S537),A538=入力!$B$15),ROUND(MIN(入力!$B$16,MAX(0,C538-L538)),0),0)</f>
        <v>0</v>
      </c>
      <c r="N538" s="32">
        <f t="shared" si="141"/>
        <v>0</v>
      </c>
      <c r="O538" s="32">
        <f t="shared" si="142"/>
        <v>10751874</v>
      </c>
      <c r="P538" s="34" t="str">
        <f>IF(NOT(AND(T537="",A538&lt;=S537)),"",IF(A538=入力!$B$15+1,"繰上返済後再計算","")&amp;IF(AND(入力!$B$13="有効",A538&gt;1,MOD(A538-1,60)=0),IF(A538=入力!$B$15+1,"・","")&amp;"5年見直し","")&amp;IF(AND(A538=入力!$B$11,A538&gt;1),IF(OR(A538=入力!$B$15+1,AND(入力!$B$13="有効",A538&gt;1,MOD(A538-1,60)=0)),"・","")&amp;"金利変更","")&amp;IF(AND(OR(AND(入力!$B$13="有効",A538&gt;1,MOD(A538-1,60)=0),AND(A538=入力!$B$11,A538&gt;1)),入力!$B$14="有効",IF(E538=0,ROUND(C538/MAX(1,S537-A538+1),0),ROUND(-PMT(E538/12,MAX(1,S537-A538+1),C538),0))&gt;ROUND(G537*1.25,0),NOT(A538=入力!$B$15+1)),"・上限適用",""))</f>
        <v/>
      </c>
      <c r="Q538" s="35" t="str">
        <f>IF(AND(T537="",A538&lt;=S537),入力!$B$13,"")</f>
        <v/>
      </c>
      <c r="R538" s="32" t="str">
        <f>IF(AND(AND(T537="",A538&lt;=S537),OR(AND(入力!$B$13="有効",A538&gt;1,MOD(A538-1,60)=0),AND(A538=入力!$B$11,A538&gt;1)),入力!$B$14="有効"),ROUND(G537*1.25,0),"")</f>
        <v/>
      </c>
      <c r="S538" s="36">
        <f>IF(A538=入力!$B$15,A538+入力!$B$19,S537)</f>
        <v>360</v>
      </c>
      <c r="T538" s="35" t="str">
        <f t="shared" si="143"/>
        <v/>
      </c>
      <c r="U538" s="3">
        <f t="shared" si="128"/>
        <v>0</v>
      </c>
      <c r="V538" s="3">
        <f t="shared" si="129"/>
        <v>0</v>
      </c>
      <c r="W538" s="3">
        <f t="shared" si="130"/>
        <v>0</v>
      </c>
      <c r="X538" s="3">
        <f t="shared" si="131"/>
        <v>0</v>
      </c>
      <c r="Y538" s="3">
        <f>IF(A538&lt;入力!$B$15,ABS(G538-何もしない_月次!G538),0)</f>
        <v>0</v>
      </c>
      <c r="Z538" s="3">
        <f t="shared" si="132"/>
        <v>0</v>
      </c>
      <c r="AA538">
        <f>ROUND(IF(A538=入力!$B$15+1,IF(E538=0,ROUND(C538/入力!$B$19,0),ROUND(-PMT(E538/12,入力!$B$19,C538),0)),IF(OR(AND(入力!$B$13="有効",A538&gt;1,MOD(A538-1,60)=0),AND(A538=入力!$B$11,A538&gt;1)),IF(入力!$B$14="有効",MIN(IF(E538=0,ROUND(C538/MAX(1,S537-A538+1),0),ROUND(-PMT(E538/12,MAX(1,S537-A538+1),C538),0)),ROUND(G537*1.25,0)),IF(E538=0,ROUND(C538/MAX(1,S537-A538+1),0),ROUND(-PMT(E538/12,MAX(1,S537-A538+1),C538),0))),G537)),0)</f>
        <v>0</v>
      </c>
    </row>
    <row r="539" spans="1:27">
      <c r="A539" s="30">
        <f>534</f>
        <v>534</v>
      </c>
      <c r="B539" s="31">
        <f>EDATE(入力!$B$6,A539-1)</f>
        <v>62459</v>
      </c>
      <c r="C539" s="32">
        <f t="shared" si="133"/>
        <v>0</v>
      </c>
      <c r="D539" s="32">
        <f t="shared" si="134"/>
        <v>0</v>
      </c>
      <c r="E539" s="33">
        <f>IF(AND(T538="",A539&lt;=S538),IF(A539&lt;入力!$B$11,入力!$B$10,入力!$B$12),0)</f>
        <v>0</v>
      </c>
      <c r="F539" s="32">
        <f t="shared" si="135"/>
        <v>0</v>
      </c>
      <c r="G539" s="32">
        <f>ROUND(IF(NOT(AND(T538="",A539&lt;=S538)),0,IF(A539=入力!$B$15+1,IF(E539=0,ROUND(C539/入力!$B$19,0),ROUND(-PMT(E539/12,入力!$B$19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),0)</f>
        <v>0</v>
      </c>
      <c r="H539" s="32">
        <f t="shared" si="136"/>
        <v>0</v>
      </c>
      <c r="I539" s="32">
        <f t="shared" si="137"/>
        <v>0</v>
      </c>
      <c r="J539" s="32">
        <f t="shared" si="138"/>
        <v>0</v>
      </c>
      <c r="K539" s="32">
        <f t="shared" si="139"/>
        <v>0</v>
      </c>
      <c r="L539" s="32">
        <f t="shared" si="140"/>
        <v>0</v>
      </c>
      <c r="M539" s="32">
        <f>IF(AND(AND(T538="",A539&lt;=S538),A539=入力!$B$15),ROUND(MIN(入力!$B$16,MAX(0,C539-L539)),0),0)</f>
        <v>0</v>
      </c>
      <c r="N539" s="32">
        <f t="shared" si="141"/>
        <v>0</v>
      </c>
      <c r="O539" s="32">
        <f t="shared" si="142"/>
        <v>10751874</v>
      </c>
      <c r="P539" s="34" t="str">
        <f>IF(NOT(AND(T538="",A539&lt;=S538)),"",IF(A539=入力!$B$15+1,"繰上返済後再計算","")&amp;IF(AND(入力!$B$13="有効",A539&gt;1,MOD(A539-1,60)=0),IF(A539=入力!$B$15+1,"・","")&amp;"5年見直し","")&amp;IF(AND(A539=入力!$B$11,A539&gt;1),IF(OR(A539=入力!$B$15+1,AND(入力!$B$13="有効",A539&gt;1,MOD(A539-1,60)=0)),"・","")&amp;"金利変更","")&amp;IF(AND(OR(AND(入力!$B$13="有効",A539&gt;1,MOD(A539-1,60)=0),AND(A539=入力!$B$11,A539&gt;1)),入力!$B$14="有効",IF(E539=0,ROUND(C539/MAX(1,S538-A539+1),0),ROUND(-PMT(E539/12,MAX(1,S538-A539+1),C539),0))&gt;ROUND(G538*1.25,0),NOT(A539=入力!$B$15+1)),"・上限適用",""))</f>
        <v/>
      </c>
      <c r="Q539" s="35" t="str">
        <f>IF(AND(T538="",A539&lt;=S538),入力!$B$13,"")</f>
        <v/>
      </c>
      <c r="R539" s="32" t="str">
        <f>IF(AND(AND(T538="",A539&lt;=S538),OR(AND(入力!$B$13="有効",A539&gt;1,MOD(A539-1,60)=0),AND(A539=入力!$B$11,A539&gt;1)),入力!$B$14="有効"),ROUND(G538*1.25,0),"")</f>
        <v/>
      </c>
      <c r="S539" s="36">
        <f>IF(A539=入力!$B$15,A539+入力!$B$19,S538)</f>
        <v>360</v>
      </c>
      <c r="T539" s="35" t="str">
        <f t="shared" si="143"/>
        <v/>
      </c>
      <c r="U539" s="3">
        <f t="shared" si="128"/>
        <v>0</v>
      </c>
      <c r="V539" s="3">
        <f t="shared" si="129"/>
        <v>0</v>
      </c>
      <c r="W539" s="3">
        <f t="shared" si="130"/>
        <v>0</v>
      </c>
      <c r="X539" s="3">
        <f t="shared" si="131"/>
        <v>0</v>
      </c>
      <c r="Y539" s="3">
        <f>IF(A539&lt;入力!$B$15,ABS(G539-何もしない_月次!G539),0)</f>
        <v>0</v>
      </c>
      <c r="Z539" s="3">
        <f t="shared" si="132"/>
        <v>0</v>
      </c>
      <c r="AA539">
        <f>ROUND(IF(A539=入力!$B$15+1,IF(E539=0,ROUND(C539/入力!$B$19,0),ROUND(-PMT(E539/12,入力!$B$19,C539),0)),IF(OR(AND(入力!$B$13="有効",A539&gt;1,MOD(A539-1,60)=0),AND(A539=入力!$B$11,A539&gt;1)),IF(入力!$B$14="有効",MIN(IF(E539=0,ROUND(C539/MAX(1,S538-A539+1),0),ROUND(-PMT(E539/12,MAX(1,S538-A539+1),C539),0)),ROUND(G538*1.25,0)),IF(E539=0,ROUND(C539/MAX(1,S538-A539+1),0),ROUND(-PMT(E539/12,MAX(1,S538-A539+1),C539),0))),G538)),0)</f>
        <v>0</v>
      </c>
    </row>
    <row r="540" spans="1:27">
      <c r="A540" s="30">
        <f>535</f>
        <v>535</v>
      </c>
      <c r="B540" s="31">
        <f>EDATE(入力!$B$6,A540-1)</f>
        <v>62490</v>
      </c>
      <c r="C540" s="32">
        <f t="shared" si="133"/>
        <v>0</v>
      </c>
      <c r="D540" s="32">
        <f t="shared" si="134"/>
        <v>0</v>
      </c>
      <c r="E540" s="33">
        <f>IF(AND(T539="",A540&lt;=S539),IF(A540&lt;入力!$B$11,入力!$B$10,入力!$B$12),0)</f>
        <v>0</v>
      </c>
      <c r="F540" s="32">
        <f t="shared" si="135"/>
        <v>0</v>
      </c>
      <c r="G540" s="32">
        <f>ROUND(IF(NOT(AND(T539="",A540&lt;=S539)),0,IF(A540=入力!$B$15+1,IF(E540=0,ROUND(C540/入力!$B$19,0),ROUND(-PMT(E540/12,入力!$B$19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),0)</f>
        <v>0</v>
      </c>
      <c r="H540" s="32">
        <f t="shared" si="136"/>
        <v>0</v>
      </c>
      <c r="I540" s="32">
        <f t="shared" si="137"/>
        <v>0</v>
      </c>
      <c r="J540" s="32">
        <f t="shared" si="138"/>
        <v>0</v>
      </c>
      <c r="K540" s="32">
        <f t="shared" si="139"/>
        <v>0</v>
      </c>
      <c r="L540" s="32">
        <f t="shared" si="140"/>
        <v>0</v>
      </c>
      <c r="M540" s="32">
        <f>IF(AND(AND(T539="",A540&lt;=S539),A540=入力!$B$15),ROUND(MIN(入力!$B$16,MAX(0,C540-L540)),0),0)</f>
        <v>0</v>
      </c>
      <c r="N540" s="32">
        <f t="shared" si="141"/>
        <v>0</v>
      </c>
      <c r="O540" s="32">
        <f t="shared" si="142"/>
        <v>10751874</v>
      </c>
      <c r="P540" s="34" t="str">
        <f>IF(NOT(AND(T539="",A540&lt;=S539)),"",IF(A540=入力!$B$15+1,"繰上返済後再計算","")&amp;IF(AND(入力!$B$13="有効",A540&gt;1,MOD(A540-1,60)=0),IF(A540=入力!$B$15+1,"・","")&amp;"5年見直し","")&amp;IF(AND(A540=入力!$B$11,A540&gt;1),IF(OR(A540=入力!$B$15+1,AND(入力!$B$13="有効",A540&gt;1,MOD(A540-1,60)=0)),"・","")&amp;"金利変更","")&amp;IF(AND(OR(AND(入力!$B$13="有効",A540&gt;1,MOD(A540-1,60)=0),AND(A540=入力!$B$11,A540&gt;1)),入力!$B$14="有効",IF(E540=0,ROUND(C540/MAX(1,S539-A540+1),0),ROUND(-PMT(E540/12,MAX(1,S539-A540+1),C540),0))&gt;ROUND(G539*1.25,0),NOT(A540=入力!$B$15+1)),"・上限適用",""))</f>
        <v/>
      </c>
      <c r="Q540" s="35" t="str">
        <f>IF(AND(T539="",A540&lt;=S539),入力!$B$13,"")</f>
        <v/>
      </c>
      <c r="R540" s="32" t="str">
        <f>IF(AND(AND(T539="",A540&lt;=S539),OR(AND(入力!$B$13="有効",A540&gt;1,MOD(A540-1,60)=0),AND(A540=入力!$B$11,A540&gt;1)),入力!$B$14="有効"),ROUND(G539*1.25,0),"")</f>
        <v/>
      </c>
      <c r="S540" s="36">
        <f>IF(A540=入力!$B$15,A540+入力!$B$19,S539)</f>
        <v>360</v>
      </c>
      <c r="T540" s="35" t="str">
        <f t="shared" si="143"/>
        <v/>
      </c>
      <c r="U540" s="3">
        <f t="shared" si="128"/>
        <v>0</v>
      </c>
      <c r="V540" s="3">
        <f t="shared" si="129"/>
        <v>0</v>
      </c>
      <c r="W540" s="3">
        <f t="shared" si="130"/>
        <v>0</v>
      </c>
      <c r="X540" s="3">
        <f t="shared" si="131"/>
        <v>0</v>
      </c>
      <c r="Y540" s="3">
        <f>IF(A540&lt;入力!$B$15,ABS(G540-何もしない_月次!G540),0)</f>
        <v>0</v>
      </c>
      <c r="Z540" s="3">
        <f t="shared" si="132"/>
        <v>0</v>
      </c>
      <c r="AA540">
        <f>ROUND(IF(A540=入力!$B$15+1,IF(E540=0,ROUND(C540/入力!$B$19,0),ROUND(-PMT(E540/12,入力!$B$19,C540),0)),IF(OR(AND(入力!$B$13="有効",A540&gt;1,MOD(A540-1,60)=0),AND(A540=入力!$B$11,A540&gt;1)),IF(入力!$B$14="有効",MIN(IF(E540=0,ROUND(C540/MAX(1,S539-A540+1),0),ROUND(-PMT(E540/12,MAX(1,S539-A540+1),C540),0)),ROUND(G539*1.25,0)),IF(E540=0,ROUND(C540/MAX(1,S539-A540+1),0),ROUND(-PMT(E540/12,MAX(1,S539-A540+1),C540),0))),G539)),0)</f>
        <v>0</v>
      </c>
    </row>
    <row r="541" spans="1:27">
      <c r="A541" s="30">
        <f>536</f>
        <v>536</v>
      </c>
      <c r="B541" s="31">
        <f>EDATE(入力!$B$6,A541-1)</f>
        <v>62518</v>
      </c>
      <c r="C541" s="32">
        <f t="shared" si="133"/>
        <v>0</v>
      </c>
      <c r="D541" s="32">
        <f t="shared" si="134"/>
        <v>0</v>
      </c>
      <c r="E541" s="33">
        <f>IF(AND(T540="",A541&lt;=S540),IF(A541&lt;入力!$B$11,入力!$B$10,入力!$B$12),0)</f>
        <v>0</v>
      </c>
      <c r="F541" s="32">
        <f t="shared" si="135"/>
        <v>0</v>
      </c>
      <c r="G541" s="32">
        <f>ROUND(IF(NOT(AND(T540="",A541&lt;=S540)),0,IF(A541=入力!$B$15+1,IF(E541=0,ROUND(C541/入力!$B$19,0),ROUND(-PMT(E541/12,入力!$B$19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),0)</f>
        <v>0</v>
      </c>
      <c r="H541" s="32">
        <f t="shared" si="136"/>
        <v>0</v>
      </c>
      <c r="I541" s="32">
        <f t="shared" si="137"/>
        <v>0</v>
      </c>
      <c r="J541" s="32">
        <f t="shared" si="138"/>
        <v>0</v>
      </c>
      <c r="K541" s="32">
        <f t="shared" si="139"/>
        <v>0</v>
      </c>
      <c r="L541" s="32">
        <f t="shared" si="140"/>
        <v>0</v>
      </c>
      <c r="M541" s="32">
        <f>IF(AND(AND(T540="",A541&lt;=S540),A541=入力!$B$15),ROUND(MIN(入力!$B$16,MAX(0,C541-L541)),0),0)</f>
        <v>0</v>
      </c>
      <c r="N541" s="32">
        <f t="shared" si="141"/>
        <v>0</v>
      </c>
      <c r="O541" s="32">
        <f t="shared" si="142"/>
        <v>10751874</v>
      </c>
      <c r="P541" s="34" t="str">
        <f>IF(NOT(AND(T540="",A541&lt;=S540)),"",IF(A541=入力!$B$15+1,"繰上返済後再計算","")&amp;IF(AND(入力!$B$13="有効",A541&gt;1,MOD(A541-1,60)=0),IF(A541=入力!$B$15+1,"・","")&amp;"5年見直し","")&amp;IF(AND(A541=入力!$B$11,A541&gt;1),IF(OR(A541=入力!$B$15+1,AND(入力!$B$13="有効",A541&gt;1,MOD(A541-1,60)=0)),"・","")&amp;"金利変更","")&amp;IF(AND(OR(AND(入力!$B$13="有効",A541&gt;1,MOD(A541-1,60)=0),AND(A541=入力!$B$11,A541&gt;1)),入力!$B$14="有効",IF(E541=0,ROUND(C541/MAX(1,S540-A541+1),0),ROUND(-PMT(E541/12,MAX(1,S540-A541+1),C541),0))&gt;ROUND(G540*1.25,0),NOT(A541=入力!$B$15+1)),"・上限適用",""))</f>
        <v/>
      </c>
      <c r="Q541" s="35" t="str">
        <f>IF(AND(T540="",A541&lt;=S540),入力!$B$13,"")</f>
        <v/>
      </c>
      <c r="R541" s="32" t="str">
        <f>IF(AND(AND(T540="",A541&lt;=S540),OR(AND(入力!$B$13="有効",A541&gt;1,MOD(A541-1,60)=0),AND(A541=入力!$B$11,A541&gt;1)),入力!$B$14="有効"),ROUND(G540*1.25,0),"")</f>
        <v/>
      </c>
      <c r="S541" s="36">
        <f>IF(A541=入力!$B$15,A541+入力!$B$19,S540)</f>
        <v>360</v>
      </c>
      <c r="T541" s="35" t="str">
        <f t="shared" si="143"/>
        <v/>
      </c>
      <c r="U541" s="3">
        <f t="shared" si="128"/>
        <v>0</v>
      </c>
      <c r="V541" s="3">
        <f t="shared" si="129"/>
        <v>0</v>
      </c>
      <c r="W541" s="3">
        <f t="shared" si="130"/>
        <v>0</v>
      </c>
      <c r="X541" s="3">
        <f t="shared" si="131"/>
        <v>0</v>
      </c>
      <c r="Y541" s="3">
        <f>IF(A541&lt;入力!$B$15,ABS(G541-何もしない_月次!G541),0)</f>
        <v>0</v>
      </c>
      <c r="Z541" s="3">
        <f t="shared" si="132"/>
        <v>0</v>
      </c>
      <c r="AA541">
        <f>ROUND(IF(A541=入力!$B$15+1,IF(E541=0,ROUND(C541/入力!$B$19,0),ROUND(-PMT(E541/12,入力!$B$19,C541),0)),IF(OR(AND(入力!$B$13="有効",A541&gt;1,MOD(A541-1,60)=0),AND(A541=入力!$B$11,A541&gt;1)),IF(入力!$B$14="有効",MIN(IF(E541=0,ROUND(C541/MAX(1,S540-A541+1),0),ROUND(-PMT(E541/12,MAX(1,S540-A541+1),C541),0)),ROUND(G540*1.25,0)),IF(E541=0,ROUND(C541/MAX(1,S540-A541+1),0),ROUND(-PMT(E541/12,MAX(1,S540-A541+1),C541),0))),G540)),0)</f>
        <v>0</v>
      </c>
    </row>
    <row r="542" spans="1:27">
      <c r="A542" s="30">
        <f>537</f>
        <v>537</v>
      </c>
      <c r="B542" s="31">
        <f>EDATE(入力!$B$6,A542-1)</f>
        <v>62549</v>
      </c>
      <c r="C542" s="32">
        <f t="shared" si="133"/>
        <v>0</v>
      </c>
      <c r="D542" s="32">
        <f t="shared" si="134"/>
        <v>0</v>
      </c>
      <c r="E542" s="33">
        <f>IF(AND(T541="",A542&lt;=S541),IF(A542&lt;入力!$B$11,入力!$B$10,入力!$B$12),0)</f>
        <v>0</v>
      </c>
      <c r="F542" s="32">
        <f t="shared" si="135"/>
        <v>0</v>
      </c>
      <c r="G542" s="32">
        <f>ROUND(IF(NOT(AND(T541="",A542&lt;=S541)),0,IF(A542=入力!$B$15+1,IF(E542=0,ROUND(C542/入力!$B$19,0),ROUND(-PMT(E542/12,入力!$B$19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),0)</f>
        <v>0</v>
      </c>
      <c r="H542" s="32">
        <f t="shared" si="136"/>
        <v>0</v>
      </c>
      <c r="I542" s="32">
        <f t="shared" si="137"/>
        <v>0</v>
      </c>
      <c r="J542" s="32">
        <f t="shared" si="138"/>
        <v>0</v>
      </c>
      <c r="K542" s="32">
        <f t="shared" si="139"/>
        <v>0</v>
      </c>
      <c r="L542" s="32">
        <f t="shared" si="140"/>
        <v>0</v>
      </c>
      <c r="M542" s="32">
        <f>IF(AND(AND(T541="",A542&lt;=S541),A542=入力!$B$15),ROUND(MIN(入力!$B$16,MAX(0,C542-L542)),0),0)</f>
        <v>0</v>
      </c>
      <c r="N542" s="32">
        <f t="shared" si="141"/>
        <v>0</v>
      </c>
      <c r="O542" s="32">
        <f t="shared" si="142"/>
        <v>10751874</v>
      </c>
      <c r="P542" s="34" t="str">
        <f>IF(NOT(AND(T541="",A542&lt;=S541)),"",IF(A542=入力!$B$15+1,"繰上返済後再計算","")&amp;IF(AND(入力!$B$13="有効",A542&gt;1,MOD(A542-1,60)=0),IF(A542=入力!$B$15+1,"・","")&amp;"5年見直し","")&amp;IF(AND(A542=入力!$B$11,A542&gt;1),IF(OR(A542=入力!$B$15+1,AND(入力!$B$13="有効",A542&gt;1,MOD(A542-1,60)=0)),"・","")&amp;"金利変更","")&amp;IF(AND(OR(AND(入力!$B$13="有効",A542&gt;1,MOD(A542-1,60)=0),AND(A542=入力!$B$11,A542&gt;1)),入力!$B$14="有効",IF(E542=0,ROUND(C542/MAX(1,S541-A542+1),0),ROUND(-PMT(E542/12,MAX(1,S541-A542+1),C542),0))&gt;ROUND(G541*1.25,0),NOT(A542=入力!$B$15+1)),"・上限適用",""))</f>
        <v/>
      </c>
      <c r="Q542" s="35" t="str">
        <f>IF(AND(T541="",A542&lt;=S541),入力!$B$13,"")</f>
        <v/>
      </c>
      <c r="R542" s="32" t="str">
        <f>IF(AND(AND(T541="",A542&lt;=S541),OR(AND(入力!$B$13="有効",A542&gt;1,MOD(A542-1,60)=0),AND(A542=入力!$B$11,A542&gt;1)),入力!$B$14="有効"),ROUND(G541*1.25,0),"")</f>
        <v/>
      </c>
      <c r="S542" s="36">
        <f>IF(A542=入力!$B$15,A542+入力!$B$19,S541)</f>
        <v>360</v>
      </c>
      <c r="T542" s="35" t="str">
        <f t="shared" si="143"/>
        <v/>
      </c>
      <c r="U542" s="3">
        <f t="shared" si="128"/>
        <v>0</v>
      </c>
      <c r="V542" s="3">
        <f t="shared" si="129"/>
        <v>0</v>
      </c>
      <c r="W542" s="3">
        <f t="shared" si="130"/>
        <v>0</v>
      </c>
      <c r="X542" s="3">
        <f t="shared" si="131"/>
        <v>0</v>
      </c>
      <c r="Y542" s="3">
        <f>IF(A542&lt;入力!$B$15,ABS(G542-何もしない_月次!G542),0)</f>
        <v>0</v>
      </c>
      <c r="Z542" s="3">
        <f t="shared" si="132"/>
        <v>0</v>
      </c>
      <c r="AA542">
        <f>ROUND(IF(A542=入力!$B$15+1,IF(E542=0,ROUND(C542/入力!$B$19,0),ROUND(-PMT(E542/12,入力!$B$19,C542),0)),IF(OR(AND(入力!$B$13="有効",A542&gt;1,MOD(A542-1,60)=0),AND(A542=入力!$B$11,A542&gt;1)),IF(入力!$B$14="有効",MIN(IF(E542=0,ROUND(C542/MAX(1,S541-A542+1),0),ROUND(-PMT(E542/12,MAX(1,S541-A542+1),C542),0)),ROUND(G541*1.25,0)),IF(E542=0,ROUND(C542/MAX(1,S541-A542+1),0),ROUND(-PMT(E542/12,MAX(1,S541-A542+1),C542),0))),G541)),0)</f>
        <v>0</v>
      </c>
    </row>
    <row r="543" spans="1:27">
      <c r="A543" s="30">
        <f>538</f>
        <v>538</v>
      </c>
      <c r="B543" s="31">
        <f>EDATE(入力!$B$6,A543-1)</f>
        <v>62579</v>
      </c>
      <c r="C543" s="32">
        <f t="shared" si="133"/>
        <v>0</v>
      </c>
      <c r="D543" s="32">
        <f t="shared" si="134"/>
        <v>0</v>
      </c>
      <c r="E543" s="33">
        <f>IF(AND(T542="",A543&lt;=S542),IF(A543&lt;入力!$B$11,入力!$B$10,入力!$B$12),0)</f>
        <v>0</v>
      </c>
      <c r="F543" s="32">
        <f t="shared" si="135"/>
        <v>0</v>
      </c>
      <c r="G543" s="32">
        <f>ROUND(IF(NOT(AND(T542="",A543&lt;=S542)),0,IF(A543=入力!$B$15+1,IF(E543=0,ROUND(C543/入力!$B$19,0),ROUND(-PMT(E543/12,入力!$B$19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),0)</f>
        <v>0</v>
      </c>
      <c r="H543" s="32">
        <f t="shared" si="136"/>
        <v>0</v>
      </c>
      <c r="I543" s="32">
        <f t="shared" si="137"/>
        <v>0</v>
      </c>
      <c r="J543" s="32">
        <f t="shared" si="138"/>
        <v>0</v>
      </c>
      <c r="K543" s="32">
        <f t="shared" si="139"/>
        <v>0</v>
      </c>
      <c r="L543" s="32">
        <f t="shared" si="140"/>
        <v>0</v>
      </c>
      <c r="M543" s="32">
        <f>IF(AND(AND(T542="",A543&lt;=S542),A543=入力!$B$15),ROUND(MIN(入力!$B$16,MAX(0,C543-L543)),0),0)</f>
        <v>0</v>
      </c>
      <c r="N543" s="32">
        <f t="shared" si="141"/>
        <v>0</v>
      </c>
      <c r="O543" s="32">
        <f t="shared" si="142"/>
        <v>10751874</v>
      </c>
      <c r="P543" s="34" t="str">
        <f>IF(NOT(AND(T542="",A543&lt;=S542)),"",IF(A543=入力!$B$15+1,"繰上返済後再計算","")&amp;IF(AND(入力!$B$13="有効",A543&gt;1,MOD(A543-1,60)=0),IF(A543=入力!$B$15+1,"・","")&amp;"5年見直し","")&amp;IF(AND(A543=入力!$B$11,A543&gt;1),IF(OR(A543=入力!$B$15+1,AND(入力!$B$13="有効",A543&gt;1,MOD(A543-1,60)=0)),"・","")&amp;"金利変更","")&amp;IF(AND(OR(AND(入力!$B$13="有効",A543&gt;1,MOD(A543-1,60)=0),AND(A543=入力!$B$11,A543&gt;1)),入力!$B$14="有効",IF(E543=0,ROUND(C543/MAX(1,S542-A543+1),0),ROUND(-PMT(E543/12,MAX(1,S542-A543+1),C543),0))&gt;ROUND(G542*1.25,0),NOT(A543=入力!$B$15+1)),"・上限適用",""))</f>
        <v/>
      </c>
      <c r="Q543" s="35" t="str">
        <f>IF(AND(T542="",A543&lt;=S542),入力!$B$13,"")</f>
        <v/>
      </c>
      <c r="R543" s="32" t="str">
        <f>IF(AND(AND(T542="",A543&lt;=S542),OR(AND(入力!$B$13="有効",A543&gt;1,MOD(A543-1,60)=0),AND(A543=入力!$B$11,A543&gt;1)),入力!$B$14="有効"),ROUND(G542*1.25,0),"")</f>
        <v/>
      </c>
      <c r="S543" s="36">
        <f>IF(A543=入力!$B$15,A543+入力!$B$19,S542)</f>
        <v>360</v>
      </c>
      <c r="T543" s="35" t="str">
        <f t="shared" si="143"/>
        <v/>
      </c>
      <c r="U543" s="3">
        <f t="shared" si="128"/>
        <v>0</v>
      </c>
      <c r="V543" s="3">
        <f t="shared" si="129"/>
        <v>0</v>
      </c>
      <c r="W543" s="3">
        <f t="shared" si="130"/>
        <v>0</v>
      </c>
      <c r="X543" s="3">
        <f t="shared" si="131"/>
        <v>0</v>
      </c>
      <c r="Y543" s="3">
        <f>IF(A543&lt;入力!$B$15,ABS(G543-何もしない_月次!G543),0)</f>
        <v>0</v>
      </c>
      <c r="Z543" s="3">
        <f t="shared" si="132"/>
        <v>0</v>
      </c>
      <c r="AA543">
        <f>ROUND(IF(A543=入力!$B$15+1,IF(E543=0,ROUND(C543/入力!$B$19,0),ROUND(-PMT(E543/12,入力!$B$19,C543),0)),IF(OR(AND(入力!$B$13="有効",A543&gt;1,MOD(A543-1,60)=0),AND(A543=入力!$B$11,A543&gt;1)),IF(入力!$B$14="有効",MIN(IF(E543=0,ROUND(C543/MAX(1,S542-A543+1),0),ROUND(-PMT(E543/12,MAX(1,S542-A543+1),C543),0)),ROUND(G542*1.25,0)),IF(E543=0,ROUND(C543/MAX(1,S542-A543+1),0),ROUND(-PMT(E543/12,MAX(1,S542-A543+1),C543),0))),G542)),0)</f>
        <v>0</v>
      </c>
    </row>
    <row r="544" spans="1:27">
      <c r="A544" s="30">
        <f>539</f>
        <v>539</v>
      </c>
      <c r="B544" s="31">
        <f>EDATE(入力!$B$6,A544-1)</f>
        <v>62610</v>
      </c>
      <c r="C544" s="32">
        <f t="shared" si="133"/>
        <v>0</v>
      </c>
      <c r="D544" s="32">
        <f t="shared" si="134"/>
        <v>0</v>
      </c>
      <c r="E544" s="33">
        <f>IF(AND(T543="",A544&lt;=S543),IF(A544&lt;入力!$B$11,入力!$B$10,入力!$B$12),0)</f>
        <v>0</v>
      </c>
      <c r="F544" s="32">
        <f t="shared" si="135"/>
        <v>0</v>
      </c>
      <c r="G544" s="32">
        <f>ROUND(IF(NOT(AND(T543="",A544&lt;=S543)),0,IF(A544=入力!$B$15+1,IF(E544=0,ROUND(C544/入力!$B$19,0),ROUND(-PMT(E544/12,入力!$B$19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),0)</f>
        <v>0</v>
      </c>
      <c r="H544" s="32">
        <f t="shared" si="136"/>
        <v>0</v>
      </c>
      <c r="I544" s="32">
        <f t="shared" si="137"/>
        <v>0</v>
      </c>
      <c r="J544" s="32">
        <f t="shared" si="138"/>
        <v>0</v>
      </c>
      <c r="K544" s="32">
        <f t="shared" si="139"/>
        <v>0</v>
      </c>
      <c r="L544" s="32">
        <f t="shared" si="140"/>
        <v>0</v>
      </c>
      <c r="M544" s="32">
        <f>IF(AND(AND(T543="",A544&lt;=S543),A544=入力!$B$15),ROUND(MIN(入力!$B$16,MAX(0,C544-L544)),0),0)</f>
        <v>0</v>
      </c>
      <c r="N544" s="32">
        <f t="shared" si="141"/>
        <v>0</v>
      </c>
      <c r="O544" s="32">
        <f t="shared" si="142"/>
        <v>10751874</v>
      </c>
      <c r="P544" s="34" t="str">
        <f>IF(NOT(AND(T543="",A544&lt;=S543)),"",IF(A544=入力!$B$15+1,"繰上返済後再計算","")&amp;IF(AND(入力!$B$13="有効",A544&gt;1,MOD(A544-1,60)=0),IF(A544=入力!$B$15+1,"・","")&amp;"5年見直し","")&amp;IF(AND(A544=入力!$B$11,A544&gt;1),IF(OR(A544=入力!$B$15+1,AND(入力!$B$13="有効",A544&gt;1,MOD(A544-1,60)=0)),"・","")&amp;"金利変更","")&amp;IF(AND(OR(AND(入力!$B$13="有効",A544&gt;1,MOD(A544-1,60)=0),AND(A544=入力!$B$11,A544&gt;1)),入力!$B$14="有効",IF(E544=0,ROUND(C544/MAX(1,S543-A544+1),0),ROUND(-PMT(E544/12,MAX(1,S543-A544+1),C544),0))&gt;ROUND(G543*1.25,0),NOT(A544=入力!$B$15+1)),"・上限適用",""))</f>
        <v/>
      </c>
      <c r="Q544" s="35" t="str">
        <f>IF(AND(T543="",A544&lt;=S543),入力!$B$13,"")</f>
        <v/>
      </c>
      <c r="R544" s="32" t="str">
        <f>IF(AND(AND(T543="",A544&lt;=S543),OR(AND(入力!$B$13="有効",A544&gt;1,MOD(A544-1,60)=0),AND(A544=入力!$B$11,A544&gt;1)),入力!$B$14="有効"),ROUND(G543*1.25,0),"")</f>
        <v/>
      </c>
      <c r="S544" s="36">
        <f>IF(A544=入力!$B$15,A544+入力!$B$19,S543)</f>
        <v>360</v>
      </c>
      <c r="T544" s="35" t="str">
        <f t="shared" si="143"/>
        <v/>
      </c>
      <c r="U544" s="3">
        <f t="shared" si="128"/>
        <v>0</v>
      </c>
      <c r="V544" s="3">
        <f t="shared" si="129"/>
        <v>0</v>
      </c>
      <c r="W544" s="3">
        <f t="shared" si="130"/>
        <v>0</v>
      </c>
      <c r="X544" s="3">
        <f t="shared" si="131"/>
        <v>0</v>
      </c>
      <c r="Y544" s="3">
        <f>IF(A544&lt;入力!$B$15,ABS(G544-何もしない_月次!G544),0)</f>
        <v>0</v>
      </c>
      <c r="Z544" s="3">
        <f t="shared" si="132"/>
        <v>0</v>
      </c>
      <c r="AA544">
        <f>ROUND(IF(A544=入力!$B$15+1,IF(E544=0,ROUND(C544/入力!$B$19,0),ROUND(-PMT(E544/12,入力!$B$19,C544),0)),IF(OR(AND(入力!$B$13="有効",A544&gt;1,MOD(A544-1,60)=0),AND(A544=入力!$B$11,A544&gt;1)),IF(入力!$B$14="有効",MIN(IF(E544=0,ROUND(C544/MAX(1,S543-A544+1),0),ROUND(-PMT(E544/12,MAX(1,S543-A544+1),C544),0)),ROUND(G543*1.25,0)),IF(E544=0,ROUND(C544/MAX(1,S543-A544+1),0),ROUND(-PMT(E544/12,MAX(1,S543-A544+1),C544),0))),G543)),0)</f>
        <v>0</v>
      </c>
    </row>
    <row r="545" spans="1:27">
      <c r="A545" s="30">
        <f>540</f>
        <v>540</v>
      </c>
      <c r="B545" s="31">
        <f>EDATE(入力!$B$6,A545-1)</f>
        <v>62640</v>
      </c>
      <c r="C545" s="32">
        <f t="shared" si="133"/>
        <v>0</v>
      </c>
      <c r="D545" s="32">
        <f t="shared" si="134"/>
        <v>0</v>
      </c>
      <c r="E545" s="33">
        <f>IF(AND(T544="",A545&lt;=S544),IF(A545&lt;入力!$B$11,入力!$B$10,入力!$B$12),0)</f>
        <v>0</v>
      </c>
      <c r="F545" s="32">
        <f t="shared" si="135"/>
        <v>0</v>
      </c>
      <c r="G545" s="32">
        <f>ROUND(IF(NOT(AND(T544="",A545&lt;=S544)),0,IF(A545=入力!$B$15+1,IF(E545=0,ROUND(C545/入力!$B$19,0),ROUND(-PMT(E545/12,入力!$B$19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),0)</f>
        <v>0</v>
      </c>
      <c r="H545" s="32">
        <f t="shared" si="136"/>
        <v>0</v>
      </c>
      <c r="I545" s="32">
        <f t="shared" si="137"/>
        <v>0</v>
      </c>
      <c r="J545" s="32">
        <f t="shared" si="138"/>
        <v>0</v>
      </c>
      <c r="K545" s="32">
        <f t="shared" si="139"/>
        <v>0</v>
      </c>
      <c r="L545" s="32">
        <f t="shared" si="140"/>
        <v>0</v>
      </c>
      <c r="M545" s="32">
        <f>IF(AND(AND(T544="",A545&lt;=S544),A545=入力!$B$15),ROUND(MIN(入力!$B$16,MAX(0,C545-L545)),0),0)</f>
        <v>0</v>
      </c>
      <c r="N545" s="32">
        <f t="shared" si="141"/>
        <v>0</v>
      </c>
      <c r="O545" s="32">
        <f t="shared" si="142"/>
        <v>10751874</v>
      </c>
      <c r="P545" s="34" t="str">
        <f>IF(NOT(AND(T544="",A545&lt;=S544)),"",IF(A545=入力!$B$15+1,"繰上返済後再計算","")&amp;IF(AND(入力!$B$13="有効",A545&gt;1,MOD(A545-1,60)=0),IF(A545=入力!$B$15+1,"・","")&amp;"5年見直し","")&amp;IF(AND(A545=入力!$B$11,A545&gt;1),IF(OR(A545=入力!$B$15+1,AND(入力!$B$13="有効",A545&gt;1,MOD(A545-1,60)=0)),"・","")&amp;"金利変更","")&amp;IF(AND(OR(AND(入力!$B$13="有効",A545&gt;1,MOD(A545-1,60)=0),AND(A545=入力!$B$11,A545&gt;1)),入力!$B$14="有効",IF(E545=0,ROUND(C545/MAX(1,S544-A545+1),0),ROUND(-PMT(E545/12,MAX(1,S544-A545+1),C545),0))&gt;ROUND(G544*1.25,0),NOT(A545=入力!$B$15+1)),"・上限適用",""))</f>
        <v/>
      </c>
      <c r="Q545" s="35" t="str">
        <f>IF(AND(T544="",A545&lt;=S544),入力!$B$13,"")</f>
        <v/>
      </c>
      <c r="R545" s="32" t="str">
        <f>IF(AND(AND(T544="",A545&lt;=S544),OR(AND(入力!$B$13="有効",A545&gt;1,MOD(A545-1,60)=0),AND(A545=入力!$B$11,A545&gt;1)),入力!$B$14="有効"),ROUND(G544*1.25,0),"")</f>
        <v/>
      </c>
      <c r="S545" s="36">
        <f>IF(A545=入力!$B$15,A545+入力!$B$19,S544)</f>
        <v>360</v>
      </c>
      <c r="T545" s="35" t="str">
        <f t="shared" si="143"/>
        <v/>
      </c>
      <c r="U545" s="3">
        <f t="shared" si="128"/>
        <v>0</v>
      </c>
      <c r="V545" s="3">
        <f t="shared" si="129"/>
        <v>0</v>
      </c>
      <c r="W545" s="3">
        <f t="shared" si="130"/>
        <v>0</v>
      </c>
      <c r="X545" s="3">
        <f t="shared" si="131"/>
        <v>0</v>
      </c>
      <c r="Y545" s="3">
        <f>IF(A545&lt;入力!$B$15,ABS(G545-何もしない_月次!G545),0)</f>
        <v>0</v>
      </c>
      <c r="Z545" s="3">
        <f t="shared" si="132"/>
        <v>0</v>
      </c>
      <c r="AA545">
        <f>ROUND(IF(A545=入力!$B$15+1,IF(E545=0,ROUND(C545/入力!$B$19,0),ROUND(-PMT(E545/12,入力!$B$19,C545),0)),IF(OR(AND(入力!$B$13="有効",A545&gt;1,MOD(A545-1,60)=0),AND(A545=入力!$B$11,A545&gt;1)),IF(入力!$B$14="有効",MIN(IF(E545=0,ROUND(C545/MAX(1,S544-A545+1),0),ROUND(-PMT(E545/12,MAX(1,S544-A545+1),C545),0)),ROUND(G544*1.25,0)),IF(E545=0,ROUND(C545/MAX(1,S544-A545+1),0),ROUND(-PMT(E545/12,MAX(1,S544-A545+1),C545),0))),G544)),0)</f>
        <v>0</v>
      </c>
    </row>
    <row r="546" spans="1:27">
      <c r="A546" s="30">
        <f>541</f>
        <v>541</v>
      </c>
      <c r="B546" s="31">
        <f>EDATE(入力!$B$6,A546-1)</f>
        <v>62671</v>
      </c>
      <c r="C546" s="32">
        <f t="shared" si="133"/>
        <v>0</v>
      </c>
      <c r="D546" s="32">
        <f t="shared" si="134"/>
        <v>0</v>
      </c>
      <c r="E546" s="33">
        <f>IF(AND(T545="",A546&lt;=S545),IF(A546&lt;入力!$B$11,入力!$B$10,入力!$B$12),0)</f>
        <v>0</v>
      </c>
      <c r="F546" s="32">
        <f t="shared" si="135"/>
        <v>0</v>
      </c>
      <c r="G546" s="32">
        <f>ROUND(IF(NOT(AND(T545="",A546&lt;=S545)),0,IF(A546=入力!$B$15+1,IF(E546=0,ROUND(C546/入力!$B$19,0),ROUND(-PMT(E546/12,入力!$B$19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),0)</f>
        <v>0</v>
      </c>
      <c r="H546" s="32">
        <f t="shared" si="136"/>
        <v>0</v>
      </c>
      <c r="I546" s="32">
        <f t="shared" si="137"/>
        <v>0</v>
      </c>
      <c r="J546" s="32">
        <f t="shared" si="138"/>
        <v>0</v>
      </c>
      <c r="K546" s="32">
        <f t="shared" si="139"/>
        <v>0</v>
      </c>
      <c r="L546" s="32">
        <f t="shared" si="140"/>
        <v>0</v>
      </c>
      <c r="M546" s="32">
        <f>IF(AND(AND(T545="",A546&lt;=S545),A546=入力!$B$15),ROUND(MIN(入力!$B$16,MAX(0,C546-L546)),0),0)</f>
        <v>0</v>
      </c>
      <c r="N546" s="32">
        <f t="shared" si="141"/>
        <v>0</v>
      </c>
      <c r="O546" s="32">
        <f t="shared" si="142"/>
        <v>10751874</v>
      </c>
      <c r="P546" s="34" t="str">
        <f>IF(NOT(AND(T545="",A546&lt;=S545)),"",IF(A546=入力!$B$15+1,"繰上返済後再計算","")&amp;IF(AND(入力!$B$13="有効",A546&gt;1,MOD(A546-1,60)=0),IF(A546=入力!$B$15+1,"・","")&amp;"5年見直し","")&amp;IF(AND(A546=入力!$B$11,A546&gt;1),IF(OR(A546=入力!$B$15+1,AND(入力!$B$13="有効",A546&gt;1,MOD(A546-1,60)=0)),"・","")&amp;"金利変更","")&amp;IF(AND(OR(AND(入力!$B$13="有効",A546&gt;1,MOD(A546-1,60)=0),AND(A546=入力!$B$11,A546&gt;1)),入力!$B$14="有効",IF(E546=0,ROUND(C546/MAX(1,S545-A546+1),0),ROUND(-PMT(E546/12,MAX(1,S545-A546+1),C546),0))&gt;ROUND(G545*1.25,0),NOT(A546=入力!$B$15+1)),"・上限適用",""))</f>
        <v/>
      </c>
      <c r="Q546" s="35" t="str">
        <f>IF(AND(T545="",A546&lt;=S545),入力!$B$13,"")</f>
        <v/>
      </c>
      <c r="R546" s="32" t="str">
        <f>IF(AND(AND(T545="",A546&lt;=S545),OR(AND(入力!$B$13="有効",A546&gt;1,MOD(A546-1,60)=0),AND(A546=入力!$B$11,A546&gt;1)),入力!$B$14="有効"),ROUND(G545*1.25,0),"")</f>
        <v/>
      </c>
      <c r="S546" s="36">
        <f>IF(A546=入力!$B$15,A546+入力!$B$19,S545)</f>
        <v>360</v>
      </c>
      <c r="T546" s="35" t="str">
        <f t="shared" si="143"/>
        <v/>
      </c>
      <c r="U546" s="3">
        <f t="shared" si="128"/>
        <v>0</v>
      </c>
      <c r="V546" s="3">
        <f t="shared" si="129"/>
        <v>0</v>
      </c>
      <c r="W546" s="3">
        <f t="shared" si="130"/>
        <v>0</v>
      </c>
      <c r="X546" s="3">
        <f t="shared" si="131"/>
        <v>0</v>
      </c>
      <c r="Y546" s="3">
        <f>IF(A546&lt;入力!$B$15,ABS(G546-何もしない_月次!G546),0)</f>
        <v>0</v>
      </c>
      <c r="Z546" s="3">
        <f t="shared" si="132"/>
        <v>0</v>
      </c>
      <c r="AA546">
        <f>ROUND(IF(A546=入力!$B$15+1,IF(E546=0,ROUND(C546/入力!$B$19,0),ROUND(-PMT(E546/12,入力!$B$19,C546),0)),IF(OR(AND(入力!$B$13="有効",A546&gt;1,MOD(A546-1,60)=0),AND(A546=入力!$B$11,A546&gt;1)),IF(入力!$B$14="有効",MIN(IF(E546=0,ROUND(C546/MAX(1,S545-A546+1),0),ROUND(-PMT(E546/12,MAX(1,S545-A546+1),C546),0)),ROUND(G545*1.25,0)),IF(E546=0,ROUND(C546/MAX(1,S545-A546+1),0),ROUND(-PMT(E546/12,MAX(1,S545-A546+1),C546),0))),G545)),0)</f>
        <v>0</v>
      </c>
    </row>
    <row r="547" spans="1:27">
      <c r="A547" s="30">
        <f>542</f>
        <v>542</v>
      </c>
      <c r="B547" s="31">
        <f>EDATE(入力!$B$6,A547-1)</f>
        <v>62702</v>
      </c>
      <c r="C547" s="32">
        <f t="shared" si="133"/>
        <v>0</v>
      </c>
      <c r="D547" s="32">
        <f t="shared" si="134"/>
        <v>0</v>
      </c>
      <c r="E547" s="33">
        <f>IF(AND(T546="",A547&lt;=S546),IF(A547&lt;入力!$B$11,入力!$B$10,入力!$B$12),0)</f>
        <v>0</v>
      </c>
      <c r="F547" s="32">
        <f t="shared" si="135"/>
        <v>0</v>
      </c>
      <c r="G547" s="32">
        <f>ROUND(IF(NOT(AND(T546="",A547&lt;=S546)),0,IF(A547=入力!$B$15+1,IF(E547=0,ROUND(C547/入力!$B$19,0),ROUND(-PMT(E547/12,入力!$B$19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),0)</f>
        <v>0</v>
      </c>
      <c r="H547" s="32">
        <f t="shared" si="136"/>
        <v>0</v>
      </c>
      <c r="I547" s="32">
        <f t="shared" si="137"/>
        <v>0</v>
      </c>
      <c r="J547" s="32">
        <f t="shared" si="138"/>
        <v>0</v>
      </c>
      <c r="K547" s="32">
        <f t="shared" si="139"/>
        <v>0</v>
      </c>
      <c r="L547" s="32">
        <f t="shared" si="140"/>
        <v>0</v>
      </c>
      <c r="M547" s="32">
        <f>IF(AND(AND(T546="",A547&lt;=S546),A547=入力!$B$15),ROUND(MIN(入力!$B$16,MAX(0,C547-L547)),0),0)</f>
        <v>0</v>
      </c>
      <c r="N547" s="32">
        <f t="shared" si="141"/>
        <v>0</v>
      </c>
      <c r="O547" s="32">
        <f t="shared" si="142"/>
        <v>10751874</v>
      </c>
      <c r="P547" s="34" t="str">
        <f>IF(NOT(AND(T546="",A547&lt;=S546)),"",IF(A547=入力!$B$15+1,"繰上返済後再計算","")&amp;IF(AND(入力!$B$13="有効",A547&gt;1,MOD(A547-1,60)=0),IF(A547=入力!$B$15+1,"・","")&amp;"5年見直し","")&amp;IF(AND(A547=入力!$B$11,A547&gt;1),IF(OR(A547=入力!$B$15+1,AND(入力!$B$13="有効",A547&gt;1,MOD(A547-1,60)=0)),"・","")&amp;"金利変更","")&amp;IF(AND(OR(AND(入力!$B$13="有効",A547&gt;1,MOD(A547-1,60)=0),AND(A547=入力!$B$11,A547&gt;1)),入力!$B$14="有効",IF(E547=0,ROUND(C547/MAX(1,S546-A547+1),0),ROUND(-PMT(E547/12,MAX(1,S546-A547+1),C547),0))&gt;ROUND(G546*1.25,0),NOT(A547=入力!$B$15+1)),"・上限適用",""))</f>
        <v/>
      </c>
      <c r="Q547" s="35" t="str">
        <f>IF(AND(T546="",A547&lt;=S546),入力!$B$13,"")</f>
        <v/>
      </c>
      <c r="R547" s="32" t="str">
        <f>IF(AND(AND(T546="",A547&lt;=S546),OR(AND(入力!$B$13="有効",A547&gt;1,MOD(A547-1,60)=0),AND(A547=入力!$B$11,A547&gt;1)),入力!$B$14="有効"),ROUND(G546*1.25,0),"")</f>
        <v/>
      </c>
      <c r="S547" s="36">
        <f>IF(A547=入力!$B$15,A547+入力!$B$19,S546)</f>
        <v>360</v>
      </c>
      <c r="T547" s="35" t="str">
        <f t="shared" si="143"/>
        <v/>
      </c>
      <c r="U547" s="3">
        <f t="shared" si="128"/>
        <v>0</v>
      </c>
      <c r="V547" s="3">
        <f t="shared" si="129"/>
        <v>0</v>
      </c>
      <c r="W547" s="3">
        <f t="shared" si="130"/>
        <v>0</v>
      </c>
      <c r="X547" s="3">
        <f t="shared" si="131"/>
        <v>0</v>
      </c>
      <c r="Y547" s="3">
        <f>IF(A547&lt;入力!$B$15,ABS(G547-何もしない_月次!G547),0)</f>
        <v>0</v>
      </c>
      <c r="Z547" s="3">
        <f t="shared" si="132"/>
        <v>0</v>
      </c>
      <c r="AA547">
        <f>ROUND(IF(A547=入力!$B$15+1,IF(E547=0,ROUND(C547/入力!$B$19,0),ROUND(-PMT(E547/12,入力!$B$19,C547),0)),IF(OR(AND(入力!$B$13="有効",A547&gt;1,MOD(A547-1,60)=0),AND(A547=入力!$B$11,A547&gt;1)),IF(入力!$B$14="有効",MIN(IF(E547=0,ROUND(C547/MAX(1,S546-A547+1),0),ROUND(-PMT(E547/12,MAX(1,S546-A547+1),C547),0)),ROUND(G546*1.25,0)),IF(E547=0,ROUND(C547/MAX(1,S546-A547+1),0),ROUND(-PMT(E547/12,MAX(1,S546-A547+1),C547),0))),G546)),0)</f>
        <v>0</v>
      </c>
    </row>
    <row r="548" spans="1:27">
      <c r="A548" s="30">
        <f>543</f>
        <v>543</v>
      </c>
      <c r="B548" s="31">
        <f>EDATE(入力!$B$6,A548-1)</f>
        <v>62732</v>
      </c>
      <c r="C548" s="32">
        <f t="shared" si="133"/>
        <v>0</v>
      </c>
      <c r="D548" s="32">
        <f t="shared" si="134"/>
        <v>0</v>
      </c>
      <c r="E548" s="33">
        <f>IF(AND(T547="",A548&lt;=S547),IF(A548&lt;入力!$B$11,入力!$B$10,入力!$B$12),0)</f>
        <v>0</v>
      </c>
      <c r="F548" s="32">
        <f t="shared" si="135"/>
        <v>0</v>
      </c>
      <c r="G548" s="32">
        <f>ROUND(IF(NOT(AND(T547="",A548&lt;=S547)),0,IF(A548=入力!$B$15+1,IF(E548=0,ROUND(C548/入力!$B$19,0),ROUND(-PMT(E548/12,入力!$B$19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),0)</f>
        <v>0</v>
      </c>
      <c r="H548" s="32">
        <f t="shared" si="136"/>
        <v>0</v>
      </c>
      <c r="I548" s="32">
        <f t="shared" si="137"/>
        <v>0</v>
      </c>
      <c r="J548" s="32">
        <f t="shared" si="138"/>
        <v>0</v>
      </c>
      <c r="K548" s="32">
        <f t="shared" si="139"/>
        <v>0</v>
      </c>
      <c r="L548" s="32">
        <f t="shared" si="140"/>
        <v>0</v>
      </c>
      <c r="M548" s="32">
        <f>IF(AND(AND(T547="",A548&lt;=S547),A548=入力!$B$15),ROUND(MIN(入力!$B$16,MAX(0,C548-L548)),0),0)</f>
        <v>0</v>
      </c>
      <c r="N548" s="32">
        <f t="shared" si="141"/>
        <v>0</v>
      </c>
      <c r="O548" s="32">
        <f t="shared" si="142"/>
        <v>10751874</v>
      </c>
      <c r="P548" s="34" t="str">
        <f>IF(NOT(AND(T547="",A548&lt;=S547)),"",IF(A548=入力!$B$15+1,"繰上返済後再計算","")&amp;IF(AND(入力!$B$13="有効",A548&gt;1,MOD(A548-1,60)=0),IF(A548=入力!$B$15+1,"・","")&amp;"5年見直し","")&amp;IF(AND(A548=入力!$B$11,A548&gt;1),IF(OR(A548=入力!$B$15+1,AND(入力!$B$13="有効",A548&gt;1,MOD(A548-1,60)=0)),"・","")&amp;"金利変更","")&amp;IF(AND(OR(AND(入力!$B$13="有効",A548&gt;1,MOD(A548-1,60)=0),AND(A548=入力!$B$11,A548&gt;1)),入力!$B$14="有効",IF(E548=0,ROUND(C548/MAX(1,S547-A548+1),0),ROUND(-PMT(E548/12,MAX(1,S547-A548+1),C548),0))&gt;ROUND(G547*1.25,0),NOT(A548=入力!$B$15+1)),"・上限適用",""))</f>
        <v/>
      </c>
      <c r="Q548" s="35" t="str">
        <f>IF(AND(T547="",A548&lt;=S547),入力!$B$13,"")</f>
        <v/>
      </c>
      <c r="R548" s="32" t="str">
        <f>IF(AND(AND(T547="",A548&lt;=S547),OR(AND(入力!$B$13="有効",A548&gt;1,MOD(A548-1,60)=0),AND(A548=入力!$B$11,A548&gt;1)),入力!$B$14="有効"),ROUND(G547*1.25,0),"")</f>
        <v/>
      </c>
      <c r="S548" s="36">
        <f>IF(A548=入力!$B$15,A548+入力!$B$19,S547)</f>
        <v>360</v>
      </c>
      <c r="T548" s="35" t="str">
        <f t="shared" si="143"/>
        <v/>
      </c>
      <c r="U548" s="3">
        <f t="shared" si="128"/>
        <v>0</v>
      </c>
      <c r="V548" s="3">
        <f t="shared" si="129"/>
        <v>0</v>
      </c>
      <c r="W548" s="3">
        <f t="shared" si="130"/>
        <v>0</v>
      </c>
      <c r="X548" s="3">
        <f t="shared" si="131"/>
        <v>0</v>
      </c>
      <c r="Y548" s="3">
        <f>IF(A548&lt;入力!$B$15,ABS(G548-何もしない_月次!G548),0)</f>
        <v>0</v>
      </c>
      <c r="Z548" s="3">
        <f t="shared" si="132"/>
        <v>0</v>
      </c>
      <c r="AA548">
        <f>ROUND(IF(A548=入力!$B$15+1,IF(E548=0,ROUND(C548/入力!$B$19,0),ROUND(-PMT(E548/12,入力!$B$19,C548),0)),IF(OR(AND(入力!$B$13="有効",A548&gt;1,MOD(A548-1,60)=0),AND(A548=入力!$B$11,A548&gt;1)),IF(入力!$B$14="有効",MIN(IF(E548=0,ROUND(C548/MAX(1,S547-A548+1),0),ROUND(-PMT(E548/12,MAX(1,S547-A548+1),C548),0)),ROUND(G547*1.25,0)),IF(E548=0,ROUND(C548/MAX(1,S547-A548+1),0),ROUND(-PMT(E548/12,MAX(1,S547-A548+1),C548),0))),G547)),0)</f>
        <v>0</v>
      </c>
    </row>
    <row r="549" spans="1:27">
      <c r="A549" s="30">
        <f>544</f>
        <v>544</v>
      </c>
      <c r="B549" s="31">
        <f>EDATE(入力!$B$6,A549-1)</f>
        <v>62763</v>
      </c>
      <c r="C549" s="32">
        <f t="shared" si="133"/>
        <v>0</v>
      </c>
      <c r="D549" s="32">
        <f t="shared" si="134"/>
        <v>0</v>
      </c>
      <c r="E549" s="33">
        <f>IF(AND(T548="",A549&lt;=S548),IF(A549&lt;入力!$B$11,入力!$B$10,入力!$B$12),0)</f>
        <v>0</v>
      </c>
      <c r="F549" s="32">
        <f t="shared" si="135"/>
        <v>0</v>
      </c>
      <c r="G549" s="32">
        <f>ROUND(IF(NOT(AND(T548="",A549&lt;=S548)),0,IF(A549=入力!$B$15+1,IF(E549=0,ROUND(C549/入力!$B$19,0),ROUND(-PMT(E549/12,入力!$B$19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),0)</f>
        <v>0</v>
      </c>
      <c r="H549" s="32">
        <f t="shared" si="136"/>
        <v>0</v>
      </c>
      <c r="I549" s="32">
        <f t="shared" si="137"/>
        <v>0</v>
      </c>
      <c r="J549" s="32">
        <f t="shared" si="138"/>
        <v>0</v>
      </c>
      <c r="K549" s="32">
        <f t="shared" si="139"/>
        <v>0</v>
      </c>
      <c r="L549" s="32">
        <f t="shared" si="140"/>
        <v>0</v>
      </c>
      <c r="M549" s="32">
        <f>IF(AND(AND(T548="",A549&lt;=S548),A549=入力!$B$15),ROUND(MIN(入力!$B$16,MAX(0,C549-L549)),0),0)</f>
        <v>0</v>
      </c>
      <c r="N549" s="32">
        <f t="shared" si="141"/>
        <v>0</v>
      </c>
      <c r="O549" s="32">
        <f t="shared" si="142"/>
        <v>10751874</v>
      </c>
      <c r="P549" s="34" t="str">
        <f>IF(NOT(AND(T548="",A549&lt;=S548)),"",IF(A549=入力!$B$15+1,"繰上返済後再計算","")&amp;IF(AND(入力!$B$13="有効",A549&gt;1,MOD(A549-1,60)=0),IF(A549=入力!$B$15+1,"・","")&amp;"5年見直し","")&amp;IF(AND(A549=入力!$B$11,A549&gt;1),IF(OR(A549=入力!$B$15+1,AND(入力!$B$13="有効",A549&gt;1,MOD(A549-1,60)=0)),"・","")&amp;"金利変更","")&amp;IF(AND(OR(AND(入力!$B$13="有効",A549&gt;1,MOD(A549-1,60)=0),AND(A549=入力!$B$11,A549&gt;1)),入力!$B$14="有効",IF(E549=0,ROUND(C549/MAX(1,S548-A549+1),0),ROUND(-PMT(E549/12,MAX(1,S548-A549+1),C549),0))&gt;ROUND(G548*1.25,0),NOT(A549=入力!$B$15+1)),"・上限適用",""))</f>
        <v/>
      </c>
      <c r="Q549" s="35" t="str">
        <f>IF(AND(T548="",A549&lt;=S548),入力!$B$13,"")</f>
        <v/>
      </c>
      <c r="R549" s="32" t="str">
        <f>IF(AND(AND(T548="",A549&lt;=S548),OR(AND(入力!$B$13="有効",A549&gt;1,MOD(A549-1,60)=0),AND(A549=入力!$B$11,A549&gt;1)),入力!$B$14="有効"),ROUND(G548*1.25,0),"")</f>
        <v/>
      </c>
      <c r="S549" s="36">
        <f>IF(A549=入力!$B$15,A549+入力!$B$19,S548)</f>
        <v>360</v>
      </c>
      <c r="T549" s="35" t="str">
        <f t="shared" si="143"/>
        <v/>
      </c>
      <c r="U549" s="3">
        <f t="shared" si="128"/>
        <v>0</v>
      </c>
      <c r="V549" s="3">
        <f t="shared" si="129"/>
        <v>0</v>
      </c>
      <c r="W549" s="3">
        <f t="shared" si="130"/>
        <v>0</v>
      </c>
      <c r="X549" s="3">
        <f t="shared" si="131"/>
        <v>0</v>
      </c>
      <c r="Y549" s="3">
        <f>IF(A549&lt;入力!$B$15,ABS(G549-何もしない_月次!G549),0)</f>
        <v>0</v>
      </c>
      <c r="Z549" s="3">
        <f t="shared" si="132"/>
        <v>0</v>
      </c>
      <c r="AA549">
        <f>ROUND(IF(A549=入力!$B$15+1,IF(E549=0,ROUND(C549/入力!$B$19,0),ROUND(-PMT(E549/12,入力!$B$19,C549),0)),IF(OR(AND(入力!$B$13="有効",A549&gt;1,MOD(A549-1,60)=0),AND(A549=入力!$B$11,A549&gt;1)),IF(入力!$B$14="有効",MIN(IF(E549=0,ROUND(C549/MAX(1,S548-A549+1),0),ROUND(-PMT(E549/12,MAX(1,S548-A549+1),C549),0)),ROUND(G548*1.25,0)),IF(E549=0,ROUND(C549/MAX(1,S548-A549+1),0),ROUND(-PMT(E549/12,MAX(1,S548-A549+1),C549),0))),G548)),0)</f>
        <v>0</v>
      </c>
    </row>
    <row r="550" spans="1:27">
      <c r="A550" s="30">
        <f>545</f>
        <v>545</v>
      </c>
      <c r="B550" s="31">
        <f>EDATE(入力!$B$6,A550-1)</f>
        <v>62793</v>
      </c>
      <c r="C550" s="32">
        <f t="shared" si="133"/>
        <v>0</v>
      </c>
      <c r="D550" s="32">
        <f t="shared" si="134"/>
        <v>0</v>
      </c>
      <c r="E550" s="33">
        <f>IF(AND(T549="",A550&lt;=S549),IF(A550&lt;入力!$B$11,入力!$B$10,入力!$B$12),0)</f>
        <v>0</v>
      </c>
      <c r="F550" s="32">
        <f t="shared" si="135"/>
        <v>0</v>
      </c>
      <c r="G550" s="32">
        <f>ROUND(IF(NOT(AND(T549="",A550&lt;=S549)),0,IF(A550=入力!$B$15+1,IF(E550=0,ROUND(C550/入力!$B$19,0),ROUND(-PMT(E550/12,入力!$B$19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),0)</f>
        <v>0</v>
      </c>
      <c r="H550" s="32">
        <f t="shared" si="136"/>
        <v>0</v>
      </c>
      <c r="I550" s="32">
        <f t="shared" si="137"/>
        <v>0</v>
      </c>
      <c r="J550" s="32">
        <f t="shared" si="138"/>
        <v>0</v>
      </c>
      <c r="K550" s="32">
        <f t="shared" si="139"/>
        <v>0</v>
      </c>
      <c r="L550" s="32">
        <f t="shared" si="140"/>
        <v>0</v>
      </c>
      <c r="M550" s="32">
        <f>IF(AND(AND(T549="",A550&lt;=S549),A550=入力!$B$15),ROUND(MIN(入力!$B$16,MAX(0,C550-L550)),0),0)</f>
        <v>0</v>
      </c>
      <c r="N550" s="32">
        <f t="shared" si="141"/>
        <v>0</v>
      </c>
      <c r="O550" s="32">
        <f t="shared" si="142"/>
        <v>10751874</v>
      </c>
      <c r="P550" s="34" t="str">
        <f>IF(NOT(AND(T549="",A550&lt;=S549)),"",IF(A550=入力!$B$15+1,"繰上返済後再計算","")&amp;IF(AND(入力!$B$13="有効",A550&gt;1,MOD(A550-1,60)=0),IF(A550=入力!$B$15+1,"・","")&amp;"5年見直し","")&amp;IF(AND(A550=入力!$B$11,A550&gt;1),IF(OR(A550=入力!$B$15+1,AND(入力!$B$13="有効",A550&gt;1,MOD(A550-1,60)=0)),"・","")&amp;"金利変更","")&amp;IF(AND(OR(AND(入力!$B$13="有効",A550&gt;1,MOD(A550-1,60)=0),AND(A550=入力!$B$11,A550&gt;1)),入力!$B$14="有効",IF(E550=0,ROUND(C550/MAX(1,S549-A550+1),0),ROUND(-PMT(E550/12,MAX(1,S549-A550+1),C550),0))&gt;ROUND(G549*1.25,0),NOT(A550=入力!$B$15+1)),"・上限適用",""))</f>
        <v/>
      </c>
      <c r="Q550" s="35" t="str">
        <f>IF(AND(T549="",A550&lt;=S549),入力!$B$13,"")</f>
        <v/>
      </c>
      <c r="R550" s="32" t="str">
        <f>IF(AND(AND(T549="",A550&lt;=S549),OR(AND(入力!$B$13="有効",A550&gt;1,MOD(A550-1,60)=0),AND(A550=入力!$B$11,A550&gt;1)),入力!$B$14="有効"),ROUND(G549*1.25,0),"")</f>
        <v/>
      </c>
      <c r="S550" s="36">
        <f>IF(A550=入力!$B$15,A550+入力!$B$19,S549)</f>
        <v>360</v>
      </c>
      <c r="T550" s="35" t="str">
        <f t="shared" si="143"/>
        <v/>
      </c>
      <c r="U550" s="3">
        <f t="shared" si="128"/>
        <v>0</v>
      </c>
      <c r="V550" s="3">
        <f t="shared" si="129"/>
        <v>0</v>
      </c>
      <c r="W550" s="3">
        <f t="shared" si="130"/>
        <v>0</v>
      </c>
      <c r="X550" s="3">
        <f t="shared" si="131"/>
        <v>0</v>
      </c>
      <c r="Y550" s="3">
        <f>IF(A550&lt;入力!$B$15,ABS(G550-何もしない_月次!G550),0)</f>
        <v>0</v>
      </c>
      <c r="Z550" s="3">
        <f t="shared" si="132"/>
        <v>0</v>
      </c>
      <c r="AA550">
        <f>ROUND(IF(A550=入力!$B$15+1,IF(E550=0,ROUND(C550/入力!$B$19,0),ROUND(-PMT(E550/12,入力!$B$19,C550),0)),IF(OR(AND(入力!$B$13="有効",A550&gt;1,MOD(A550-1,60)=0),AND(A550=入力!$B$11,A550&gt;1)),IF(入力!$B$14="有効",MIN(IF(E550=0,ROUND(C550/MAX(1,S549-A550+1),0),ROUND(-PMT(E550/12,MAX(1,S549-A550+1),C550),0)),ROUND(G549*1.25,0)),IF(E550=0,ROUND(C550/MAX(1,S549-A550+1),0),ROUND(-PMT(E550/12,MAX(1,S549-A550+1),C550),0))),G549)),0)</f>
        <v>0</v>
      </c>
    </row>
    <row r="551" spans="1:27">
      <c r="A551" s="30">
        <f>546</f>
        <v>546</v>
      </c>
      <c r="B551" s="31">
        <f>EDATE(入力!$B$6,A551-1)</f>
        <v>62824</v>
      </c>
      <c r="C551" s="32">
        <f t="shared" si="133"/>
        <v>0</v>
      </c>
      <c r="D551" s="32">
        <f t="shared" si="134"/>
        <v>0</v>
      </c>
      <c r="E551" s="33">
        <f>IF(AND(T550="",A551&lt;=S550),IF(A551&lt;入力!$B$11,入力!$B$10,入力!$B$12),0)</f>
        <v>0</v>
      </c>
      <c r="F551" s="32">
        <f t="shared" si="135"/>
        <v>0</v>
      </c>
      <c r="G551" s="32">
        <f>ROUND(IF(NOT(AND(T550="",A551&lt;=S550)),0,IF(A551=入力!$B$15+1,IF(E551=0,ROUND(C551/入力!$B$19,0),ROUND(-PMT(E551/12,入力!$B$19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),0)</f>
        <v>0</v>
      </c>
      <c r="H551" s="32">
        <f t="shared" si="136"/>
        <v>0</v>
      </c>
      <c r="I551" s="32">
        <f t="shared" si="137"/>
        <v>0</v>
      </c>
      <c r="J551" s="32">
        <f t="shared" si="138"/>
        <v>0</v>
      </c>
      <c r="K551" s="32">
        <f t="shared" si="139"/>
        <v>0</v>
      </c>
      <c r="L551" s="32">
        <f t="shared" si="140"/>
        <v>0</v>
      </c>
      <c r="M551" s="32">
        <f>IF(AND(AND(T550="",A551&lt;=S550),A551=入力!$B$15),ROUND(MIN(入力!$B$16,MAX(0,C551-L551)),0),0)</f>
        <v>0</v>
      </c>
      <c r="N551" s="32">
        <f t="shared" si="141"/>
        <v>0</v>
      </c>
      <c r="O551" s="32">
        <f t="shared" si="142"/>
        <v>10751874</v>
      </c>
      <c r="P551" s="34" t="str">
        <f>IF(NOT(AND(T550="",A551&lt;=S550)),"",IF(A551=入力!$B$15+1,"繰上返済後再計算","")&amp;IF(AND(入力!$B$13="有効",A551&gt;1,MOD(A551-1,60)=0),IF(A551=入力!$B$15+1,"・","")&amp;"5年見直し","")&amp;IF(AND(A551=入力!$B$11,A551&gt;1),IF(OR(A551=入力!$B$15+1,AND(入力!$B$13="有効",A551&gt;1,MOD(A551-1,60)=0)),"・","")&amp;"金利変更","")&amp;IF(AND(OR(AND(入力!$B$13="有効",A551&gt;1,MOD(A551-1,60)=0),AND(A551=入力!$B$11,A551&gt;1)),入力!$B$14="有効",IF(E551=0,ROUND(C551/MAX(1,S550-A551+1),0),ROUND(-PMT(E551/12,MAX(1,S550-A551+1),C551),0))&gt;ROUND(G550*1.25,0),NOT(A551=入力!$B$15+1)),"・上限適用",""))</f>
        <v/>
      </c>
      <c r="Q551" s="35" t="str">
        <f>IF(AND(T550="",A551&lt;=S550),入力!$B$13,"")</f>
        <v/>
      </c>
      <c r="R551" s="32" t="str">
        <f>IF(AND(AND(T550="",A551&lt;=S550),OR(AND(入力!$B$13="有効",A551&gt;1,MOD(A551-1,60)=0),AND(A551=入力!$B$11,A551&gt;1)),入力!$B$14="有効"),ROUND(G550*1.25,0),"")</f>
        <v/>
      </c>
      <c r="S551" s="36">
        <f>IF(A551=入力!$B$15,A551+入力!$B$19,S550)</f>
        <v>360</v>
      </c>
      <c r="T551" s="35" t="str">
        <f t="shared" si="143"/>
        <v/>
      </c>
      <c r="U551" s="3">
        <f t="shared" si="128"/>
        <v>0</v>
      </c>
      <c r="V551" s="3">
        <f t="shared" si="129"/>
        <v>0</v>
      </c>
      <c r="W551" s="3">
        <f t="shared" si="130"/>
        <v>0</v>
      </c>
      <c r="X551" s="3">
        <f t="shared" si="131"/>
        <v>0</v>
      </c>
      <c r="Y551" s="3">
        <f>IF(A551&lt;入力!$B$15,ABS(G551-何もしない_月次!G551),0)</f>
        <v>0</v>
      </c>
      <c r="Z551" s="3">
        <f t="shared" si="132"/>
        <v>0</v>
      </c>
      <c r="AA551">
        <f>ROUND(IF(A551=入力!$B$15+1,IF(E551=0,ROUND(C551/入力!$B$19,0),ROUND(-PMT(E551/12,入力!$B$19,C551),0)),IF(OR(AND(入力!$B$13="有効",A551&gt;1,MOD(A551-1,60)=0),AND(A551=入力!$B$11,A551&gt;1)),IF(入力!$B$14="有効",MIN(IF(E551=0,ROUND(C551/MAX(1,S550-A551+1),0),ROUND(-PMT(E551/12,MAX(1,S550-A551+1),C551),0)),ROUND(G550*1.25,0)),IF(E551=0,ROUND(C551/MAX(1,S550-A551+1),0),ROUND(-PMT(E551/12,MAX(1,S550-A551+1),C551),0))),G550)),0)</f>
        <v>0</v>
      </c>
    </row>
    <row r="552" spans="1:27">
      <c r="A552" s="30">
        <f>547</f>
        <v>547</v>
      </c>
      <c r="B552" s="31">
        <f>EDATE(入力!$B$6,A552-1)</f>
        <v>62855</v>
      </c>
      <c r="C552" s="32">
        <f t="shared" si="133"/>
        <v>0</v>
      </c>
      <c r="D552" s="32">
        <f t="shared" si="134"/>
        <v>0</v>
      </c>
      <c r="E552" s="33">
        <f>IF(AND(T551="",A552&lt;=S551),IF(A552&lt;入力!$B$11,入力!$B$10,入力!$B$12),0)</f>
        <v>0</v>
      </c>
      <c r="F552" s="32">
        <f t="shared" si="135"/>
        <v>0</v>
      </c>
      <c r="G552" s="32">
        <f>ROUND(IF(NOT(AND(T551="",A552&lt;=S551)),0,IF(A552=入力!$B$15+1,IF(E552=0,ROUND(C552/入力!$B$19,0),ROUND(-PMT(E552/12,入力!$B$19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),0)</f>
        <v>0</v>
      </c>
      <c r="H552" s="32">
        <f t="shared" si="136"/>
        <v>0</v>
      </c>
      <c r="I552" s="32">
        <f t="shared" si="137"/>
        <v>0</v>
      </c>
      <c r="J552" s="32">
        <f t="shared" si="138"/>
        <v>0</v>
      </c>
      <c r="K552" s="32">
        <f t="shared" si="139"/>
        <v>0</v>
      </c>
      <c r="L552" s="32">
        <f t="shared" si="140"/>
        <v>0</v>
      </c>
      <c r="M552" s="32">
        <f>IF(AND(AND(T551="",A552&lt;=S551),A552=入力!$B$15),ROUND(MIN(入力!$B$16,MAX(0,C552-L552)),0),0)</f>
        <v>0</v>
      </c>
      <c r="N552" s="32">
        <f t="shared" si="141"/>
        <v>0</v>
      </c>
      <c r="O552" s="32">
        <f t="shared" si="142"/>
        <v>10751874</v>
      </c>
      <c r="P552" s="34" t="str">
        <f>IF(NOT(AND(T551="",A552&lt;=S551)),"",IF(A552=入力!$B$15+1,"繰上返済後再計算","")&amp;IF(AND(入力!$B$13="有効",A552&gt;1,MOD(A552-1,60)=0),IF(A552=入力!$B$15+1,"・","")&amp;"5年見直し","")&amp;IF(AND(A552=入力!$B$11,A552&gt;1),IF(OR(A552=入力!$B$15+1,AND(入力!$B$13="有効",A552&gt;1,MOD(A552-1,60)=0)),"・","")&amp;"金利変更","")&amp;IF(AND(OR(AND(入力!$B$13="有効",A552&gt;1,MOD(A552-1,60)=0),AND(A552=入力!$B$11,A552&gt;1)),入力!$B$14="有効",IF(E552=0,ROUND(C552/MAX(1,S551-A552+1),0),ROUND(-PMT(E552/12,MAX(1,S551-A552+1),C552),0))&gt;ROUND(G551*1.25,0),NOT(A552=入力!$B$15+1)),"・上限適用",""))</f>
        <v/>
      </c>
      <c r="Q552" s="35" t="str">
        <f>IF(AND(T551="",A552&lt;=S551),入力!$B$13,"")</f>
        <v/>
      </c>
      <c r="R552" s="32" t="str">
        <f>IF(AND(AND(T551="",A552&lt;=S551),OR(AND(入力!$B$13="有効",A552&gt;1,MOD(A552-1,60)=0),AND(A552=入力!$B$11,A552&gt;1)),入力!$B$14="有効"),ROUND(G551*1.25,0),"")</f>
        <v/>
      </c>
      <c r="S552" s="36">
        <f>IF(A552=入力!$B$15,A552+入力!$B$19,S551)</f>
        <v>360</v>
      </c>
      <c r="T552" s="35" t="str">
        <f t="shared" si="143"/>
        <v/>
      </c>
      <c r="U552" s="3">
        <f t="shared" si="128"/>
        <v>0</v>
      </c>
      <c r="V552" s="3">
        <f t="shared" si="129"/>
        <v>0</v>
      </c>
      <c r="W552" s="3">
        <f t="shared" si="130"/>
        <v>0</v>
      </c>
      <c r="X552" s="3">
        <f t="shared" si="131"/>
        <v>0</v>
      </c>
      <c r="Y552" s="3">
        <f>IF(A552&lt;入力!$B$15,ABS(G552-何もしない_月次!G552),0)</f>
        <v>0</v>
      </c>
      <c r="Z552" s="3">
        <f t="shared" si="132"/>
        <v>0</v>
      </c>
      <c r="AA552">
        <f>ROUND(IF(A552=入力!$B$15+1,IF(E552=0,ROUND(C552/入力!$B$19,0),ROUND(-PMT(E552/12,入力!$B$19,C552),0)),IF(OR(AND(入力!$B$13="有効",A552&gt;1,MOD(A552-1,60)=0),AND(A552=入力!$B$11,A552&gt;1)),IF(入力!$B$14="有効",MIN(IF(E552=0,ROUND(C552/MAX(1,S551-A552+1),0),ROUND(-PMT(E552/12,MAX(1,S551-A552+1),C552),0)),ROUND(G551*1.25,0)),IF(E552=0,ROUND(C552/MAX(1,S551-A552+1),0),ROUND(-PMT(E552/12,MAX(1,S551-A552+1),C552),0))),G551)),0)</f>
        <v>0</v>
      </c>
    </row>
    <row r="553" spans="1:27">
      <c r="A553" s="30">
        <f>548</f>
        <v>548</v>
      </c>
      <c r="B553" s="31">
        <f>EDATE(入力!$B$6,A553-1)</f>
        <v>62884</v>
      </c>
      <c r="C553" s="32">
        <f t="shared" si="133"/>
        <v>0</v>
      </c>
      <c r="D553" s="32">
        <f t="shared" si="134"/>
        <v>0</v>
      </c>
      <c r="E553" s="33">
        <f>IF(AND(T552="",A553&lt;=S552),IF(A553&lt;入力!$B$11,入力!$B$10,入力!$B$12),0)</f>
        <v>0</v>
      </c>
      <c r="F553" s="32">
        <f t="shared" si="135"/>
        <v>0</v>
      </c>
      <c r="G553" s="32">
        <f>ROUND(IF(NOT(AND(T552="",A553&lt;=S552)),0,IF(A553=入力!$B$15+1,IF(E553=0,ROUND(C553/入力!$B$19,0),ROUND(-PMT(E553/12,入力!$B$19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),0)</f>
        <v>0</v>
      </c>
      <c r="H553" s="32">
        <f t="shared" si="136"/>
        <v>0</v>
      </c>
      <c r="I553" s="32">
        <f t="shared" si="137"/>
        <v>0</v>
      </c>
      <c r="J553" s="32">
        <f t="shared" si="138"/>
        <v>0</v>
      </c>
      <c r="K553" s="32">
        <f t="shared" si="139"/>
        <v>0</v>
      </c>
      <c r="L553" s="32">
        <f t="shared" si="140"/>
        <v>0</v>
      </c>
      <c r="M553" s="32">
        <f>IF(AND(AND(T552="",A553&lt;=S552),A553=入力!$B$15),ROUND(MIN(入力!$B$16,MAX(0,C553-L553)),0),0)</f>
        <v>0</v>
      </c>
      <c r="N553" s="32">
        <f t="shared" si="141"/>
        <v>0</v>
      </c>
      <c r="O553" s="32">
        <f t="shared" si="142"/>
        <v>10751874</v>
      </c>
      <c r="P553" s="34" t="str">
        <f>IF(NOT(AND(T552="",A553&lt;=S552)),"",IF(A553=入力!$B$15+1,"繰上返済後再計算","")&amp;IF(AND(入力!$B$13="有効",A553&gt;1,MOD(A553-1,60)=0),IF(A553=入力!$B$15+1,"・","")&amp;"5年見直し","")&amp;IF(AND(A553=入力!$B$11,A553&gt;1),IF(OR(A553=入力!$B$15+1,AND(入力!$B$13="有効",A553&gt;1,MOD(A553-1,60)=0)),"・","")&amp;"金利変更","")&amp;IF(AND(OR(AND(入力!$B$13="有効",A553&gt;1,MOD(A553-1,60)=0),AND(A553=入力!$B$11,A553&gt;1)),入力!$B$14="有効",IF(E553=0,ROUND(C553/MAX(1,S552-A553+1),0),ROUND(-PMT(E553/12,MAX(1,S552-A553+1),C553),0))&gt;ROUND(G552*1.25,0),NOT(A553=入力!$B$15+1)),"・上限適用",""))</f>
        <v/>
      </c>
      <c r="Q553" s="35" t="str">
        <f>IF(AND(T552="",A553&lt;=S552),入力!$B$13,"")</f>
        <v/>
      </c>
      <c r="R553" s="32" t="str">
        <f>IF(AND(AND(T552="",A553&lt;=S552),OR(AND(入力!$B$13="有効",A553&gt;1,MOD(A553-1,60)=0),AND(A553=入力!$B$11,A553&gt;1)),入力!$B$14="有効"),ROUND(G552*1.25,0),"")</f>
        <v/>
      </c>
      <c r="S553" s="36">
        <f>IF(A553=入力!$B$15,A553+入力!$B$19,S552)</f>
        <v>360</v>
      </c>
      <c r="T553" s="35" t="str">
        <f t="shared" si="143"/>
        <v/>
      </c>
      <c r="U553" s="3">
        <f t="shared" si="128"/>
        <v>0</v>
      </c>
      <c r="V553" s="3">
        <f t="shared" si="129"/>
        <v>0</v>
      </c>
      <c r="W553" s="3">
        <f t="shared" si="130"/>
        <v>0</v>
      </c>
      <c r="X553" s="3">
        <f t="shared" si="131"/>
        <v>0</v>
      </c>
      <c r="Y553" s="3">
        <f>IF(A553&lt;入力!$B$15,ABS(G553-何もしない_月次!G553),0)</f>
        <v>0</v>
      </c>
      <c r="Z553" s="3">
        <f t="shared" si="132"/>
        <v>0</v>
      </c>
      <c r="AA553">
        <f>ROUND(IF(A553=入力!$B$15+1,IF(E553=0,ROUND(C553/入力!$B$19,0),ROUND(-PMT(E553/12,入力!$B$19,C553),0)),IF(OR(AND(入力!$B$13="有効",A553&gt;1,MOD(A553-1,60)=0),AND(A553=入力!$B$11,A553&gt;1)),IF(入力!$B$14="有効",MIN(IF(E553=0,ROUND(C553/MAX(1,S552-A553+1),0),ROUND(-PMT(E553/12,MAX(1,S552-A553+1),C553),0)),ROUND(G552*1.25,0)),IF(E553=0,ROUND(C553/MAX(1,S552-A553+1),0),ROUND(-PMT(E553/12,MAX(1,S552-A553+1),C553),0))),G552)),0)</f>
        <v>0</v>
      </c>
    </row>
    <row r="554" spans="1:27">
      <c r="A554" s="30">
        <f>549</f>
        <v>549</v>
      </c>
      <c r="B554" s="31">
        <f>EDATE(入力!$B$6,A554-1)</f>
        <v>62915</v>
      </c>
      <c r="C554" s="32">
        <f t="shared" si="133"/>
        <v>0</v>
      </c>
      <c r="D554" s="32">
        <f t="shared" si="134"/>
        <v>0</v>
      </c>
      <c r="E554" s="33">
        <f>IF(AND(T553="",A554&lt;=S553),IF(A554&lt;入力!$B$11,入力!$B$10,入力!$B$12),0)</f>
        <v>0</v>
      </c>
      <c r="F554" s="32">
        <f t="shared" si="135"/>
        <v>0</v>
      </c>
      <c r="G554" s="32">
        <f>ROUND(IF(NOT(AND(T553="",A554&lt;=S553)),0,IF(A554=入力!$B$15+1,IF(E554=0,ROUND(C554/入力!$B$19,0),ROUND(-PMT(E554/12,入力!$B$19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),0)</f>
        <v>0</v>
      </c>
      <c r="H554" s="32">
        <f t="shared" si="136"/>
        <v>0</v>
      </c>
      <c r="I554" s="32">
        <f t="shared" si="137"/>
        <v>0</v>
      </c>
      <c r="J554" s="32">
        <f t="shared" si="138"/>
        <v>0</v>
      </c>
      <c r="K554" s="32">
        <f t="shared" si="139"/>
        <v>0</v>
      </c>
      <c r="L554" s="32">
        <f t="shared" si="140"/>
        <v>0</v>
      </c>
      <c r="M554" s="32">
        <f>IF(AND(AND(T553="",A554&lt;=S553),A554=入力!$B$15),ROUND(MIN(入力!$B$16,MAX(0,C554-L554)),0),0)</f>
        <v>0</v>
      </c>
      <c r="N554" s="32">
        <f t="shared" si="141"/>
        <v>0</v>
      </c>
      <c r="O554" s="32">
        <f t="shared" si="142"/>
        <v>10751874</v>
      </c>
      <c r="P554" s="34" t="str">
        <f>IF(NOT(AND(T553="",A554&lt;=S553)),"",IF(A554=入力!$B$15+1,"繰上返済後再計算","")&amp;IF(AND(入力!$B$13="有効",A554&gt;1,MOD(A554-1,60)=0),IF(A554=入力!$B$15+1,"・","")&amp;"5年見直し","")&amp;IF(AND(A554=入力!$B$11,A554&gt;1),IF(OR(A554=入力!$B$15+1,AND(入力!$B$13="有効",A554&gt;1,MOD(A554-1,60)=0)),"・","")&amp;"金利変更","")&amp;IF(AND(OR(AND(入力!$B$13="有効",A554&gt;1,MOD(A554-1,60)=0),AND(A554=入力!$B$11,A554&gt;1)),入力!$B$14="有効",IF(E554=0,ROUND(C554/MAX(1,S553-A554+1),0),ROUND(-PMT(E554/12,MAX(1,S553-A554+1),C554),0))&gt;ROUND(G553*1.25,0),NOT(A554=入力!$B$15+1)),"・上限適用",""))</f>
        <v/>
      </c>
      <c r="Q554" s="35" t="str">
        <f>IF(AND(T553="",A554&lt;=S553),入力!$B$13,"")</f>
        <v/>
      </c>
      <c r="R554" s="32" t="str">
        <f>IF(AND(AND(T553="",A554&lt;=S553),OR(AND(入力!$B$13="有効",A554&gt;1,MOD(A554-1,60)=0),AND(A554=入力!$B$11,A554&gt;1)),入力!$B$14="有効"),ROUND(G553*1.25,0),"")</f>
        <v/>
      </c>
      <c r="S554" s="36">
        <f>IF(A554=入力!$B$15,A554+入力!$B$19,S553)</f>
        <v>360</v>
      </c>
      <c r="T554" s="35" t="str">
        <f t="shared" si="143"/>
        <v/>
      </c>
      <c r="U554" s="3">
        <f t="shared" si="128"/>
        <v>0</v>
      </c>
      <c r="V554" s="3">
        <f t="shared" si="129"/>
        <v>0</v>
      </c>
      <c r="W554" s="3">
        <f t="shared" si="130"/>
        <v>0</v>
      </c>
      <c r="X554" s="3">
        <f t="shared" si="131"/>
        <v>0</v>
      </c>
      <c r="Y554" s="3">
        <f>IF(A554&lt;入力!$B$15,ABS(G554-何もしない_月次!G554),0)</f>
        <v>0</v>
      </c>
      <c r="Z554" s="3">
        <f t="shared" si="132"/>
        <v>0</v>
      </c>
      <c r="AA554">
        <f>ROUND(IF(A554=入力!$B$15+1,IF(E554=0,ROUND(C554/入力!$B$19,0),ROUND(-PMT(E554/12,入力!$B$19,C554),0)),IF(OR(AND(入力!$B$13="有効",A554&gt;1,MOD(A554-1,60)=0),AND(A554=入力!$B$11,A554&gt;1)),IF(入力!$B$14="有効",MIN(IF(E554=0,ROUND(C554/MAX(1,S553-A554+1),0),ROUND(-PMT(E554/12,MAX(1,S553-A554+1),C554),0)),ROUND(G553*1.25,0)),IF(E554=0,ROUND(C554/MAX(1,S553-A554+1),0),ROUND(-PMT(E554/12,MAX(1,S553-A554+1),C554),0))),G553)),0)</f>
        <v>0</v>
      </c>
    </row>
    <row r="555" spans="1:27">
      <c r="A555" s="30">
        <f>550</f>
        <v>550</v>
      </c>
      <c r="B555" s="31">
        <f>EDATE(入力!$B$6,A555-1)</f>
        <v>62945</v>
      </c>
      <c r="C555" s="32">
        <f t="shared" si="133"/>
        <v>0</v>
      </c>
      <c r="D555" s="32">
        <f t="shared" si="134"/>
        <v>0</v>
      </c>
      <c r="E555" s="33">
        <f>IF(AND(T554="",A555&lt;=S554),IF(A555&lt;入力!$B$11,入力!$B$10,入力!$B$12),0)</f>
        <v>0</v>
      </c>
      <c r="F555" s="32">
        <f t="shared" si="135"/>
        <v>0</v>
      </c>
      <c r="G555" s="32">
        <f>ROUND(IF(NOT(AND(T554="",A555&lt;=S554)),0,IF(A555=入力!$B$15+1,IF(E555=0,ROUND(C555/入力!$B$19,0),ROUND(-PMT(E555/12,入力!$B$19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),0)</f>
        <v>0</v>
      </c>
      <c r="H555" s="32">
        <f t="shared" si="136"/>
        <v>0</v>
      </c>
      <c r="I555" s="32">
        <f t="shared" si="137"/>
        <v>0</v>
      </c>
      <c r="J555" s="32">
        <f t="shared" si="138"/>
        <v>0</v>
      </c>
      <c r="K555" s="32">
        <f t="shared" si="139"/>
        <v>0</v>
      </c>
      <c r="L555" s="32">
        <f t="shared" si="140"/>
        <v>0</v>
      </c>
      <c r="M555" s="32">
        <f>IF(AND(AND(T554="",A555&lt;=S554),A555=入力!$B$15),ROUND(MIN(入力!$B$16,MAX(0,C555-L555)),0),0)</f>
        <v>0</v>
      </c>
      <c r="N555" s="32">
        <f t="shared" si="141"/>
        <v>0</v>
      </c>
      <c r="O555" s="32">
        <f t="shared" si="142"/>
        <v>10751874</v>
      </c>
      <c r="P555" s="34" t="str">
        <f>IF(NOT(AND(T554="",A555&lt;=S554)),"",IF(A555=入力!$B$15+1,"繰上返済後再計算","")&amp;IF(AND(入力!$B$13="有効",A555&gt;1,MOD(A555-1,60)=0),IF(A555=入力!$B$15+1,"・","")&amp;"5年見直し","")&amp;IF(AND(A555=入力!$B$11,A555&gt;1),IF(OR(A555=入力!$B$15+1,AND(入力!$B$13="有効",A555&gt;1,MOD(A555-1,60)=0)),"・","")&amp;"金利変更","")&amp;IF(AND(OR(AND(入力!$B$13="有効",A555&gt;1,MOD(A555-1,60)=0),AND(A555=入力!$B$11,A555&gt;1)),入力!$B$14="有効",IF(E555=0,ROUND(C555/MAX(1,S554-A555+1),0),ROUND(-PMT(E555/12,MAX(1,S554-A555+1),C555),0))&gt;ROUND(G554*1.25,0),NOT(A555=入力!$B$15+1)),"・上限適用",""))</f>
        <v/>
      </c>
      <c r="Q555" s="35" t="str">
        <f>IF(AND(T554="",A555&lt;=S554),入力!$B$13,"")</f>
        <v/>
      </c>
      <c r="R555" s="32" t="str">
        <f>IF(AND(AND(T554="",A555&lt;=S554),OR(AND(入力!$B$13="有効",A555&gt;1,MOD(A555-1,60)=0),AND(A555=入力!$B$11,A555&gt;1)),入力!$B$14="有効"),ROUND(G554*1.25,0),"")</f>
        <v/>
      </c>
      <c r="S555" s="36">
        <f>IF(A555=入力!$B$15,A555+入力!$B$19,S554)</f>
        <v>360</v>
      </c>
      <c r="T555" s="35" t="str">
        <f t="shared" si="143"/>
        <v/>
      </c>
      <c r="U555" s="3">
        <f t="shared" si="128"/>
        <v>0</v>
      </c>
      <c r="V555" s="3">
        <f t="shared" si="129"/>
        <v>0</v>
      </c>
      <c r="W555" s="3">
        <f t="shared" si="130"/>
        <v>0</v>
      </c>
      <c r="X555" s="3">
        <f t="shared" si="131"/>
        <v>0</v>
      </c>
      <c r="Y555" s="3">
        <f>IF(A555&lt;入力!$B$15,ABS(G555-何もしない_月次!G555),0)</f>
        <v>0</v>
      </c>
      <c r="Z555" s="3">
        <f t="shared" si="132"/>
        <v>0</v>
      </c>
      <c r="AA555">
        <f>ROUND(IF(A555=入力!$B$15+1,IF(E555=0,ROUND(C555/入力!$B$19,0),ROUND(-PMT(E555/12,入力!$B$19,C555),0)),IF(OR(AND(入力!$B$13="有効",A555&gt;1,MOD(A555-1,60)=0),AND(A555=入力!$B$11,A555&gt;1)),IF(入力!$B$14="有効",MIN(IF(E555=0,ROUND(C555/MAX(1,S554-A555+1),0),ROUND(-PMT(E555/12,MAX(1,S554-A555+1),C555),0)),ROUND(G554*1.25,0)),IF(E555=0,ROUND(C555/MAX(1,S554-A555+1),0),ROUND(-PMT(E555/12,MAX(1,S554-A555+1),C555),0))),G554)),0)</f>
        <v>0</v>
      </c>
    </row>
    <row r="556" spans="1:27">
      <c r="A556" s="30">
        <f>551</f>
        <v>551</v>
      </c>
      <c r="B556" s="31">
        <f>EDATE(入力!$B$6,A556-1)</f>
        <v>62976</v>
      </c>
      <c r="C556" s="32">
        <f t="shared" si="133"/>
        <v>0</v>
      </c>
      <c r="D556" s="32">
        <f t="shared" si="134"/>
        <v>0</v>
      </c>
      <c r="E556" s="33">
        <f>IF(AND(T555="",A556&lt;=S555),IF(A556&lt;入力!$B$11,入力!$B$10,入力!$B$12),0)</f>
        <v>0</v>
      </c>
      <c r="F556" s="32">
        <f t="shared" si="135"/>
        <v>0</v>
      </c>
      <c r="G556" s="32">
        <f>ROUND(IF(NOT(AND(T555="",A556&lt;=S555)),0,IF(A556=入力!$B$15+1,IF(E556=0,ROUND(C556/入力!$B$19,0),ROUND(-PMT(E556/12,入力!$B$19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),0)</f>
        <v>0</v>
      </c>
      <c r="H556" s="32">
        <f t="shared" si="136"/>
        <v>0</v>
      </c>
      <c r="I556" s="32">
        <f t="shared" si="137"/>
        <v>0</v>
      </c>
      <c r="J556" s="32">
        <f t="shared" si="138"/>
        <v>0</v>
      </c>
      <c r="K556" s="32">
        <f t="shared" si="139"/>
        <v>0</v>
      </c>
      <c r="L556" s="32">
        <f t="shared" si="140"/>
        <v>0</v>
      </c>
      <c r="M556" s="32">
        <f>IF(AND(AND(T555="",A556&lt;=S555),A556=入力!$B$15),ROUND(MIN(入力!$B$16,MAX(0,C556-L556)),0),0)</f>
        <v>0</v>
      </c>
      <c r="N556" s="32">
        <f t="shared" si="141"/>
        <v>0</v>
      </c>
      <c r="O556" s="32">
        <f t="shared" si="142"/>
        <v>10751874</v>
      </c>
      <c r="P556" s="34" t="str">
        <f>IF(NOT(AND(T555="",A556&lt;=S555)),"",IF(A556=入力!$B$15+1,"繰上返済後再計算","")&amp;IF(AND(入力!$B$13="有効",A556&gt;1,MOD(A556-1,60)=0),IF(A556=入力!$B$15+1,"・","")&amp;"5年見直し","")&amp;IF(AND(A556=入力!$B$11,A556&gt;1),IF(OR(A556=入力!$B$15+1,AND(入力!$B$13="有効",A556&gt;1,MOD(A556-1,60)=0)),"・","")&amp;"金利変更","")&amp;IF(AND(OR(AND(入力!$B$13="有効",A556&gt;1,MOD(A556-1,60)=0),AND(A556=入力!$B$11,A556&gt;1)),入力!$B$14="有効",IF(E556=0,ROUND(C556/MAX(1,S555-A556+1),0),ROUND(-PMT(E556/12,MAX(1,S555-A556+1),C556),0))&gt;ROUND(G555*1.25,0),NOT(A556=入力!$B$15+1)),"・上限適用",""))</f>
        <v/>
      </c>
      <c r="Q556" s="35" t="str">
        <f>IF(AND(T555="",A556&lt;=S555),入力!$B$13,"")</f>
        <v/>
      </c>
      <c r="R556" s="32" t="str">
        <f>IF(AND(AND(T555="",A556&lt;=S555),OR(AND(入力!$B$13="有効",A556&gt;1,MOD(A556-1,60)=0),AND(A556=入力!$B$11,A556&gt;1)),入力!$B$14="有効"),ROUND(G555*1.25,0),"")</f>
        <v/>
      </c>
      <c r="S556" s="36">
        <f>IF(A556=入力!$B$15,A556+入力!$B$19,S555)</f>
        <v>360</v>
      </c>
      <c r="T556" s="35" t="str">
        <f t="shared" si="143"/>
        <v/>
      </c>
      <c r="U556" s="3">
        <f t="shared" si="128"/>
        <v>0</v>
      </c>
      <c r="V556" s="3">
        <f t="shared" si="129"/>
        <v>0</v>
      </c>
      <c r="W556" s="3">
        <f t="shared" si="130"/>
        <v>0</v>
      </c>
      <c r="X556" s="3">
        <f t="shared" si="131"/>
        <v>0</v>
      </c>
      <c r="Y556" s="3">
        <f>IF(A556&lt;入力!$B$15,ABS(G556-何もしない_月次!G556),0)</f>
        <v>0</v>
      </c>
      <c r="Z556" s="3">
        <f t="shared" si="132"/>
        <v>0</v>
      </c>
      <c r="AA556">
        <f>ROUND(IF(A556=入力!$B$15+1,IF(E556=0,ROUND(C556/入力!$B$19,0),ROUND(-PMT(E556/12,入力!$B$19,C556),0)),IF(OR(AND(入力!$B$13="有効",A556&gt;1,MOD(A556-1,60)=0),AND(A556=入力!$B$11,A556&gt;1)),IF(入力!$B$14="有効",MIN(IF(E556=0,ROUND(C556/MAX(1,S555-A556+1),0),ROUND(-PMT(E556/12,MAX(1,S555-A556+1),C556),0)),ROUND(G555*1.25,0)),IF(E556=0,ROUND(C556/MAX(1,S555-A556+1),0),ROUND(-PMT(E556/12,MAX(1,S555-A556+1),C556),0))),G555)),0)</f>
        <v>0</v>
      </c>
    </row>
    <row r="557" spans="1:27">
      <c r="A557" s="30">
        <f>552</f>
        <v>552</v>
      </c>
      <c r="B557" s="31">
        <f>EDATE(入力!$B$6,A557-1)</f>
        <v>63006</v>
      </c>
      <c r="C557" s="32">
        <f t="shared" si="133"/>
        <v>0</v>
      </c>
      <c r="D557" s="32">
        <f t="shared" si="134"/>
        <v>0</v>
      </c>
      <c r="E557" s="33">
        <f>IF(AND(T556="",A557&lt;=S556),IF(A557&lt;入力!$B$11,入力!$B$10,入力!$B$12),0)</f>
        <v>0</v>
      </c>
      <c r="F557" s="32">
        <f t="shared" si="135"/>
        <v>0</v>
      </c>
      <c r="G557" s="32">
        <f>ROUND(IF(NOT(AND(T556="",A557&lt;=S556)),0,IF(A557=入力!$B$15+1,IF(E557=0,ROUND(C557/入力!$B$19,0),ROUND(-PMT(E557/12,入力!$B$19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),0)</f>
        <v>0</v>
      </c>
      <c r="H557" s="32">
        <f t="shared" si="136"/>
        <v>0</v>
      </c>
      <c r="I557" s="32">
        <f t="shared" si="137"/>
        <v>0</v>
      </c>
      <c r="J557" s="32">
        <f t="shared" si="138"/>
        <v>0</v>
      </c>
      <c r="K557" s="32">
        <f t="shared" si="139"/>
        <v>0</v>
      </c>
      <c r="L557" s="32">
        <f t="shared" si="140"/>
        <v>0</v>
      </c>
      <c r="M557" s="32">
        <f>IF(AND(AND(T556="",A557&lt;=S556),A557=入力!$B$15),ROUND(MIN(入力!$B$16,MAX(0,C557-L557)),0),0)</f>
        <v>0</v>
      </c>
      <c r="N557" s="32">
        <f t="shared" si="141"/>
        <v>0</v>
      </c>
      <c r="O557" s="32">
        <f t="shared" si="142"/>
        <v>10751874</v>
      </c>
      <c r="P557" s="34" t="str">
        <f>IF(NOT(AND(T556="",A557&lt;=S556)),"",IF(A557=入力!$B$15+1,"繰上返済後再計算","")&amp;IF(AND(入力!$B$13="有効",A557&gt;1,MOD(A557-1,60)=0),IF(A557=入力!$B$15+1,"・","")&amp;"5年見直し","")&amp;IF(AND(A557=入力!$B$11,A557&gt;1),IF(OR(A557=入力!$B$15+1,AND(入力!$B$13="有効",A557&gt;1,MOD(A557-1,60)=0)),"・","")&amp;"金利変更","")&amp;IF(AND(OR(AND(入力!$B$13="有効",A557&gt;1,MOD(A557-1,60)=0),AND(A557=入力!$B$11,A557&gt;1)),入力!$B$14="有効",IF(E557=0,ROUND(C557/MAX(1,S556-A557+1),0),ROUND(-PMT(E557/12,MAX(1,S556-A557+1),C557),0))&gt;ROUND(G556*1.25,0),NOT(A557=入力!$B$15+1)),"・上限適用",""))</f>
        <v/>
      </c>
      <c r="Q557" s="35" t="str">
        <f>IF(AND(T556="",A557&lt;=S556),入力!$B$13,"")</f>
        <v/>
      </c>
      <c r="R557" s="32" t="str">
        <f>IF(AND(AND(T556="",A557&lt;=S556),OR(AND(入力!$B$13="有効",A557&gt;1,MOD(A557-1,60)=0),AND(A557=入力!$B$11,A557&gt;1)),入力!$B$14="有効"),ROUND(G556*1.25,0),"")</f>
        <v/>
      </c>
      <c r="S557" s="36">
        <f>IF(A557=入力!$B$15,A557+入力!$B$19,S556)</f>
        <v>360</v>
      </c>
      <c r="T557" s="35" t="str">
        <f t="shared" si="143"/>
        <v/>
      </c>
      <c r="U557" s="3">
        <f t="shared" si="128"/>
        <v>0</v>
      </c>
      <c r="V557" s="3">
        <f t="shared" si="129"/>
        <v>0</v>
      </c>
      <c r="W557" s="3">
        <f t="shared" si="130"/>
        <v>0</v>
      </c>
      <c r="X557" s="3">
        <f t="shared" si="131"/>
        <v>0</v>
      </c>
      <c r="Y557" s="3">
        <f>IF(A557&lt;入力!$B$15,ABS(G557-何もしない_月次!G557),0)</f>
        <v>0</v>
      </c>
      <c r="Z557" s="3">
        <f t="shared" si="132"/>
        <v>0</v>
      </c>
      <c r="AA557">
        <f>ROUND(IF(A557=入力!$B$15+1,IF(E557=0,ROUND(C557/入力!$B$19,0),ROUND(-PMT(E557/12,入力!$B$19,C557),0)),IF(OR(AND(入力!$B$13="有効",A557&gt;1,MOD(A557-1,60)=0),AND(A557=入力!$B$11,A557&gt;1)),IF(入力!$B$14="有効",MIN(IF(E557=0,ROUND(C557/MAX(1,S556-A557+1),0),ROUND(-PMT(E557/12,MAX(1,S556-A557+1),C557),0)),ROUND(G556*1.25,0)),IF(E557=0,ROUND(C557/MAX(1,S556-A557+1),0),ROUND(-PMT(E557/12,MAX(1,S556-A557+1),C557),0))),G556)),0)</f>
        <v>0</v>
      </c>
    </row>
    <row r="558" spans="1:27">
      <c r="A558" s="30">
        <f>553</f>
        <v>553</v>
      </c>
      <c r="B558" s="31">
        <f>EDATE(入力!$B$6,A558-1)</f>
        <v>63037</v>
      </c>
      <c r="C558" s="32">
        <f t="shared" si="133"/>
        <v>0</v>
      </c>
      <c r="D558" s="32">
        <f t="shared" si="134"/>
        <v>0</v>
      </c>
      <c r="E558" s="33">
        <f>IF(AND(T557="",A558&lt;=S557),IF(A558&lt;入力!$B$11,入力!$B$10,入力!$B$12),0)</f>
        <v>0</v>
      </c>
      <c r="F558" s="32">
        <f t="shared" si="135"/>
        <v>0</v>
      </c>
      <c r="G558" s="32">
        <f>ROUND(IF(NOT(AND(T557="",A558&lt;=S557)),0,IF(A558=入力!$B$15+1,IF(E558=0,ROUND(C558/入力!$B$19,0),ROUND(-PMT(E558/12,入力!$B$19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),0)</f>
        <v>0</v>
      </c>
      <c r="H558" s="32">
        <f t="shared" si="136"/>
        <v>0</v>
      </c>
      <c r="I558" s="32">
        <f t="shared" si="137"/>
        <v>0</v>
      </c>
      <c r="J558" s="32">
        <f t="shared" si="138"/>
        <v>0</v>
      </c>
      <c r="K558" s="32">
        <f t="shared" si="139"/>
        <v>0</v>
      </c>
      <c r="L558" s="32">
        <f t="shared" si="140"/>
        <v>0</v>
      </c>
      <c r="M558" s="32">
        <f>IF(AND(AND(T557="",A558&lt;=S557),A558=入力!$B$15),ROUND(MIN(入力!$B$16,MAX(0,C558-L558)),0),0)</f>
        <v>0</v>
      </c>
      <c r="N558" s="32">
        <f t="shared" si="141"/>
        <v>0</v>
      </c>
      <c r="O558" s="32">
        <f t="shared" si="142"/>
        <v>10751874</v>
      </c>
      <c r="P558" s="34" t="str">
        <f>IF(NOT(AND(T557="",A558&lt;=S557)),"",IF(A558=入力!$B$15+1,"繰上返済後再計算","")&amp;IF(AND(入力!$B$13="有効",A558&gt;1,MOD(A558-1,60)=0),IF(A558=入力!$B$15+1,"・","")&amp;"5年見直し","")&amp;IF(AND(A558=入力!$B$11,A558&gt;1),IF(OR(A558=入力!$B$15+1,AND(入力!$B$13="有効",A558&gt;1,MOD(A558-1,60)=0)),"・","")&amp;"金利変更","")&amp;IF(AND(OR(AND(入力!$B$13="有効",A558&gt;1,MOD(A558-1,60)=0),AND(A558=入力!$B$11,A558&gt;1)),入力!$B$14="有効",IF(E558=0,ROUND(C558/MAX(1,S557-A558+1),0),ROUND(-PMT(E558/12,MAX(1,S557-A558+1),C558),0))&gt;ROUND(G557*1.25,0),NOT(A558=入力!$B$15+1)),"・上限適用",""))</f>
        <v/>
      </c>
      <c r="Q558" s="35" t="str">
        <f>IF(AND(T557="",A558&lt;=S557),入力!$B$13,"")</f>
        <v/>
      </c>
      <c r="R558" s="32" t="str">
        <f>IF(AND(AND(T557="",A558&lt;=S557),OR(AND(入力!$B$13="有効",A558&gt;1,MOD(A558-1,60)=0),AND(A558=入力!$B$11,A558&gt;1)),入力!$B$14="有効"),ROUND(G557*1.25,0),"")</f>
        <v/>
      </c>
      <c r="S558" s="36">
        <f>IF(A558=入力!$B$15,A558+入力!$B$19,S557)</f>
        <v>360</v>
      </c>
      <c r="T558" s="35" t="str">
        <f t="shared" si="143"/>
        <v/>
      </c>
      <c r="U558" s="3">
        <f t="shared" si="128"/>
        <v>0</v>
      </c>
      <c r="V558" s="3">
        <f t="shared" si="129"/>
        <v>0</v>
      </c>
      <c r="W558" s="3">
        <f t="shared" si="130"/>
        <v>0</v>
      </c>
      <c r="X558" s="3">
        <f t="shared" si="131"/>
        <v>0</v>
      </c>
      <c r="Y558" s="3">
        <f>IF(A558&lt;入力!$B$15,ABS(G558-何もしない_月次!G558),0)</f>
        <v>0</v>
      </c>
      <c r="Z558" s="3">
        <f t="shared" si="132"/>
        <v>0</v>
      </c>
      <c r="AA558">
        <f>ROUND(IF(A558=入力!$B$15+1,IF(E558=0,ROUND(C558/入力!$B$19,0),ROUND(-PMT(E558/12,入力!$B$19,C558),0)),IF(OR(AND(入力!$B$13="有効",A558&gt;1,MOD(A558-1,60)=0),AND(A558=入力!$B$11,A558&gt;1)),IF(入力!$B$14="有効",MIN(IF(E558=0,ROUND(C558/MAX(1,S557-A558+1),0),ROUND(-PMT(E558/12,MAX(1,S557-A558+1),C558),0)),ROUND(G557*1.25,0)),IF(E558=0,ROUND(C558/MAX(1,S557-A558+1),0),ROUND(-PMT(E558/12,MAX(1,S557-A558+1),C558),0))),G557)),0)</f>
        <v>0</v>
      </c>
    </row>
    <row r="559" spans="1:27">
      <c r="A559" s="30">
        <f>554</f>
        <v>554</v>
      </c>
      <c r="B559" s="31">
        <f>EDATE(入力!$B$6,A559-1)</f>
        <v>63068</v>
      </c>
      <c r="C559" s="32">
        <f t="shared" si="133"/>
        <v>0</v>
      </c>
      <c r="D559" s="32">
        <f t="shared" si="134"/>
        <v>0</v>
      </c>
      <c r="E559" s="33">
        <f>IF(AND(T558="",A559&lt;=S558),IF(A559&lt;入力!$B$11,入力!$B$10,入力!$B$12),0)</f>
        <v>0</v>
      </c>
      <c r="F559" s="32">
        <f t="shared" si="135"/>
        <v>0</v>
      </c>
      <c r="G559" s="32">
        <f>ROUND(IF(NOT(AND(T558="",A559&lt;=S558)),0,IF(A559=入力!$B$15+1,IF(E559=0,ROUND(C559/入力!$B$19,0),ROUND(-PMT(E559/12,入力!$B$19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),0)</f>
        <v>0</v>
      </c>
      <c r="H559" s="32">
        <f t="shared" si="136"/>
        <v>0</v>
      </c>
      <c r="I559" s="32">
        <f t="shared" si="137"/>
        <v>0</v>
      </c>
      <c r="J559" s="32">
        <f t="shared" si="138"/>
        <v>0</v>
      </c>
      <c r="K559" s="32">
        <f t="shared" si="139"/>
        <v>0</v>
      </c>
      <c r="L559" s="32">
        <f t="shared" si="140"/>
        <v>0</v>
      </c>
      <c r="M559" s="32">
        <f>IF(AND(AND(T558="",A559&lt;=S558),A559=入力!$B$15),ROUND(MIN(入力!$B$16,MAX(0,C559-L559)),0),0)</f>
        <v>0</v>
      </c>
      <c r="N559" s="32">
        <f t="shared" si="141"/>
        <v>0</v>
      </c>
      <c r="O559" s="32">
        <f t="shared" si="142"/>
        <v>10751874</v>
      </c>
      <c r="P559" s="34" t="str">
        <f>IF(NOT(AND(T558="",A559&lt;=S558)),"",IF(A559=入力!$B$15+1,"繰上返済後再計算","")&amp;IF(AND(入力!$B$13="有効",A559&gt;1,MOD(A559-1,60)=0),IF(A559=入力!$B$15+1,"・","")&amp;"5年見直し","")&amp;IF(AND(A559=入力!$B$11,A559&gt;1),IF(OR(A559=入力!$B$15+1,AND(入力!$B$13="有効",A559&gt;1,MOD(A559-1,60)=0)),"・","")&amp;"金利変更","")&amp;IF(AND(OR(AND(入力!$B$13="有効",A559&gt;1,MOD(A559-1,60)=0),AND(A559=入力!$B$11,A559&gt;1)),入力!$B$14="有効",IF(E559=0,ROUND(C559/MAX(1,S558-A559+1),0),ROUND(-PMT(E559/12,MAX(1,S558-A559+1),C559),0))&gt;ROUND(G558*1.25,0),NOT(A559=入力!$B$15+1)),"・上限適用",""))</f>
        <v/>
      </c>
      <c r="Q559" s="35" t="str">
        <f>IF(AND(T558="",A559&lt;=S558),入力!$B$13,"")</f>
        <v/>
      </c>
      <c r="R559" s="32" t="str">
        <f>IF(AND(AND(T558="",A559&lt;=S558),OR(AND(入力!$B$13="有効",A559&gt;1,MOD(A559-1,60)=0),AND(A559=入力!$B$11,A559&gt;1)),入力!$B$14="有効"),ROUND(G558*1.25,0),"")</f>
        <v/>
      </c>
      <c r="S559" s="36">
        <f>IF(A559=入力!$B$15,A559+入力!$B$19,S558)</f>
        <v>360</v>
      </c>
      <c r="T559" s="35" t="str">
        <f t="shared" si="143"/>
        <v/>
      </c>
      <c r="U559" s="3">
        <f t="shared" si="128"/>
        <v>0</v>
      </c>
      <c r="V559" s="3">
        <f t="shared" si="129"/>
        <v>0</v>
      </c>
      <c r="W559" s="3">
        <f t="shared" si="130"/>
        <v>0</v>
      </c>
      <c r="X559" s="3">
        <f t="shared" si="131"/>
        <v>0</v>
      </c>
      <c r="Y559" s="3">
        <f>IF(A559&lt;入力!$B$15,ABS(G559-何もしない_月次!G559),0)</f>
        <v>0</v>
      </c>
      <c r="Z559" s="3">
        <f t="shared" si="132"/>
        <v>0</v>
      </c>
      <c r="AA559">
        <f>ROUND(IF(A559=入力!$B$15+1,IF(E559=0,ROUND(C559/入力!$B$19,0),ROUND(-PMT(E559/12,入力!$B$19,C559),0)),IF(OR(AND(入力!$B$13="有効",A559&gt;1,MOD(A559-1,60)=0),AND(A559=入力!$B$11,A559&gt;1)),IF(入力!$B$14="有効",MIN(IF(E559=0,ROUND(C559/MAX(1,S558-A559+1),0),ROUND(-PMT(E559/12,MAX(1,S558-A559+1),C559),0)),ROUND(G558*1.25,0)),IF(E559=0,ROUND(C559/MAX(1,S558-A559+1),0),ROUND(-PMT(E559/12,MAX(1,S558-A559+1),C559),0))),G558)),0)</f>
        <v>0</v>
      </c>
    </row>
    <row r="560" spans="1:27">
      <c r="A560" s="30">
        <f>555</f>
        <v>555</v>
      </c>
      <c r="B560" s="31">
        <f>EDATE(入力!$B$6,A560-1)</f>
        <v>63098</v>
      </c>
      <c r="C560" s="32">
        <f t="shared" si="133"/>
        <v>0</v>
      </c>
      <c r="D560" s="32">
        <f t="shared" si="134"/>
        <v>0</v>
      </c>
      <c r="E560" s="33">
        <f>IF(AND(T559="",A560&lt;=S559),IF(A560&lt;入力!$B$11,入力!$B$10,入力!$B$12),0)</f>
        <v>0</v>
      </c>
      <c r="F560" s="32">
        <f t="shared" si="135"/>
        <v>0</v>
      </c>
      <c r="G560" s="32">
        <f>ROUND(IF(NOT(AND(T559="",A560&lt;=S559)),0,IF(A560=入力!$B$15+1,IF(E560=0,ROUND(C560/入力!$B$19,0),ROUND(-PMT(E560/12,入力!$B$19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),0)</f>
        <v>0</v>
      </c>
      <c r="H560" s="32">
        <f t="shared" si="136"/>
        <v>0</v>
      </c>
      <c r="I560" s="32">
        <f t="shared" si="137"/>
        <v>0</v>
      </c>
      <c r="J560" s="32">
        <f t="shared" si="138"/>
        <v>0</v>
      </c>
      <c r="K560" s="32">
        <f t="shared" si="139"/>
        <v>0</v>
      </c>
      <c r="L560" s="32">
        <f t="shared" si="140"/>
        <v>0</v>
      </c>
      <c r="M560" s="32">
        <f>IF(AND(AND(T559="",A560&lt;=S559),A560=入力!$B$15),ROUND(MIN(入力!$B$16,MAX(0,C560-L560)),0),0)</f>
        <v>0</v>
      </c>
      <c r="N560" s="32">
        <f t="shared" si="141"/>
        <v>0</v>
      </c>
      <c r="O560" s="32">
        <f t="shared" si="142"/>
        <v>10751874</v>
      </c>
      <c r="P560" s="34" t="str">
        <f>IF(NOT(AND(T559="",A560&lt;=S559)),"",IF(A560=入力!$B$15+1,"繰上返済後再計算","")&amp;IF(AND(入力!$B$13="有効",A560&gt;1,MOD(A560-1,60)=0),IF(A560=入力!$B$15+1,"・","")&amp;"5年見直し","")&amp;IF(AND(A560=入力!$B$11,A560&gt;1),IF(OR(A560=入力!$B$15+1,AND(入力!$B$13="有効",A560&gt;1,MOD(A560-1,60)=0)),"・","")&amp;"金利変更","")&amp;IF(AND(OR(AND(入力!$B$13="有効",A560&gt;1,MOD(A560-1,60)=0),AND(A560=入力!$B$11,A560&gt;1)),入力!$B$14="有効",IF(E560=0,ROUND(C560/MAX(1,S559-A560+1),0),ROUND(-PMT(E560/12,MAX(1,S559-A560+1),C560),0))&gt;ROUND(G559*1.25,0),NOT(A560=入力!$B$15+1)),"・上限適用",""))</f>
        <v/>
      </c>
      <c r="Q560" s="35" t="str">
        <f>IF(AND(T559="",A560&lt;=S559),入力!$B$13,"")</f>
        <v/>
      </c>
      <c r="R560" s="32" t="str">
        <f>IF(AND(AND(T559="",A560&lt;=S559),OR(AND(入力!$B$13="有効",A560&gt;1,MOD(A560-1,60)=0),AND(A560=入力!$B$11,A560&gt;1)),入力!$B$14="有効"),ROUND(G559*1.25,0),"")</f>
        <v/>
      </c>
      <c r="S560" s="36">
        <f>IF(A560=入力!$B$15,A560+入力!$B$19,S559)</f>
        <v>360</v>
      </c>
      <c r="T560" s="35" t="str">
        <f t="shared" si="143"/>
        <v/>
      </c>
      <c r="U560" s="3">
        <f t="shared" si="128"/>
        <v>0</v>
      </c>
      <c r="V560" s="3">
        <f t="shared" si="129"/>
        <v>0</v>
      </c>
      <c r="W560" s="3">
        <f t="shared" si="130"/>
        <v>0</v>
      </c>
      <c r="X560" s="3">
        <f t="shared" si="131"/>
        <v>0</v>
      </c>
      <c r="Y560" s="3">
        <f>IF(A560&lt;入力!$B$15,ABS(G560-何もしない_月次!G560),0)</f>
        <v>0</v>
      </c>
      <c r="Z560" s="3">
        <f t="shared" si="132"/>
        <v>0</v>
      </c>
      <c r="AA560">
        <f>ROUND(IF(A560=入力!$B$15+1,IF(E560=0,ROUND(C560/入力!$B$19,0),ROUND(-PMT(E560/12,入力!$B$19,C560),0)),IF(OR(AND(入力!$B$13="有効",A560&gt;1,MOD(A560-1,60)=0),AND(A560=入力!$B$11,A560&gt;1)),IF(入力!$B$14="有効",MIN(IF(E560=0,ROUND(C560/MAX(1,S559-A560+1),0),ROUND(-PMT(E560/12,MAX(1,S559-A560+1),C560),0)),ROUND(G559*1.25,0)),IF(E560=0,ROUND(C560/MAX(1,S559-A560+1),0),ROUND(-PMT(E560/12,MAX(1,S559-A560+1),C560),0))),G559)),0)</f>
        <v>0</v>
      </c>
    </row>
    <row r="561" spans="1:27">
      <c r="A561" s="30">
        <f>556</f>
        <v>556</v>
      </c>
      <c r="B561" s="31">
        <f>EDATE(入力!$B$6,A561-1)</f>
        <v>63129</v>
      </c>
      <c r="C561" s="32">
        <f t="shared" si="133"/>
        <v>0</v>
      </c>
      <c r="D561" s="32">
        <f t="shared" si="134"/>
        <v>0</v>
      </c>
      <c r="E561" s="33">
        <f>IF(AND(T560="",A561&lt;=S560),IF(A561&lt;入力!$B$11,入力!$B$10,入力!$B$12),0)</f>
        <v>0</v>
      </c>
      <c r="F561" s="32">
        <f t="shared" si="135"/>
        <v>0</v>
      </c>
      <c r="G561" s="32">
        <f>ROUND(IF(NOT(AND(T560="",A561&lt;=S560)),0,IF(A561=入力!$B$15+1,IF(E561=0,ROUND(C561/入力!$B$19,0),ROUND(-PMT(E561/12,入力!$B$19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),0)</f>
        <v>0</v>
      </c>
      <c r="H561" s="32">
        <f t="shared" si="136"/>
        <v>0</v>
      </c>
      <c r="I561" s="32">
        <f t="shared" si="137"/>
        <v>0</v>
      </c>
      <c r="J561" s="32">
        <f t="shared" si="138"/>
        <v>0</v>
      </c>
      <c r="K561" s="32">
        <f t="shared" si="139"/>
        <v>0</v>
      </c>
      <c r="L561" s="32">
        <f t="shared" si="140"/>
        <v>0</v>
      </c>
      <c r="M561" s="32">
        <f>IF(AND(AND(T560="",A561&lt;=S560),A561=入力!$B$15),ROUND(MIN(入力!$B$16,MAX(0,C561-L561)),0),0)</f>
        <v>0</v>
      </c>
      <c r="N561" s="32">
        <f t="shared" si="141"/>
        <v>0</v>
      </c>
      <c r="O561" s="32">
        <f t="shared" si="142"/>
        <v>10751874</v>
      </c>
      <c r="P561" s="34" t="str">
        <f>IF(NOT(AND(T560="",A561&lt;=S560)),"",IF(A561=入力!$B$15+1,"繰上返済後再計算","")&amp;IF(AND(入力!$B$13="有効",A561&gt;1,MOD(A561-1,60)=0),IF(A561=入力!$B$15+1,"・","")&amp;"5年見直し","")&amp;IF(AND(A561=入力!$B$11,A561&gt;1),IF(OR(A561=入力!$B$15+1,AND(入力!$B$13="有効",A561&gt;1,MOD(A561-1,60)=0)),"・","")&amp;"金利変更","")&amp;IF(AND(OR(AND(入力!$B$13="有効",A561&gt;1,MOD(A561-1,60)=0),AND(A561=入力!$B$11,A561&gt;1)),入力!$B$14="有効",IF(E561=0,ROUND(C561/MAX(1,S560-A561+1),0),ROUND(-PMT(E561/12,MAX(1,S560-A561+1),C561),0))&gt;ROUND(G560*1.25,0),NOT(A561=入力!$B$15+1)),"・上限適用",""))</f>
        <v/>
      </c>
      <c r="Q561" s="35" t="str">
        <f>IF(AND(T560="",A561&lt;=S560),入力!$B$13,"")</f>
        <v/>
      </c>
      <c r="R561" s="32" t="str">
        <f>IF(AND(AND(T560="",A561&lt;=S560),OR(AND(入力!$B$13="有効",A561&gt;1,MOD(A561-1,60)=0),AND(A561=入力!$B$11,A561&gt;1)),入力!$B$14="有効"),ROUND(G560*1.25,0),"")</f>
        <v/>
      </c>
      <c r="S561" s="36">
        <f>IF(A561=入力!$B$15,A561+入力!$B$19,S560)</f>
        <v>360</v>
      </c>
      <c r="T561" s="35" t="str">
        <f t="shared" si="143"/>
        <v/>
      </c>
      <c r="U561" s="3">
        <f t="shared" si="128"/>
        <v>0</v>
      </c>
      <c r="V561" s="3">
        <f t="shared" si="129"/>
        <v>0</v>
      </c>
      <c r="W561" s="3">
        <f t="shared" si="130"/>
        <v>0</v>
      </c>
      <c r="X561" s="3">
        <f t="shared" si="131"/>
        <v>0</v>
      </c>
      <c r="Y561" s="3">
        <f>IF(A561&lt;入力!$B$15,ABS(G561-何もしない_月次!G561),0)</f>
        <v>0</v>
      </c>
      <c r="Z561" s="3">
        <f t="shared" si="132"/>
        <v>0</v>
      </c>
      <c r="AA561">
        <f>ROUND(IF(A561=入力!$B$15+1,IF(E561=0,ROUND(C561/入力!$B$19,0),ROUND(-PMT(E561/12,入力!$B$19,C561),0)),IF(OR(AND(入力!$B$13="有効",A561&gt;1,MOD(A561-1,60)=0),AND(A561=入力!$B$11,A561&gt;1)),IF(入力!$B$14="有効",MIN(IF(E561=0,ROUND(C561/MAX(1,S560-A561+1),0),ROUND(-PMT(E561/12,MAX(1,S560-A561+1),C561),0)),ROUND(G560*1.25,0)),IF(E561=0,ROUND(C561/MAX(1,S560-A561+1),0),ROUND(-PMT(E561/12,MAX(1,S560-A561+1),C561),0))),G560)),0)</f>
        <v>0</v>
      </c>
    </row>
    <row r="562" spans="1:27">
      <c r="A562" s="30">
        <f>557</f>
        <v>557</v>
      </c>
      <c r="B562" s="31">
        <f>EDATE(入力!$B$6,A562-1)</f>
        <v>63159</v>
      </c>
      <c r="C562" s="32">
        <f t="shared" si="133"/>
        <v>0</v>
      </c>
      <c r="D562" s="32">
        <f t="shared" si="134"/>
        <v>0</v>
      </c>
      <c r="E562" s="33">
        <f>IF(AND(T561="",A562&lt;=S561),IF(A562&lt;入力!$B$11,入力!$B$10,入力!$B$12),0)</f>
        <v>0</v>
      </c>
      <c r="F562" s="32">
        <f t="shared" si="135"/>
        <v>0</v>
      </c>
      <c r="G562" s="32">
        <f>ROUND(IF(NOT(AND(T561="",A562&lt;=S561)),0,IF(A562=入力!$B$15+1,IF(E562=0,ROUND(C562/入力!$B$19,0),ROUND(-PMT(E562/12,入力!$B$19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),0)</f>
        <v>0</v>
      </c>
      <c r="H562" s="32">
        <f t="shared" si="136"/>
        <v>0</v>
      </c>
      <c r="I562" s="32">
        <f t="shared" si="137"/>
        <v>0</v>
      </c>
      <c r="J562" s="32">
        <f t="shared" si="138"/>
        <v>0</v>
      </c>
      <c r="K562" s="32">
        <f t="shared" si="139"/>
        <v>0</v>
      </c>
      <c r="L562" s="32">
        <f t="shared" si="140"/>
        <v>0</v>
      </c>
      <c r="M562" s="32">
        <f>IF(AND(AND(T561="",A562&lt;=S561),A562=入力!$B$15),ROUND(MIN(入力!$B$16,MAX(0,C562-L562)),0),0)</f>
        <v>0</v>
      </c>
      <c r="N562" s="32">
        <f t="shared" si="141"/>
        <v>0</v>
      </c>
      <c r="O562" s="32">
        <f t="shared" si="142"/>
        <v>10751874</v>
      </c>
      <c r="P562" s="34" t="str">
        <f>IF(NOT(AND(T561="",A562&lt;=S561)),"",IF(A562=入力!$B$15+1,"繰上返済後再計算","")&amp;IF(AND(入力!$B$13="有効",A562&gt;1,MOD(A562-1,60)=0),IF(A562=入力!$B$15+1,"・","")&amp;"5年見直し","")&amp;IF(AND(A562=入力!$B$11,A562&gt;1),IF(OR(A562=入力!$B$15+1,AND(入力!$B$13="有効",A562&gt;1,MOD(A562-1,60)=0)),"・","")&amp;"金利変更","")&amp;IF(AND(OR(AND(入力!$B$13="有効",A562&gt;1,MOD(A562-1,60)=0),AND(A562=入力!$B$11,A562&gt;1)),入力!$B$14="有効",IF(E562=0,ROUND(C562/MAX(1,S561-A562+1),0),ROUND(-PMT(E562/12,MAX(1,S561-A562+1),C562),0))&gt;ROUND(G561*1.25,0),NOT(A562=入力!$B$15+1)),"・上限適用",""))</f>
        <v/>
      </c>
      <c r="Q562" s="35" t="str">
        <f>IF(AND(T561="",A562&lt;=S561),入力!$B$13,"")</f>
        <v/>
      </c>
      <c r="R562" s="32" t="str">
        <f>IF(AND(AND(T561="",A562&lt;=S561),OR(AND(入力!$B$13="有効",A562&gt;1,MOD(A562-1,60)=0),AND(A562=入力!$B$11,A562&gt;1)),入力!$B$14="有効"),ROUND(G561*1.25,0),"")</f>
        <v/>
      </c>
      <c r="S562" s="36">
        <f>IF(A562=入力!$B$15,A562+入力!$B$19,S561)</f>
        <v>360</v>
      </c>
      <c r="T562" s="35" t="str">
        <f t="shared" si="143"/>
        <v/>
      </c>
      <c r="U562" s="3">
        <f t="shared" si="128"/>
        <v>0</v>
      </c>
      <c r="V562" s="3">
        <f t="shared" si="129"/>
        <v>0</v>
      </c>
      <c r="W562" s="3">
        <f t="shared" si="130"/>
        <v>0</v>
      </c>
      <c r="X562" s="3">
        <f t="shared" si="131"/>
        <v>0</v>
      </c>
      <c r="Y562" s="3">
        <f>IF(A562&lt;入力!$B$15,ABS(G562-何もしない_月次!G562),0)</f>
        <v>0</v>
      </c>
      <c r="Z562" s="3">
        <f t="shared" si="132"/>
        <v>0</v>
      </c>
      <c r="AA562">
        <f>ROUND(IF(A562=入力!$B$15+1,IF(E562=0,ROUND(C562/入力!$B$19,0),ROUND(-PMT(E562/12,入力!$B$19,C562),0)),IF(OR(AND(入力!$B$13="有効",A562&gt;1,MOD(A562-1,60)=0),AND(A562=入力!$B$11,A562&gt;1)),IF(入力!$B$14="有効",MIN(IF(E562=0,ROUND(C562/MAX(1,S561-A562+1),0),ROUND(-PMT(E562/12,MAX(1,S561-A562+1),C562),0)),ROUND(G561*1.25,0)),IF(E562=0,ROUND(C562/MAX(1,S561-A562+1),0),ROUND(-PMT(E562/12,MAX(1,S561-A562+1),C562),0))),G561)),0)</f>
        <v>0</v>
      </c>
    </row>
    <row r="563" spans="1:27">
      <c r="A563" s="30">
        <f>558</f>
        <v>558</v>
      </c>
      <c r="B563" s="31">
        <f>EDATE(入力!$B$6,A563-1)</f>
        <v>63190</v>
      </c>
      <c r="C563" s="32">
        <f t="shared" si="133"/>
        <v>0</v>
      </c>
      <c r="D563" s="32">
        <f t="shared" si="134"/>
        <v>0</v>
      </c>
      <c r="E563" s="33">
        <f>IF(AND(T562="",A563&lt;=S562),IF(A563&lt;入力!$B$11,入力!$B$10,入力!$B$12),0)</f>
        <v>0</v>
      </c>
      <c r="F563" s="32">
        <f t="shared" si="135"/>
        <v>0</v>
      </c>
      <c r="G563" s="32">
        <f>ROUND(IF(NOT(AND(T562="",A563&lt;=S562)),0,IF(A563=入力!$B$15+1,IF(E563=0,ROUND(C563/入力!$B$19,0),ROUND(-PMT(E563/12,入力!$B$19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),0)</f>
        <v>0</v>
      </c>
      <c r="H563" s="32">
        <f t="shared" si="136"/>
        <v>0</v>
      </c>
      <c r="I563" s="32">
        <f t="shared" si="137"/>
        <v>0</v>
      </c>
      <c r="J563" s="32">
        <f t="shared" si="138"/>
        <v>0</v>
      </c>
      <c r="K563" s="32">
        <f t="shared" si="139"/>
        <v>0</v>
      </c>
      <c r="L563" s="32">
        <f t="shared" si="140"/>
        <v>0</v>
      </c>
      <c r="M563" s="32">
        <f>IF(AND(AND(T562="",A563&lt;=S562),A563=入力!$B$15),ROUND(MIN(入力!$B$16,MAX(0,C563-L563)),0),0)</f>
        <v>0</v>
      </c>
      <c r="N563" s="32">
        <f t="shared" si="141"/>
        <v>0</v>
      </c>
      <c r="O563" s="32">
        <f t="shared" si="142"/>
        <v>10751874</v>
      </c>
      <c r="P563" s="34" t="str">
        <f>IF(NOT(AND(T562="",A563&lt;=S562)),"",IF(A563=入力!$B$15+1,"繰上返済後再計算","")&amp;IF(AND(入力!$B$13="有効",A563&gt;1,MOD(A563-1,60)=0),IF(A563=入力!$B$15+1,"・","")&amp;"5年見直し","")&amp;IF(AND(A563=入力!$B$11,A563&gt;1),IF(OR(A563=入力!$B$15+1,AND(入力!$B$13="有効",A563&gt;1,MOD(A563-1,60)=0)),"・","")&amp;"金利変更","")&amp;IF(AND(OR(AND(入力!$B$13="有効",A563&gt;1,MOD(A563-1,60)=0),AND(A563=入力!$B$11,A563&gt;1)),入力!$B$14="有効",IF(E563=0,ROUND(C563/MAX(1,S562-A563+1),0),ROUND(-PMT(E563/12,MAX(1,S562-A563+1),C563),0))&gt;ROUND(G562*1.25,0),NOT(A563=入力!$B$15+1)),"・上限適用",""))</f>
        <v/>
      </c>
      <c r="Q563" s="35" t="str">
        <f>IF(AND(T562="",A563&lt;=S562),入力!$B$13,"")</f>
        <v/>
      </c>
      <c r="R563" s="32" t="str">
        <f>IF(AND(AND(T562="",A563&lt;=S562),OR(AND(入力!$B$13="有効",A563&gt;1,MOD(A563-1,60)=0),AND(A563=入力!$B$11,A563&gt;1)),入力!$B$14="有効"),ROUND(G562*1.25,0),"")</f>
        <v/>
      </c>
      <c r="S563" s="36">
        <f>IF(A563=入力!$B$15,A563+入力!$B$19,S562)</f>
        <v>360</v>
      </c>
      <c r="T563" s="35" t="str">
        <f t="shared" si="143"/>
        <v/>
      </c>
      <c r="U563" s="3">
        <f t="shared" si="128"/>
        <v>0</v>
      </c>
      <c r="V563" s="3">
        <f t="shared" si="129"/>
        <v>0</v>
      </c>
      <c r="W563" s="3">
        <f t="shared" si="130"/>
        <v>0</v>
      </c>
      <c r="X563" s="3">
        <f t="shared" si="131"/>
        <v>0</v>
      </c>
      <c r="Y563" s="3">
        <f>IF(A563&lt;入力!$B$15,ABS(G563-何もしない_月次!G563),0)</f>
        <v>0</v>
      </c>
      <c r="Z563" s="3">
        <f t="shared" si="132"/>
        <v>0</v>
      </c>
      <c r="AA563">
        <f>ROUND(IF(A563=入力!$B$15+1,IF(E563=0,ROUND(C563/入力!$B$19,0),ROUND(-PMT(E563/12,入力!$B$19,C563),0)),IF(OR(AND(入力!$B$13="有効",A563&gt;1,MOD(A563-1,60)=0),AND(A563=入力!$B$11,A563&gt;1)),IF(入力!$B$14="有効",MIN(IF(E563=0,ROUND(C563/MAX(1,S562-A563+1),0),ROUND(-PMT(E563/12,MAX(1,S562-A563+1),C563),0)),ROUND(G562*1.25,0)),IF(E563=0,ROUND(C563/MAX(1,S562-A563+1),0),ROUND(-PMT(E563/12,MAX(1,S562-A563+1),C563),0))),G562)),0)</f>
        <v>0</v>
      </c>
    </row>
    <row r="564" spans="1:27">
      <c r="A564" s="30">
        <f>559</f>
        <v>559</v>
      </c>
      <c r="B564" s="31">
        <f>EDATE(入力!$B$6,A564-1)</f>
        <v>63221</v>
      </c>
      <c r="C564" s="32">
        <f t="shared" si="133"/>
        <v>0</v>
      </c>
      <c r="D564" s="32">
        <f t="shared" si="134"/>
        <v>0</v>
      </c>
      <c r="E564" s="33">
        <f>IF(AND(T563="",A564&lt;=S563),IF(A564&lt;入力!$B$11,入力!$B$10,入力!$B$12),0)</f>
        <v>0</v>
      </c>
      <c r="F564" s="32">
        <f t="shared" si="135"/>
        <v>0</v>
      </c>
      <c r="G564" s="32">
        <f>ROUND(IF(NOT(AND(T563="",A564&lt;=S563)),0,IF(A564=入力!$B$15+1,IF(E564=0,ROUND(C564/入力!$B$19,0),ROUND(-PMT(E564/12,入力!$B$19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),0)</f>
        <v>0</v>
      </c>
      <c r="H564" s="32">
        <f t="shared" si="136"/>
        <v>0</v>
      </c>
      <c r="I564" s="32">
        <f t="shared" si="137"/>
        <v>0</v>
      </c>
      <c r="J564" s="32">
        <f t="shared" si="138"/>
        <v>0</v>
      </c>
      <c r="K564" s="32">
        <f t="shared" si="139"/>
        <v>0</v>
      </c>
      <c r="L564" s="32">
        <f t="shared" si="140"/>
        <v>0</v>
      </c>
      <c r="M564" s="32">
        <f>IF(AND(AND(T563="",A564&lt;=S563),A564=入力!$B$15),ROUND(MIN(入力!$B$16,MAX(0,C564-L564)),0),0)</f>
        <v>0</v>
      </c>
      <c r="N564" s="32">
        <f t="shared" si="141"/>
        <v>0</v>
      </c>
      <c r="O564" s="32">
        <f t="shared" si="142"/>
        <v>10751874</v>
      </c>
      <c r="P564" s="34" t="str">
        <f>IF(NOT(AND(T563="",A564&lt;=S563)),"",IF(A564=入力!$B$15+1,"繰上返済後再計算","")&amp;IF(AND(入力!$B$13="有効",A564&gt;1,MOD(A564-1,60)=0),IF(A564=入力!$B$15+1,"・","")&amp;"5年見直し","")&amp;IF(AND(A564=入力!$B$11,A564&gt;1),IF(OR(A564=入力!$B$15+1,AND(入力!$B$13="有効",A564&gt;1,MOD(A564-1,60)=0)),"・","")&amp;"金利変更","")&amp;IF(AND(OR(AND(入力!$B$13="有効",A564&gt;1,MOD(A564-1,60)=0),AND(A564=入力!$B$11,A564&gt;1)),入力!$B$14="有効",IF(E564=0,ROUND(C564/MAX(1,S563-A564+1),0),ROUND(-PMT(E564/12,MAX(1,S563-A564+1),C564),0))&gt;ROUND(G563*1.25,0),NOT(A564=入力!$B$15+1)),"・上限適用",""))</f>
        <v/>
      </c>
      <c r="Q564" s="35" t="str">
        <f>IF(AND(T563="",A564&lt;=S563),入力!$B$13,"")</f>
        <v/>
      </c>
      <c r="R564" s="32" t="str">
        <f>IF(AND(AND(T563="",A564&lt;=S563),OR(AND(入力!$B$13="有効",A564&gt;1,MOD(A564-1,60)=0),AND(A564=入力!$B$11,A564&gt;1)),入力!$B$14="有効"),ROUND(G563*1.25,0),"")</f>
        <v/>
      </c>
      <c r="S564" s="36">
        <f>IF(A564=入力!$B$15,A564+入力!$B$19,S563)</f>
        <v>360</v>
      </c>
      <c r="T564" s="35" t="str">
        <f t="shared" si="143"/>
        <v/>
      </c>
      <c r="U564" s="3">
        <f t="shared" si="128"/>
        <v>0</v>
      </c>
      <c r="V564" s="3">
        <f t="shared" si="129"/>
        <v>0</v>
      </c>
      <c r="W564" s="3">
        <f t="shared" si="130"/>
        <v>0</v>
      </c>
      <c r="X564" s="3">
        <f t="shared" si="131"/>
        <v>0</v>
      </c>
      <c r="Y564" s="3">
        <f>IF(A564&lt;入力!$B$15,ABS(G564-何もしない_月次!G564),0)</f>
        <v>0</v>
      </c>
      <c r="Z564" s="3">
        <f t="shared" si="132"/>
        <v>0</v>
      </c>
      <c r="AA564">
        <f>ROUND(IF(A564=入力!$B$15+1,IF(E564=0,ROUND(C564/入力!$B$19,0),ROUND(-PMT(E564/12,入力!$B$19,C564),0)),IF(OR(AND(入力!$B$13="有効",A564&gt;1,MOD(A564-1,60)=0),AND(A564=入力!$B$11,A564&gt;1)),IF(入力!$B$14="有効",MIN(IF(E564=0,ROUND(C564/MAX(1,S563-A564+1),0),ROUND(-PMT(E564/12,MAX(1,S563-A564+1),C564),0)),ROUND(G563*1.25,0)),IF(E564=0,ROUND(C564/MAX(1,S563-A564+1),0),ROUND(-PMT(E564/12,MAX(1,S563-A564+1),C564),0))),G563)),0)</f>
        <v>0</v>
      </c>
    </row>
    <row r="565" spans="1:27">
      <c r="A565" s="30">
        <f>560</f>
        <v>560</v>
      </c>
      <c r="B565" s="31">
        <f>EDATE(入力!$B$6,A565-1)</f>
        <v>63249</v>
      </c>
      <c r="C565" s="32">
        <f t="shared" si="133"/>
        <v>0</v>
      </c>
      <c r="D565" s="32">
        <f t="shared" si="134"/>
        <v>0</v>
      </c>
      <c r="E565" s="33">
        <f>IF(AND(T564="",A565&lt;=S564),IF(A565&lt;入力!$B$11,入力!$B$10,入力!$B$12),0)</f>
        <v>0</v>
      </c>
      <c r="F565" s="32">
        <f t="shared" si="135"/>
        <v>0</v>
      </c>
      <c r="G565" s="32">
        <f>ROUND(IF(NOT(AND(T564="",A565&lt;=S564)),0,IF(A565=入力!$B$15+1,IF(E565=0,ROUND(C565/入力!$B$19,0),ROUND(-PMT(E565/12,入力!$B$19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),0)</f>
        <v>0</v>
      </c>
      <c r="H565" s="32">
        <f t="shared" si="136"/>
        <v>0</v>
      </c>
      <c r="I565" s="32">
        <f t="shared" si="137"/>
        <v>0</v>
      </c>
      <c r="J565" s="32">
        <f t="shared" si="138"/>
        <v>0</v>
      </c>
      <c r="K565" s="32">
        <f t="shared" si="139"/>
        <v>0</v>
      </c>
      <c r="L565" s="32">
        <f t="shared" si="140"/>
        <v>0</v>
      </c>
      <c r="M565" s="32">
        <f>IF(AND(AND(T564="",A565&lt;=S564),A565=入力!$B$15),ROUND(MIN(入力!$B$16,MAX(0,C565-L565)),0),0)</f>
        <v>0</v>
      </c>
      <c r="N565" s="32">
        <f t="shared" si="141"/>
        <v>0</v>
      </c>
      <c r="O565" s="32">
        <f t="shared" si="142"/>
        <v>10751874</v>
      </c>
      <c r="P565" s="34" t="str">
        <f>IF(NOT(AND(T564="",A565&lt;=S564)),"",IF(A565=入力!$B$15+1,"繰上返済後再計算","")&amp;IF(AND(入力!$B$13="有効",A565&gt;1,MOD(A565-1,60)=0),IF(A565=入力!$B$15+1,"・","")&amp;"5年見直し","")&amp;IF(AND(A565=入力!$B$11,A565&gt;1),IF(OR(A565=入力!$B$15+1,AND(入力!$B$13="有効",A565&gt;1,MOD(A565-1,60)=0)),"・","")&amp;"金利変更","")&amp;IF(AND(OR(AND(入力!$B$13="有効",A565&gt;1,MOD(A565-1,60)=0),AND(A565=入力!$B$11,A565&gt;1)),入力!$B$14="有効",IF(E565=0,ROUND(C565/MAX(1,S564-A565+1),0),ROUND(-PMT(E565/12,MAX(1,S564-A565+1),C565),0))&gt;ROUND(G564*1.25,0),NOT(A565=入力!$B$15+1)),"・上限適用",""))</f>
        <v/>
      </c>
      <c r="Q565" s="35" t="str">
        <f>IF(AND(T564="",A565&lt;=S564),入力!$B$13,"")</f>
        <v/>
      </c>
      <c r="R565" s="32" t="str">
        <f>IF(AND(AND(T564="",A565&lt;=S564),OR(AND(入力!$B$13="有効",A565&gt;1,MOD(A565-1,60)=0),AND(A565=入力!$B$11,A565&gt;1)),入力!$B$14="有効"),ROUND(G564*1.25,0),"")</f>
        <v/>
      </c>
      <c r="S565" s="36">
        <f>IF(A565=入力!$B$15,A565+入力!$B$19,S564)</f>
        <v>360</v>
      </c>
      <c r="T565" s="35" t="str">
        <f t="shared" si="143"/>
        <v/>
      </c>
      <c r="U565" s="3">
        <f t="shared" si="128"/>
        <v>0</v>
      </c>
      <c r="V565" s="3">
        <f t="shared" si="129"/>
        <v>0</v>
      </c>
      <c r="W565" s="3">
        <f t="shared" si="130"/>
        <v>0</v>
      </c>
      <c r="X565" s="3">
        <f t="shared" si="131"/>
        <v>0</v>
      </c>
      <c r="Y565" s="3">
        <f>IF(A565&lt;入力!$B$15,ABS(G565-何もしない_月次!G565),0)</f>
        <v>0</v>
      </c>
      <c r="Z565" s="3">
        <f t="shared" si="132"/>
        <v>0</v>
      </c>
      <c r="AA565">
        <f>ROUND(IF(A565=入力!$B$15+1,IF(E565=0,ROUND(C565/入力!$B$19,0),ROUND(-PMT(E565/12,入力!$B$19,C565),0)),IF(OR(AND(入力!$B$13="有効",A565&gt;1,MOD(A565-1,60)=0),AND(A565=入力!$B$11,A565&gt;1)),IF(入力!$B$14="有効",MIN(IF(E565=0,ROUND(C565/MAX(1,S564-A565+1),0),ROUND(-PMT(E565/12,MAX(1,S564-A565+1),C565),0)),ROUND(G564*1.25,0)),IF(E565=0,ROUND(C565/MAX(1,S564-A565+1),0),ROUND(-PMT(E565/12,MAX(1,S564-A565+1),C565),0))),G564)),0)</f>
        <v>0</v>
      </c>
    </row>
    <row r="566" spans="1:27">
      <c r="A566" s="30">
        <f>561</f>
        <v>561</v>
      </c>
      <c r="B566" s="31">
        <f>EDATE(入力!$B$6,A566-1)</f>
        <v>63280</v>
      </c>
      <c r="C566" s="32">
        <f t="shared" si="133"/>
        <v>0</v>
      </c>
      <c r="D566" s="32">
        <f t="shared" si="134"/>
        <v>0</v>
      </c>
      <c r="E566" s="33">
        <f>IF(AND(T565="",A566&lt;=S565),IF(A566&lt;入力!$B$11,入力!$B$10,入力!$B$12),0)</f>
        <v>0</v>
      </c>
      <c r="F566" s="32">
        <f t="shared" si="135"/>
        <v>0</v>
      </c>
      <c r="G566" s="32">
        <f>ROUND(IF(NOT(AND(T565="",A566&lt;=S565)),0,IF(A566=入力!$B$15+1,IF(E566=0,ROUND(C566/入力!$B$19,0),ROUND(-PMT(E566/12,入力!$B$19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),0)</f>
        <v>0</v>
      </c>
      <c r="H566" s="32">
        <f t="shared" si="136"/>
        <v>0</v>
      </c>
      <c r="I566" s="32">
        <f t="shared" si="137"/>
        <v>0</v>
      </c>
      <c r="J566" s="32">
        <f t="shared" si="138"/>
        <v>0</v>
      </c>
      <c r="K566" s="32">
        <f t="shared" si="139"/>
        <v>0</v>
      </c>
      <c r="L566" s="32">
        <f t="shared" si="140"/>
        <v>0</v>
      </c>
      <c r="M566" s="32">
        <f>IF(AND(AND(T565="",A566&lt;=S565),A566=入力!$B$15),ROUND(MIN(入力!$B$16,MAX(0,C566-L566)),0),0)</f>
        <v>0</v>
      </c>
      <c r="N566" s="32">
        <f t="shared" si="141"/>
        <v>0</v>
      </c>
      <c r="O566" s="32">
        <f t="shared" si="142"/>
        <v>10751874</v>
      </c>
      <c r="P566" s="34" t="str">
        <f>IF(NOT(AND(T565="",A566&lt;=S565)),"",IF(A566=入力!$B$15+1,"繰上返済後再計算","")&amp;IF(AND(入力!$B$13="有効",A566&gt;1,MOD(A566-1,60)=0),IF(A566=入力!$B$15+1,"・","")&amp;"5年見直し","")&amp;IF(AND(A566=入力!$B$11,A566&gt;1),IF(OR(A566=入力!$B$15+1,AND(入力!$B$13="有効",A566&gt;1,MOD(A566-1,60)=0)),"・","")&amp;"金利変更","")&amp;IF(AND(OR(AND(入力!$B$13="有効",A566&gt;1,MOD(A566-1,60)=0),AND(A566=入力!$B$11,A566&gt;1)),入力!$B$14="有効",IF(E566=0,ROUND(C566/MAX(1,S565-A566+1),0),ROUND(-PMT(E566/12,MAX(1,S565-A566+1),C566),0))&gt;ROUND(G565*1.25,0),NOT(A566=入力!$B$15+1)),"・上限適用",""))</f>
        <v/>
      </c>
      <c r="Q566" s="35" t="str">
        <f>IF(AND(T565="",A566&lt;=S565),入力!$B$13,"")</f>
        <v/>
      </c>
      <c r="R566" s="32" t="str">
        <f>IF(AND(AND(T565="",A566&lt;=S565),OR(AND(入力!$B$13="有効",A566&gt;1,MOD(A566-1,60)=0),AND(A566=入力!$B$11,A566&gt;1)),入力!$B$14="有効"),ROUND(G565*1.25,0),"")</f>
        <v/>
      </c>
      <c r="S566" s="36">
        <f>IF(A566=入力!$B$15,A566+入力!$B$19,S565)</f>
        <v>360</v>
      </c>
      <c r="T566" s="35" t="str">
        <f t="shared" si="143"/>
        <v/>
      </c>
      <c r="U566" s="3">
        <f t="shared" si="128"/>
        <v>0</v>
      </c>
      <c r="V566" s="3">
        <f t="shared" si="129"/>
        <v>0</v>
      </c>
      <c r="W566" s="3">
        <f t="shared" si="130"/>
        <v>0</v>
      </c>
      <c r="X566" s="3">
        <f t="shared" si="131"/>
        <v>0</v>
      </c>
      <c r="Y566" s="3">
        <f>IF(A566&lt;入力!$B$15,ABS(G566-何もしない_月次!G566),0)</f>
        <v>0</v>
      </c>
      <c r="Z566" s="3">
        <f t="shared" si="132"/>
        <v>0</v>
      </c>
      <c r="AA566">
        <f>ROUND(IF(A566=入力!$B$15+1,IF(E566=0,ROUND(C566/入力!$B$19,0),ROUND(-PMT(E566/12,入力!$B$19,C566),0)),IF(OR(AND(入力!$B$13="有効",A566&gt;1,MOD(A566-1,60)=0),AND(A566=入力!$B$11,A566&gt;1)),IF(入力!$B$14="有効",MIN(IF(E566=0,ROUND(C566/MAX(1,S565-A566+1),0),ROUND(-PMT(E566/12,MAX(1,S565-A566+1),C566),0)),ROUND(G565*1.25,0)),IF(E566=0,ROUND(C566/MAX(1,S565-A566+1),0),ROUND(-PMT(E566/12,MAX(1,S565-A566+1),C566),0))),G565)),0)</f>
        <v>0</v>
      </c>
    </row>
    <row r="567" spans="1:27">
      <c r="A567" s="30">
        <f>562</f>
        <v>562</v>
      </c>
      <c r="B567" s="31">
        <f>EDATE(入力!$B$6,A567-1)</f>
        <v>63310</v>
      </c>
      <c r="C567" s="32">
        <f t="shared" si="133"/>
        <v>0</v>
      </c>
      <c r="D567" s="32">
        <f t="shared" si="134"/>
        <v>0</v>
      </c>
      <c r="E567" s="33">
        <f>IF(AND(T566="",A567&lt;=S566),IF(A567&lt;入力!$B$11,入力!$B$10,入力!$B$12),0)</f>
        <v>0</v>
      </c>
      <c r="F567" s="32">
        <f t="shared" si="135"/>
        <v>0</v>
      </c>
      <c r="G567" s="32">
        <f>ROUND(IF(NOT(AND(T566="",A567&lt;=S566)),0,IF(A567=入力!$B$15+1,IF(E567=0,ROUND(C567/入力!$B$19,0),ROUND(-PMT(E567/12,入力!$B$19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),0)</f>
        <v>0</v>
      </c>
      <c r="H567" s="32">
        <f t="shared" si="136"/>
        <v>0</v>
      </c>
      <c r="I567" s="32">
        <f t="shared" si="137"/>
        <v>0</v>
      </c>
      <c r="J567" s="32">
        <f t="shared" si="138"/>
        <v>0</v>
      </c>
      <c r="K567" s="32">
        <f t="shared" si="139"/>
        <v>0</v>
      </c>
      <c r="L567" s="32">
        <f t="shared" si="140"/>
        <v>0</v>
      </c>
      <c r="M567" s="32">
        <f>IF(AND(AND(T566="",A567&lt;=S566),A567=入力!$B$15),ROUND(MIN(入力!$B$16,MAX(0,C567-L567)),0),0)</f>
        <v>0</v>
      </c>
      <c r="N567" s="32">
        <f t="shared" si="141"/>
        <v>0</v>
      </c>
      <c r="O567" s="32">
        <f t="shared" si="142"/>
        <v>10751874</v>
      </c>
      <c r="P567" s="34" t="str">
        <f>IF(NOT(AND(T566="",A567&lt;=S566)),"",IF(A567=入力!$B$15+1,"繰上返済後再計算","")&amp;IF(AND(入力!$B$13="有効",A567&gt;1,MOD(A567-1,60)=0),IF(A567=入力!$B$15+1,"・","")&amp;"5年見直し","")&amp;IF(AND(A567=入力!$B$11,A567&gt;1),IF(OR(A567=入力!$B$15+1,AND(入力!$B$13="有効",A567&gt;1,MOD(A567-1,60)=0)),"・","")&amp;"金利変更","")&amp;IF(AND(OR(AND(入力!$B$13="有効",A567&gt;1,MOD(A567-1,60)=0),AND(A567=入力!$B$11,A567&gt;1)),入力!$B$14="有効",IF(E567=0,ROUND(C567/MAX(1,S566-A567+1),0),ROUND(-PMT(E567/12,MAX(1,S566-A567+1),C567),0))&gt;ROUND(G566*1.25,0),NOT(A567=入力!$B$15+1)),"・上限適用",""))</f>
        <v/>
      </c>
      <c r="Q567" s="35" t="str">
        <f>IF(AND(T566="",A567&lt;=S566),入力!$B$13,"")</f>
        <v/>
      </c>
      <c r="R567" s="32" t="str">
        <f>IF(AND(AND(T566="",A567&lt;=S566),OR(AND(入力!$B$13="有効",A567&gt;1,MOD(A567-1,60)=0),AND(A567=入力!$B$11,A567&gt;1)),入力!$B$14="有効"),ROUND(G566*1.25,0),"")</f>
        <v/>
      </c>
      <c r="S567" s="36">
        <f>IF(A567=入力!$B$15,A567+入力!$B$19,S566)</f>
        <v>360</v>
      </c>
      <c r="T567" s="35" t="str">
        <f t="shared" si="143"/>
        <v/>
      </c>
      <c r="U567" s="3">
        <f t="shared" si="128"/>
        <v>0</v>
      </c>
      <c r="V567" s="3">
        <f t="shared" si="129"/>
        <v>0</v>
      </c>
      <c r="W567" s="3">
        <f t="shared" si="130"/>
        <v>0</v>
      </c>
      <c r="X567" s="3">
        <f t="shared" si="131"/>
        <v>0</v>
      </c>
      <c r="Y567" s="3">
        <f>IF(A567&lt;入力!$B$15,ABS(G567-何もしない_月次!G567),0)</f>
        <v>0</v>
      </c>
      <c r="Z567" s="3">
        <f t="shared" si="132"/>
        <v>0</v>
      </c>
      <c r="AA567">
        <f>ROUND(IF(A567=入力!$B$15+1,IF(E567=0,ROUND(C567/入力!$B$19,0),ROUND(-PMT(E567/12,入力!$B$19,C567),0)),IF(OR(AND(入力!$B$13="有効",A567&gt;1,MOD(A567-1,60)=0),AND(A567=入力!$B$11,A567&gt;1)),IF(入力!$B$14="有効",MIN(IF(E567=0,ROUND(C567/MAX(1,S566-A567+1),0),ROUND(-PMT(E567/12,MAX(1,S566-A567+1),C567),0)),ROUND(G566*1.25,0)),IF(E567=0,ROUND(C567/MAX(1,S566-A567+1),0),ROUND(-PMT(E567/12,MAX(1,S566-A567+1),C567),0))),G566)),0)</f>
        <v>0</v>
      </c>
    </row>
    <row r="568" spans="1:27">
      <c r="A568" s="30">
        <f>563</f>
        <v>563</v>
      </c>
      <c r="B568" s="31">
        <f>EDATE(入力!$B$6,A568-1)</f>
        <v>63341</v>
      </c>
      <c r="C568" s="32">
        <f t="shared" si="133"/>
        <v>0</v>
      </c>
      <c r="D568" s="32">
        <f t="shared" si="134"/>
        <v>0</v>
      </c>
      <c r="E568" s="33">
        <f>IF(AND(T567="",A568&lt;=S567),IF(A568&lt;入力!$B$11,入力!$B$10,入力!$B$12),0)</f>
        <v>0</v>
      </c>
      <c r="F568" s="32">
        <f t="shared" si="135"/>
        <v>0</v>
      </c>
      <c r="G568" s="32">
        <f>ROUND(IF(NOT(AND(T567="",A568&lt;=S567)),0,IF(A568=入力!$B$15+1,IF(E568=0,ROUND(C568/入力!$B$19,0),ROUND(-PMT(E568/12,入力!$B$19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),0)</f>
        <v>0</v>
      </c>
      <c r="H568" s="32">
        <f t="shared" si="136"/>
        <v>0</v>
      </c>
      <c r="I568" s="32">
        <f t="shared" si="137"/>
        <v>0</v>
      </c>
      <c r="J568" s="32">
        <f t="shared" si="138"/>
        <v>0</v>
      </c>
      <c r="K568" s="32">
        <f t="shared" si="139"/>
        <v>0</v>
      </c>
      <c r="L568" s="32">
        <f t="shared" si="140"/>
        <v>0</v>
      </c>
      <c r="M568" s="32">
        <f>IF(AND(AND(T567="",A568&lt;=S567),A568=入力!$B$15),ROUND(MIN(入力!$B$16,MAX(0,C568-L568)),0),0)</f>
        <v>0</v>
      </c>
      <c r="N568" s="32">
        <f t="shared" si="141"/>
        <v>0</v>
      </c>
      <c r="O568" s="32">
        <f t="shared" si="142"/>
        <v>10751874</v>
      </c>
      <c r="P568" s="34" t="str">
        <f>IF(NOT(AND(T567="",A568&lt;=S567)),"",IF(A568=入力!$B$15+1,"繰上返済後再計算","")&amp;IF(AND(入力!$B$13="有効",A568&gt;1,MOD(A568-1,60)=0),IF(A568=入力!$B$15+1,"・","")&amp;"5年見直し","")&amp;IF(AND(A568=入力!$B$11,A568&gt;1),IF(OR(A568=入力!$B$15+1,AND(入力!$B$13="有効",A568&gt;1,MOD(A568-1,60)=0)),"・","")&amp;"金利変更","")&amp;IF(AND(OR(AND(入力!$B$13="有効",A568&gt;1,MOD(A568-1,60)=0),AND(A568=入力!$B$11,A568&gt;1)),入力!$B$14="有効",IF(E568=0,ROUND(C568/MAX(1,S567-A568+1),0),ROUND(-PMT(E568/12,MAX(1,S567-A568+1),C568),0))&gt;ROUND(G567*1.25,0),NOT(A568=入力!$B$15+1)),"・上限適用",""))</f>
        <v/>
      </c>
      <c r="Q568" s="35" t="str">
        <f>IF(AND(T567="",A568&lt;=S567),入力!$B$13,"")</f>
        <v/>
      </c>
      <c r="R568" s="32" t="str">
        <f>IF(AND(AND(T567="",A568&lt;=S567),OR(AND(入力!$B$13="有効",A568&gt;1,MOD(A568-1,60)=0),AND(A568=入力!$B$11,A568&gt;1)),入力!$B$14="有効"),ROUND(G567*1.25,0),"")</f>
        <v/>
      </c>
      <c r="S568" s="36">
        <f>IF(A568=入力!$B$15,A568+入力!$B$19,S567)</f>
        <v>360</v>
      </c>
      <c r="T568" s="35" t="str">
        <f t="shared" si="143"/>
        <v/>
      </c>
      <c r="U568" s="3">
        <f t="shared" si="128"/>
        <v>0</v>
      </c>
      <c r="V568" s="3">
        <f t="shared" si="129"/>
        <v>0</v>
      </c>
      <c r="W568" s="3">
        <f t="shared" si="130"/>
        <v>0</v>
      </c>
      <c r="X568" s="3">
        <f t="shared" si="131"/>
        <v>0</v>
      </c>
      <c r="Y568" s="3">
        <f>IF(A568&lt;入力!$B$15,ABS(G568-何もしない_月次!G568),0)</f>
        <v>0</v>
      </c>
      <c r="Z568" s="3">
        <f t="shared" si="132"/>
        <v>0</v>
      </c>
      <c r="AA568">
        <f>ROUND(IF(A568=入力!$B$15+1,IF(E568=0,ROUND(C568/入力!$B$19,0),ROUND(-PMT(E568/12,入力!$B$19,C568),0)),IF(OR(AND(入力!$B$13="有効",A568&gt;1,MOD(A568-1,60)=0),AND(A568=入力!$B$11,A568&gt;1)),IF(入力!$B$14="有効",MIN(IF(E568=0,ROUND(C568/MAX(1,S567-A568+1),0),ROUND(-PMT(E568/12,MAX(1,S567-A568+1),C568),0)),ROUND(G567*1.25,0)),IF(E568=0,ROUND(C568/MAX(1,S567-A568+1),0),ROUND(-PMT(E568/12,MAX(1,S567-A568+1),C568),0))),G567)),0)</f>
        <v>0</v>
      </c>
    </row>
    <row r="569" spans="1:27">
      <c r="A569" s="30">
        <f>564</f>
        <v>564</v>
      </c>
      <c r="B569" s="31">
        <f>EDATE(入力!$B$6,A569-1)</f>
        <v>63371</v>
      </c>
      <c r="C569" s="32">
        <f t="shared" si="133"/>
        <v>0</v>
      </c>
      <c r="D569" s="32">
        <f t="shared" si="134"/>
        <v>0</v>
      </c>
      <c r="E569" s="33">
        <f>IF(AND(T568="",A569&lt;=S568),IF(A569&lt;入力!$B$11,入力!$B$10,入力!$B$12),0)</f>
        <v>0</v>
      </c>
      <c r="F569" s="32">
        <f t="shared" si="135"/>
        <v>0</v>
      </c>
      <c r="G569" s="32">
        <f>ROUND(IF(NOT(AND(T568="",A569&lt;=S568)),0,IF(A569=入力!$B$15+1,IF(E569=0,ROUND(C569/入力!$B$19,0),ROUND(-PMT(E569/12,入力!$B$19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),0)</f>
        <v>0</v>
      </c>
      <c r="H569" s="32">
        <f t="shared" si="136"/>
        <v>0</v>
      </c>
      <c r="I569" s="32">
        <f t="shared" si="137"/>
        <v>0</v>
      </c>
      <c r="J569" s="32">
        <f t="shared" si="138"/>
        <v>0</v>
      </c>
      <c r="K569" s="32">
        <f t="shared" si="139"/>
        <v>0</v>
      </c>
      <c r="L569" s="32">
        <f t="shared" si="140"/>
        <v>0</v>
      </c>
      <c r="M569" s="32">
        <f>IF(AND(AND(T568="",A569&lt;=S568),A569=入力!$B$15),ROUND(MIN(入力!$B$16,MAX(0,C569-L569)),0),0)</f>
        <v>0</v>
      </c>
      <c r="N569" s="32">
        <f t="shared" si="141"/>
        <v>0</v>
      </c>
      <c r="O569" s="32">
        <f t="shared" si="142"/>
        <v>10751874</v>
      </c>
      <c r="P569" s="34" t="str">
        <f>IF(NOT(AND(T568="",A569&lt;=S568)),"",IF(A569=入力!$B$15+1,"繰上返済後再計算","")&amp;IF(AND(入力!$B$13="有効",A569&gt;1,MOD(A569-1,60)=0),IF(A569=入力!$B$15+1,"・","")&amp;"5年見直し","")&amp;IF(AND(A569=入力!$B$11,A569&gt;1),IF(OR(A569=入力!$B$15+1,AND(入力!$B$13="有効",A569&gt;1,MOD(A569-1,60)=0)),"・","")&amp;"金利変更","")&amp;IF(AND(OR(AND(入力!$B$13="有効",A569&gt;1,MOD(A569-1,60)=0),AND(A569=入力!$B$11,A569&gt;1)),入力!$B$14="有効",IF(E569=0,ROUND(C569/MAX(1,S568-A569+1),0),ROUND(-PMT(E569/12,MAX(1,S568-A569+1),C569),0))&gt;ROUND(G568*1.25,0),NOT(A569=入力!$B$15+1)),"・上限適用",""))</f>
        <v/>
      </c>
      <c r="Q569" s="35" t="str">
        <f>IF(AND(T568="",A569&lt;=S568),入力!$B$13,"")</f>
        <v/>
      </c>
      <c r="R569" s="32" t="str">
        <f>IF(AND(AND(T568="",A569&lt;=S568),OR(AND(入力!$B$13="有効",A569&gt;1,MOD(A569-1,60)=0),AND(A569=入力!$B$11,A569&gt;1)),入力!$B$14="有効"),ROUND(G568*1.25,0),"")</f>
        <v/>
      </c>
      <c r="S569" s="36">
        <f>IF(A569=入力!$B$15,A569+入力!$B$19,S568)</f>
        <v>360</v>
      </c>
      <c r="T569" s="35" t="str">
        <f t="shared" si="143"/>
        <v/>
      </c>
      <c r="U569" s="3">
        <f t="shared" si="128"/>
        <v>0</v>
      </c>
      <c r="V569" s="3">
        <f t="shared" si="129"/>
        <v>0</v>
      </c>
      <c r="W569" s="3">
        <f t="shared" si="130"/>
        <v>0</v>
      </c>
      <c r="X569" s="3">
        <f t="shared" si="131"/>
        <v>0</v>
      </c>
      <c r="Y569" s="3">
        <f>IF(A569&lt;入力!$B$15,ABS(G569-何もしない_月次!G569),0)</f>
        <v>0</v>
      </c>
      <c r="Z569" s="3">
        <f t="shared" si="132"/>
        <v>0</v>
      </c>
      <c r="AA569">
        <f>ROUND(IF(A569=入力!$B$15+1,IF(E569=0,ROUND(C569/入力!$B$19,0),ROUND(-PMT(E569/12,入力!$B$19,C569),0)),IF(OR(AND(入力!$B$13="有効",A569&gt;1,MOD(A569-1,60)=0),AND(A569=入力!$B$11,A569&gt;1)),IF(入力!$B$14="有効",MIN(IF(E569=0,ROUND(C569/MAX(1,S568-A569+1),0),ROUND(-PMT(E569/12,MAX(1,S568-A569+1),C569),0)),ROUND(G568*1.25,0)),IF(E569=0,ROUND(C569/MAX(1,S568-A569+1),0),ROUND(-PMT(E569/12,MAX(1,S568-A569+1),C569),0))),G568)),0)</f>
        <v>0</v>
      </c>
    </row>
    <row r="570" spans="1:27">
      <c r="A570" s="30">
        <f>565</f>
        <v>565</v>
      </c>
      <c r="B570" s="31">
        <f>EDATE(入力!$B$6,A570-1)</f>
        <v>63402</v>
      </c>
      <c r="C570" s="32">
        <f t="shared" si="133"/>
        <v>0</v>
      </c>
      <c r="D570" s="32">
        <f t="shared" si="134"/>
        <v>0</v>
      </c>
      <c r="E570" s="33">
        <f>IF(AND(T569="",A570&lt;=S569),IF(A570&lt;入力!$B$11,入力!$B$10,入力!$B$12),0)</f>
        <v>0</v>
      </c>
      <c r="F570" s="32">
        <f t="shared" si="135"/>
        <v>0</v>
      </c>
      <c r="G570" s="32">
        <f>ROUND(IF(NOT(AND(T569="",A570&lt;=S569)),0,IF(A570=入力!$B$15+1,IF(E570=0,ROUND(C570/入力!$B$19,0),ROUND(-PMT(E570/12,入力!$B$19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),0)</f>
        <v>0</v>
      </c>
      <c r="H570" s="32">
        <f t="shared" si="136"/>
        <v>0</v>
      </c>
      <c r="I570" s="32">
        <f t="shared" si="137"/>
        <v>0</v>
      </c>
      <c r="J570" s="32">
        <f t="shared" si="138"/>
        <v>0</v>
      </c>
      <c r="K570" s="32">
        <f t="shared" si="139"/>
        <v>0</v>
      </c>
      <c r="L570" s="32">
        <f t="shared" si="140"/>
        <v>0</v>
      </c>
      <c r="M570" s="32">
        <f>IF(AND(AND(T569="",A570&lt;=S569),A570=入力!$B$15),ROUND(MIN(入力!$B$16,MAX(0,C570-L570)),0),0)</f>
        <v>0</v>
      </c>
      <c r="N570" s="32">
        <f t="shared" si="141"/>
        <v>0</v>
      </c>
      <c r="O570" s="32">
        <f t="shared" si="142"/>
        <v>10751874</v>
      </c>
      <c r="P570" s="34" t="str">
        <f>IF(NOT(AND(T569="",A570&lt;=S569)),"",IF(A570=入力!$B$15+1,"繰上返済後再計算","")&amp;IF(AND(入力!$B$13="有効",A570&gt;1,MOD(A570-1,60)=0),IF(A570=入力!$B$15+1,"・","")&amp;"5年見直し","")&amp;IF(AND(A570=入力!$B$11,A570&gt;1),IF(OR(A570=入力!$B$15+1,AND(入力!$B$13="有効",A570&gt;1,MOD(A570-1,60)=0)),"・","")&amp;"金利変更","")&amp;IF(AND(OR(AND(入力!$B$13="有効",A570&gt;1,MOD(A570-1,60)=0),AND(A570=入力!$B$11,A570&gt;1)),入力!$B$14="有効",IF(E570=0,ROUND(C570/MAX(1,S569-A570+1),0),ROUND(-PMT(E570/12,MAX(1,S569-A570+1),C570),0))&gt;ROUND(G569*1.25,0),NOT(A570=入力!$B$15+1)),"・上限適用",""))</f>
        <v/>
      </c>
      <c r="Q570" s="35" t="str">
        <f>IF(AND(T569="",A570&lt;=S569),入力!$B$13,"")</f>
        <v/>
      </c>
      <c r="R570" s="32" t="str">
        <f>IF(AND(AND(T569="",A570&lt;=S569),OR(AND(入力!$B$13="有効",A570&gt;1,MOD(A570-1,60)=0),AND(A570=入力!$B$11,A570&gt;1)),入力!$B$14="有効"),ROUND(G569*1.25,0),"")</f>
        <v/>
      </c>
      <c r="S570" s="36">
        <f>IF(A570=入力!$B$15,A570+入力!$B$19,S569)</f>
        <v>360</v>
      </c>
      <c r="T570" s="35" t="str">
        <f t="shared" si="143"/>
        <v/>
      </c>
      <c r="U570" s="3">
        <f t="shared" si="128"/>
        <v>0</v>
      </c>
      <c r="V570" s="3">
        <f t="shared" si="129"/>
        <v>0</v>
      </c>
      <c r="W570" s="3">
        <f t="shared" si="130"/>
        <v>0</v>
      </c>
      <c r="X570" s="3">
        <f t="shared" si="131"/>
        <v>0</v>
      </c>
      <c r="Y570" s="3">
        <f>IF(A570&lt;入力!$B$15,ABS(G570-何もしない_月次!G570),0)</f>
        <v>0</v>
      </c>
      <c r="Z570" s="3">
        <f t="shared" si="132"/>
        <v>0</v>
      </c>
      <c r="AA570">
        <f>ROUND(IF(A570=入力!$B$15+1,IF(E570=0,ROUND(C570/入力!$B$19,0),ROUND(-PMT(E570/12,入力!$B$19,C570),0)),IF(OR(AND(入力!$B$13="有効",A570&gt;1,MOD(A570-1,60)=0),AND(A570=入力!$B$11,A570&gt;1)),IF(入力!$B$14="有効",MIN(IF(E570=0,ROUND(C570/MAX(1,S569-A570+1),0),ROUND(-PMT(E570/12,MAX(1,S569-A570+1),C570),0)),ROUND(G569*1.25,0)),IF(E570=0,ROUND(C570/MAX(1,S569-A570+1),0),ROUND(-PMT(E570/12,MAX(1,S569-A570+1),C570),0))),G569)),0)</f>
        <v>0</v>
      </c>
    </row>
    <row r="571" spans="1:27">
      <c r="A571" s="30">
        <f>566</f>
        <v>566</v>
      </c>
      <c r="B571" s="31">
        <f>EDATE(入力!$B$6,A571-1)</f>
        <v>63433</v>
      </c>
      <c r="C571" s="32">
        <f t="shared" si="133"/>
        <v>0</v>
      </c>
      <c r="D571" s="32">
        <f t="shared" si="134"/>
        <v>0</v>
      </c>
      <c r="E571" s="33">
        <f>IF(AND(T570="",A571&lt;=S570),IF(A571&lt;入力!$B$11,入力!$B$10,入力!$B$12),0)</f>
        <v>0</v>
      </c>
      <c r="F571" s="32">
        <f t="shared" si="135"/>
        <v>0</v>
      </c>
      <c r="G571" s="32">
        <f>ROUND(IF(NOT(AND(T570="",A571&lt;=S570)),0,IF(A571=入力!$B$15+1,IF(E571=0,ROUND(C571/入力!$B$19,0),ROUND(-PMT(E571/12,入力!$B$19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),0)</f>
        <v>0</v>
      </c>
      <c r="H571" s="32">
        <f t="shared" si="136"/>
        <v>0</v>
      </c>
      <c r="I571" s="32">
        <f t="shared" si="137"/>
        <v>0</v>
      </c>
      <c r="J571" s="32">
        <f t="shared" si="138"/>
        <v>0</v>
      </c>
      <c r="K571" s="32">
        <f t="shared" si="139"/>
        <v>0</v>
      </c>
      <c r="L571" s="32">
        <f t="shared" si="140"/>
        <v>0</v>
      </c>
      <c r="M571" s="32">
        <f>IF(AND(AND(T570="",A571&lt;=S570),A571=入力!$B$15),ROUND(MIN(入力!$B$16,MAX(0,C571-L571)),0),0)</f>
        <v>0</v>
      </c>
      <c r="N571" s="32">
        <f t="shared" si="141"/>
        <v>0</v>
      </c>
      <c r="O571" s="32">
        <f t="shared" si="142"/>
        <v>10751874</v>
      </c>
      <c r="P571" s="34" t="str">
        <f>IF(NOT(AND(T570="",A571&lt;=S570)),"",IF(A571=入力!$B$15+1,"繰上返済後再計算","")&amp;IF(AND(入力!$B$13="有効",A571&gt;1,MOD(A571-1,60)=0),IF(A571=入力!$B$15+1,"・","")&amp;"5年見直し","")&amp;IF(AND(A571=入力!$B$11,A571&gt;1),IF(OR(A571=入力!$B$15+1,AND(入力!$B$13="有効",A571&gt;1,MOD(A571-1,60)=0)),"・","")&amp;"金利変更","")&amp;IF(AND(OR(AND(入力!$B$13="有効",A571&gt;1,MOD(A571-1,60)=0),AND(A571=入力!$B$11,A571&gt;1)),入力!$B$14="有効",IF(E571=0,ROUND(C571/MAX(1,S570-A571+1),0),ROUND(-PMT(E571/12,MAX(1,S570-A571+1),C571),0))&gt;ROUND(G570*1.25,0),NOT(A571=入力!$B$15+1)),"・上限適用",""))</f>
        <v/>
      </c>
      <c r="Q571" s="35" t="str">
        <f>IF(AND(T570="",A571&lt;=S570),入力!$B$13,"")</f>
        <v/>
      </c>
      <c r="R571" s="32" t="str">
        <f>IF(AND(AND(T570="",A571&lt;=S570),OR(AND(入力!$B$13="有効",A571&gt;1,MOD(A571-1,60)=0),AND(A571=入力!$B$11,A571&gt;1)),入力!$B$14="有効"),ROUND(G570*1.25,0),"")</f>
        <v/>
      </c>
      <c r="S571" s="36">
        <f>IF(A571=入力!$B$15,A571+入力!$B$19,S570)</f>
        <v>360</v>
      </c>
      <c r="T571" s="35" t="str">
        <f t="shared" si="143"/>
        <v/>
      </c>
      <c r="U571" s="3">
        <f t="shared" si="128"/>
        <v>0</v>
      </c>
      <c r="V571" s="3">
        <f t="shared" si="129"/>
        <v>0</v>
      </c>
      <c r="W571" s="3">
        <f t="shared" si="130"/>
        <v>0</v>
      </c>
      <c r="X571" s="3">
        <f t="shared" si="131"/>
        <v>0</v>
      </c>
      <c r="Y571" s="3">
        <f>IF(A571&lt;入力!$B$15,ABS(G571-何もしない_月次!G571),0)</f>
        <v>0</v>
      </c>
      <c r="Z571" s="3">
        <f t="shared" si="132"/>
        <v>0</v>
      </c>
      <c r="AA571">
        <f>ROUND(IF(A571=入力!$B$15+1,IF(E571=0,ROUND(C571/入力!$B$19,0),ROUND(-PMT(E571/12,入力!$B$19,C571),0)),IF(OR(AND(入力!$B$13="有効",A571&gt;1,MOD(A571-1,60)=0),AND(A571=入力!$B$11,A571&gt;1)),IF(入力!$B$14="有効",MIN(IF(E571=0,ROUND(C571/MAX(1,S570-A571+1),0),ROUND(-PMT(E571/12,MAX(1,S570-A571+1),C571),0)),ROUND(G570*1.25,0)),IF(E571=0,ROUND(C571/MAX(1,S570-A571+1),0),ROUND(-PMT(E571/12,MAX(1,S570-A571+1),C571),0))),G570)),0)</f>
        <v>0</v>
      </c>
    </row>
    <row r="572" spans="1:27">
      <c r="A572" s="30">
        <f>567</f>
        <v>567</v>
      </c>
      <c r="B572" s="31">
        <f>EDATE(入力!$B$6,A572-1)</f>
        <v>63463</v>
      </c>
      <c r="C572" s="32">
        <f t="shared" si="133"/>
        <v>0</v>
      </c>
      <c r="D572" s="32">
        <f t="shared" si="134"/>
        <v>0</v>
      </c>
      <c r="E572" s="33">
        <f>IF(AND(T571="",A572&lt;=S571),IF(A572&lt;入力!$B$11,入力!$B$10,入力!$B$12),0)</f>
        <v>0</v>
      </c>
      <c r="F572" s="32">
        <f t="shared" si="135"/>
        <v>0</v>
      </c>
      <c r="G572" s="32">
        <f>ROUND(IF(NOT(AND(T571="",A572&lt;=S571)),0,IF(A572=入力!$B$15+1,IF(E572=0,ROUND(C572/入力!$B$19,0),ROUND(-PMT(E572/12,入力!$B$19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),0)</f>
        <v>0</v>
      </c>
      <c r="H572" s="32">
        <f t="shared" si="136"/>
        <v>0</v>
      </c>
      <c r="I572" s="32">
        <f t="shared" si="137"/>
        <v>0</v>
      </c>
      <c r="J572" s="32">
        <f t="shared" si="138"/>
        <v>0</v>
      </c>
      <c r="K572" s="32">
        <f t="shared" si="139"/>
        <v>0</v>
      </c>
      <c r="L572" s="32">
        <f t="shared" si="140"/>
        <v>0</v>
      </c>
      <c r="M572" s="32">
        <f>IF(AND(AND(T571="",A572&lt;=S571),A572=入力!$B$15),ROUND(MIN(入力!$B$16,MAX(0,C572-L572)),0),0)</f>
        <v>0</v>
      </c>
      <c r="N572" s="32">
        <f t="shared" si="141"/>
        <v>0</v>
      </c>
      <c r="O572" s="32">
        <f t="shared" si="142"/>
        <v>10751874</v>
      </c>
      <c r="P572" s="34" t="str">
        <f>IF(NOT(AND(T571="",A572&lt;=S571)),"",IF(A572=入力!$B$15+1,"繰上返済後再計算","")&amp;IF(AND(入力!$B$13="有効",A572&gt;1,MOD(A572-1,60)=0),IF(A572=入力!$B$15+1,"・","")&amp;"5年見直し","")&amp;IF(AND(A572=入力!$B$11,A572&gt;1),IF(OR(A572=入力!$B$15+1,AND(入力!$B$13="有効",A572&gt;1,MOD(A572-1,60)=0)),"・","")&amp;"金利変更","")&amp;IF(AND(OR(AND(入力!$B$13="有効",A572&gt;1,MOD(A572-1,60)=0),AND(A572=入力!$B$11,A572&gt;1)),入力!$B$14="有効",IF(E572=0,ROUND(C572/MAX(1,S571-A572+1),0),ROUND(-PMT(E572/12,MAX(1,S571-A572+1),C572),0))&gt;ROUND(G571*1.25,0),NOT(A572=入力!$B$15+1)),"・上限適用",""))</f>
        <v/>
      </c>
      <c r="Q572" s="35" t="str">
        <f>IF(AND(T571="",A572&lt;=S571),入力!$B$13,"")</f>
        <v/>
      </c>
      <c r="R572" s="32" t="str">
        <f>IF(AND(AND(T571="",A572&lt;=S571),OR(AND(入力!$B$13="有効",A572&gt;1,MOD(A572-1,60)=0),AND(A572=入力!$B$11,A572&gt;1)),入力!$B$14="有効"),ROUND(G571*1.25,0),"")</f>
        <v/>
      </c>
      <c r="S572" s="36">
        <f>IF(A572=入力!$B$15,A572+入力!$B$19,S571)</f>
        <v>360</v>
      </c>
      <c r="T572" s="35" t="str">
        <f t="shared" si="143"/>
        <v/>
      </c>
      <c r="U572" s="3">
        <f t="shared" si="128"/>
        <v>0</v>
      </c>
      <c r="V572" s="3">
        <f t="shared" si="129"/>
        <v>0</v>
      </c>
      <c r="W572" s="3">
        <f t="shared" si="130"/>
        <v>0</v>
      </c>
      <c r="X572" s="3">
        <f t="shared" si="131"/>
        <v>0</v>
      </c>
      <c r="Y572" s="3">
        <f>IF(A572&lt;入力!$B$15,ABS(G572-何もしない_月次!G572),0)</f>
        <v>0</v>
      </c>
      <c r="Z572" s="3">
        <f t="shared" si="132"/>
        <v>0</v>
      </c>
      <c r="AA572">
        <f>ROUND(IF(A572=入力!$B$15+1,IF(E572=0,ROUND(C572/入力!$B$19,0),ROUND(-PMT(E572/12,入力!$B$19,C572),0)),IF(OR(AND(入力!$B$13="有効",A572&gt;1,MOD(A572-1,60)=0),AND(A572=入力!$B$11,A572&gt;1)),IF(入力!$B$14="有効",MIN(IF(E572=0,ROUND(C572/MAX(1,S571-A572+1),0),ROUND(-PMT(E572/12,MAX(1,S571-A572+1),C572),0)),ROUND(G571*1.25,0)),IF(E572=0,ROUND(C572/MAX(1,S571-A572+1),0),ROUND(-PMT(E572/12,MAX(1,S571-A572+1),C572),0))),G571)),0)</f>
        <v>0</v>
      </c>
    </row>
    <row r="573" spans="1:27">
      <c r="A573" s="30">
        <f>568</f>
        <v>568</v>
      </c>
      <c r="B573" s="31">
        <f>EDATE(入力!$B$6,A573-1)</f>
        <v>63494</v>
      </c>
      <c r="C573" s="32">
        <f t="shared" si="133"/>
        <v>0</v>
      </c>
      <c r="D573" s="32">
        <f t="shared" si="134"/>
        <v>0</v>
      </c>
      <c r="E573" s="33">
        <f>IF(AND(T572="",A573&lt;=S572),IF(A573&lt;入力!$B$11,入力!$B$10,入力!$B$12),0)</f>
        <v>0</v>
      </c>
      <c r="F573" s="32">
        <f t="shared" si="135"/>
        <v>0</v>
      </c>
      <c r="G573" s="32">
        <f>ROUND(IF(NOT(AND(T572="",A573&lt;=S572)),0,IF(A573=入力!$B$15+1,IF(E573=0,ROUND(C573/入力!$B$19,0),ROUND(-PMT(E573/12,入力!$B$19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),0)</f>
        <v>0</v>
      </c>
      <c r="H573" s="32">
        <f t="shared" si="136"/>
        <v>0</v>
      </c>
      <c r="I573" s="32">
        <f t="shared" si="137"/>
        <v>0</v>
      </c>
      <c r="J573" s="32">
        <f t="shared" si="138"/>
        <v>0</v>
      </c>
      <c r="K573" s="32">
        <f t="shared" si="139"/>
        <v>0</v>
      </c>
      <c r="L573" s="32">
        <f t="shared" si="140"/>
        <v>0</v>
      </c>
      <c r="M573" s="32">
        <f>IF(AND(AND(T572="",A573&lt;=S572),A573=入力!$B$15),ROUND(MIN(入力!$B$16,MAX(0,C573-L573)),0),0)</f>
        <v>0</v>
      </c>
      <c r="N573" s="32">
        <f t="shared" si="141"/>
        <v>0</v>
      </c>
      <c r="O573" s="32">
        <f t="shared" si="142"/>
        <v>10751874</v>
      </c>
      <c r="P573" s="34" t="str">
        <f>IF(NOT(AND(T572="",A573&lt;=S572)),"",IF(A573=入力!$B$15+1,"繰上返済後再計算","")&amp;IF(AND(入力!$B$13="有効",A573&gt;1,MOD(A573-1,60)=0),IF(A573=入力!$B$15+1,"・","")&amp;"5年見直し","")&amp;IF(AND(A573=入力!$B$11,A573&gt;1),IF(OR(A573=入力!$B$15+1,AND(入力!$B$13="有効",A573&gt;1,MOD(A573-1,60)=0)),"・","")&amp;"金利変更","")&amp;IF(AND(OR(AND(入力!$B$13="有効",A573&gt;1,MOD(A573-1,60)=0),AND(A573=入力!$B$11,A573&gt;1)),入力!$B$14="有効",IF(E573=0,ROUND(C573/MAX(1,S572-A573+1),0),ROUND(-PMT(E573/12,MAX(1,S572-A573+1),C573),0))&gt;ROUND(G572*1.25,0),NOT(A573=入力!$B$15+1)),"・上限適用",""))</f>
        <v/>
      </c>
      <c r="Q573" s="35" t="str">
        <f>IF(AND(T572="",A573&lt;=S572),入力!$B$13,"")</f>
        <v/>
      </c>
      <c r="R573" s="32" t="str">
        <f>IF(AND(AND(T572="",A573&lt;=S572),OR(AND(入力!$B$13="有効",A573&gt;1,MOD(A573-1,60)=0),AND(A573=入力!$B$11,A573&gt;1)),入力!$B$14="有効"),ROUND(G572*1.25,0),"")</f>
        <v/>
      </c>
      <c r="S573" s="36">
        <f>IF(A573=入力!$B$15,A573+入力!$B$19,S572)</f>
        <v>360</v>
      </c>
      <c r="T573" s="35" t="str">
        <f t="shared" si="143"/>
        <v/>
      </c>
      <c r="U573" s="3">
        <f t="shared" si="128"/>
        <v>0</v>
      </c>
      <c r="V573" s="3">
        <f t="shared" si="129"/>
        <v>0</v>
      </c>
      <c r="W573" s="3">
        <f t="shared" si="130"/>
        <v>0</v>
      </c>
      <c r="X573" s="3">
        <f t="shared" si="131"/>
        <v>0</v>
      </c>
      <c r="Y573" s="3">
        <f>IF(A573&lt;入力!$B$15,ABS(G573-何もしない_月次!G573),0)</f>
        <v>0</v>
      </c>
      <c r="Z573" s="3">
        <f t="shared" si="132"/>
        <v>0</v>
      </c>
      <c r="AA573">
        <f>ROUND(IF(A573=入力!$B$15+1,IF(E573=0,ROUND(C573/入力!$B$19,0),ROUND(-PMT(E573/12,入力!$B$19,C573),0)),IF(OR(AND(入力!$B$13="有効",A573&gt;1,MOD(A573-1,60)=0),AND(A573=入力!$B$11,A573&gt;1)),IF(入力!$B$14="有効",MIN(IF(E573=0,ROUND(C573/MAX(1,S572-A573+1),0),ROUND(-PMT(E573/12,MAX(1,S572-A573+1),C573),0)),ROUND(G572*1.25,0)),IF(E573=0,ROUND(C573/MAX(1,S572-A573+1),0),ROUND(-PMT(E573/12,MAX(1,S572-A573+1),C573),0))),G572)),0)</f>
        <v>0</v>
      </c>
    </row>
    <row r="574" spans="1:27">
      <c r="A574" s="30">
        <f>569</f>
        <v>569</v>
      </c>
      <c r="B574" s="31">
        <f>EDATE(入力!$B$6,A574-1)</f>
        <v>63524</v>
      </c>
      <c r="C574" s="32">
        <f t="shared" si="133"/>
        <v>0</v>
      </c>
      <c r="D574" s="32">
        <f t="shared" si="134"/>
        <v>0</v>
      </c>
      <c r="E574" s="33">
        <f>IF(AND(T573="",A574&lt;=S573),IF(A574&lt;入力!$B$11,入力!$B$10,入力!$B$12),0)</f>
        <v>0</v>
      </c>
      <c r="F574" s="32">
        <f t="shared" si="135"/>
        <v>0</v>
      </c>
      <c r="G574" s="32">
        <f>ROUND(IF(NOT(AND(T573="",A574&lt;=S573)),0,IF(A574=入力!$B$15+1,IF(E574=0,ROUND(C574/入力!$B$19,0),ROUND(-PMT(E574/12,入力!$B$19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),0)</f>
        <v>0</v>
      </c>
      <c r="H574" s="32">
        <f t="shared" si="136"/>
        <v>0</v>
      </c>
      <c r="I574" s="32">
        <f t="shared" si="137"/>
        <v>0</v>
      </c>
      <c r="J574" s="32">
        <f t="shared" si="138"/>
        <v>0</v>
      </c>
      <c r="K574" s="32">
        <f t="shared" si="139"/>
        <v>0</v>
      </c>
      <c r="L574" s="32">
        <f t="shared" si="140"/>
        <v>0</v>
      </c>
      <c r="M574" s="32">
        <f>IF(AND(AND(T573="",A574&lt;=S573),A574=入力!$B$15),ROUND(MIN(入力!$B$16,MAX(0,C574-L574)),0),0)</f>
        <v>0</v>
      </c>
      <c r="N574" s="32">
        <f t="shared" si="141"/>
        <v>0</v>
      </c>
      <c r="O574" s="32">
        <f t="shared" si="142"/>
        <v>10751874</v>
      </c>
      <c r="P574" s="34" t="str">
        <f>IF(NOT(AND(T573="",A574&lt;=S573)),"",IF(A574=入力!$B$15+1,"繰上返済後再計算","")&amp;IF(AND(入力!$B$13="有効",A574&gt;1,MOD(A574-1,60)=0),IF(A574=入力!$B$15+1,"・","")&amp;"5年見直し","")&amp;IF(AND(A574=入力!$B$11,A574&gt;1),IF(OR(A574=入力!$B$15+1,AND(入力!$B$13="有効",A574&gt;1,MOD(A574-1,60)=0)),"・","")&amp;"金利変更","")&amp;IF(AND(OR(AND(入力!$B$13="有効",A574&gt;1,MOD(A574-1,60)=0),AND(A574=入力!$B$11,A574&gt;1)),入力!$B$14="有効",IF(E574=0,ROUND(C574/MAX(1,S573-A574+1),0),ROUND(-PMT(E574/12,MAX(1,S573-A574+1),C574),0))&gt;ROUND(G573*1.25,0),NOT(A574=入力!$B$15+1)),"・上限適用",""))</f>
        <v/>
      </c>
      <c r="Q574" s="35" t="str">
        <f>IF(AND(T573="",A574&lt;=S573),入力!$B$13,"")</f>
        <v/>
      </c>
      <c r="R574" s="32" t="str">
        <f>IF(AND(AND(T573="",A574&lt;=S573),OR(AND(入力!$B$13="有効",A574&gt;1,MOD(A574-1,60)=0),AND(A574=入力!$B$11,A574&gt;1)),入力!$B$14="有効"),ROUND(G573*1.25,0),"")</f>
        <v/>
      </c>
      <c r="S574" s="36">
        <f>IF(A574=入力!$B$15,A574+入力!$B$19,S573)</f>
        <v>360</v>
      </c>
      <c r="T574" s="35" t="str">
        <f t="shared" si="143"/>
        <v/>
      </c>
      <c r="U574" s="3">
        <f t="shared" si="128"/>
        <v>0</v>
      </c>
      <c r="V574" s="3">
        <f t="shared" si="129"/>
        <v>0</v>
      </c>
      <c r="W574" s="3">
        <f t="shared" si="130"/>
        <v>0</v>
      </c>
      <c r="X574" s="3">
        <f t="shared" si="131"/>
        <v>0</v>
      </c>
      <c r="Y574" s="3">
        <f>IF(A574&lt;入力!$B$15,ABS(G574-何もしない_月次!G574),0)</f>
        <v>0</v>
      </c>
      <c r="Z574" s="3">
        <f t="shared" si="132"/>
        <v>0</v>
      </c>
      <c r="AA574">
        <f>ROUND(IF(A574=入力!$B$15+1,IF(E574=0,ROUND(C574/入力!$B$19,0),ROUND(-PMT(E574/12,入力!$B$19,C574),0)),IF(OR(AND(入力!$B$13="有効",A574&gt;1,MOD(A574-1,60)=0),AND(A574=入力!$B$11,A574&gt;1)),IF(入力!$B$14="有効",MIN(IF(E574=0,ROUND(C574/MAX(1,S573-A574+1),0),ROUND(-PMT(E574/12,MAX(1,S573-A574+1),C574),0)),ROUND(G573*1.25,0)),IF(E574=0,ROUND(C574/MAX(1,S573-A574+1),0),ROUND(-PMT(E574/12,MAX(1,S573-A574+1),C574),0))),G573)),0)</f>
        <v>0</v>
      </c>
    </row>
    <row r="575" spans="1:27">
      <c r="A575" s="30">
        <f>570</f>
        <v>570</v>
      </c>
      <c r="B575" s="31">
        <f>EDATE(入力!$B$6,A575-1)</f>
        <v>63555</v>
      </c>
      <c r="C575" s="32">
        <f t="shared" si="133"/>
        <v>0</v>
      </c>
      <c r="D575" s="32">
        <f t="shared" si="134"/>
        <v>0</v>
      </c>
      <c r="E575" s="33">
        <f>IF(AND(T574="",A575&lt;=S574),IF(A575&lt;入力!$B$11,入力!$B$10,入力!$B$12),0)</f>
        <v>0</v>
      </c>
      <c r="F575" s="32">
        <f t="shared" si="135"/>
        <v>0</v>
      </c>
      <c r="G575" s="32">
        <f>ROUND(IF(NOT(AND(T574="",A575&lt;=S574)),0,IF(A575=入力!$B$15+1,IF(E575=0,ROUND(C575/入力!$B$19,0),ROUND(-PMT(E575/12,入力!$B$19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),0)</f>
        <v>0</v>
      </c>
      <c r="H575" s="32">
        <f t="shared" si="136"/>
        <v>0</v>
      </c>
      <c r="I575" s="32">
        <f t="shared" si="137"/>
        <v>0</v>
      </c>
      <c r="J575" s="32">
        <f t="shared" si="138"/>
        <v>0</v>
      </c>
      <c r="K575" s="32">
        <f t="shared" si="139"/>
        <v>0</v>
      </c>
      <c r="L575" s="32">
        <f t="shared" si="140"/>
        <v>0</v>
      </c>
      <c r="M575" s="32">
        <f>IF(AND(AND(T574="",A575&lt;=S574),A575=入力!$B$15),ROUND(MIN(入力!$B$16,MAX(0,C575-L575)),0),0)</f>
        <v>0</v>
      </c>
      <c r="N575" s="32">
        <f t="shared" si="141"/>
        <v>0</v>
      </c>
      <c r="O575" s="32">
        <f t="shared" si="142"/>
        <v>10751874</v>
      </c>
      <c r="P575" s="34" t="str">
        <f>IF(NOT(AND(T574="",A575&lt;=S574)),"",IF(A575=入力!$B$15+1,"繰上返済後再計算","")&amp;IF(AND(入力!$B$13="有効",A575&gt;1,MOD(A575-1,60)=0),IF(A575=入力!$B$15+1,"・","")&amp;"5年見直し","")&amp;IF(AND(A575=入力!$B$11,A575&gt;1),IF(OR(A575=入力!$B$15+1,AND(入力!$B$13="有効",A575&gt;1,MOD(A575-1,60)=0)),"・","")&amp;"金利変更","")&amp;IF(AND(OR(AND(入力!$B$13="有効",A575&gt;1,MOD(A575-1,60)=0),AND(A575=入力!$B$11,A575&gt;1)),入力!$B$14="有効",IF(E575=0,ROUND(C575/MAX(1,S574-A575+1),0),ROUND(-PMT(E575/12,MAX(1,S574-A575+1),C575),0))&gt;ROUND(G574*1.25,0),NOT(A575=入力!$B$15+1)),"・上限適用",""))</f>
        <v/>
      </c>
      <c r="Q575" s="35" t="str">
        <f>IF(AND(T574="",A575&lt;=S574),入力!$B$13,"")</f>
        <v/>
      </c>
      <c r="R575" s="32" t="str">
        <f>IF(AND(AND(T574="",A575&lt;=S574),OR(AND(入力!$B$13="有効",A575&gt;1,MOD(A575-1,60)=0),AND(A575=入力!$B$11,A575&gt;1)),入力!$B$14="有効"),ROUND(G574*1.25,0),"")</f>
        <v/>
      </c>
      <c r="S575" s="36">
        <f>IF(A575=入力!$B$15,A575+入力!$B$19,S574)</f>
        <v>360</v>
      </c>
      <c r="T575" s="35" t="str">
        <f t="shared" si="143"/>
        <v/>
      </c>
      <c r="U575" s="3">
        <f t="shared" si="128"/>
        <v>0</v>
      </c>
      <c r="V575" s="3">
        <f t="shared" si="129"/>
        <v>0</v>
      </c>
      <c r="W575" s="3">
        <f t="shared" si="130"/>
        <v>0</v>
      </c>
      <c r="X575" s="3">
        <f t="shared" si="131"/>
        <v>0</v>
      </c>
      <c r="Y575" s="3">
        <f>IF(A575&lt;入力!$B$15,ABS(G575-何もしない_月次!G575),0)</f>
        <v>0</v>
      </c>
      <c r="Z575" s="3">
        <f t="shared" si="132"/>
        <v>0</v>
      </c>
      <c r="AA575">
        <f>ROUND(IF(A575=入力!$B$15+1,IF(E575=0,ROUND(C575/入力!$B$19,0),ROUND(-PMT(E575/12,入力!$B$19,C575),0)),IF(OR(AND(入力!$B$13="有効",A575&gt;1,MOD(A575-1,60)=0),AND(A575=入力!$B$11,A575&gt;1)),IF(入力!$B$14="有効",MIN(IF(E575=0,ROUND(C575/MAX(1,S574-A575+1),0),ROUND(-PMT(E575/12,MAX(1,S574-A575+1),C575),0)),ROUND(G574*1.25,0)),IF(E575=0,ROUND(C575/MAX(1,S574-A575+1),0),ROUND(-PMT(E575/12,MAX(1,S574-A575+1),C575),0))),G574)),0)</f>
        <v>0</v>
      </c>
    </row>
    <row r="576" spans="1:27">
      <c r="A576" s="30">
        <f>571</f>
        <v>571</v>
      </c>
      <c r="B576" s="31">
        <f>EDATE(入力!$B$6,A576-1)</f>
        <v>63586</v>
      </c>
      <c r="C576" s="32">
        <f t="shared" si="133"/>
        <v>0</v>
      </c>
      <c r="D576" s="32">
        <f t="shared" si="134"/>
        <v>0</v>
      </c>
      <c r="E576" s="33">
        <f>IF(AND(T575="",A576&lt;=S575),IF(A576&lt;入力!$B$11,入力!$B$10,入力!$B$12),0)</f>
        <v>0</v>
      </c>
      <c r="F576" s="32">
        <f t="shared" si="135"/>
        <v>0</v>
      </c>
      <c r="G576" s="32">
        <f>ROUND(IF(NOT(AND(T575="",A576&lt;=S575)),0,IF(A576=入力!$B$15+1,IF(E576=0,ROUND(C576/入力!$B$19,0),ROUND(-PMT(E576/12,入力!$B$19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),0)</f>
        <v>0</v>
      </c>
      <c r="H576" s="32">
        <f t="shared" si="136"/>
        <v>0</v>
      </c>
      <c r="I576" s="32">
        <f t="shared" si="137"/>
        <v>0</v>
      </c>
      <c r="J576" s="32">
        <f t="shared" si="138"/>
        <v>0</v>
      </c>
      <c r="K576" s="32">
        <f t="shared" si="139"/>
        <v>0</v>
      </c>
      <c r="L576" s="32">
        <f t="shared" si="140"/>
        <v>0</v>
      </c>
      <c r="M576" s="32">
        <f>IF(AND(AND(T575="",A576&lt;=S575),A576=入力!$B$15),ROUND(MIN(入力!$B$16,MAX(0,C576-L576)),0),0)</f>
        <v>0</v>
      </c>
      <c r="N576" s="32">
        <f t="shared" si="141"/>
        <v>0</v>
      </c>
      <c r="O576" s="32">
        <f t="shared" si="142"/>
        <v>10751874</v>
      </c>
      <c r="P576" s="34" t="str">
        <f>IF(NOT(AND(T575="",A576&lt;=S575)),"",IF(A576=入力!$B$15+1,"繰上返済後再計算","")&amp;IF(AND(入力!$B$13="有効",A576&gt;1,MOD(A576-1,60)=0),IF(A576=入力!$B$15+1,"・","")&amp;"5年見直し","")&amp;IF(AND(A576=入力!$B$11,A576&gt;1),IF(OR(A576=入力!$B$15+1,AND(入力!$B$13="有効",A576&gt;1,MOD(A576-1,60)=0)),"・","")&amp;"金利変更","")&amp;IF(AND(OR(AND(入力!$B$13="有効",A576&gt;1,MOD(A576-1,60)=0),AND(A576=入力!$B$11,A576&gt;1)),入力!$B$14="有効",IF(E576=0,ROUND(C576/MAX(1,S575-A576+1),0),ROUND(-PMT(E576/12,MAX(1,S575-A576+1),C576),0))&gt;ROUND(G575*1.25,0),NOT(A576=入力!$B$15+1)),"・上限適用",""))</f>
        <v/>
      </c>
      <c r="Q576" s="35" t="str">
        <f>IF(AND(T575="",A576&lt;=S575),入力!$B$13,"")</f>
        <v/>
      </c>
      <c r="R576" s="32" t="str">
        <f>IF(AND(AND(T575="",A576&lt;=S575),OR(AND(入力!$B$13="有効",A576&gt;1,MOD(A576-1,60)=0),AND(A576=入力!$B$11,A576&gt;1)),入力!$B$14="有効"),ROUND(G575*1.25,0),"")</f>
        <v/>
      </c>
      <c r="S576" s="36">
        <f>IF(A576=入力!$B$15,A576+入力!$B$19,S575)</f>
        <v>360</v>
      </c>
      <c r="T576" s="35" t="str">
        <f t="shared" si="143"/>
        <v/>
      </c>
      <c r="U576" s="3">
        <f t="shared" si="128"/>
        <v>0</v>
      </c>
      <c r="V576" s="3">
        <f t="shared" si="129"/>
        <v>0</v>
      </c>
      <c r="W576" s="3">
        <f t="shared" si="130"/>
        <v>0</v>
      </c>
      <c r="X576" s="3">
        <f t="shared" si="131"/>
        <v>0</v>
      </c>
      <c r="Y576" s="3">
        <f>IF(A576&lt;入力!$B$15,ABS(G576-何もしない_月次!G576),0)</f>
        <v>0</v>
      </c>
      <c r="Z576" s="3">
        <f t="shared" si="132"/>
        <v>0</v>
      </c>
      <c r="AA576">
        <f>ROUND(IF(A576=入力!$B$15+1,IF(E576=0,ROUND(C576/入力!$B$19,0),ROUND(-PMT(E576/12,入力!$B$19,C576),0)),IF(OR(AND(入力!$B$13="有効",A576&gt;1,MOD(A576-1,60)=0),AND(A576=入力!$B$11,A576&gt;1)),IF(入力!$B$14="有効",MIN(IF(E576=0,ROUND(C576/MAX(1,S575-A576+1),0),ROUND(-PMT(E576/12,MAX(1,S575-A576+1),C576),0)),ROUND(G575*1.25,0)),IF(E576=0,ROUND(C576/MAX(1,S575-A576+1),0),ROUND(-PMT(E576/12,MAX(1,S575-A576+1),C576),0))),G575)),0)</f>
        <v>0</v>
      </c>
    </row>
    <row r="577" spans="1:27">
      <c r="A577" s="30">
        <f>572</f>
        <v>572</v>
      </c>
      <c r="B577" s="31">
        <f>EDATE(入力!$B$6,A577-1)</f>
        <v>63614</v>
      </c>
      <c r="C577" s="32">
        <f t="shared" si="133"/>
        <v>0</v>
      </c>
      <c r="D577" s="32">
        <f t="shared" si="134"/>
        <v>0</v>
      </c>
      <c r="E577" s="33">
        <f>IF(AND(T576="",A577&lt;=S576),IF(A577&lt;入力!$B$11,入力!$B$10,入力!$B$12),0)</f>
        <v>0</v>
      </c>
      <c r="F577" s="32">
        <f t="shared" si="135"/>
        <v>0</v>
      </c>
      <c r="G577" s="32">
        <f>ROUND(IF(NOT(AND(T576="",A577&lt;=S576)),0,IF(A577=入力!$B$15+1,IF(E577=0,ROUND(C577/入力!$B$19,0),ROUND(-PMT(E577/12,入力!$B$19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),0)</f>
        <v>0</v>
      </c>
      <c r="H577" s="32">
        <f t="shared" si="136"/>
        <v>0</v>
      </c>
      <c r="I577" s="32">
        <f t="shared" si="137"/>
        <v>0</v>
      </c>
      <c r="J577" s="32">
        <f t="shared" si="138"/>
        <v>0</v>
      </c>
      <c r="K577" s="32">
        <f t="shared" si="139"/>
        <v>0</v>
      </c>
      <c r="L577" s="32">
        <f t="shared" si="140"/>
        <v>0</v>
      </c>
      <c r="M577" s="32">
        <f>IF(AND(AND(T576="",A577&lt;=S576),A577=入力!$B$15),ROUND(MIN(入力!$B$16,MAX(0,C577-L577)),0),0)</f>
        <v>0</v>
      </c>
      <c r="N577" s="32">
        <f t="shared" si="141"/>
        <v>0</v>
      </c>
      <c r="O577" s="32">
        <f t="shared" si="142"/>
        <v>10751874</v>
      </c>
      <c r="P577" s="34" t="str">
        <f>IF(NOT(AND(T576="",A577&lt;=S576)),"",IF(A577=入力!$B$15+1,"繰上返済後再計算","")&amp;IF(AND(入力!$B$13="有効",A577&gt;1,MOD(A577-1,60)=0),IF(A577=入力!$B$15+1,"・","")&amp;"5年見直し","")&amp;IF(AND(A577=入力!$B$11,A577&gt;1),IF(OR(A577=入力!$B$15+1,AND(入力!$B$13="有効",A577&gt;1,MOD(A577-1,60)=0)),"・","")&amp;"金利変更","")&amp;IF(AND(OR(AND(入力!$B$13="有効",A577&gt;1,MOD(A577-1,60)=0),AND(A577=入力!$B$11,A577&gt;1)),入力!$B$14="有効",IF(E577=0,ROUND(C577/MAX(1,S576-A577+1),0),ROUND(-PMT(E577/12,MAX(1,S576-A577+1),C577),0))&gt;ROUND(G576*1.25,0),NOT(A577=入力!$B$15+1)),"・上限適用",""))</f>
        <v/>
      </c>
      <c r="Q577" s="35" t="str">
        <f>IF(AND(T576="",A577&lt;=S576),入力!$B$13,"")</f>
        <v/>
      </c>
      <c r="R577" s="32" t="str">
        <f>IF(AND(AND(T576="",A577&lt;=S576),OR(AND(入力!$B$13="有効",A577&gt;1,MOD(A577-1,60)=0),AND(A577=入力!$B$11,A577&gt;1)),入力!$B$14="有効"),ROUND(G576*1.25,0),"")</f>
        <v/>
      </c>
      <c r="S577" s="36">
        <f>IF(A577=入力!$B$15,A577+入力!$B$19,S576)</f>
        <v>360</v>
      </c>
      <c r="T577" s="35" t="str">
        <f t="shared" si="143"/>
        <v/>
      </c>
      <c r="U577" s="3">
        <f t="shared" si="128"/>
        <v>0</v>
      </c>
      <c r="V577" s="3">
        <f t="shared" si="129"/>
        <v>0</v>
      </c>
      <c r="W577" s="3">
        <f t="shared" si="130"/>
        <v>0</v>
      </c>
      <c r="X577" s="3">
        <f t="shared" si="131"/>
        <v>0</v>
      </c>
      <c r="Y577" s="3">
        <f>IF(A577&lt;入力!$B$15,ABS(G577-何もしない_月次!G577),0)</f>
        <v>0</v>
      </c>
      <c r="Z577" s="3">
        <f t="shared" si="132"/>
        <v>0</v>
      </c>
      <c r="AA577">
        <f>ROUND(IF(A577=入力!$B$15+1,IF(E577=0,ROUND(C577/入力!$B$19,0),ROUND(-PMT(E577/12,入力!$B$19,C577),0)),IF(OR(AND(入力!$B$13="有効",A577&gt;1,MOD(A577-1,60)=0),AND(A577=入力!$B$11,A577&gt;1)),IF(入力!$B$14="有効",MIN(IF(E577=0,ROUND(C577/MAX(1,S576-A577+1),0),ROUND(-PMT(E577/12,MAX(1,S576-A577+1),C577),0)),ROUND(G576*1.25,0)),IF(E577=0,ROUND(C577/MAX(1,S576-A577+1),0),ROUND(-PMT(E577/12,MAX(1,S576-A577+1),C577),0))),G576)),0)</f>
        <v>0</v>
      </c>
    </row>
    <row r="578" spans="1:27">
      <c r="A578" s="30">
        <f>573</f>
        <v>573</v>
      </c>
      <c r="B578" s="31">
        <f>EDATE(入力!$B$6,A578-1)</f>
        <v>63645</v>
      </c>
      <c r="C578" s="32">
        <f t="shared" si="133"/>
        <v>0</v>
      </c>
      <c r="D578" s="32">
        <f t="shared" si="134"/>
        <v>0</v>
      </c>
      <c r="E578" s="33">
        <f>IF(AND(T577="",A578&lt;=S577),IF(A578&lt;入力!$B$11,入力!$B$10,入力!$B$12),0)</f>
        <v>0</v>
      </c>
      <c r="F578" s="32">
        <f t="shared" si="135"/>
        <v>0</v>
      </c>
      <c r="G578" s="32">
        <f>ROUND(IF(NOT(AND(T577="",A578&lt;=S577)),0,IF(A578=入力!$B$15+1,IF(E578=0,ROUND(C578/入力!$B$19,0),ROUND(-PMT(E578/12,入力!$B$19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),0)</f>
        <v>0</v>
      </c>
      <c r="H578" s="32">
        <f t="shared" si="136"/>
        <v>0</v>
      </c>
      <c r="I578" s="32">
        <f t="shared" si="137"/>
        <v>0</v>
      </c>
      <c r="J578" s="32">
        <f t="shared" si="138"/>
        <v>0</v>
      </c>
      <c r="K578" s="32">
        <f t="shared" si="139"/>
        <v>0</v>
      </c>
      <c r="L578" s="32">
        <f t="shared" si="140"/>
        <v>0</v>
      </c>
      <c r="M578" s="32">
        <f>IF(AND(AND(T577="",A578&lt;=S577),A578=入力!$B$15),ROUND(MIN(入力!$B$16,MAX(0,C578-L578)),0),0)</f>
        <v>0</v>
      </c>
      <c r="N578" s="32">
        <f t="shared" si="141"/>
        <v>0</v>
      </c>
      <c r="O578" s="32">
        <f t="shared" si="142"/>
        <v>10751874</v>
      </c>
      <c r="P578" s="34" t="str">
        <f>IF(NOT(AND(T577="",A578&lt;=S577)),"",IF(A578=入力!$B$15+1,"繰上返済後再計算","")&amp;IF(AND(入力!$B$13="有効",A578&gt;1,MOD(A578-1,60)=0),IF(A578=入力!$B$15+1,"・","")&amp;"5年見直し","")&amp;IF(AND(A578=入力!$B$11,A578&gt;1),IF(OR(A578=入力!$B$15+1,AND(入力!$B$13="有効",A578&gt;1,MOD(A578-1,60)=0)),"・","")&amp;"金利変更","")&amp;IF(AND(OR(AND(入力!$B$13="有効",A578&gt;1,MOD(A578-1,60)=0),AND(A578=入力!$B$11,A578&gt;1)),入力!$B$14="有効",IF(E578=0,ROUND(C578/MAX(1,S577-A578+1),0),ROUND(-PMT(E578/12,MAX(1,S577-A578+1),C578),0))&gt;ROUND(G577*1.25,0),NOT(A578=入力!$B$15+1)),"・上限適用",""))</f>
        <v/>
      </c>
      <c r="Q578" s="35" t="str">
        <f>IF(AND(T577="",A578&lt;=S577),入力!$B$13,"")</f>
        <v/>
      </c>
      <c r="R578" s="32" t="str">
        <f>IF(AND(AND(T577="",A578&lt;=S577),OR(AND(入力!$B$13="有効",A578&gt;1,MOD(A578-1,60)=0),AND(A578=入力!$B$11,A578&gt;1)),入力!$B$14="有効"),ROUND(G577*1.25,0),"")</f>
        <v/>
      </c>
      <c r="S578" s="36">
        <f>IF(A578=入力!$B$15,A578+入力!$B$19,S577)</f>
        <v>360</v>
      </c>
      <c r="T578" s="35" t="str">
        <f t="shared" si="143"/>
        <v/>
      </c>
      <c r="U578" s="3">
        <f t="shared" si="128"/>
        <v>0</v>
      </c>
      <c r="V578" s="3">
        <f t="shared" si="129"/>
        <v>0</v>
      </c>
      <c r="W578" s="3">
        <f t="shared" si="130"/>
        <v>0</v>
      </c>
      <c r="X578" s="3">
        <f t="shared" si="131"/>
        <v>0</v>
      </c>
      <c r="Y578" s="3">
        <f>IF(A578&lt;入力!$B$15,ABS(G578-何もしない_月次!G578),0)</f>
        <v>0</v>
      </c>
      <c r="Z578" s="3">
        <f t="shared" si="132"/>
        <v>0</v>
      </c>
      <c r="AA578">
        <f>ROUND(IF(A578=入力!$B$15+1,IF(E578=0,ROUND(C578/入力!$B$19,0),ROUND(-PMT(E578/12,入力!$B$19,C578),0)),IF(OR(AND(入力!$B$13="有効",A578&gt;1,MOD(A578-1,60)=0),AND(A578=入力!$B$11,A578&gt;1)),IF(入力!$B$14="有効",MIN(IF(E578=0,ROUND(C578/MAX(1,S577-A578+1),0),ROUND(-PMT(E578/12,MAX(1,S577-A578+1),C578),0)),ROUND(G577*1.25,0)),IF(E578=0,ROUND(C578/MAX(1,S577-A578+1),0),ROUND(-PMT(E578/12,MAX(1,S577-A578+1),C578),0))),G577)),0)</f>
        <v>0</v>
      </c>
    </row>
    <row r="579" spans="1:27">
      <c r="A579" s="30">
        <f>574</f>
        <v>574</v>
      </c>
      <c r="B579" s="31">
        <f>EDATE(入力!$B$6,A579-1)</f>
        <v>63675</v>
      </c>
      <c r="C579" s="32">
        <f t="shared" si="133"/>
        <v>0</v>
      </c>
      <c r="D579" s="32">
        <f t="shared" si="134"/>
        <v>0</v>
      </c>
      <c r="E579" s="33">
        <f>IF(AND(T578="",A579&lt;=S578),IF(A579&lt;入力!$B$11,入力!$B$10,入力!$B$12),0)</f>
        <v>0</v>
      </c>
      <c r="F579" s="32">
        <f t="shared" si="135"/>
        <v>0</v>
      </c>
      <c r="G579" s="32">
        <f>ROUND(IF(NOT(AND(T578="",A579&lt;=S578)),0,IF(A579=入力!$B$15+1,IF(E579=0,ROUND(C579/入力!$B$19,0),ROUND(-PMT(E579/12,入力!$B$19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),0)</f>
        <v>0</v>
      </c>
      <c r="H579" s="32">
        <f t="shared" si="136"/>
        <v>0</v>
      </c>
      <c r="I579" s="32">
        <f t="shared" si="137"/>
        <v>0</v>
      </c>
      <c r="J579" s="32">
        <f t="shared" si="138"/>
        <v>0</v>
      </c>
      <c r="K579" s="32">
        <f t="shared" si="139"/>
        <v>0</v>
      </c>
      <c r="L579" s="32">
        <f t="shared" si="140"/>
        <v>0</v>
      </c>
      <c r="M579" s="32">
        <f>IF(AND(AND(T578="",A579&lt;=S578),A579=入力!$B$15),ROUND(MIN(入力!$B$16,MAX(0,C579-L579)),0),0)</f>
        <v>0</v>
      </c>
      <c r="N579" s="32">
        <f t="shared" si="141"/>
        <v>0</v>
      </c>
      <c r="O579" s="32">
        <f t="shared" si="142"/>
        <v>10751874</v>
      </c>
      <c r="P579" s="34" t="str">
        <f>IF(NOT(AND(T578="",A579&lt;=S578)),"",IF(A579=入力!$B$15+1,"繰上返済後再計算","")&amp;IF(AND(入力!$B$13="有効",A579&gt;1,MOD(A579-1,60)=0),IF(A579=入力!$B$15+1,"・","")&amp;"5年見直し","")&amp;IF(AND(A579=入力!$B$11,A579&gt;1),IF(OR(A579=入力!$B$15+1,AND(入力!$B$13="有効",A579&gt;1,MOD(A579-1,60)=0)),"・","")&amp;"金利変更","")&amp;IF(AND(OR(AND(入力!$B$13="有効",A579&gt;1,MOD(A579-1,60)=0),AND(A579=入力!$B$11,A579&gt;1)),入力!$B$14="有効",IF(E579=0,ROUND(C579/MAX(1,S578-A579+1),0),ROUND(-PMT(E579/12,MAX(1,S578-A579+1),C579),0))&gt;ROUND(G578*1.25,0),NOT(A579=入力!$B$15+1)),"・上限適用",""))</f>
        <v/>
      </c>
      <c r="Q579" s="35" t="str">
        <f>IF(AND(T578="",A579&lt;=S578),入力!$B$13,"")</f>
        <v/>
      </c>
      <c r="R579" s="32" t="str">
        <f>IF(AND(AND(T578="",A579&lt;=S578),OR(AND(入力!$B$13="有効",A579&gt;1,MOD(A579-1,60)=0),AND(A579=入力!$B$11,A579&gt;1)),入力!$B$14="有効"),ROUND(G578*1.25,0),"")</f>
        <v/>
      </c>
      <c r="S579" s="36">
        <f>IF(A579=入力!$B$15,A579+入力!$B$19,S578)</f>
        <v>360</v>
      </c>
      <c r="T579" s="35" t="str">
        <f t="shared" si="143"/>
        <v/>
      </c>
      <c r="U579" s="3">
        <f t="shared" si="128"/>
        <v>0</v>
      </c>
      <c r="V579" s="3">
        <f t="shared" si="129"/>
        <v>0</v>
      </c>
      <c r="W579" s="3">
        <f t="shared" si="130"/>
        <v>0</v>
      </c>
      <c r="X579" s="3">
        <f t="shared" si="131"/>
        <v>0</v>
      </c>
      <c r="Y579" s="3">
        <f>IF(A579&lt;入力!$B$15,ABS(G579-何もしない_月次!G579),0)</f>
        <v>0</v>
      </c>
      <c r="Z579" s="3">
        <f t="shared" si="132"/>
        <v>0</v>
      </c>
      <c r="AA579">
        <f>ROUND(IF(A579=入力!$B$15+1,IF(E579=0,ROUND(C579/入力!$B$19,0),ROUND(-PMT(E579/12,入力!$B$19,C579),0)),IF(OR(AND(入力!$B$13="有効",A579&gt;1,MOD(A579-1,60)=0),AND(A579=入力!$B$11,A579&gt;1)),IF(入力!$B$14="有効",MIN(IF(E579=0,ROUND(C579/MAX(1,S578-A579+1),0),ROUND(-PMT(E579/12,MAX(1,S578-A579+1),C579),0)),ROUND(G578*1.25,0)),IF(E579=0,ROUND(C579/MAX(1,S578-A579+1),0),ROUND(-PMT(E579/12,MAX(1,S578-A579+1),C579),0))),G578)),0)</f>
        <v>0</v>
      </c>
    </row>
    <row r="580" spans="1:27">
      <c r="A580" s="30">
        <f>575</f>
        <v>575</v>
      </c>
      <c r="B580" s="31">
        <f>EDATE(入力!$B$6,A580-1)</f>
        <v>63706</v>
      </c>
      <c r="C580" s="32">
        <f t="shared" si="133"/>
        <v>0</v>
      </c>
      <c r="D580" s="32">
        <f t="shared" si="134"/>
        <v>0</v>
      </c>
      <c r="E580" s="33">
        <f>IF(AND(T579="",A580&lt;=S579),IF(A580&lt;入力!$B$11,入力!$B$10,入力!$B$12),0)</f>
        <v>0</v>
      </c>
      <c r="F580" s="32">
        <f t="shared" si="135"/>
        <v>0</v>
      </c>
      <c r="G580" s="32">
        <f>ROUND(IF(NOT(AND(T579="",A580&lt;=S579)),0,IF(A580=入力!$B$15+1,IF(E580=0,ROUND(C580/入力!$B$19,0),ROUND(-PMT(E580/12,入力!$B$19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),0)</f>
        <v>0</v>
      </c>
      <c r="H580" s="32">
        <f t="shared" si="136"/>
        <v>0</v>
      </c>
      <c r="I580" s="32">
        <f t="shared" si="137"/>
        <v>0</v>
      </c>
      <c r="J580" s="32">
        <f t="shared" si="138"/>
        <v>0</v>
      </c>
      <c r="K580" s="32">
        <f t="shared" si="139"/>
        <v>0</v>
      </c>
      <c r="L580" s="32">
        <f t="shared" si="140"/>
        <v>0</v>
      </c>
      <c r="M580" s="32">
        <f>IF(AND(AND(T579="",A580&lt;=S579),A580=入力!$B$15),ROUND(MIN(入力!$B$16,MAX(0,C580-L580)),0),0)</f>
        <v>0</v>
      </c>
      <c r="N580" s="32">
        <f t="shared" si="141"/>
        <v>0</v>
      </c>
      <c r="O580" s="32">
        <f t="shared" si="142"/>
        <v>10751874</v>
      </c>
      <c r="P580" s="34" t="str">
        <f>IF(NOT(AND(T579="",A580&lt;=S579)),"",IF(A580=入力!$B$15+1,"繰上返済後再計算","")&amp;IF(AND(入力!$B$13="有効",A580&gt;1,MOD(A580-1,60)=0),IF(A580=入力!$B$15+1,"・","")&amp;"5年見直し","")&amp;IF(AND(A580=入力!$B$11,A580&gt;1),IF(OR(A580=入力!$B$15+1,AND(入力!$B$13="有効",A580&gt;1,MOD(A580-1,60)=0)),"・","")&amp;"金利変更","")&amp;IF(AND(OR(AND(入力!$B$13="有効",A580&gt;1,MOD(A580-1,60)=0),AND(A580=入力!$B$11,A580&gt;1)),入力!$B$14="有効",IF(E580=0,ROUND(C580/MAX(1,S579-A580+1),0),ROUND(-PMT(E580/12,MAX(1,S579-A580+1),C580),0))&gt;ROUND(G579*1.25,0),NOT(A580=入力!$B$15+1)),"・上限適用",""))</f>
        <v/>
      </c>
      <c r="Q580" s="35" t="str">
        <f>IF(AND(T579="",A580&lt;=S579),入力!$B$13,"")</f>
        <v/>
      </c>
      <c r="R580" s="32" t="str">
        <f>IF(AND(AND(T579="",A580&lt;=S579),OR(AND(入力!$B$13="有効",A580&gt;1,MOD(A580-1,60)=0),AND(A580=入力!$B$11,A580&gt;1)),入力!$B$14="有効"),ROUND(G579*1.25,0),"")</f>
        <v/>
      </c>
      <c r="S580" s="36">
        <f>IF(A580=入力!$B$15,A580+入力!$B$19,S579)</f>
        <v>360</v>
      </c>
      <c r="T580" s="35" t="str">
        <f t="shared" si="143"/>
        <v/>
      </c>
      <c r="U580" s="3">
        <f t="shared" si="128"/>
        <v>0</v>
      </c>
      <c r="V580" s="3">
        <f t="shared" si="129"/>
        <v>0</v>
      </c>
      <c r="W580" s="3">
        <f t="shared" si="130"/>
        <v>0</v>
      </c>
      <c r="X580" s="3">
        <f t="shared" si="131"/>
        <v>0</v>
      </c>
      <c r="Y580" s="3">
        <f>IF(A580&lt;入力!$B$15,ABS(G580-何もしない_月次!G580),0)</f>
        <v>0</v>
      </c>
      <c r="Z580" s="3">
        <f t="shared" si="132"/>
        <v>0</v>
      </c>
      <c r="AA580">
        <f>ROUND(IF(A580=入力!$B$15+1,IF(E580=0,ROUND(C580/入力!$B$19,0),ROUND(-PMT(E580/12,入力!$B$19,C580),0)),IF(OR(AND(入力!$B$13="有効",A580&gt;1,MOD(A580-1,60)=0),AND(A580=入力!$B$11,A580&gt;1)),IF(入力!$B$14="有効",MIN(IF(E580=0,ROUND(C580/MAX(1,S579-A580+1),0),ROUND(-PMT(E580/12,MAX(1,S579-A580+1),C580),0)),ROUND(G579*1.25,0)),IF(E580=0,ROUND(C580/MAX(1,S579-A580+1),0),ROUND(-PMT(E580/12,MAX(1,S579-A580+1),C580),0))),G579)),0)</f>
        <v>0</v>
      </c>
    </row>
    <row r="581" spans="1:27">
      <c r="A581" s="30">
        <f>576</f>
        <v>576</v>
      </c>
      <c r="B581" s="31">
        <f>EDATE(入力!$B$6,A581-1)</f>
        <v>63736</v>
      </c>
      <c r="C581" s="32">
        <f t="shared" si="133"/>
        <v>0</v>
      </c>
      <c r="D581" s="32">
        <f t="shared" si="134"/>
        <v>0</v>
      </c>
      <c r="E581" s="33">
        <f>IF(AND(T580="",A581&lt;=S580),IF(A581&lt;入力!$B$11,入力!$B$10,入力!$B$12),0)</f>
        <v>0</v>
      </c>
      <c r="F581" s="32">
        <f t="shared" si="135"/>
        <v>0</v>
      </c>
      <c r="G581" s="32">
        <f>ROUND(IF(NOT(AND(T580="",A581&lt;=S580)),0,IF(A581=入力!$B$15+1,IF(E581=0,ROUND(C581/入力!$B$19,0),ROUND(-PMT(E581/12,入力!$B$19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),0)</f>
        <v>0</v>
      </c>
      <c r="H581" s="32">
        <f t="shared" si="136"/>
        <v>0</v>
      </c>
      <c r="I581" s="32">
        <f t="shared" si="137"/>
        <v>0</v>
      </c>
      <c r="J581" s="32">
        <f t="shared" si="138"/>
        <v>0</v>
      </c>
      <c r="K581" s="32">
        <f t="shared" si="139"/>
        <v>0</v>
      </c>
      <c r="L581" s="32">
        <f t="shared" si="140"/>
        <v>0</v>
      </c>
      <c r="M581" s="32">
        <f>IF(AND(AND(T580="",A581&lt;=S580),A581=入力!$B$15),ROUND(MIN(入力!$B$16,MAX(0,C581-L581)),0),0)</f>
        <v>0</v>
      </c>
      <c r="N581" s="32">
        <f t="shared" si="141"/>
        <v>0</v>
      </c>
      <c r="O581" s="32">
        <f t="shared" si="142"/>
        <v>10751874</v>
      </c>
      <c r="P581" s="34" t="str">
        <f>IF(NOT(AND(T580="",A581&lt;=S580)),"",IF(A581=入力!$B$15+1,"繰上返済後再計算","")&amp;IF(AND(入力!$B$13="有効",A581&gt;1,MOD(A581-1,60)=0),IF(A581=入力!$B$15+1,"・","")&amp;"5年見直し","")&amp;IF(AND(A581=入力!$B$11,A581&gt;1),IF(OR(A581=入力!$B$15+1,AND(入力!$B$13="有効",A581&gt;1,MOD(A581-1,60)=0)),"・","")&amp;"金利変更","")&amp;IF(AND(OR(AND(入力!$B$13="有効",A581&gt;1,MOD(A581-1,60)=0),AND(A581=入力!$B$11,A581&gt;1)),入力!$B$14="有効",IF(E581=0,ROUND(C581/MAX(1,S580-A581+1),0),ROUND(-PMT(E581/12,MAX(1,S580-A581+1),C581),0))&gt;ROUND(G580*1.25,0),NOT(A581=入力!$B$15+1)),"・上限適用",""))</f>
        <v/>
      </c>
      <c r="Q581" s="35" t="str">
        <f>IF(AND(T580="",A581&lt;=S580),入力!$B$13,"")</f>
        <v/>
      </c>
      <c r="R581" s="32" t="str">
        <f>IF(AND(AND(T580="",A581&lt;=S580),OR(AND(入力!$B$13="有効",A581&gt;1,MOD(A581-1,60)=0),AND(A581=入力!$B$11,A581&gt;1)),入力!$B$14="有効"),ROUND(G580*1.25,0),"")</f>
        <v/>
      </c>
      <c r="S581" s="36">
        <f>IF(A581=入力!$B$15,A581+入力!$B$19,S580)</f>
        <v>360</v>
      </c>
      <c r="T581" s="35" t="str">
        <f t="shared" si="143"/>
        <v/>
      </c>
      <c r="U581" s="3">
        <f t="shared" si="128"/>
        <v>0</v>
      </c>
      <c r="V581" s="3">
        <f t="shared" si="129"/>
        <v>0</v>
      </c>
      <c r="W581" s="3">
        <f t="shared" si="130"/>
        <v>0</v>
      </c>
      <c r="X581" s="3">
        <f t="shared" si="131"/>
        <v>0</v>
      </c>
      <c r="Y581" s="3">
        <f>IF(A581&lt;入力!$B$15,ABS(G581-何もしない_月次!G581),0)</f>
        <v>0</v>
      </c>
      <c r="Z581" s="3">
        <f t="shared" si="132"/>
        <v>0</v>
      </c>
      <c r="AA581">
        <f>ROUND(IF(A581=入力!$B$15+1,IF(E581=0,ROUND(C581/入力!$B$19,0),ROUND(-PMT(E581/12,入力!$B$19,C581),0)),IF(OR(AND(入力!$B$13="有効",A581&gt;1,MOD(A581-1,60)=0),AND(A581=入力!$B$11,A581&gt;1)),IF(入力!$B$14="有効",MIN(IF(E581=0,ROUND(C581/MAX(1,S580-A581+1),0),ROUND(-PMT(E581/12,MAX(1,S580-A581+1),C581),0)),ROUND(G580*1.25,0)),IF(E581=0,ROUND(C581/MAX(1,S580-A581+1),0),ROUND(-PMT(E581/12,MAX(1,S580-A581+1),C581),0))),G580)),0)</f>
        <v>0</v>
      </c>
    </row>
    <row r="582" spans="1:27">
      <c r="A582" s="30">
        <f>577</f>
        <v>577</v>
      </c>
      <c r="B582" s="31">
        <f>EDATE(入力!$B$6,A582-1)</f>
        <v>63767</v>
      </c>
      <c r="C582" s="32">
        <f t="shared" si="133"/>
        <v>0</v>
      </c>
      <c r="D582" s="32">
        <f t="shared" si="134"/>
        <v>0</v>
      </c>
      <c r="E582" s="33">
        <f>IF(AND(T581="",A582&lt;=S581),IF(A582&lt;入力!$B$11,入力!$B$10,入力!$B$12),0)</f>
        <v>0</v>
      </c>
      <c r="F582" s="32">
        <f t="shared" si="135"/>
        <v>0</v>
      </c>
      <c r="G582" s="32">
        <f>ROUND(IF(NOT(AND(T581="",A582&lt;=S581)),0,IF(A582=入力!$B$15+1,IF(E582=0,ROUND(C582/入力!$B$19,0),ROUND(-PMT(E582/12,入力!$B$19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),0)</f>
        <v>0</v>
      </c>
      <c r="H582" s="32">
        <f t="shared" si="136"/>
        <v>0</v>
      </c>
      <c r="I582" s="32">
        <f t="shared" si="137"/>
        <v>0</v>
      </c>
      <c r="J582" s="32">
        <f t="shared" si="138"/>
        <v>0</v>
      </c>
      <c r="K582" s="32">
        <f t="shared" si="139"/>
        <v>0</v>
      </c>
      <c r="L582" s="32">
        <f t="shared" si="140"/>
        <v>0</v>
      </c>
      <c r="M582" s="32">
        <f>IF(AND(AND(T581="",A582&lt;=S581),A582=入力!$B$15),ROUND(MIN(入力!$B$16,MAX(0,C582-L582)),0),0)</f>
        <v>0</v>
      </c>
      <c r="N582" s="32">
        <f t="shared" si="141"/>
        <v>0</v>
      </c>
      <c r="O582" s="32">
        <f t="shared" si="142"/>
        <v>10751874</v>
      </c>
      <c r="P582" s="34" t="str">
        <f>IF(NOT(AND(T581="",A582&lt;=S581)),"",IF(A582=入力!$B$15+1,"繰上返済後再計算","")&amp;IF(AND(入力!$B$13="有効",A582&gt;1,MOD(A582-1,60)=0),IF(A582=入力!$B$15+1,"・","")&amp;"5年見直し","")&amp;IF(AND(A582=入力!$B$11,A582&gt;1),IF(OR(A582=入力!$B$15+1,AND(入力!$B$13="有効",A582&gt;1,MOD(A582-1,60)=0)),"・","")&amp;"金利変更","")&amp;IF(AND(OR(AND(入力!$B$13="有効",A582&gt;1,MOD(A582-1,60)=0),AND(A582=入力!$B$11,A582&gt;1)),入力!$B$14="有効",IF(E582=0,ROUND(C582/MAX(1,S581-A582+1),0),ROUND(-PMT(E582/12,MAX(1,S581-A582+1),C582),0))&gt;ROUND(G581*1.25,0),NOT(A582=入力!$B$15+1)),"・上限適用",""))</f>
        <v/>
      </c>
      <c r="Q582" s="35" t="str">
        <f>IF(AND(T581="",A582&lt;=S581),入力!$B$13,"")</f>
        <v/>
      </c>
      <c r="R582" s="32" t="str">
        <f>IF(AND(AND(T581="",A582&lt;=S581),OR(AND(入力!$B$13="有効",A582&gt;1,MOD(A582-1,60)=0),AND(A582=入力!$B$11,A582&gt;1)),入力!$B$14="有効"),ROUND(G581*1.25,0),"")</f>
        <v/>
      </c>
      <c r="S582" s="36">
        <f>IF(A582=入力!$B$15,A582+入力!$B$19,S581)</f>
        <v>360</v>
      </c>
      <c r="T582" s="35" t="str">
        <f t="shared" si="143"/>
        <v/>
      </c>
      <c r="U582" s="3">
        <f t="shared" ref="U582:U605" si="144">ABS(I582-MIN(H582,D582+F582))</f>
        <v>0</v>
      </c>
      <c r="V582" s="3">
        <f t="shared" ref="V582:V605" si="145">ABS(L582-(H582-I582))</f>
        <v>0</v>
      </c>
      <c r="W582" s="3">
        <f t="shared" ref="W582:W605" si="146">ABS(K582-(D582+J582))</f>
        <v>0</v>
      </c>
      <c r="X582" s="3">
        <f t="shared" ref="X582:X605" si="147">ABS(F582-ROUND(F582,0))+ABS(G582-ROUND(G582,0))+ABS(H582-ROUND(H582,0))+ABS(I582-ROUND(I582,0))+ABS(J582-ROUND(J582,0))+ABS(K582-ROUND(K582,0))+ABS(L582-ROUND(L582,0))+ABS(M582-ROUND(M582,0))+ABS(N582-ROUND(N582,0))+ABS(O582-ROUND(O582,0))</f>
        <v>0</v>
      </c>
      <c r="Y582" s="3">
        <f>IF(A582&lt;入力!$B$15,ABS(G582-何もしない_月次!G582),0)</f>
        <v>0</v>
      </c>
      <c r="Z582" s="3">
        <f t="shared" ref="Z582:Z605" si="148">SUM(--ISERROR(A582),--ISERROR(B582),--ISERROR(C582),--ISERROR(D582),--ISERROR(E582),--ISERROR(F582),--ISERROR(G582),--ISERROR(H582),--ISERROR(I582),--ISERROR(J582),--ISERROR(K582),--ISERROR(L582),--ISERROR(M582),--ISERROR(N582),--ISERROR(O582),--ISERROR(P582),--ISERROR(Q582),--ISERROR(R582),--ISERROR(S582),--ISERROR(T582))</f>
        <v>0</v>
      </c>
      <c r="AA582">
        <f>ROUND(IF(A582=入力!$B$15+1,IF(E582=0,ROUND(C582/入力!$B$19,0),ROUND(-PMT(E582/12,入力!$B$19,C582),0)),IF(OR(AND(入力!$B$13="有効",A582&gt;1,MOD(A582-1,60)=0),AND(A582=入力!$B$11,A582&gt;1)),IF(入力!$B$14="有効",MIN(IF(E582=0,ROUND(C582/MAX(1,S581-A582+1),0),ROUND(-PMT(E582/12,MAX(1,S581-A582+1),C582),0)),ROUND(G581*1.25,0)),IF(E582=0,ROUND(C582/MAX(1,S581-A582+1),0),ROUND(-PMT(E582/12,MAX(1,S581-A582+1),C582),0))),G581)),0)</f>
        <v>0</v>
      </c>
    </row>
    <row r="583" spans="1:27">
      <c r="A583" s="30">
        <f>578</f>
        <v>578</v>
      </c>
      <c r="B583" s="31">
        <f>EDATE(入力!$B$6,A583-1)</f>
        <v>63798</v>
      </c>
      <c r="C583" s="32">
        <f t="shared" ref="C583:C605" si="149">IF(AND(T582="",A583&lt;=S582),N582,0)</f>
        <v>0</v>
      </c>
      <c r="D583" s="32">
        <f t="shared" ref="D583:D605" si="150">IF(AND(T582="",A583&lt;=S582),K582,0)</f>
        <v>0</v>
      </c>
      <c r="E583" s="33">
        <f>IF(AND(T582="",A583&lt;=S582),IF(A583&lt;入力!$B$11,入力!$B$10,入力!$B$12),0)</f>
        <v>0</v>
      </c>
      <c r="F583" s="32">
        <f t="shared" ref="F583:F646" si="151">IF(AND(T582="",A583&lt;=S582),ROUND(C583*E583/12,0),0)</f>
        <v>0</v>
      </c>
      <c r="G583" s="32">
        <f>ROUND(IF(NOT(AND(T582="",A583&lt;=S582)),0,IF(A583=入力!$B$15+1,IF(E583=0,ROUND(C583/入力!$B$19,0),ROUND(-PMT(E583/12,入力!$B$19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),0)</f>
        <v>0</v>
      </c>
      <c r="H583" s="32">
        <f t="shared" ref="H583:H646" si="152">IF(AND(T582="",A583&lt;=S582),ROUND(MIN(G583,C583+D583+F583),0),0)</f>
        <v>0</v>
      </c>
      <c r="I583" s="32">
        <f t="shared" ref="I583:I646" si="153">IF(AND(T582="",A583&lt;=S582),ROUND(MIN(H583,D583+F583),0),0)</f>
        <v>0</v>
      </c>
      <c r="J583" s="32">
        <f t="shared" ref="J583:J646" si="154">IF(AND(T582="",A583&lt;=S582),ROUND(F583-I583,0),0)</f>
        <v>0</v>
      </c>
      <c r="K583" s="32">
        <f t="shared" ref="K583:K646" si="155">IF(AND(T582="",A583&lt;=S582),ROUND(D583+J583,0),0)</f>
        <v>0</v>
      </c>
      <c r="L583" s="32">
        <f t="shared" ref="L583:L605" si="156">IF(AND(T582="",A583&lt;=S582),ROUND(H583-I583,0),0)</f>
        <v>0</v>
      </c>
      <c r="M583" s="32">
        <f>IF(AND(AND(T582="",A583&lt;=S582),A583=入力!$B$15),ROUND(MIN(入力!$B$16,MAX(0,C583-L583)),0),0)</f>
        <v>0</v>
      </c>
      <c r="N583" s="32">
        <f t="shared" ref="N583:N646" si="157">IF(AND(T582="",A583&lt;=S582),ROUND(MAX(0,C583-L583-M583),0),0)</f>
        <v>0</v>
      </c>
      <c r="O583" s="32">
        <f t="shared" ref="O583:O605" si="158">IF(AND(T582="",A583&lt;=S582),ROUND(O582+F583,0),O582)</f>
        <v>10751874</v>
      </c>
      <c r="P583" s="34" t="str">
        <f>IF(NOT(AND(T582="",A583&lt;=S582)),"",IF(A583=入力!$B$15+1,"繰上返済後再計算","")&amp;IF(AND(入力!$B$13="有効",A583&gt;1,MOD(A583-1,60)=0),IF(A583=入力!$B$15+1,"・","")&amp;"5年見直し","")&amp;IF(AND(A583=入力!$B$11,A583&gt;1),IF(OR(A583=入力!$B$15+1,AND(入力!$B$13="有効",A583&gt;1,MOD(A583-1,60)=0)),"・","")&amp;"金利変更","")&amp;IF(AND(OR(AND(入力!$B$13="有効",A583&gt;1,MOD(A583-1,60)=0),AND(A583=入力!$B$11,A583&gt;1)),入力!$B$14="有効",IF(E583=0,ROUND(C583/MAX(1,S582-A583+1),0),ROUND(-PMT(E583/12,MAX(1,S582-A583+1),C583),0))&gt;ROUND(G582*1.25,0),NOT(A583=入力!$B$15+1)),"・上限適用",""))</f>
        <v/>
      </c>
      <c r="Q583" s="35" t="str">
        <f>IF(AND(T582="",A583&lt;=S582),入力!$B$13,"")</f>
        <v/>
      </c>
      <c r="R583" s="32" t="str">
        <f>IF(AND(AND(T582="",A583&lt;=S582),OR(AND(入力!$B$13="有効",A583&gt;1,MOD(A583-1,60)=0),AND(A583=入力!$B$11,A583&gt;1)),入力!$B$14="有効"),ROUND(G582*1.25,0),"")</f>
        <v/>
      </c>
      <c r="S583" s="36">
        <f>IF(A583=入力!$B$15,A583+入力!$B$19,S582)</f>
        <v>360</v>
      </c>
      <c r="T583" s="35" t="str">
        <f t="shared" ref="T583:T646" si="159">IF(NOT(AND(T582="",A583&lt;=S582)),"",IF(AND(N583=0,K583=0),"完済",IF(A583=S583,"最終回清算","")))</f>
        <v/>
      </c>
      <c r="U583" s="3">
        <f t="shared" si="144"/>
        <v>0</v>
      </c>
      <c r="V583" s="3">
        <f t="shared" si="145"/>
        <v>0</v>
      </c>
      <c r="W583" s="3">
        <f t="shared" si="146"/>
        <v>0</v>
      </c>
      <c r="X583" s="3">
        <f t="shared" si="147"/>
        <v>0</v>
      </c>
      <c r="Y583" s="3">
        <f>IF(A583&lt;入力!$B$15,ABS(G583-何もしない_月次!G583),0)</f>
        <v>0</v>
      </c>
      <c r="Z583" s="3">
        <f t="shared" si="148"/>
        <v>0</v>
      </c>
      <c r="AA583">
        <f>ROUND(IF(A583=入力!$B$15+1,IF(E583=0,ROUND(C583/入力!$B$19,0),ROUND(-PMT(E583/12,入力!$B$19,C583),0)),IF(OR(AND(入力!$B$13="有効",A583&gt;1,MOD(A583-1,60)=0),AND(A583=入力!$B$11,A583&gt;1)),IF(入力!$B$14="有効",MIN(IF(E583=0,ROUND(C583/MAX(1,S582-A583+1),0),ROUND(-PMT(E583/12,MAX(1,S582-A583+1),C583),0)),ROUND(G582*1.25,0)),IF(E583=0,ROUND(C583/MAX(1,S582-A583+1),0),ROUND(-PMT(E583/12,MAX(1,S582-A583+1),C583),0))),G582)),0)</f>
        <v>0</v>
      </c>
    </row>
    <row r="584" spans="1:27">
      <c r="A584" s="30">
        <f>579</f>
        <v>579</v>
      </c>
      <c r="B584" s="31">
        <f>EDATE(入力!$B$6,A584-1)</f>
        <v>63828</v>
      </c>
      <c r="C584" s="32">
        <f t="shared" si="149"/>
        <v>0</v>
      </c>
      <c r="D584" s="32">
        <f t="shared" si="150"/>
        <v>0</v>
      </c>
      <c r="E584" s="33">
        <f>IF(AND(T583="",A584&lt;=S583),IF(A584&lt;入力!$B$11,入力!$B$10,入力!$B$12),0)</f>
        <v>0</v>
      </c>
      <c r="F584" s="32">
        <f t="shared" si="151"/>
        <v>0</v>
      </c>
      <c r="G584" s="32">
        <f>ROUND(IF(NOT(AND(T583="",A584&lt;=S583)),0,IF(A584=入力!$B$15+1,IF(E584=0,ROUND(C584/入力!$B$19,0),ROUND(-PMT(E584/12,入力!$B$19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),0)</f>
        <v>0</v>
      </c>
      <c r="H584" s="32">
        <f t="shared" si="152"/>
        <v>0</v>
      </c>
      <c r="I584" s="32">
        <f t="shared" si="153"/>
        <v>0</v>
      </c>
      <c r="J584" s="32">
        <f t="shared" si="154"/>
        <v>0</v>
      </c>
      <c r="K584" s="32">
        <f t="shared" si="155"/>
        <v>0</v>
      </c>
      <c r="L584" s="32">
        <f t="shared" si="156"/>
        <v>0</v>
      </c>
      <c r="M584" s="32">
        <f>IF(AND(AND(T583="",A584&lt;=S583),A584=入力!$B$15),ROUND(MIN(入力!$B$16,MAX(0,C584-L584)),0),0)</f>
        <v>0</v>
      </c>
      <c r="N584" s="32">
        <f t="shared" si="157"/>
        <v>0</v>
      </c>
      <c r="O584" s="32">
        <f t="shared" si="158"/>
        <v>10751874</v>
      </c>
      <c r="P584" s="34" t="str">
        <f>IF(NOT(AND(T583="",A584&lt;=S583)),"",IF(A584=入力!$B$15+1,"繰上返済後再計算","")&amp;IF(AND(入力!$B$13="有効",A584&gt;1,MOD(A584-1,60)=0),IF(A584=入力!$B$15+1,"・","")&amp;"5年見直し","")&amp;IF(AND(A584=入力!$B$11,A584&gt;1),IF(OR(A584=入力!$B$15+1,AND(入力!$B$13="有効",A584&gt;1,MOD(A584-1,60)=0)),"・","")&amp;"金利変更","")&amp;IF(AND(OR(AND(入力!$B$13="有効",A584&gt;1,MOD(A584-1,60)=0),AND(A584=入力!$B$11,A584&gt;1)),入力!$B$14="有効",IF(E584=0,ROUND(C584/MAX(1,S583-A584+1),0),ROUND(-PMT(E584/12,MAX(1,S583-A584+1),C584),0))&gt;ROUND(G583*1.25,0),NOT(A584=入力!$B$15+1)),"・上限適用",""))</f>
        <v/>
      </c>
      <c r="Q584" s="35" t="str">
        <f>IF(AND(T583="",A584&lt;=S583),入力!$B$13,"")</f>
        <v/>
      </c>
      <c r="R584" s="32" t="str">
        <f>IF(AND(AND(T583="",A584&lt;=S583),OR(AND(入力!$B$13="有効",A584&gt;1,MOD(A584-1,60)=0),AND(A584=入力!$B$11,A584&gt;1)),入力!$B$14="有効"),ROUND(G583*1.25,0),"")</f>
        <v/>
      </c>
      <c r="S584" s="36">
        <f>IF(A584=入力!$B$15,A584+入力!$B$19,S583)</f>
        <v>360</v>
      </c>
      <c r="T584" s="35" t="str">
        <f t="shared" si="159"/>
        <v/>
      </c>
      <c r="U584" s="3">
        <f t="shared" si="144"/>
        <v>0</v>
      </c>
      <c r="V584" s="3">
        <f t="shared" si="145"/>
        <v>0</v>
      </c>
      <c r="W584" s="3">
        <f t="shared" si="146"/>
        <v>0</v>
      </c>
      <c r="X584" s="3">
        <f t="shared" si="147"/>
        <v>0</v>
      </c>
      <c r="Y584" s="3">
        <f>IF(A584&lt;入力!$B$15,ABS(G584-何もしない_月次!G584),0)</f>
        <v>0</v>
      </c>
      <c r="Z584" s="3">
        <f t="shared" si="148"/>
        <v>0</v>
      </c>
      <c r="AA584">
        <f>ROUND(IF(A584=入力!$B$15+1,IF(E584=0,ROUND(C584/入力!$B$19,0),ROUND(-PMT(E584/12,入力!$B$19,C584),0)),IF(OR(AND(入力!$B$13="有効",A584&gt;1,MOD(A584-1,60)=0),AND(A584=入力!$B$11,A584&gt;1)),IF(入力!$B$14="有効",MIN(IF(E584=0,ROUND(C584/MAX(1,S583-A584+1),0),ROUND(-PMT(E584/12,MAX(1,S583-A584+1),C584),0)),ROUND(G583*1.25,0)),IF(E584=0,ROUND(C584/MAX(1,S583-A584+1),0),ROUND(-PMT(E584/12,MAX(1,S583-A584+1),C584),0))),G583)),0)</f>
        <v>0</v>
      </c>
    </row>
    <row r="585" spans="1:27">
      <c r="A585" s="30">
        <f>580</f>
        <v>580</v>
      </c>
      <c r="B585" s="31">
        <f>EDATE(入力!$B$6,A585-1)</f>
        <v>63859</v>
      </c>
      <c r="C585" s="32">
        <f t="shared" si="149"/>
        <v>0</v>
      </c>
      <c r="D585" s="32">
        <f t="shared" si="150"/>
        <v>0</v>
      </c>
      <c r="E585" s="33">
        <f>IF(AND(T584="",A585&lt;=S584),IF(A585&lt;入力!$B$11,入力!$B$10,入力!$B$12),0)</f>
        <v>0</v>
      </c>
      <c r="F585" s="32">
        <f t="shared" si="151"/>
        <v>0</v>
      </c>
      <c r="G585" s="32">
        <f>ROUND(IF(NOT(AND(T584="",A585&lt;=S584)),0,IF(A585=入力!$B$15+1,IF(E585=0,ROUND(C585/入力!$B$19,0),ROUND(-PMT(E585/12,入力!$B$19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),0)</f>
        <v>0</v>
      </c>
      <c r="H585" s="32">
        <f t="shared" si="152"/>
        <v>0</v>
      </c>
      <c r="I585" s="32">
        <f t="shared" si="153"/>
        <v>0</v>
      </c>
      <c r="J585" s="32">
        <f t="shared" si="154"/>
        <v>0</v>
      </c>
      <c r="K585" s="32">
        <f t="shared" si="155"/>
        <v>0</v>
      </c>
      <c r="L585" s="32">
        <f t="shared" si="156"/>
        <v>0</v>
      </c>
      <c r="M585" s="32">
        <f>IF(AND(AND(T584="",A585&lt;=S584),A585=入力!$B$15),ROUND(MIN(入力!$B$16,MAX(0,C585-L585)),0),0)</f>
        <v>0</v>
      </c>
      <c r="N585" s="32">
        <f t="shared" si="157"/>
        <v>0</v>
      </c>
      <c r="O585" s="32">
        <f t="shared" si="158"/>
        <v>10751874</v>
      </c>
      <c r="P585" s="34" t="str">
        <f>IF(NOT(AND(T584="",A585&lt;=S584)),"",IF(A585=入力!$B$15+1,"繰上返済後再計算","")&amp;IF(AND(入力!$B$13="有効",A585&gt;1,MOD(A585-1,60)=0),IF(A585=入力!$B$15+1,"・","")&amp;"5年見直し","")&amp;IF(AND(A585=入力!$B$11,A585&gt;1),IF(OR(A585=入力!$B$15+1,AND(入力!$B$13="有効",A585&gt;1,MOD(A585-1,60)=0)),"・","")&amp;"金利変更","")&amp;IF(AND(OR(AND(入力!$B$13="有効",A585&gt;1,MOD(A585-1,60)=0),AND(A585=入力!$B$11,A585&gt;1)),入力!$B$14="有効",IF(E585=0,ROUND(C585/MAX(1,S584-A585+1),0),ROUND(-PMT(E585/12,MAX(1,S584-A585+1),C585),0))&gt;ROUND(G584*1.25,0),NOT(A585=入力!$B$15+1)),"・上限適用",""))</f>
        <v/>
      </c>
      <c r="Q585" s="35" t="str">
        <f>IF(AND(T584="",A585&lt;=S584),入力!$B$13,"")</f>
        <v/>
      </c>
      <c r="R585" s="32" t="str">
        <f>IF(AND(AND(T584="",A585&lt;=S584),OR(AND(入力!$B$13="有効",A585&gt;1,MOD(A585-1,60)=0),AND(A585=入力!$B$11,A585&gt;1)),入力!$B$14="有効"),ROUND(G584*1.25,0),"")</f>
        <v/>
      </c>
      <c r="S585" s="36">
        <f>IF(A585=入力!$B$15,A585+入力!$B$19,S584)</f>
        <v>360</v>
      </c>
      <c r="T585" s="35" t="str">
        <f t="shared" si="159"/>
        <v/>
      </c>
      <c r="U585" s="3">
        <f t="shared" si="144"/>
        <v>0</v>
      </c>
      <c r="V585" s="3">
        <f t="shared" si="145"/>
        <v>0</v>
      </c>
      <c r="W585" s="3">
        <f t="shared" si="146"/>
        <v>0</v>
      </c>
      <c r="X585" s="3">
        <f t="shared" si="147"/>
        <v>0</v>
      </c>
      <c r="Y585" s="3">
        <f>IF(A585&lt;入力!$B$15,ABS(G585-何もしない_月次!G585),0)</f>
        <v>0</v>
      </c>
      <c r="Z585" s="3">
        <f t="shared" si="148"/>
        <v>0</v>
      </c>
      <c r="AA585">
        <f>ROUND(IF(A585=入力!$B$15+1,IF(E585=0,ROUND(C585/入力!$B$19,0),ROUND(-PMT(E585/12,入力!$B$19,C585),0)),IF(OR(AND(入力!$B$13="有効",A585&gt;1,MOD(A585-1,60)=0),AND(A585=入力!$B$11,A585&gt;1)),IF(入力!$B$14="有効",MIN(IF(E585=0,ROUND(C585/MAX(1,S584-A585+1),0),ROUND(-PMT(E585/12,MAX(1,S584-A585+1),C585),0)),ROUND(G584*1.25,0)),IF(E585=0,ROUND(C585/MAX(1,S584-A585+1),0),ROUND(-PMT(E585/12,MAX(1,S584-A585+1),C585),0))),G584)),0)</f>
        <v>0</v>
      </c>
    </row>
    <row r="586" spans="1:27">
      <c r="A586" s="30">
        <f>581</f>
        <v>581</v>
      </c>
      <c r="B586" s="31">
        <f>EDATE(入力!$B$6,A586-1)</f>
        <v>63889</v>
      </c>
      <c r="C586" s="32">
        <f t="shared" si="149"/>
        <v>0</v>
      </c>
      <c r="D586" s="32">
        <f t="shared" si="150"/>
        <v>0</v>
      </c>
      <c r="E586" s="33">
        <f>IF(AND(T585="",A586&lt;=S585),IF(A586&lt;入力!$B$11,入力!$B$10,入力!$B$12),0)</f>
        <v>0</v>
      </c>
      <c r="F586" s="32">
        <f t="shared" si="151"/>
        <v>0</v>
      </c>
      <c r="G586" s="32">
        <f>ROUND(IF(NOT(AND(T585="",A586&lt;=S585)),0,IF(A586=入力!$B$15+1,IF(E586=0,ROUND(C586/入力!$B$19,0),ROUND(-PMT(E586/12,入力!$B$19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),0)</f>
        <v>0</v>
      </c>
      <c r="H586" s="32">
        <f t="shared" si="152"/>
        <v>0</v>
      </c>
      <c r="I586" s="32">
        <f t="shared" si="153"/>
        <v>0</v>
      </c>
      <c r="J586" s="32">
        <f t="shared" si="154"/>
        <v>0</v>
      </c>
      <c r="K586" s="32">
        <f t="shared" si="155"/>
        <v>0</v>
      </c>
      <c r="L586" s="32">
        <f t="shared" si="156"/>
        <v>0</v>
      </c>
      <c r="M586" s="32">
        <f>IF(AND(AND(T585="",A586&lt;=S585),A586=入力!$B$15),ROUND(MIN(入力!$B$16,MAX(0,C586-L586)),0),0)</f>
        <v>0</v>
      </c>
      <c r="N586" s="32">
        <f t="shared" si="157"/>
        <v>0</v>
      </c>
      <c r="O586" s="32">
        <f t="shared" si="158"/>
        <v>10751874</v>
      </c>
      <c r="P586" s="34" t="str">
        <f>IF(NOT(AND(T585="",A586&lt;=S585)),"",IF(A586=入力!$B$15+1,"繰上返済後再計算","")&amp;IF(AND(入力!$B$13="有効",A586&gt;1,MOD(A586-1,60)=0),IF(A586=入力!$B$15+1,"・","")&amp;"5年見直し","")&amp;IF(AND(A586=入力!$B$11,A586&gt;1),IF(OR(A586=入力!$B$15+1,AND(入力!$B$13="有効",A586&gt;1,MOD(A586-1,60)=0)),"・","")&amp;"金利変更","")&amp;IF(AND(OR(AND(入力!$B$13="有効",A586&gt;1,MOD(A586-1,60)=0),AND(A586=入力!$B$11,A586&gt;1)),入力!$B$14="有効",IF(E586=0,ROUND(C586/MAX(1,S585-A586+1),0),ROUND(-PMT(E586/12,MAX(1,S585-A586+1),C586),0))&gt;ROUND(G585*1.25,0),NOT(A586=入力!$B$15+1)),"・上限適用",""))</f>
        <v/>
      </c>
      <c r="Q586" s="35" t="str">
        <f>IF(AND(T585="",A586&lt;=S585),入力!$B$13,"")</f>
        <v/>
      </c>
      <c r="R586" s="32" t="str">
        <f>IF(AND(AND(T585="",A586&lt;=S585),OR(AND(入力!$B$13="有効",A586&gt;1,MOD(A586-1,60)=0),AND(A586=入力!$B$11,A586&gt;1)),入力!$B$14="有効"),ROUND(G585*1.25,0),"")</f>
        <v/>
      </c>
      <c r="S586" s="36">
        <f>IF(A586=入力!$B$15,A586+入力!$B$19,S585)</f>
        <v>360</v>
      </c>
      <c r="T586" s="35" t="str">
        <f t="shared" si="159"/>
        <v/>
      </c>
      <c r="U586" s="3">
        <f t="shared" si="144"/>
        <v>0</v>
      </c>
      <c r="V586" s="3">
        <f t="shared" si="145"/>
        <v>0</v>
      </c>
      <c r="W586" s="3">
        <f t="shared" si="146"/>
        <v>0</v>
      </c>
      <c r="X586" s="3">
        <f t="shared" si="147"/>
        <v>0</v>
      </c>
      <c r="Y586" s="3">
        <f>IF(A586&lt;入力!$B$15,ABS(G586-何もしない_月次!G586),0)</f>
        <v>0</v>
      </c>
      <c r="Z586" s="3">
        <f t="shared" si="148"/>
        <v>0</v>
      </c>
      <c r="AA586">
        <f>ROUND(IF(A586=入力!$B$15+1,IF(E586=0,ROUND(C586/入力!$B$19,0),ROUND(-PMT(E586/12,入力!$B$19,C586),0)),IF(OR(AND(入力!$B$13="有効",A586&gt;1,MOD(A586-1,60)=0),AND(A586=入力!$B$11,A586&gt;1)),IF(入力!$B$14="有効",MIN(IF(E586=0,ROUND(C586/MAX(1,S585-A586+1),0),ROUND(-PMT(E586/12,MAX(1,S585-A586+1),C586),0)),ROUND(G585*1.25,0)),IF(E586=0,ROUND(C586/MAX(1,S585-A586+1),0),ROUND(-PMT(E586/12,MAX(1,S585-A586+1),C586),0))),G585)),0)</f>
        <v>0</v>
      </c>
    </row>
    <row r="587" spans="1:27">
      <c r="A587" s="30">
        <f>582</f>
        <v>582</v>
      </c>
      <c r="B587" s="31">
        <f>EDATE(入力!$B$6,A587-1)</f>
        <v>63920</v>
      </c>
      <c r="C587" s="32">
        <f t="shared" si="149"/>
        <v>0</v>
      </c>
      <c r="D587" s="32">
        <f t="shared" si="150"/>
        <v>0</v>
      </c>
      <c r="E587" s="33">
        <f>IF(AND(T586="",A587&lt;=S586),IF(A587&lt;入力!$B$11,入力!$B$10,入力!$B$12),0)</f>
        <v>0</v>
      </c>
      <c r="F587" s="32">
        <f t="shared" si="151"/>
        <v>0</v>
      </c>
      <c r="G587" s="32">
        <f>ROUND(IF(NOT(AND(T586="",A587&lt;=S586)),0,IF(A587=入力!$B$15+1,IF(E587=0,ROUND(C587/入力!$B$19,0),ROUND(-PMT(E587/12,入力!$B$19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),0)</f>
        <v>0</v>
      </c>
      <c r="H587" s="32">
        <f t="shared" si="152"/>
        <v>0</v>
      </c>
      <c r="I587" s="32">
        <f t="shared" si="153"/>
        <v>0</v>
      </c>
      <c r="J587" s="32">
        <f t="shared" si="154"/>
        <v>0</v>
      </c>
      <c r="K587" s="32">
        <f t="shared" si="155"/>
        <v>0</v>
      </c>
      <c r="L587" s="32">
        <f t="shared" si="156"/>
        <v>0</v>
      </c>
      <c r="M587" s="32">
        <f>IF(AND(AND(T586="",A587&lt;=S586),A587=入力!$B$15),ROUND(MIN(入力!$B$16,MAX(0,C587-L587)),0),0)</f>
        <v>0</v>
      </c>
      <c r="N587" s="32">
        <f t="shared" si="157"/>
        <v>0</v>
      </c>
      <c r="O587" s="32">
        <f t="shared" si="158"/>
        <v>10751874</v>
      </c>
      <c r="P587" s="34" t="str">
        <f>IF(NOT(AND(T586="",A587&lt;=S586)),"",IF(A587=入力!$B$15+1,"繰上返済後再計算","")&amp;IF(AND(入力!$B$13="有効",A587&gt;1,MOD(A587-1,60)=0),IF(A587=入力!$B$15+1,"・","")&amp;"5年見直し","")&amp;IF(AND(A587=入力!$B$11,A587&gt;1),IF(OR(A587=入力!$B$15+1,AND(入力!$B$13="有効",A587&gt;1,MOD(A587-1,60)=0)),"・","")&amp;"金利変更","")&amp;IF(AND(OR(AND(入力!$B$13="有効",A587&gt;1,MOD(A587-1,60)=0),AND(A587=入力!$B$11,A587&gt;1)),入力!$B$14="有効",IF(E587=0,ROUND(C587/MAX(1,S586-A587+1),0),ROUND(-PMT(E587/12,MAX(1,S586-A587+1),C587),0))&gt;ROUND(G586*1.25,0),NOT(A587=入力!$B$15+1)),"・上限適用",""))</f>
        <v/>
      </c>
      <c r="Q587" s="35" t="str">
        <f>IF(AND(T586="",A587&lt;=S586),入力!$B$13,"")</f>
        <v/>
      </c>
      <c r="R587" s="32" t="str">
        <f>IF(AND(AND(T586="",A587&lt;=S586),OR(AND(入力!$B$13="有効",A587&gt;1,MOD(A587-1,60)=0),AND(A587=入力!$B$11,A587&gt;1)),入力!$B$14="有効"),ROUND(G586*1.25,0),"")</f>
        <v/>
      </c>
      <c r="S587" s="36">
        <f>IF(A587=入力!$B$15,A587+入力!$B$19,S586)</f>
        <v>360</v>
      </c>
      <c r="T587" s="35" t="str">
        <f t="shared" si="159"/>
        <v/>
      </c>
      <c r="U587" s="3">
        <f t="shared" si="144"/>
        <v>0</v>
      </c>
      <c r="V587" s="3">
        <f t="shared" si="145"/>
        <v>0</v>
      </c>
      <c r="W587" s="3">
        <f t="shared" si="146"/>
        <v>0</v>
      </c>
      <c r="X587" s="3">
        <f t="shared" si="147"/>
        <v>0</v>
      </c>
      <c r="Y587" s="3">
        <f>IF(A587&lt;入力!$B$15,ABS(G587-何もしない_月次!G587),0)</f>
        <v>0</v>
      </c>
      <c r="Z587" s="3">
        <f t="shared" si="148"/>
        <v>0</v>
      </c>
      <c r="AA587">
        <f>ROUND(IF(A587=入力!$B$15+1,IF(E587=0,ROUND(C587/入力!$B$19,0),ROUND(-PMT(E587/12,入力!$B$19,C587),0)),IF(OR(AND(入力!$B$13="有効",A587&gt;1,MOD(A587-1,60)=0),AND(A587=入力!$B$11,A587&gt;1)),IF(入力!$B$14="有効",MIN(IF(E587=0,ROUND(C587/MAX(1,S586-A587+1),0),ROUND(-PMT(E587/12,MAX(1,S586-A587+1),C587),0)),ROUND(G586*1.25,0)),IF(E587=0,ROUND(C587/MAX(1,S586-A587+1),0),ROUND(-PMT(E587/12,MAX(1,S586-A587+1),C587),0))),G586)),0)</f>
        <v>0</v>
      </c>
    </row>
    <row r="588" spans="1:27">
      <c r="A588" s="30">
        <f>583</f>
        <v>583</v>
      </c>
      <c r="B588" s="31">
        <f>EDATE(入力!$B$6,A588-1)</f>
        <v>63951</v>
      </c>
      <c r="C588" s="32">
        <f t="shared" si="149"/>
        <v>0</v>
      </c>
      <c r="D588" s="32">
        <f t="shared" si="150"/>
        <v>0</v>
      </c>
      <c r="E588" s="33">
        <f>IF(AND(T587="",A588&lt;=S587),IF(A588&lt;入力!$B$11,入力!$B$10,入力!$B$12),0)</f>
        <v>0</v>
      </c>
      <c r="F588" s="32">
        <f t="shared" si="151"/>
        <v>0</v>
      </c>
      <c r="G588" s="32">
        <f>ROUND(IF(NOT(AND(T587="",A588&lt;=S587)),0,IF(A588=入力!$B$15+1,IF(E588=0,ROUND(C588/入力!$B$19,0),ROUND(-PMT(E588/12,入力!$B$19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),0)</f>
        <v>0</v>
      </c>
      <c r="H588" s="32">
        <f t="shared" si="152"/>
        <v>0</v>
      </c>
      <c r="I588" s="32">
        <f t="shared" si="153"/>
        <v>0</v>
      </c>
      <c r="J588" s="32">
        <f t="shared" si="154"/>
        <v>0</v>
      </c>
      <c r="K588" s="32">
        <f t="shared" si="155"/>
        <v>0</v>
      </c>
      <c r="L588" s="32">
        <f t="shared" si="156"/>
        <v>0</v>
      </c>
      <c r="M588" s="32">
        <f>IF(AND(AND(T587="",A588&lt;=S587),A588=入力!$B$15),ROUND(MIN(入力!$B$16,MAX(0,C588-L588)),0),0)</f>
        <v>0</v>
      </c>
      <c r="N588" s="32">
        <f t="shared" si="157"/>
        <v>0</v>
      </c>
      <c r="O588" s="32">
        <f t="shared" si="158"/>
        <v>10751874</v>
      </c>
      <c r="P588" s="34" t="str">
        <f>IF(NOT(AND(T587="",A588&lt;=S587)),"",IF(A588=入力!$B$15+1,"繰上返済後再計算","")&amp;IF(AND(入力!$B$13="有効",A588&gt;1,MOD(A588-1,60)=0),IF(A588=入力!$B$15+1,"・","")&amp;"5年見直し","")&amp;IF(AND(A588=入力!$B$11,A588&gt;1),IF(OR(A588=入力!$B$15+1,AND(入力!$B$13="有効",A588&gt;1,MOD(A588-1,60)=0)),"・","")&amp;"金利変更","")&amp;IF(AND(OR(AND(入力!$B$13="有効",A588&gt;1,MOD(A588-1,60)=0),AND(A588=入力!$B$11,A588&gt;1)),入力!$B$14="有効",IF(E588=0,ROUND(C588/MAX(1,S587-A588+1),0),ROUND(-PMT(E588/12,MAX(1,S587-A588+1),C588),0))&gt;ROUND(G587*1.25,0),NOT(A588=入力!$B$15+1)),"・上限適用",""))</f>
        <v/>
      </c>
      <c r="Q588" s="35" t="str">
        <f>IF(AND(T587="",A588&lt;=S587),入力!$B$13,"")</f>
        <v/>
      </c>
      <c r="R588" s="32" t="str">
        <f>IF(AND(AND(T587="",A588&lt;=S587),OR(AND(入力!$B$13="有効",A588&gt;1,MOD(A588-1,60)=0),AND(A588=入力!$B$11,A588&gt;1)),入力!$B$14="有効"),ROUND(G587*1.25,0),"")</f>
        <v/>
      </c>
      <c r="S588" s="36">
        <f>IF(A588=入力!$B$15,A588+入力!$B$19,S587)</f>
        <v>360</v>
      </c>
      <c r="T588" s="35" t="str">
        <f t="shared" si="159"/>
        <v/>
      </c>
      <c r="U588" s="3">
        <f t="shared" si="144"/>
        <v>0</v>
      </c>
      <c r="V588" s="3">
        <f t="shared" si="145"/>
        <v>0</v>
      </c>
      <c r="W588" s="3">
        <f t="shared" si="146"/>
        <v>0</v>
      </c>
      <c r="X588" s="3">
        <f t="shared" si="147"/>
        <v>0</v>
      </c>
      <c r="Y588" s="3">
        <f>IF(A588&lt;入力!$B$15,ABS(G588-何もしない_月次!G588),0)</f>
        <v>0</v>
      </c>
      <c r="Z588" s="3">
        <f t="shared" si="148"/>
        <v>0</v>
      </c>
      <c r="AA588">
        <f>ROUND(IF(A588=入力!$B$15+1,IF(E588=0,ROUND(C588/入力!$B$19,0),ROUND(-PMT(E588/12,入力!$B$19,C588),0)),IF(OR(AND(入力!$B$13="有効",A588&gt;1,MOD(A588-1,60)=0),AND(A588=入力!$B$11,A588&gt;1)),IF(入力!$B$14="有効",MIN(IF(E588=0,ROUND(C588/MAX(1,S587-A588+1),0),ROUND(-PMT(E588/12,MAX(1,S587-A588+1),C588),0)),ROUND(G587*1.25,0)),IF(E588=0,ROUND(C588/MAX(1,S587-A588+1),0),ROUND(-PMT(E588/12,MAX(1,S587-A588+1),C588),0))),G587)),0)</f>
        <v>0</v>
      </c>
    </row>
    <row r="589" spans="1:27">
      <c r="A589" s="30">
        <f>584</f>
        <v>584</v>
      </c>
      <c r="B589" s="31">
        <f>EDATE(入力!$B$6,A589-1)</f>
        <v>63979</v>
      </c>
      <c r="C589" s="32">
        <f t="shared" si="149"/>
        <v>0</v>
      </c>
      <c r="D589" s="32">
        <f t="shared" si="150"/>
        <v>0</v>
      </c>
      <c r="E589" s="33">
        <f>IF(AND(T588="",A589&lt;=S588),IF(A589&lt;入力!$B$11,入力!$B$10,入力!$B$12),0)</f>
        <v>0</v>
      </c>
      <c r="F589" s="32">
        <f t="shared" si="151"/>
        <v>0</v>
      </c>
      <c r="G589" s="32">
        <f>ROUND(IF(NOT(AND(T588="",A589&lt;=S588)),0,IF(A589=入力!$B$15+1,IF(E589=0,ROUND(C589/入力!$B$19,0),ROUND(-PMT(E589/12,入力!$B$19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),0)</f>
        <v>0</v>
      </c>
      <c r="H589" s="32">
        <f t="shared" si="152"/>
        <v>0</v>
      </c>
      <c r="I589" s="32">
        <f t="shared" si="153"/>
        <v>0</v>
      </c>
      <c r="J589" s="32">
        <f t="shared" si="154"/>
        <v>0</v>
      </c>
      <c r="K589" s="32">
        <f t="shared" si="155"/>
        <v>0</v>
      </c>
      <c r="L589" s="32">
        <f t="shared" si="156"/>
        <v>0</v>
      </c>
      <c r="M589" s="32">
        <f>IF(AND(AND(T588="",A589&lt;=S588),A589=入力!$B$15),ROUND(MIN(入力!$B$16,MAX(0,C589-L589)),0),0)</f>
        <v>0</v>
      </c>
      <c r="N589" s="32">
        <f t="shared" si="157"/>
        <v>0</v>
      </c>
      <c r="O589" s="32">
        <f t="shared" si="158"/>
        <v>10751874</v>
      </c>
      <c r="P589" s="34" t="str">
        <f>IF(NOT(AND(T588="",A589&lt;=S588)),"",IF(A589=入力!$B$15+1,"繰上返済後再計算","")&amp;IF(AND(入力!$B$13="有効",A589&gt;1,MOD(A589-1,60)=0),IF(A589=入力!$B$15+1,"・","")&amp;"5年見直し","")&amp;IF(AND(A589=入力!$B$11,A589&gt;1),IF(OR(A589=入力!$B$15+1,AND(入力!$B$13="有効",A589&gt;1,MOD(A589-1,60)=0)),"・","")&amp;"金利変更","")&amp;IF(AND(OR(AND(入力!$B$13="有効",A589&gt;1,MOD(A589-1,60)=0),AND(A589=入力!$B$11,A589&gt;1)),入力!$B$14="有効",IF(E589=0,ROUND(C589/MAX(1,S588-A589+1),0),ROUND(-PMT(E589/12,MAX(1,S588-A589+1),C589),0))&gt;ROUND(G588*1.25,0),NOT(A589=入力!$B$15+1)),"・上限適用",""))</f>
        <v/>
      </c>
      <c r="Q589" s="35" t="str">
        <f>IF(AND(T588="",A589&lt;=S588),入力!$B$13,"")</f>
        <v/>
      </c>
      <c r="R589" s="32" t="str">
        <f>IF(AND(AND(T588="",A589&lt;=S588),OR(AND(入力!$B$13="有効",A589&gt;1,MOD(A589-1,60)=0),AND(A589=入力!$B$11,A589&gt;1)),入力!$B$14="有効"),ROUND(G588*1.25,0),"")</f>
        <v/>
      </c>
      <c r="S589" s="36">
        <f>IF(A589=入力!$B$15,A589+入力!$B$19,S588)</f>
        <v>360</v>
      </c>
      <c r="T589" s="35" t="str">
        <f t="shared" si="159"/>
        <v/>
      </c>
      <c r="U589" s="3">
        <f t="shared" si="144"/>
        <v>0</v>
      </c>
      <c r="V589" s="3">
        <f t="shared" si="145"/>
        <v>0</v>
      </c>
      <c r="W589" s="3">
        <f t="shared" si="146"/>
        <v>0</v>
      </c>
      <c r="X589" s="3">
        <f t="shared" si="147"/>
        <v>0</v>
      </c>
      <c r="Y589" s="3">
        <f>IF(A589&lt;入力!$B$15,ABS(G589-何もしない_月次!G589),0)</f>
        <v>0</v>
      </c>
      <c r="Z589" s="3">
        <f t="shared" si="148"/>
        <v>0</v>
      </c>
      <c r="AA589">
        <f>ROUND(IF(A589=入力!$B$15+1,IF(E589=0,ROUND(C589/入力!$B$19,0),ROUND(-PMT(E589/12,入力!$B$19,C589),0)),IF(OR(AND(入力!$B$13="有効",A589&gt;1,MOD(A589-1,60)=0),AND(A589=入力!$B$11,A589&gt;1)),IF(入力!$B$14="有効",MIN(IF(E589=0,ROUND(C589/MAX(1,S588-A589+1),0),ROUND(-PMT(E589/12,MAX(1,S588-A589+1),C589),0)),ROUND(G588*1.25,0)),IF(E589=0,ROUND(C589/MAX(1,S588-A589+1),0),ROUND(-PMT(E589/12,MAX(1,S588-A589+1),C589),0))),G588)),0)</f>
        <v>0</v>
      </c>
    </row>
    <row r="590" spans="1:27">
      <c r="A590" s="30">
        <f>585</f>
        <v>585</v>
      </c>
      <c r="B590" s="31">
        <f>EDATE(入力!$B$6,A590-1)</f>
        <v>64010</v>
      </c>
      <c r="C590" s="32">
        <f t="shared" si="149"/>
        <v>0</v>
      </c>
      <c r="D590" s="32">
        <f t="shared" si="150"/>
        <v>0</v>
      </c>
      <c r="E590" s="33">
        <f>IF(AND(T589="",A590&lt;=S589),IF(A590&lt;入力!$B$11,入力!$B$10,入力!$B$12),0)</f>
        <v>0</v>
      </c>
      <c r="F590" s="32">
        <f t="shared" si="151"/>
        <v>0</v>
      </c>
      <c r="G590" s="32">
        <f>ROUND(IF(NOT(AND(T589="",A590&lt;=S589)),0,IF(A590=入力!$B$15+1,IF(E590=0,ROUND(C590/入力!$B$19,0),ROUND(-PMT(E590/12,入力!$B$19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),0)</f>
        <v>0</v>
      </c>
      <c r="H590" s="32">
        <f t="shared" si="152"/>
        <v>0</v>
      </c>
      <c r="I590" s="32">
        <f t="shared" si="153"/>
        <v>0</v>
      </c>
      <c r="J590" s="32">
        <f t="shared" si="154"/>
        <v>0</v>
      </c>
      <c r="K590" s="32">
        <f t="shared" si="155"/>
        <v>0</v>
      </c>
      <c r="L590" s="32">
        <f t="shared" si="156"/>
        <v>0</v>
      </c>
      <c r="M590" s="32">
        <f>IF(AND(AND(T589="",A590&lt;=S589),A590=入力!$B$15),ROUND(MIN(入力!$B$16,MAX(0,C590-L590)),0),0)</f>
        <v>0</v>
      </c>
      <c r="N590" s="32">
        <f t="shared" si="157"/>
        <v>0</v>
      </c>
      <c r="O590" s="32">
        <f t="shared" si="158"/>
        <v>10751874</v>
      </c>
      <c r="P590" s="34" t="str">
        <f>IF(NOT(AND(T589="",A590&lt;=S589)),"",IF(A590=入力!$B$15+1,"繰上返済後再計算","")&amp;IF(AND(入力!$B$13="有効",A590&gt;1,MOD(A590-1,60)=0),IF(A590=入力!$B$15+1,"・","")&amp;"5年見直し","")&amp;IF(AND(A590=入力!$B$11,A590&gt;1),IF(OR(A590=入力!$B$15+1,AND(入力!$B$13="有効",A590&gt;1,MOD(A590-1,60)=0)),"・","")&amp;"金利変更","")&amp;IF(AND(OR(AND(入力!$B$13="有効",A590&gt;1,MOD(A590-1,60)=0),AND(A590=入力!$B$11,A590&gt;1)),入力!$B$14="有効",IF(E590=0,ROUND(C590/MAX(1,S589-A590+1),0),ROUND(-PMT(E590/12,MAX(1,S589-A590+1),C590),0))&gt;ROUND(G589*1.25,0),NOT(A590=入力!$B$15+1)),"・上限適用",""))</f>
        <v/>
      </c>
      <c r="Q590" s="35" t="str">
        <f>IF(AND(T589="",A590&lt;=S589),入力!$B$13,"")</f>
        <v/>
      </c>
      <c r="R590" s="32" t="str">
        <f>IF(AND(AND(T589="",A590&lt;=S589),OR(AND(入力!$B$13="有効",A590&gt;1,MOD(A590-1,60)=0),AND(A590=入力!$B$11,A590&gt;1)),入力!$B$14="有効"),ROUND(G589*1.25,0),"")</f>
        <v/>
      </c>
      <c r="S590" s="36">
        <f>IF(A590=入力!$B$15,A590+入力!$B$19,S589)</f>
        <v>360</v>
      </c>
      <c r="T590" s="35" t="str">
        <f t="shared" si="159"/>
        <v/>
      </c>
      <c r="U590" s="3">
        <f t="shared" si="144"/>
        <v>0</v>
      </c>
      <c r="V590" s="3">
        <f t="shared" si="145"/>
        <v>0</v>
      </c>
      <c r="W590" s="3">
        <f t="shared" si="146"/>
        <v>0</v>
      </c>
      <c r="X590" s="3">
        <f t="shared" si="147"/>
        <v>0</v>
      </c>
      <c r="Y590" s="3">
        <f>IF(A590&lt;入力!$B$15,ABS(G590-何もしない_月次!G590),0)</f>
        <v>0</v>
      </c>
      <c r="Z590" s="3">
        <f t="shared" si="148"/>
        <v>0</v>
      </c>
      <c r="AA590">
        <f>ROUND(IF(A590=入力!$B$15+1,IF(E590=0,ROUND(C590/入力!$B$19,0),ROUND(-PMT(E590/12,入力!$B$19,C590),0)),IF(OR(AND(入力!$B$13="有効",A590&gt;1,MOD(A590-1,60)=0),AND(A590=入力!$B$11,A590&gt;1)),IF(入力!$B$14="有効",MIN(IF(E590=0,ROUND(C590/MAX(1,S589-A590+1),0),ROUND(-PMT(E590/12,MAX(1,S589-A590+1),C590),0)),ROUND(G589*1.25,0)),IF(E590=0,ROUND(C590/MAX(1,S589-A590+1),0),ROUND(-PMT(E590/12,MAX(1,S589-A590+1),C590),0))),G589)),0)</f>
        <v>0</v>
      </c>
    </row>
    <row r="591" spans="1:27">
      <c r="A591" s="30">
        <f>586</f>
        <v>586</v>
      </c>
      <c r="B591" s="31">
        <f>EDATE(入力!$B$6,A591-1)</f>
        <v>64040</v>
      </c>
      <c r="C591" s="32">
        <f t="shared" si="149"/>
        <v>0</v>
      </c>
      <c r="D591" s="32">
        <f t="shared" si="150"/>
        <v>0</v>
      </c>
      <c r="E591" s="33">
        <f>IF(AND(T590="",A591&lt;=S590),IF(A591&lt;入力!$B$11,入力!$B$10,入力!$B$12),0)</f>
        <v>0</v>
      </c>
      <c r="F591" s="32">
        <f t="shared" si="151"/>
        <v>0</v>
      </c>
      <c r="G591" s="32">
        <f>ROUND(IF(NOT(AND(T590="",A591&lt;=S590)),0,IF(A591=入力!$B$15+1,IF(E591=0,ROUND(C591/入力!$B$19,0),ROUND(-PMT(E591/12,入力!$B$19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),0)</f>
        <v>0</v>
      </c>
      <c r="H591" s="32">
        <f t="shared" si="152"/>
        <v>0</v>
      </c>
      <c r="I591" s="32">
        <f t="shared" si="153"/>
        <v>0</v>
      </c>
      <c r="J591" s="32">
        <f t="shared" si="154"/>
        <v>0</v>
      </c>
      <c r="K591" s="32">
        <f t="shared" si="155"/>
        <v>0</v>
      </c>
      <c r="L591" s="32">
        <f t="shared" si="156"/>
        <v>0</v>
      </c>
      <c r="M591" s="32">
        <f>IF(AND(AND(T590="",A591&lt;=S590),A591=入力!$B$15),ROUND(MIN(入力!$B$16,MAX(0,C591-L591)),0),0)</f>
        <v>0</v>
      </c>
      <c r="N591" s="32">
        <f t="shared" si="157"/>
        <v>0</v>
      </c>
      <c r="O591" s="32">
        <f t="shared" si="158"/>
        <v>10751874</v>
      </c>
      <c r="P591" s="34" t="str">
        <f>IF(NOT(AND(T590="",A591&lt;=S590)),"",IF(A591=入力!$B$15+1,"繰上返済後再計算","")&amp;IF(AND(入力!$B$13="有効",A591&gt;1,MOD(A591-1,60)=0),IF(A591=入力!$B$15+1,"・","")&amp;"5年見直し","")&amp;IF(AND(A591=入力!$B$11,A591&gt;1),IF(OR(A591=入力!$B$15+1,AND(入力!$B$13="有効",A591&gt;1,MOD(A591-1,60)=0)),"・","")&amp;"金利変更","")&amp;IF(AND(OR(AND(入力!$B$13="有効",A591&gt;1,MOD(A591-1,60)=0),AND(A591=入力!$B$11,A591&gt;1)),入力!$B$14="有効",IF(E591=0,ROUND(C591/MAX(1,S590-A591+1),0),ROUND(-PMT(E591/12,MAX(1,S590-A591+1),C591),0))&gt;ROUND(G590*1.25,0),NOT(A591=入力!$B$15+1)),"・上限適用",""))</f>
        <v/>
      </c>
      <c r="Q591" s="35" t="str">
        <f>IF(AND(T590="",A591&lt;=S590),入力!$B$13,"")</f>
        <v/>
      </c>
      <c r="R591" s="32" t="str">
        <f>IF(AND(AND(T590="",A591&lt;=S590),OR(AND(入力!$B$13="有効",A591&gt;1,MOD(A591-1,60)=0),AND(A591=入力!$B$11,A591&gt;1)),入力!$B$14="有効"),ROUND(G590*1.25,0),"")</f>
        <v/>
      </c>
      <c r="S591" s="36">
        <f>IF(A591=入力!$B$15,A591+入力!$B$19,S590)</f>
        <v>360</v>
      </c>
      <c r="T591" s="35" t="str">
        <f t="shared" si="159"/>
        <v/>
      </c>
      <c r="U591" s="3">
        <f t="shared" si="144"/>
        <v>0</v>
      </c>
      <c r="V591" s="3">
        <f t="shared" si="145"/>
        <v>0</v>
      </c>
      <c r="W591" s="3">
        <f t="shared" si="146"/>
        <v>0</v>
      </c>
      <c r="X591" s="3">
        <f t="shared" si="147"/>
        <v>0</v>
      </c>
      <c r="Y591" s="3">
        <f>IF(A591&lt;入力!$B$15,ABS(G591-何もしない_月次!G591),0)</f>
        <v>0</v>
      </c>
      <c r="Z591" s="3">
        <f t="shared" si="148"/>
        <v>0</v>
      </c>
      <c r="AA591">
        <f>ROUND(IF(A591=入力!$B$15+1,IF(E591=0,ROUND(C591/入力!$B$19,0),ROUND(-PMT(E591/12,入力!$B$19,C591),0)),IF(OR(AND(入力!$B$13="有効",A591&gt;1,MOD(A591-1,60)=0),AND(A591=入力!$B$11,A591&gt;1)),IF(入力!$B$14="有効",MIN(IF(E591=0,ROUND(C591/MAX(1,S590-A591+1),0),ROUND(-PMT(E591/12,MAX(1,S590-A591+1),C591),0)),ROUND(G590*1.25,0)),IF(E591=0,ROUND(C591/MAX(1,S590-A591+1),0),ROUND(-PMT(E591/12,MAX(1,S590-A591+1),C591),0))),G590)),0)</f>
        <v>0</v>
      </c>
    </row>
    <row r="592" spans="1:27">
      <c r="A592" s="30">
        <f>587</f>
        <v>587</v>
      </c>
      <c r="B592" s="31">
        <f>EDATE(入力!$B$6,A592-1)</f>
        <v>64071</v>
      </c>
      <c r="C592" s="32">
        <f t="shared" si="149"/>
        <v>0</v>
      </c>
      <c r="D592" s="32">
        <f t="shared" si="150"/>
        <v>0</v>
      </c>
      <c r="E592" s="33">
        <f>IF(AND(T591="",A592&lt;=S591),IF(A592&lt;入力!$B$11,入力!$B$10,入力!$B$12),0)</f>
        <v>0</v>
      </c>
      <c r="F592" s="32">
        <f t="shared" si="151"/>
        <v>0</v>
      </c>
      <c r="G592" s="32">
        <f>ROUND(IF(NOT(AND(T591="",A592&lt;=S591)),0,IF(A592=入力!$B$15+1,IF(E592=0,ROUND(C592/入力!$B$19,0),ROUND(-PMT(E592/12,入力!$B$19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),0)</f>
        <v>0</v>
      </c>
      <c r="H592" s="32">
        <f t="shared" si="152"/>
        <v>0</v>
      </c>
      <c r="I592" s="32">
        <f t="shared" si="153"/>
        <v>0</v>
      </c>
      <c r="J592" s="32">
        <f t="shared" si="154"/>
        <v>0</v>
      </c>
      <c r="K592" s="32">
        <f t="shared" si="155"/>
        <v>0</v>
      </c>
      <c r="L592" s="32">
        <f t="shared" si="156"/>
        <v>0</v>
      </c>
      <c r="M592" s="32">
        <f>IF(AND(AND(T591="",A592&lt;=S591),A592=入力!$B$15),ROUND(MIN(入力!$B$16,MAX(0,C592-L592)),0),0)</f>
        <v>0</v>
      </c>
      <c r="N592" s="32">
        <f t="shared" si="157"/>
        <v>0</v>
      </c>
      <c r="O592" s="32">
        <f t="shared" si="158"/>
        <v>10751874</v>
      </c>
      <c r="P592" s="34" t="str">
        <f>IF(NOT(AND(T591="",A592&lt;=S591)),"",IF(A592=入力!$B$15+1,"繰上返済後再計算","")&amp;IF(AND(入力!$B$13="有効",A592&gt;1,MOD(A592-1,60)=0),IF(A592=入力!$B$15+1,"・","")&amp;"5年見直し","")&amp;IF(AND(A592=入力!$B$11,A592&gt;1),IF(OR(A592=入力!$B$15+1,AND(入力!$B$13="有効",A592&gt;1,MOD(A592-1,60)=0)),"・","")&amp;"金利変更","")&amp;IF(AND(OR(AND(入力!$B$13="有効",A592&gt;1,MOD(A592-1,60)=0),AND(A592=入力!$B$11,A592&gt;1)),入力!$B$14="有効",IF(E592=0,ROUND(C592/MAX(1,S591-A592+1),0),ROUND(-PMT(E592/12,MAX(1,S591-A592+1),C592),0))&gt;ROUND(G591*1.25,0),NOT(A592=入力!$B$15+1)),"・上限適用",""))</f>
        <v/>
      </c>
      <c r="Q592" s="35" t="str">
        <f>IF(AND(T591="",A592&lt;=S591),入力!$B$13,"")</f>
        <v/>
      </c>
      <c r="R592" s="32" t="str">
        <f>IF(AND(AND(T591="",A592&lt;=S591),OR(AND(入力!$B$13="有効",A592&gt;1,MOD(A592-1,60)=0),AND(A592=入力!$B$11,A592&gt;1)),入力!$B$14="有効"),ROUND(G591*1.25,0),"")</f>
        <v/>
      </c>
      <c r="S592" s="36">
        <f>IF(A592=入力!$B$15,A592+入力!$B$19,S591)</f>
        <v>360</v>
      </c>
      <c r="T592" s="35" t="str">
        <f t="shared" si="159"/>
        <v/>
      </c>
      <c r="U592" s="3">
        <f t="shared" si="144"/>
        <v>0</v>
      </c>
      <c r="V592" s="3">
        <f t="shared" si="145"/>
        <v>0</v>
      </c>
      <c r="W592" s="3">
        <f t="shared" si="146"/>
        <v>0</v>
      </c>
      <c r="X592" s="3">
        <f t="shared" si="147"/>
        <v>0</v>
      </c>
      <c r="Y592" s="3">
        <f>IF(A592&lt;入力!$B$15,ABS(G592-何もしない_月次!G592),0)</f>
        <v>0</v>
      </c>
      <c r="Z592" s="3">
        <f t="shared" si="148"/>
        <v>0</v>
      </c>
      <c r="AA592">
        <f>ROUND(IF(A592=入力!$B$15+1,IF(E592=0,ROUND(C592/入力!$B$19,0),ROUND(-PMT(E592/12,入力!$B$19,C592),0)),IF(OR(AND(入力!$B$13="有効",A592&gt;1,MOD(A592-1,60)=0),AND(A592=入力!$B$11,A592&gt;1)),IF(入力!$B$14="有効",MIN(IF(E592=0,ROUND(C592/MAX(1,S591-A592+1),0),ROUND(-PMT(E592/12,MAX(1,S591-A592+1),C592),0)),ROUND(G591*1.25,0)),IF(E592=0,ROUND(C592/MAX(1,S591-A592+1),0),ROUND(-PMT(E592/12,MAX(1,S591-A592+1),C592),0))),G591)),0)</f>
        <v>0</v>
      </c>
    </row>
    <row r="593" spans="1:27">
      <c r="A593" s="30">
        <f>588</f>
        <v>588</v>
      </c>
      <c r="B593" s="31">
        <f>EDATE(入力!$B$6,A593-1)</f>
        <v>64101</v>
      </c>
      <c r="C593" s="32">
        <f t="shared" si="149"/>
        <v>0</v>
      </c>
      <c r="D593" s="32">
        <f t="shared" si="150"/>
        <v>0</v>
      </c>
      <c r="E593" s="33">
        <f>IF(AND(T592="",A593&lt;=S592),IF(A593&lt;入力!$B$11,入力!$B$10,入力!$B$12),0)</f>
        <v>0</v>
      </c>
      <c r="F593" s="32">
        <f t="shared" si="151"/>
        <v>0</v>
      </c>
      <c r="G593" s="32">
        <f>ROUND(IF(NOT(AND(T592="",A593&lt;=S592)),0,IF(A593=入力!$B$15+1,IF(E593=0,ROUND(C593/入力!$B$19,0),ROUND(-PMT(E593/12,入力!$B$19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),0)</f>
        <v>0</v>
      </c>
      <c r="H593" s="32">
        <f t="shared" si="152"/>
        <v>0</v>
      </c>
      <c r="I593" s="32">
        <f t="shared" si="153"/>
        <v>0</v>
      </c>
      <c r="J593" s="32">
        <f t="shared" si="154"/>
        <v>0</v>
      </c>
      <c r="K593" s="32">
        <f t="shared" si="155"/>
        <v>0</v>
      </c>
      <c r="L593" s="32">
        <f t="shared" si="156"/>
        <v>0</v>
      </c>
      <c r="M593" s="32">
        <f>IF(AND(AND(T592="",A593&lt;=S592),A593=入力!$B$15),ROUND(MIN(入力!$B$16,MAX(0,C593-L593)),0),0)</f>
        <v>0</v>
      </c>
      <c r="N593" s="32">
        <f t="shared" si="157"/>
        <v>0</v>
      </c>
      <c r="O593" s="32">
        <f t="shared" si="158"/>
        <v>10751874</v>
      </c>
      <c r="P593" s="34" t="str">
        <f>IF(NOT(AND(T592="",A593&lt;=S592)),"",IF(A593=入力!$B$15+1,"繰上返済後再計算","")&amp;IF(AND(入力!$B$13="有効",A593&gt;1,MOD(A593-1,60)=0),IF(A593=入力!$B$15+1,"・","")&amp;"5年見直し","")&amp;IF(AND(A593=入力!$B$11,A593&gt;1),IF(OR(A593=入力!$B$15+1,AND(入力!$B$13="有効",A593&gt;1,MOD(A593-1,60)=0)),"・","")&amp;"金利変更","")&amp;IF(AND(OR(AND(入力!$B$13="有効",A593&gt;1,MOD(A593-1,60)=0),AND(A593=入力!$B$11,A593&gt;1)),入力!$B$14="有効",IF(E593=0,ROUND(C593/MAX(1,S592-A593+1),0),ROUND(-PMT(E593/12,MAX(1,S592-A593+1),C593),0))&gt;ROUND(G592*1.25,0),NOT(A593=入力!$B$15+1)),"・上限適用",""))</f>
        <v/>
      </c>
      <c r="Q593" s="35" t="str">
        <f>IF(AND(T592="",A593&lt;=S592),入力!$B$13,"")</f>
        <v/>
      </c>
      <c r="R593" s="32" t="str">
        <f>IF(AND(AND(T592="",A593&lt;=S592),OR(AND(入力!$B$13="有効",A593&gt;1,MOD(A593-1,60)=0),AND(A593=入力!$B$11,A593&gt;1)),入力!$B$14="有効"),ROUND(G592*1.25,0),"")</f>
        <v/>
      </c>
      <c r="S593" s="36">
        <f>IF(A593=入力!$B$15,A593+入力!$B$19,S592)</f>
        <v>360</v>
      </c>
      <c r="T593" s="35" t="str">
        <f t="shared" si="159"/>
        <v/>
      </c>
      <c r="U593" s="3">
        <f t="shared" si="144"/>
        <v>0</v>
      </c>
      <c r="V593" s="3">
        <f t="shared" si="145"/>
        <v>0</v>
      </c>
      <c r="W593" s="3">
        <f t="shared" si="146"/>
        <v>0</v>
      </c>
      <c r="X593" s="3">
        <f t="shared" si="147"/>
        <v>0</v>
      </c>
      <c r="Y593" s="3">
        <f>IF(A593&lt;入力!$B$15,ABS(G593-何もしない_月次!G593),0)</f>
        <v>0</v>
      </c>
      <c r="Z593" s="3">
        <f t="shared" si="148"/>
        <v>0</v>
      </c>
      <c r="AA593">
        <f>ROUND(IF(A593=入力!$B$15+1,IF(E593=0,ROUND(C593/入力!$B$19,0),ROUND(-PMT(E593/12,入力!$B$19,C593),0)),IF(OR(AND(入力!$B$13="有効",A593&gt;1,MOD(A593-1,60)=0),AND(A593=入力!$B$11,A593&gt;1)),IF(入力!$B$14="有効",MIN(IF(E593=0,ROUND(C593/MAX(1,S592-A593+1),0),ROUND(-PMT(E593/12,MAX(1,S592-A593+1),C593),0)),ROUND(G592*1.25,0)),IF(E593=0,ROUND(C593/MAX(1,S592-A593+1),0),ROUND(-PMT(E593/12,MAX(1,S592-A593+1),C593),0))),G592)),0)</f>
        <v>0</v>
      </c>
    </row>
    <row r="594" spans="1:27">
      <c r="A594" s="30">
        <f>589</f>
        <v>589</v>
      </c>
      <c r="B594" s="31">
        <f>EDATE(入力!$B$6,A594-1)</f>
        <v>64132</v>
      </c>
      <c r="C594" s="32">
        <f t="shared" si="149"/>
        <v>0</v>
      </c>
      <c r="D594" s="32">
        <f t="shared" si="150"/>
        <v>0</v>
      </c>
      <c r="E594" s="33">
        <f>IF(AND(T593="",A594&lt;=S593),IF(A594&lt;入力!$B$11,入力!$B$10,入力!$B$12),0)</f>
        <v>0</v>
      </c>
      <c r="F594" s="32">
        <f t="shared" si="151"/>
        <v>0</v>
      </c>
      <c r="G594" s="32">
        <f>ROUND(IF(NOT(AND(T593="",A594&lt;=S593)),0,IF(A594=入力!$B$15+1,IF(E594=0,ROUND(C594/入力!$B$19,0),ROUND(-PMT(E594/12,入力!$B$19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),0)</f>
        <v>0</v>
      </c>
      <c r="H594" s="32">
        <f t="shared" si="152"/>
        <v>0</v>
      </c>
      <c r="I594" s="32">
        <f t="shared" si="153"/>
        <v>0</v>
      </c>
      <c r="J594" s="32">
        <f t="shared" si="154"/>
        <v>0</v>
      </c>
      <c r="K594" s="32">
        <f t="shared" si="155"/>
        <v>0</v>
      </c>
      <c r="L594" s="32">
        <f t="shared" si="156"/>
        <v>0</v>
      </c>
      <c r="M594" s="32">
        <f>IF(AND(AND(T593="",A594&lt;=S593),A594=入力!$B$15),ROUND(MIN(入力!$B$16,MAX(0,C594-L594)),0),0)</f>
        <v>0</v>
      </c>
      <c r="N594" s="32">
        <f t="shared" si="157"/>
        <v>0</v>
      </c>
      <c r="O594" s="32">
        <f t="shared" si="158"/>
        <v>10751874</v>
      </c>
      <c r="P594" s="34" t="str">
        <f>IF(NOT(AND(T593="",A594&lt;=S593)),"",IF(A594=入力!$B$15+1,"繰上返済後再計算","")&amp;IF(AND(入力!$B$13="有効",A594&gt;1,MOD(A594-1,60)=0),IF(A594=入力!$B$15+1,"・","")&amp;"5年見直し","")&amp;IF(AND(A594=入力!$B$11,A594&gt;1),IF(OR(A594=入力!$B$15+1,AND(入力!$B$13="有効",A594&gt;1,MOD(A594-1,60)=0)),"・","")&amp;"金利変更","")&amp;IF(AND(OR(AND(入力!$B$13="有効",A594&gt;1,MOD(A594-1,60)=0),AND(A594=入力!$B$11,A594&gt;1)),入力!$B$14="有効",IF(E594=0,ROUND(C594/MAX(1,S593-A594+1),0),ROUND(-PMT(E594/12,MAX(1,S593-A594+1),C594),0))&gt;ROUND(G593*1.25,0),NOT(A594=入力!$B$15+1)),"・上限適用",""))</f>
        <v/>
      </c>
      <c r="Q594" s="35" t="str">
        <f>IF(AND(T593="",A594&lt;=S593),入力!$B$13,"")</f>
        <v/>
      </c>
      <c r="R594" s="32" t="str">
        <f>IF(AND(AND(T593="",A594&lt;=S593),OR(AND(入力!$B$13="有効",A594&gt;1,MOD(A594-1,60)=0),AND(A594=入力!$B$11,A594&gt;1)),入力!$B$14="有効"),ROUND(G593*1.25,0),"")</f>
        <v/>
      </c>
      <c r="S594" s="36">
        <f>IF(A594=入力!$B$15,A594+入力!$B$19,S593)</f>
        <v>360</v>
      </c>
      <c r="T594" s="35" t="str">
        <f t="shared" si="159"/>
        <v/>
      </c>
      <c r="U594" s="3">
        <f t="shared" si="144"/>
        <v>0</v>
      </c>
      <c r="V594" s="3">
        <f t="shared" si="145"/>
        <v>0</v>
      </c>
      <c r="W594" s="3">
        <f t="shared" si="146"/>
        <v>0</v>
      </c>
      <c r="X594" s="3">
        <f t="shared" si="147"/>
        <v>0</v>
      </c>
      <c r="Y594" s="3">
        <f>IF(A594&lt;入力!$B$15,ABS(G594-何もしない_月次!G594),0)</f>
        <v>0</v>
      </c>
      <c r="Z594" s="3">
        <f t="shared" si="148"/>
        <v>0</v>
      </c>
      <c r="AA594">
        <f>ROUND(IF(A594=入力!$B$15+1,IF(E594=0,ROUND(C594/入力!$B$19,0),ROUND(-PMT(E594/12,入力!$B$19,C594),0)),IF(OR(AND(入力!$B$13="有効",A594&gt;1,MOD(A594-1,60)=0),AND(A594=入力!$B$11,A594&gt;1)),IF(入力!$B$14="有効",MIN(IF(E594=0,ROUND(C594/MAX(1,S593-A594+1),0),ROUND(-PMT(E594/12,MAX(1,S593-A594+1),C594),0)),ROUND(G593*1.25,0)),IF(E594=0,ROUND(C594/MAX(1,S593-A594+1),0),ROUND(-PMT(E594/12,MAX(1,S593-A594+1),C594),0))),G593)),0)</f>
        <v>0</v>
      </c>
    </row>
    <row r="595" spans="1:27">
      <c r="A595" s="30">
        <f>590</f>
        <v>590</v>
      </c>
      <c r="B595" s="31">
        <f>EDATE(入力!$B$6,A595-1)</f>
        <v>64163</v>
      </c>
      <c r="C595" s="32">
        <f t="shared" si="149"/>
        <v>0</v>
      </c>
      <c r="D595" s="32">
        <f t="shared" si="150"/>
        <v>0</v>
      </c>
      <c r="E595" s="33">
        <f>IF(AND(T594="",A595&lt;=S594),IF(A595&lt;入力!$B$11,入力!$B$10,入力!$B$12),0)</f>
        <v>0</v>
      </c>
      <c r="F595" s="32">
        <f t="shared" si="151"/>
        <v>0</v>
      </c>
      <c r="G595" s="32">
        <f>ROUND(IF(NOT(AND(T594="",A595&lt;=S594)),0,IF(A595=入力!$B$15+1,IF(E595=0,ROUND(C595/入力!$B$19,0),ROUND(-PMT(E595/12,入力!$B$19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),0)</f>
        <v>0</v>
      </c>
      <c r="H595" s="32">
        <f t="shared" si="152"/>
        <v>0</v>
      </c>
      <c r="I595" s="32">
        <f t="shared" si="153"/>
        <v>0</v>
      </c>
      <c r="J595" s="32">
        <f t="shared" si="154"/>
        <v>0</v>
      </c>
      <c r="K595" s="32">
        <f t="shared" si="155"/>
        <v>0</v>
      </c>
      <c r="L595" s="32">
        <f t="shared" si="156"/>
        <v>0</v>
      </c>
      <c r="M595" s="32">
        <f>IF(AND(AND(T594="",A595&lt;=S594),A595=入力!$B$15),ROUND(MIN(入力!$B$16,MAX(0,C595-L595)),0),0)</f>
        <v>0</v>
      </c>
      <c r="N595" s="32">
        <f t="shared" si="157"/>
        <v>0</v>
      </c>
      <c r="O595" s="32">
        <f t="shared" si="158"/>
        <v>10751874</v>
      </c>
      <c r="P595" s="34" t="str">
        <f>IF(NOT(AND(T594="",A595&lt;=S594)),"",IF(A595=入力!$B$15+1,"繰上返済後再計算","")&amp;IF(AND(入力!$B$13="有効",A595&gt;1,MOD(A595-1,60)=0),IF(A595=入力!$B$15+1,"・","")&amp;"5年見直し","")&amp;IF(AND(A595=入力!$B$11,A595&gt;1),IF(OR(A595=入力!$B$15+1,AND(入力!$B$13="有効",A595&gt;1,MOD(A595-1,60)=0)),"・","")&amp;"金利変更","")&amp;IF(AND(OR(AND(入力!$B$13="有効",A595&gt;1,MOD(A595-1,60)=0),AND(A595=入力!$B$11,A595&gt;1)),入力!$B$14="有効",IF(E595=0,ROUND(C595/MAX(1,S594-A595+1),0),ROUND(-PMT(E595/12,MAX(1,S594-A595+1),C595),0))&gt;ROUND(G594*1.25,0),NOT(A595=入力!$B$15+1)),"・上限適用",""))</f>
        <v/>
      </c>
      <c r="Q595" s="35" t="str">
        <f>IF(AND(T594="",A595&lt;=S594),入力!$B$13,"")</f>
        <v/>
      </c>
      <c r="R595" s="32" t="str">
        <f>IF(AND(AND(T594="",A595&lt;=S594),OR(AND(入力!$B$13="有効",A595&gt;1,MOD(A595-1,60)=0),AND(A595=入力!$B$11,A595&gt;1)),入力!$B$14="有効"),ROUND(G594*1.25,0),"")</f>
        <v/>
      </c>
      <c r="S595" s="36">
        <f>IF(A595=入力!$B$15,A595+入力!$B$19,S594)</f>
        <v>360</v>
      </c>
      <c r="T595" s="35" t="str">
        <f t="shared" si="159"/>
        <v/>
      </c>
      <c r="U595" s="3">
        <f t="shared" si="144"/>
        <v>0</v>
      </c>
      <c r="V595" s="3">
        <f t="shared" si="145"/>
        <v>0</v>
      </c>
      <c r="W595" s="3">
        <f t="shared" si="146"/>
        <v>0</v>
      </c>
      <c r="X595" s="3">
        <f t="shared" si="147"/>
        <v>0</v>
      </c>
      <c r="Y595" s="3">
        <f>IF(A595&lt;入力!$B$15,ABS(G595-何もしない_月次!G595),0)</f>
        <v>0</v>
      </c>
      <c r="Z595" s="3">
        <f t="shared" si="148"/>
        <v>0</v>
      </c>
      <c r="AA595">
        <f>ROUND(IF(A595=入力!$B$15+1,IF(E595=0,ROUND(C595/入力!$B$19,0),ROUND(-PMT(E595/12,入力!$B$19,C595),0)),IF(OR(AND(入力!$B$13="有効",A595&gt;1,MOD(A595-1,60)=0),AND(A595=入力!$B$11,A595&gt;1)),IF(入力!$B$14="有効",MIN(IF(E595=0,ROUND(C595/MAX(1,S594-A595+1),0),ROUND(-PMT(E595/12,MAX(1,S594-A595+1),C595),0)),ROUND(G594*1.25,0)),IF(E595=0,ROUND(C595/MAX(1,S594-A595+1),0),ROUND(-PMT(E595/12,MAX(1,S594-A595+1),C595),0))),G594)),0)</f>
        <v>0</v>
      </c>
    </row>
    <row r="596" spans="1:27">
      <c r="A596" s="30">
        <f>591</f>
        <v>591</v>
      </c>
      <c r="B596" s="31">
        <f>EDATE(入力!$B$6,A596-1)</f>
        <v>64193</v>
      </c>
      <c r="C596" s="32">
        <f t="shared" si="149"/>
        <v>0</v>
      </c>
      <c r="D596" s="32">
        <f t="shared" si="150"/>
        <v>0</v>
      </c>
      <c r="E596" s="33">
        <f>IF(AND(T595="",A596&lt;=S595),IF(A596&lt;入力!$B$11,入力!$B$10,入力!$B$12),0)</f>
        <v>0</v>
      </c>
      <c r="F596" s="32">
        <f t="shared" si="151"/>
        <v>0</v>
      </c>
      <c r="G596" s="32">
        <f>ROUND(IF(NOT(AND(T595="",A596&lt;=S595)),0,IF(A596=入力!$B$15+1,IF(E596=0,ROUND(C596/入力!$B$19,0),ROUND(-PMT(E596/12,入力!$B$19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),0)</f>
        <v>0</v>
      </c>
      <c r="H596" s="32">
        <f t="shared" si="152"/>
        <v>0</v>
      </c>
      <c r="I596" s="32">
        <f t="shared" si="153"/>
        <v>0</v>
      </c>
      <c r="J596" s="32">
        <f t="shared" si="154"/>
        <v>0</v>
      </c>
      <c r="K596" s="32">
        <f t="shared" si="155"/>
        <v>0</v>
      </c>
      <c r="L596" s="32">
        <f t="shared" si="156"/>
        <v>0</v>
      </c>
      <c r="M596" s="32">
        <f>IF(AND(AND(T595="",A596&lt;=S595),A596=入力!$B$15),ROUND(MIN(入力!$B$16,MAX(0,C596-L596)),0),0)</f>
        <v>0</v>
      </c>
      <c r="N596" s="32">
        <f t="shared" si="157"/>
        <v>0</v>
      </c>
      <c r="O596" s="32">
        <f t="shared" si="158"/>
        <v>10751874</v>
      </c>
      <c r="P596" s="34" t="str">
        <f>IF(NOT(AND(T595="",A596&lt;=S595)),"",IF(A596=入力!$B$15+1,"繰上返済後再計算","")&amp;IF(AND(入力!$B$13="有効",A596&gt;1,MOD(A596-1,60)=0),IF(A596=入力!$B$15+1,"・","")&amp;"5年見直し","")&amp;IF(AND(A596=入力!$B$11,A596&gt;1),IF(OR(A596=入力!$B$15+1,AND(入力!$B$13="有効",A596&gt;1,MOD(A596-1,60)=0)),"・","")&amp;"金利変更","")&amp;IF(AND(OR(AND(入力!$B$13="有効",A596&gt;1,MOD(A596-1,60)=0),AND(A596=入力!$B$11,A596&gt;1)),入力!$B$14="有効",IF(E596=0,ROUND(C596/MAX(1,S595-A596+1),0),ROUND(-PMT(E596/12,MAX(1,S595-A596+1),C596),0))&gt;ROUND(G595*1.25,0),NOT(A596=入力!$B$15+1)),"・上限適用",""))</f>
        <v/>
      </c>
      <c r="Q596" s="35" t="str">
        <f>IF(AND(T595="",A596&lt;=S595),入力!$B$13,"")</f>
        <v/>
      </c>
      <c r="R596" s="32" t="str">
        <f>IF(AND(AND(T595="",A596&lt;=S595),OR(AND(入力!$B$13="有効",A596&gt;1,MOD(A596-1,60)=0),AND(A596=入力!$B$11,A596&gt;1)),入力!$B$14="有効"),ROUND(G595*1.25,0),"")</f>
        <v/>
      </c>
      <c r="S596" s="36">
        <f>IF(A596=入力!$B$15,A596+入力!$B$19,S595)</f>
        <v>360</v>
      </c>
      <c r="T596" s="35" t="str">
        <f t="shared" si="159"/>
        <v/>
      </c>
      <c r="U596" s="3">
        <f t="shared" si="144"/>
        <v>0</v>
      </c>
      <c r="V596" s="3">
        <f t="shared" si="145"/>
        <v>0</v>
      </c>
      <c r="W596" s="3">
        <f t="shared" si="146"/>
        <v>0</v>
      </c>
      <c r="X596" s="3">
        <f t="shared" si="147"/>
        <v>0</v>
      </c>
      <c r="Y596" s="3">
        <f>IF(A596&lt;入力!$B$15,ABS(G596-何もしない_月次!G596),0)</f>
        <v>0</v>
      </c>
      <c r="Z596" s="3">
        <f t="shared" si="148"/>
        <v>0</v>
      </c>
      <c r="AA596">
        <f>ROUND(IF(A596=入力!$B$15+1,IF(E596=0,ROUND(C596/入力!$B$19,0),ROUND(-PMT(E596/12,入力!$B$19,C596),0)),IF(OR(AND(入力!$B$13="有効",A596&gt;1,MOD(A596-1,60)=0),AND(A596=入力!$B$11,A596&gt;1)),IF(入力!$B$14="有効",MIN(IF(E596=0,ROUND(C596/MAX(1,S595-A596+1),0),ROUND(-PMT(E596/12,MAX(1,S595-A596+1),C596),0)),ROUND(G595*1.25,0)),IF(E596=0,ROUND(C596/MAX(1,S595-A596+1),0),ROUND(-PMT(E596/12,MAX(1,S595-A596+1),C596),0))),G595)),0)</f>
        <v>0</v>
      </c>
    </row>
    <row r="597" spans="1:27">
      <c r="A597" s="30">
        <f>592</f>
        <v>592</v>
      </c>
      <c r="B597" s="31">
        <f>EDATE(入力!$B$6,A597-1)</f>
        <v>64224</v>
      </c>
      <c r="C597" s="32">
        <f t="shared" si="149"/>
        <v>0</v>
      </c>
      <c r="D597" s="32">
        <f t="shared" si="150"/>
        <v>0</v>
      </c>
      <c r="E597" s="33">
        <f>IF(AND(T596="",A597&lt;=S596),IF(A597&lt;入力!$B$11,入力!$B$10,入力!$B$12),0)</f>
        <v>0</v>
      </c>
      <c r="F597" s="32">
        <f t="shared" si="151"/>
        <v>0</v>
      </c>
      <c r="G597" s="32">
        <f>ROUND(IF(NOT(AND(T596="",A597&lt;=S596)),0,IF(A597=入力!$B$15+1,IF(E597=0,ROUND(C597/入力!$B$19,0),ROUND(-PMT(E597/12,入力!$B$19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),0)</f>
        <v>0</v>
      </c>
      <c r="H597" s="32">
        <f t="shared" si="152"/>
        <v>0</v>
      </c>
      <c r="I597" s="32">
        <f t="shared" si="153"/>
        <v>0</v>
      </c>
      <c r="J597" s="32">
        <f t="shared" si="154"/>
        <v>0</v>
      </c>
      <c r="K597" s="32">
        <f t="shared" si="155"/>
        <v>0</v>
      </c>
      <c r="L597" s="32">
        <f t="shared" si="156"/>
        <v>0</v>
      </c>
      <c r="M597" s="32">
        <f>IF(AND(AND(T596="",A597&lt;=S596),A597=入力!$B$15),ROUND(MIN(入力!$B$16,MAX(0,C597-L597)),0),0)</f>
        <v>0</v>
      </c>
      <c r="N597" s="32">
        <f t="shared" si="157"/>
        <v>0</v>
      </c>
      <c r="O597" s="32">
        <f t="shared" si="158"/>
        <v>10751874</v>
      </c>
      <c r="P597" s="34" t="str">
        <f>IF(NOT(AND(T596="",A597&lt;=S596)),"",IF(A597=入力!$B$15+1,"繰上返済後再計算","")&amp;IF(AND(入力!$B$13="有効",A597&gt;1,MOD(A597-1,60)=0),IF(A597=入力!$B$15+1,"・","")&amp;"5年見直し","")&amp;IF(AND(A597=入力!$B$11,A597&gt;1),IF(OR(A597=入力!$B$15+1,AND(入力!$B$13="有効",A597&gt;1,MOD(A597-1,60)=0)),"・","")&amp;"金利変更","")&amp;IF(AND(OR(AND(入力!$B$13="有効",A597&gt;1,MOD(A597-1,60)=0),AND(A597=入力!$B$11,A597&gt;1)),入力!$B$14="有効",IF(E597=0,ROUND(C597/MAX(1,S596-A597+1),0),ROUND(-PMT(E597/12,MAX(1,S596-A597+1),C597),0))&gt;ROUND(G596*1.25,0),NOT(A597=入力!$B$15+1)),"・上限適用",""))</f>
        <v/>
      </c>
      <c r="Q597" s="35" t="str">
        <f>IF(AND(T596="",A597&lt;=S596),入力!$B$13,"")</f>
        <v/>
      </c>
      <c r="R597" s="32" t="str">
        <f>IF(AND(AND(T596="",A597&lt;=S596),OR(AND(入力!$B$13="有効",A597&gt;1,MOD(A597-1,60)=0),AND(A597=入力!$B$11,A597&gt;1)),入力!$B$14="有効"),ROUND(G596*1.25,0),"")</f>
        <v/>
      </c>
      <c r="S597" s="36">
        <f>IF(A597=入力!$B$15,A597+入力!$B$19,S596)</f>
        <v>360</v>
      </c>
      <c r="T597" s="35" t="str">
        <f t="shared" si="159"/>
        <v/>
      </c>
      <c r="U597" s="3">
        <f t="shared" si="144"/>
        <v>0</v>
      </c>
      <c r="V597" s="3">
        <f t="shared" si="145"/>
        <v>0</v>
      </c>
      <c r="W597" s="3">
        <f t="shared" si="146"/>
        <v>0</v>
      </c>
      <c r="X597" s="3">
        <f t="shared" si="147"/>
        <v>0</v>
      </c>
      <c r="Y597" s="3">
        <f>IF(A597&lt;入力!$B$15,ABS(G597-何もしない_月次!G597),0)</f>
        <v>0</v>
      </c>
      <c r="Z597" s="3">
        <f t="shared" si="148"/>
        <v>0</v>
      </c>
      <c r="AA597">
        <f>ROUND(IF(A597=入力!$B$15+1,IF(E597=0,ROUND(C597/入力!$B$19,0),ROUND(-PMT(E597/12,入力!$B$19,C597),0)),IF(OR(AND(入力!$B$13="有効",A597&gt;1,MOD(A597-1,60)=0),AND(A597=入力!$B$11,A597&gt;1)),IF(入力!$B$14="有効",MIN(IF(E597=0,ROUND(C597/MAX(1,S596-A597+1),0),ROUND(-PMT(E597/12,MAX(1,S596-A597+1),C597),0)),ROUND(G596*1.25,0)),IF(E597=0,ROUND(C597/MAX(1,S596-A597+1),0),ROUND(-PMT(E597/12,MAX(1,S596-A597+1),C597),0))),G596)),0)</f>
        <v>0</v>
      </c>
    </row>
    <row r="598" spans="1:27">
      <c r="A598" s="30">
        <f>593</f>
        <v>593</v>
      </c>
      <c r="B598" s="31">
        <f>EDATE(入力!$B$6,A598-1)</f>
        <v>64254</v>
      </c>
      <c r="C598" s="32">
        <f t="shared" si="149"/>
        <v>0</v>
      </c>
      <c r="D598" s="32">
        <f t="shared" si="150"/>
        <v>0</v>
      </c>
      <c r="E598" s="33">
        <f>IF(AND(T597="",A598&lt;=S597),IF(A598&lt;入力!$B$11,入力!$B$10,入力!$B$12),0)</f>
        <v>0</v>
      </c>
      <c r="F598" s="32">
        <f t="shared" si="151"/>
        <v>0</v>
      </c>
      <c r="G598" s="32">
        <f>ROUND(IF(NOT(AND(T597="",A598&lt;=S597)),0,IF(A598=入力!$B$15+1,IF(E598=0,ROUND(C598/入力!$B$19,0),ROUND(-PMT(E598/12,入力!$B$19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),0)</f>
        <v>0</v>
      </c>
      <c r="H598" s="32">
        <f t="shared" si="152"/>
        <v>0</v>
      </c>
      <c r="I598" s="32">
        <f t="shared" si="153"/>
        <v>0</v>
      </c>
      <c r="J598" s="32">
        <f t="shared" si="154"/>
        <v>0</v>
      </c>
      <c r="K598" s="32">
        <f t="shared" si="155"/>
        <v>0</v>
      </c>
      <c r="L598" s="32">
        <f t="shared" si="156"/>
        <v>0</v>
      </c>
      <c r="M598" s="32">
        <f>IF(AND(AND(T597="",A598&lt;=S597),A598=入力!$B$15),ROUND(MIN(入力!$B$16,MAX(0,C598-L598)),0),0)</f>
        <v>0</v>
      </c>
      <c r="N598" s="32">
        <f t="shared" si="157"/>
        <v>0</v>
      </c>
      <c r="O598" s="32">
        <f t="shared" si="158"/>
        <v>10751874</v>
      </c>
      <c r="P598" s="34" t="str">
        <f>IF(NOT(AND(T597="",A598&lt;=S597)),"",IF(A598=入力!$B$15+1,"繰上返済後再計算","")&amp;IF(AND(入力!$B$13="有効",A598&gt;1,MOD(A598-1,60)=0),IF(A598=入力!$B$15+1,"・","")&amp;"5年見直し","")&amp;IF(AND(A598=入力!$B$11,A598&gt;1),IF(OR(A598=入力!$B$15+1,AND(入力!$B$13="有効",A598&gt;1,MOD(A598-1,60)=0)),"・","")&amp;"金利変更","")&amp;IF(AND(OR(AND(入力!$B$13="有効",A598&gt;1,MOD(A598-1,60)=0),AND(A598=入力!$B$11,A598&gt;1)),入力!$B$14="有効",IF(E598=0,ROUND(C598/MAX(1,S597-A598+1),0),ROUND(-PMT(E598/12,MAX(1,S597-A598+1),C598),0))&gt;ROUND(G597*1.25,0),NOT(A598=入力!$B$15+1)),"・上限適用",""))</f>
        <v/>
      </c>
      <c r="Q598" s="35" t="str">
        <f>IF(AND(T597="",A598&lt;=S597),入力!$B$13,"")</f>
        <v/>
      </c>
      <c r="R598" s="32" t="str">
        <f>IF(AND(AND(T597="",A598&lt;=S597),OR(AND(入力!$B$13="有効",A598&gt;1,MOD(A598-1,60)=0),AND(A598=入力!$B$11,A598&gt;1)),入力!$B$14="有効"),ROUND(G597*1.25,0),"")</f>
        <v/>
      </c>
      <c r="S598" s="36">
        <f>IF(A598=入力!$B$15,A598+入力!$B$19,S597)</f>
        <v>360</v>
      </c>
      <c r="T598" s="35" t="str">
        <f t="shared" si="159"/>
        <v/>
      </c>
      <c r="U598" s="3">
        <f t="shared" si="144"/>
        <v>0</v>
      </c>
      <c r="V598" s="3">
        <f t="shared" si="145"/>
        <v>0</v>
      </c>
      <c r="W598" s="3">
        <f t="shared" si="146"/>
        <v>0</v>
      </c>
      <c r="X598" s="3">
        <f t="shared" si="147"/>
        <v>0</v>
      </c>
      <c r="Y598" s="3">
        <f>IF(A598&lt;入力!$B$15,ABS(G598-何もしない_月次!G598),0)</f>
        <v>0</v>
      </c>
      <c r="Z598" s="3">
        <f t="shared" si="148"/>
        <v>0</v>
      </c>
      <c r="AA598">
        <f>ROUND(IF(A598=入力!$B$15+1,IF(E598=0,ROUND(C598/入力!$B$19,0),ROUND(-PMT(E598/12,入力!$B$19,C598),0)),IF(OR(AND(入力!$B$13="有効",A598&gt;1,MOD(A598-1,60)=0),AND(A598=入力!$B$11,A598&gt;1)),IF(入力!$B$14="有効",MIN(IF(E598=0,ROUND(C598/MAX(1,S597-A598+1),0),ROUND(-PMT(E598/12,MAX(1,S597-A598+1),C598),0)),ROUND(G597*1.25,0)),IF(E598=0,ROUND(C598/MAX(1,S597-A598+1),0),ROUND(-PMT(E598/12,MAX(1,S597-A598+1),C598),0))),G597)),0)</f>
        <v>0</v>
      </c>
    </row>
    <row r="599" spans="1:27">
      <c r="A599" s="30">
        <f>594</f>
        <v>594</v>
      </c>
      <c r="B599" s="31">
        <f>EDATE(入力!$B$6,A599-1)</f>
        <v>64285</v>
      </c>
      <c r="C599" s="32">
        <f t="shared" si="149"/>
        <v>0</v>
      </c>
      <c r="D599" s="32">
        <f t="shared" si="150"/>
        <v>0</v>
      </c>
      <c r="E599" s="33">
        <f>IF(AND(T598="",A599&lt;=S598),IF(A599&lt;入力!$B$11,入力!$B$10,入力!$B$12),0)</f>
        <v>0</v>
      </c>
      <c r="F599" s="32">
        <f t="shared" si="151"/>
        <v>0</v>
      </c>
      <c r="G599" s="32">
        <f>ROUND(IF(NOT(AND(T598="",A599&lt;=S598)),0,IF(A599=入力!$B$15+1,IF(E599=0,ROUND(C599/入力!$B$19,0),ROUND(-PMT(E599/12,入力!$B$19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),0)</f>
        <v>0</v>
      </c>
      <c r="H599" s="32">
        <f t="shared" si="152"/>
        <v>0</v>
      </c>
      <c r="I599" s="32">
        <f t="shared" si="153"/>
        <v>0</v>
      </c>
      <c r="J599" s="32">
        <f t="shared" si="154"/>
        <v>0</v>
      </c>
      <c r="K599" s="32">
        <f t="shared" si="155"/>
        <v>0</v>
      </c>
      <c r="L599" s="32">
        <f t="shared" si="156"/>
        <v>0</v>
      </c>
      <c r="M599" s="32">
        <f>IF(AND(AND(T598="",A599&lt;=S598),A599=入力!$B$15),ROUND(MIN(入力!$B$16,MAX(0,C599-L599)),0),0)</f>
        <v>0</v>
      </c>
      <c r="N599" s="32">
        <f t="shared" si="157"/>
        <v>0</v>
      </c>
      <c r="O599" s="32">
        <f t="shared" si="158"/>
        <v>10751874</v>
      </c>
      <c r="P599" s="34" t="str">
        <f>IF(NOT(AND(T598="",A599&lt;=S598)),"",IF(A599=入力!$B$15+1,"繰上返済後再計算","")&amp;IF(AND(入力!$B$13="有効",A599&gt;1,MOD(A599-1,60)=0),IF(A599=入力!$B$15+1,"・","")&amp;"5年見直し","")&amp;IF(AND(A599=入力!$B$11,A599&gt;1),IF(OR(A599=入力!$B$15+1,AND(入力!$B$13="有効",A599&gt;1,MOD(A599-1,60)=0)),"・","")&amp;"金利変更","")&amp;IF(AND(OR(AND(入力!$B$13="有効",A599&gt;1,MOD(A599-1,60)=0),AND(A599=入力!$B$11,A599&gt;1)),入力!$B$14="有効",IF(E599=0,ROUND(C599/MAX(1,S598-A599+1),0),ROUND(-PMT(E599/12,MAX(1,S598-A599+1),C599),0))&gt;ROUND(G598*1.25,0),NOT(A599=入力!$B$15+1)),"・上限適用",""))</f>
        <v/>
      </c>
      <c r="Q599" s="35" t="str">
        <f>IF(AND(T598="",A599&lt;=S598),入力!$B$13,"")</f>
        <v/>
      </c>
      <c r="R599" s="32" t="str">
        <f>IF(AND(AND(T598="",A599&lt;=S598),OR(AND(入力!$B$13="有効",A599&gt;1,MOD(A599-1,60)=0),AND(A599=入力!$B$11,A599&gt;1)),入力!$B$14="有効"),ROUND(G598*1.25,0),"")</f>
        <v/>
      </c>
      <c r="S599" s="36">
        <f>IF(A599=入力!$B$15,A599+入力!$B$19,S598)</f>
        <v>360</v>
      </c>
      <c r="T599" s="35" t="str">
        <f t="shared" si="159"/>
        <v/>
      </c>
      <c r="U599" s="3">
        <f t="shared" si="144"/>
        <v>0</v>
      </c>
      <c r="V599" s="3">
        <f t="shared" si="145"/>
        <v>0</v>
      </c>
      <c r="W599" s="3">
        <f t="shared" si="146"/>
        <v>0</v>
      </c>
      <c r="X599" s="3">
        <f t="shared" si="147"/>
        <v>0</v>
      </c>
      <c r="Y599" s="3">
        <f>IF(A599&lt;入力!$B$15,ABS(G599-何もしない_月次!G599),0)</f>
        <v>0</v>
      </c>
      <c r="Z599" s="3">
        <f t="shared" si="148"/>
        <v>0</v>
      </c>
      <c r="AA599">
        <f>ROUND(IF(A599=入力!$B$15+1,IF(E599=0,ROUND(C599/入力!$B$19,0),ROUND(-PMT(E599/12,入力!$B$19,C599),0)),IF(OR(AND(入力!$B$13="有効",A599&gt;1,MOD(A599-1,60)=0),AND(A599=入力!$B$11,A599&gt;1)),IF(入力!$B$14="有効",MIN(IF(E599=0,ROUND(C599/MAX(1,S598-A599+1),0),ROUND(-PMT(E599/12,MAX(1,S598-A599+1),C599),0)),ROUND(G598*1.25,0)),IF(E599=0,ROUND(C599/MAX(1,S598-A599+1),0),ROUND(-PMT(E599/12,MAX(1,S598-A599+1),C599),0))),G598)),0)</f>
        <v>0</v>
      </c>
    </row>
    <row r="600" spans="1:27">
      <c r="A600" s="30">
        <f>595</f>
        <v>595</v>
      </c>
      <c r="B600" s="31">
        <f>EDATE(入力!$B$6,A600-1)</f>
        <v>64316</v>
      </c>
      <c r="C600" s="32">
        <f t="shared" si="149"/>
        <v>0</v>
      </c>
      <c r="D600" s="32">
        <f t="shared" si="150"/>
        <v>0</v>
      </c>
      <c r="E600" s="33">
        <f>IF(AND(T599="",A600&lt;=S599),IF(A600&lt;入力!$B$11,入力!$B$10,入力!$B$12),0)</f>
        <v>0</v>
      </c>
      <c r="F600" s="32">
        <f t="shared" si="151"/>
        <v>0</v>
      </c>
      <c r="G600" s="32">
        <f>ROUND(IF(NOT(AND(T599="",A600&lt;=S599)),0,IF(A600=入力!$B$15+1,IF(E600=0,ROUND(C600/入力!$B$19,0),ROUND(-PMT(E600/12,入力!$B$19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),0)</f>
        <v>0</v>
      </c>
      <c r="H600" s="32">
        <f t="shared" si="152"/>
        <v>0</v>
      </c>
      <c r="I600" s="32">
        <f t="shared" si="153"/>
        <v>0</v>
      </c>
      <c r="J600" s="32">
        <f t="shared" si="154"/>
        <v>0</v>
      </c>
      <c r="K600" s="32">
        <f t="shared" si="155"/>
        <v>0</v>
      </c>
      <c r="L600" s="32">
        <f t="shared" si="156"/>
        <v>0</v>
      </c>
      <c r="M600" s="32">
        <f>IF(AND(AND(T599="",A600&lt;=S599),A600=入力!$B$15),ROUND(MIN(入力!$B$16,MAX(0,C600-L600)),0),0)</f>
        <v>0</v>
      </c>
      <c r="N600" s="32">
        <f t="shared" si="157"/>
        <v>0</v>
      </c>
      <c r="O600" s="32">
        <f t="shared" si="158"/>
        <v>10751874</v>
      </c>
      <c r="P600" s="34" t="str">
        <f>IF(NOT(AND(T599="",A600&lt;=S599)),"",IF(A600=入力!$B$15+1,"繰上返済後再計算","")&amp;IF(AND(入力!$B$13="有効",A600&gt;1,MOD(A600-1,60)=0),IF(A600=入力!$B$15+1,"・","")&amp;"5年見直し","")&amp;IF(AND(A600=入力!$B$11,A600&gt;1),IF(OR(A600=入力!$B$15+1,AND(入力!$B$13="有効",A600&gt;1,MOD(A600-1,60)=0)),"・","")&amp;"金利変更","")&amp;IF(AND(OR(AND(入力!$B$13="有効",A600&gt;1,MOD(A600-1,60)=0),AND(A600=入力!$B$11,A600&gt;1)),入力!$B$14="有効",IF(E600=0,ROUND(C600/MAX(1,S599-A600+1),0),ROUND(-PMT(E600/12,MAX(1,S599-A600+1),C600),0))&gt;ROUND(G599*1.25,0),NOT(A600=入力!$B$15+1)),"・上限適用",""))</f>
        <v/>
      </c>
      <c r="Q600" s="35" t="str">
        <f>IF(AND(T599="",A600&lt;=S599),入力!$B$13,"")</f>
        <v/>
      </c>
      <c r="R600" s="32" t="str">
        <f>IF(AND(AND(T599="",A600&lt;=S599),OR(AND(入力!$B$13="有効",A600&gt;1,MOD(A600-1,60)=0),AND(A600=入力!$B$11,A600&gt;1)),入力!$B$14="有効"),ROUND(G599*1.25,0),"")</f>
        <v/>
      </c>
      <c r="S600" s="36">
        <f>IF(A600=入力!$B$15,A600+入力!$B$19,S599)</f>
        <v>360</v>
      </c>
      <c r="T600" s="35" t="str">
        <f t="shared" si="159"/>
        <v/>
      </c>
      <c r="U600" s="3">
        <f t="shared" si="144"/>
        <v>0</v>
      </c>
      <c r="V600" s="3">
        <f t="shared" si="145"/>
        <v>0</v>
      </c>
      <c r="W600" s="3">
        <f t="shared" si="146"/>
        <v>0</v>
      </c>
      <c r="X600" s="3">
        <f t="shared" si="147"/>
        <v>0</v>
      </c>
      <c r="Y600" s="3">
        <f>IF(A600&lt;入力!$B$15,ABS(G600-何もしない_月次!G600),0)</f>
        <v>0</v>
      </c>
      <c r="Z600" s="3">
        <f t="shared" si="148"/>
        <v>0</v>
      </c>
      <c r="AA600">
        <f>ROUND(IF(A600=入力!$B$15+1,IF(E600=0,ROUND(C600/入力!$B$19,0),ROUND(-PMT(E600/12,入力!$B$19,C600),0)),IF(OR(AND(入力!$B$13="有効",A600&gt;1,MOD(A600-1,60)=0),AND(A600=入力!$B$11,A600&gt;1)),IF(入力!$B$14="有効",MIN(IF(E600=0,ROUND(C600/MAX(1,S599-A600+1),0),ROUND(-PMT(E600/12,MAX(1,S599-A600+1),C600),0)),ROUND(G599*1.25,0)),IF(E600=0,ROUND(C600/MAX(1,S599-A600+1),0),ROUND(-PMT(E600/12,MAX(1,S599-A600+1),C600),0))),G599)),0)</f>
        <v>0</v>
      </c>
    </row>
    <row r="601" spans="1:27">
      <c r="A601" s="30">
        <f>596</f>
        <v>596</v>
      </c>
      <c r="B601" s="31">
        <f>EDATE(入力!$B$6,A601-1)</f>
        <v>64345</v>
      </c>
      <c r="C601" s="32">
        <f t="shared" si="149"/>
        <v>0</v>
      </c>
      <c r="D601" s="32">
        <f t="shared" si="150"/>
        <v>0</v>
      </c>
      <c r="E601" s="33">
        <f>IF(AND(T600="",A601&lt;=S600),IF(A601&lt;入力!$B$11,入力!$B$10,入力!$B$12),0)</f>
        <v>0</v>
      </c>
      <c r="F601" s="32">
        <f t="shared" si="151"/>
        <v>0</v>
      </c>
      <c r="G601" s="32">
        <f>ROUND(IF(NOT(AND(T600="",A601&lt;=S600)),0,IF(A601=入力!$B$15+1,IF(E601=0,ROUND(C601/入力!$B$19,0),ROUND(-PMT(E601/12,入力!$B$19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),0)</f>
        <v>0</v>
      </c>
      <c r="H601" s="32">
        <f t="shared" si="152"/>
        <v>0</v>
      </c>
      <c r="I601" s="32">
        <f t="shared" si="153"/>
        <v>0</v>
      </c>
      <c r="J601" s="32">
        <f t="shared" si="154"/>
        <v>0</v>
      </c>
      <c r="K601" s="32">
        <f t="shared" si="155"/>
        <v>0</v>
      </c>
      <c r="L601" s="32">
        <f t="shared" si="156"/>
        <v>0</v>
      </c>
      <c r="M601" s="32">
        <f>IF(AND(AND(T600="",A601&lt;=S600),A601=入力!$B$15),ROUND(MIN(入力!$B$16,MAX(0,C601-L601)),0),0)</f>
        <v>0</v>
      </c>
      <c r="N601" s="32">
        <f t="shared" si="157"/>
        <v>0</v>
      </c>
      <c r="O601" s="32">
        <f t="shared" si="158"/>
        <v>10751874</v>
      </c>
      <c r="P601" s="34" t="str">
        <f>IF(NOT(AND(T600="",A601&lt;=S600)),"",IF(A601=入力!$B$15+1,"繰上返済後再計算","")&amp;IF(AND(入力!$B$13="有効",A601&gt;1,MOD(A601-1,60)=0),IF(A601=入力!$B$15+1,"・","")&amp;"5年見直し","")&amp;IF(AND(A601=入力!$B$11,A601&gt;1),IF(OR(A601=入力!$B$15+1,AND(入力!$B$13="有効",A601&gt;1,MOD(A601-1,60)=0)),"・","")&amp;"金利変更","")&amp;IF(AND(OR(AND(入力!$B$13="有効",A601&gt;1,MOD(A601-1,60)=0),AND(A601=入力!$B$11,A601&gt;1)),入力!$B$14="有効",IF(E601=0,ROUND(C601/MAX(1,S600-A601+1),0),ROUND(-PMT(E601/12,MAX(1,S600-A601+1),C601),0))&gt;ROUND(G600*1.25,0),NOT(A601=入力!$B$15+1)),"・上限適用",""))</f>
        <v/>
      </c>
      <c r="Q601" s="35" t="str">
        <f>IF(AND(T600="",A601&lt;=S600),入力!$B$13,"")</f>
        <v/>
      </c>
      <c r="R601" s="32" t="str">
        <f>IF(AND(AND(T600="",A601&lt;=S600),OR(AND(入力!$B$13="有効",A601&gt;1,MOD(A601-1,60)=0),AND(A601=入力!$B$11,A601&gt;1)),入力!$B$14="有効"),ROUND(G600*1.25,0),"")</f>
        <v/>
      </c>
      <c r="S601" s="36">
        <f>IF(A601=入力!$B$15,A601+入力!$B$19,S600)</f>
        <v>360</v>
      </c>
      <c r="T601" s="35" t="str">
        <f t="shared" si="159"/>
        <v/>
      </c>
      <c r="U601" s="3">
        <f t="shared" si="144"/>
        <v>0</v>
      </c>
      <c r="V601" s="3">
        <f t="shared" si="145"/>
        <v>0</v>
      </c>
      <c r="W601" s="3">
        <f t="shared" si="146"/>
        <v>0</v>
      </c>
      <c r="X601" s="3">
        <f t="shared" si="147"/>
        <v>0</v>
      </c>
      <c r="Y601" s="3">
        <f>IF(A601&lt;入力!$B$15,ABS(G601-何もしない_月次!G601),0)</f>
        <v>0</v>
      </c>
      <c r="Z601" s="3">
        <f t="shared" si="148"/>
        <v>0</v>
      </c>
      <c r="AA601">
        <f>ROUND(IF(A601=入力!$B$15+1,IF(E601=0,ROUND(C601/入力!$B$19,0),ROUND(-PMT(E601/12,入力!$B$19,C601),0)),IF(OR(AND(入力!$B$13="有効",A601&gt;1,MOD(A601-1,60)=0),AND(A601=入力!$B$11,A601&gt;1)),IF(入力!$B$14="有効",MIN(IF(E601=0,ROUND(C601/MAX(1,S600-A601+1),0),ROUND(-PMT(E601/12,MAX(1,S600-A601+1),C601),0)),ROUND(G600*1.25,0)),IF(E601=0,ROUND(C601/MAX(1,S600-A601+1),0),ROUND(-PMT(E601/12,MAX(1,S600-A601+1),C601),0))),G600)),0)</f>
        <v>0</v>
      </c>
    </row>
    <row r="602" spans="1:27">
      <c r="A602" s="30">
        <f>597</f>
        <v>597</v>
      </c>
      <c r="B602" s="31">
        <f>EDATE(入力!$B$6,A602-1)</f>
        <v>64376</v>
      </c>
      <c r="C602" s="32">
        <f t="shared" si="149"/>
        <v>0</v>
      </c>
      <c r="D602" s="32">
        <f t="shared" si="150"/>
        <v>0</v>
      </c>
      <c r="E602" s="33">
        <f>IF(AND(T601="",A602&lt;=S601),IF(A602&lt;入力!$B$11,入力!$B$10,入力!$B$12),0)</f>
        <v>0</v>
      </c>
      <c r="F602" s="32">
        <f t="shared" si="151"/>
        <v>0</v>
      </c>
      <c r="G602" s="32">
        <f>ROUND(IF(NOT(AND(T601="",A602&lt;=S601)),0,IF(A602=入力!$B$15+1,IF(E602=0,ROUND(C602/入力!$B$19,0),ROUND(-PMT(E602/12,入力!$B$19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),0)</f>
        <v>0</v>
      </c>
      <c r="H602" s="32">
        <f t="shared" si="152"/>
        <v>0</v>
      </c>
      <c r="I602" s="32">
        <f t="shared" si="153"/>
        <v>0</v>
      </c>
      <c r="J602" s="32">
        <f t="shared" si="154"/>
        <v>0</v>
      </c>
      <c r="K602" s="32">
        <f t="shared" si="155"/>
        <v>0</v>
      </c>
      <c r="L602" s="32">
        <f t="shared" si="156"/>
        <v>0</v>
      </c>
      <c r="M602" s="32">
        <f>IF(AND(AND(T601="",A602&lt;=S601),A602=入力!$B$15),ROUND(MIN(入力!$B$16,MAX(0,C602-L602)),0),0)</f>
        <v>0</v>
      </c>
      <c r="N602" s="32">
        <f t="shared" si="157"/>
        <v>0</v>
      </c>
      <c r="O602" s="32">
        <f t="shared" si="158"/>
        <v>10751874</v>
      </c>
      <c r="P602" s="34" t="str">
        <f>IF(NOT(AND(T601="",A602&lt;=S601)),"",IF(A602=入力!$B$15+1,"繰上返済後再計算","")&amp;IF(AND(入力!$B$13="有効",A602&gt;1,MOD(A602-1,60)=0),IF(A602=入力!$B$15+1,"・","")&amp;"5年見直し","")&amp;IF(AND(A602=入力!$B$11,A602&gt;1),IF(OR(A602=入力!$B$15+1,AND(入力!$B$13="有効",A602&gt;1,MOD(A602-1,60)=0)),"・","")&amp;"金利変更","")&amp;IF(AND(OR(AND(入力!$B$13="有効",A602&gt;1,MOD(A602-1,60)=0),AND(A602=入力!$B$11,A602&gt;1)),入力!$B$14="有効",IF(E602=0,ROUND(C602/MAX(1,S601-A602+1),0),ROUND(-PMT(E602/12,MAX(1,S601-A602+1),C602),0))&gt;ROUND(G601*1.25,0),NOT(A602=入力!$B$15+1)),"・上限適用",""))</f>
        <v/>
      </c>
      <c r="Q602" s="35" t="str">
        <f>IF(AND(T601="",A602&lt;=S601),入力!$B$13,"")</f>
        <v/>
      </c>
      <c r="R602" s="32" t="str">
        <f>IF(AND(AND(T601="",A602&lt;=S601),OR(AND(入力!$B$13="有効",A602&gt;1,MOD(A602-1,60)=0),AND(A602=入力!$B$11,A602&gt;1)),入力!$B$14="有効"),ROUND(G601*1.25,0),"")</f>
        <v/>
      </c>
      <c r="S602" s="36">
        <f>IF(A602=入力!$B$15,A602+入力!$B$19,S601)</f>
        <v>360</v>
      </c>
      <c r="T602" s="35" t="str">
        <f t="shared" si="159"/>
        <v/>
      </c>
      <c r="U602" s="3">
        <f t="shared" si="144"/>
        <v>0</v>
      </c>
      <c r="V602" s="3">
        <f t="shared" si="145"/>
        <v>0</v>
      </c>
      <c r="W602" s="3">
        <f t="shared" si="146"/>
        <v>0</v>
      </c>
      <c r="X602" s="3">
        <f t="shared" si="147"/>
        <v>0</v>
      </c>
      <c r="Y602" s="3">
        <f>IF(A602&lt;入力!$B$15,ABS(G602-何もしない_月次!G602),0)</f>
        <v>0</v>
      </c>
      <c r="Z602" s="3">
        <f t="shared" si="148"/>
        <v>0</v>
      </c>
      <c r="AA602">
        <f>ROUND(IF(A602=入力!$B$15+1,IF(E602=0,ROUND(C602/入力!$B$19,0),ROUND(-PMT(E602/12,入力!$B$19,C602),0)),IF(OR(AND(入力!$B$13="有効",A602&gt;1,MOD(A602-1,60)=0),AND(A602=入力!$B$11,A602&gt;1)),IF(入力!$B$14="有効",MIN(IF(E602=0,ROUND(C602/MAX(1,S601-A602+1),0),ROUND(-PMT(E602/12,MAX(1,S601-A602+1),C602),0)),ROUND(G601*1.25,0)),IF(E602=0,ROUND(C602/MAX(1,S601-A602+1),0),ROUND(-PMT(E602/12,MAX(1,S601-A602+1),C602),0))),G601)),0)</f>
        <v>0</v>
      </c>
    </row>
    <row r="603" spans="1:27">
      <c r="A603" s="30">
        <f>598</f>
        <v>598</v>
      </c>
      <c r="B603" s="31">
        <f>EDATE(入力!$B$6,A603-1)</f>
        <v>64406</v>
      </c>
      <c r="C603" s="32">
        <f t="shared" si="149"/>
        <v>0</v>
      </c>
      <c r="D603" s="32">
        <f t="shared" si="150"/>
        <v>0</v>
      </c>
      <c r="E603" s="33">
        <f>IF(AND(T602="",A603&lt;=S602),IF(A603&lt;入力!$B$11,入力!$B$10,入力!$B$12),0)</f>
        <v>0</v>
      </c>
      <c r="F603" s="32">
        <f t="shared" si="151"/>
        <v>0</v>
      </c>
      <c r="G603" s="32">
        <f>ROUND(IF(NOT(AND(T602="",A603&lt;=S602)),0,IF(A603=入力!$B$15+1,IF(E603=0,ROUND(C603/入力!$B$19,0),ROUND(-PMT(E603/12,入力!$B$19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),0)</f>
        <v>0</v>
      </c>
      <c r="H603" s="32">
        <f t="shared" si="152"/>
        <v>0</v>
      </c>
      <c r="I603" s="32">
        <f t="shared" si="153"/>
        <v>0</v>
      </c>
      <c r="J603" s="32">
        <f t="shared" si="154"/>
        <v>0</v>
      </c>
      <c r="K603" s="32">
        <f t="shared" si="155"/>
        <v>0</v>
      </c>
      <c r="L603" s="32">
        <f t="shared" si="156"/>
        <v>0</v>
      </c>
      <c r="M603" s="32">
        <f>IF(AND(AND(T602="",A603&lt;=S602),A603=入力!$B$15),ROUND(MIN(入力!$B$16,MAX(0,C603-L603)),0),0)</f>
        <v>0</v>
      </c>
      <c r="N603" s="32">
        <f t="shared" si="157"/>
        <v>0</v>
      </c>
      <c r="O603" s="32">
        <f t="shared" si="158"/>
        <v>10751874</v>
      </c>
      <c r="P603" s="34" t="str">
        <f>IF(NOT(AND(T602="",A603&lt;=S602)),"",IF(A603=入力!$B$15+1,"繰上返済後再計算","")&amp;IF(AND(入力!$B$13="有効",A603&gt;1,MOD(A603-1,60)=0),IF(A603=入力!$B$15+1,"・","")&amp;"5年見直し","")&amp;IF(AND(A603=入力!$B$11,A603&gt;1),IF(OR(A603=入力!$B$15+1,AND(入力!$B$13="有効",A603&gt;1,MOD(A603-1,60)=0)),"・","")&amp;"金利変更","")&amp;IF(AND(OR(AND(入力!$B$13="有効",A603&gt;1,MOD(A603-1,60)=0),AND(A603=入力!$B$11,A603&gt;1)),入力!$B$14="有効",IF(E603=0,ROUND(C603/MAX(1,S602-A603+1),0),ROUND(-PMT(E603/12,MAX(1,S602-A603+1),C603),0))&gt;ROUND(G602*1.25,0),NOT(A603=入力!$B$15+1)),"・上限適用",""))</f>
        <v/>
      </c>
      <c r="Q603" s="35" t="str">
        <f>IF(AND(T602="",A603&lt;=S602),入力!$B$13,"")</f>
        <v/>
      </c>
      <c r="R603" s="32" t="str">
        <f>IF(AND(AND(T602="",A603&lt;=S602),OR(AND(入力!$B$13="有効",A603&gt;1,MOD(A603-1,60)=0),AND(A603=入力!$B$11,A603&gt;1)),入力!$B$14="有効"),ROUND(G602*1.25,0),"")</f>
        <v/>
      </c>
      <c r="S603" s="36">
        <f>IF(A603=入力!$B$15,A603+入力!$B$19,S602)</f>
        <v>360</v>
      </c>
      <c r="T603" s="35" t="str">
        <f t="shared" si="159"/>
        <v/>
      </c>
      <c r="U603" s="3">
        <f t="shared" si="144"/>
        <v>0</v>
      </c>
      <c r="V603" s="3">
        <f t="shared" si="145"/>
        <v>0</v>
      </c>
      <c r="W603" s="3">
        <f t="shared" si="146"/>
        <v>0</v>
      </c>
      <c r="X603" s="3">
        <f t="shared" si="147"/>
        <v>0</v>
      </c>
      <c r="Y603" s="3">
        <f>IF(A603&lt;入力!$B$15,ABS(G603-何もしない_月次!G603),0)</f>
        <v>0</v>
      </c>
      <c r="Z603" s="3">
        <f t="shared" si="148"/>
        <v>0</v>
      </c>
      <c r="AA603">
        <f>ROUND(IF(A603=入力!$B$15+1,IF(E603=0,ROUND(C603/入力!$B$19,0),ROUND(-PMT(E603/12,入力!$B$19,C603),0)),IF(OR(AND(入力!$B$13="有効",A603&gt;1,MOD(A603-1,60)=0),AND(A603=入力!$B$11,A603&gt;1)),IF(入力!$B$14="有効",MIN(IF(E603=0,ROUND(C603/MAX(1,S602-A603+1),0),ROUND(-PMT(E603/12,MAX(1,S602-A603+1),C603),0)),ROUND(G602*1.25,0)),IF(E603=0,ROUND(C603/MAX(1,S602-A603+1),0),ROUND(-PMT(E603/12,MAX(1,S602-A603+1),C603),0))),G602)),0)</f>
        <v>0</v>
      </c>
    </row>
    <row r="604" spans="1:27">
      <c r="A604" s="30">
        <f>599</f>
        <v>599</v>
      </c>
      <c r="B604" s="31">
        <f>EDATE(入力!$B$6,A604-1)</f>
        <v>64437</v>
      </c>
      <c r="C604" s="32">
        <f t="shared" si="149"/>
        <v>0</v>
      </c>
      <c r="D604" s="32">
        <f t="shared" si="150"/>
        <v>0</v>
      </c>
      <c r="E604" s="33">
        <f>IF(AND(T603="",A604&lt;=S603),IF(A604&lt;入力!$B$11,入力!$B$10,入力!$B$12),0)</f>
        <v>0</v>
      </c>
      <c r="F604" s="32">
        <f t="shared" si="151"/>
        <v>0</v>
      </c>
      <c r="G604" s="32">
        <f>ROUND(IF(NOT(AND(T603="",A604&lt;=S603)),0,IF(A604=入力!$B$15+1,IF(E604=0,ROUND(C604/入力!$B$19,0),ROUND(-PMT(E604/12,入力!$B$19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),0)</f>
        <v>0</v>
      </c>
      <c r="H604" s="32">
        <f t="shared" si="152"/>
        <v>0</v>
      </c>
      <c r="I604" s="32">
        <f t="shared" si="153"/>
        <v>0</v>
      </c>
      <c r="J604" s="32">
        <f t="shared" si="154"/>
        <v>0</v>
      </c>
      <c r="K604" s="32">
        <f t="shared" si="155"/>
        <v>0</v>
      </c>
      <c r="L604" s="32">
        <f t="shared" si="156"/>
        <v>0</v>
      </c>
      <c r="M604" s="32">
        <f>IF(AND(AND(T603="",A604&lt;=S603),A604=入力!$B$15),ROUND(MIN(入力!$B$16,MAX(0,C604-L604)),0),0)</f>
        <v>0</v>
      </c>
      <c r="N604" s="32">
        <f t="shared" si="157"/>
        <v>0</v>
      </c>
      <c r="O604" s="32">
        <f t="shared" si="158"/>
        <v>10751874</v>
      </c>
      <c r="P604" s="34" t="str">
        <f>IF(NOT(AND(T603="",A604&lt;=S603)),"",IF(A604=入力!$B$15+1,"繰上返済後再計算","")&amp;IF(AND(入力!$B$13="有効",A604&gt;1,MOD(A604-1,60)=0),IF(A604=入力!$B$15+1,"・","")&amp;"5年見直し","")&amp;IF(AND(A604=入力!$B$11,A604&gt;1),IF(OR(A604=入力!$B$15+1,AND(入力!$B$13="有効",A604&gt;1,MOD(A604-1,60)=0)),"・","")&amp;"金利変更","")&amp;IF(AND(OR(AND(入力!$B$13="有効",A604&gt;1,MOD(A604-1,60)=0),AND(A604=入力!$B$11,A604&gt;1)),入力!$B$14="有効",IF(E604=0,ROUND(C604/MAX(1,S603-A604+1),0),ROUND(-PMT(E604/12,MAX(1,S603-A604+1),C604),0))&gt;ROUND(G603*1.25,0),NOT(A604=入力!$B$15+1)),"・上限適用",""))</f>
        <v/>
      </c>
      <c r="Q604" s="35" t="str">
        <f>IF(AND(T603="",A604&lt;=S603),入力!$B$13,"")</f>
        <v/>
      </c>
      <c r="R604" s="32" t="str">
        <f>IF(AND(AND(T603="",A604&lt;=S603),OR(AND(入力!$B$13="有効",A604&gt;1,MOD(A604-1,60)=0),AND(A604=入力!$B$11,A604&gt;1)),入力!$B$14="有効"),ROUND(G603*1.25,0),"")</f>
        <v/>
      </c>
      <c r="S604" s="36">
        <f>IF(A604=入力!$B$15,A604+入力!$B$19,S603)</f>
        <v>360</v>
      </c>
      <c r="T604" s="35" t="str">
        <f t="shared" si="159"/>
        <v/>
      </c>
      <c r="U604" s="3">
        <f t="shared" si="144"/>
        <v>0</v>
      </c>
      <c r="V604" s="3">
        <f t="shared" si="145"/>
        <v>0</v>
      </c>
      <c r="W604" s="3">
        <f t="shared" si="146"/>
        <v>0</v>
      </c>
      <c r="X604" s="3">
        <f t="shared" si="147"/>
        <v>0</v>
      </c>
      <c r="Y604" s="3">
        <f>IF(A604&lt;入力!$B$15,ABS(G604-何もしない_月次!G604),0)</f>
        <v>0</v>
      </c>
      <c r="Z604" s="3">
        <f t="shared" si="148"/>
        <v>0</v>
      </c>
      <c r="AA604">
        <f>ROUND(IF(A604=入力!$B$15+1,IF(E604=0,ROUND(C604/入力!$B$19,0),ROUND(-PMT(E604/12,入力!$B$19,C604),0)),IF(OR(AND(入力!$B$13="有効",A604&gt;1,MOD(A604-1,60)=0),AND(A604=入力!$B$11,A604&gt;1)),IF(入力!$B$14="有効",MIN(IF(E604=0,ROUND(C604/MAX(1,S603-A604+1),0),ROUND(-PMT(E604/12,MAX(1,S603-A604+1),C604),0)),ROUND(G603*1.25,0)),IF(E604=0,ROUND(C604/MAX(1,S603-A604+1),0),ROUND(-PMT(E604/12,MAX(1,S603-A604+1),C604),0))),G603)),0)</f>
        <v>0</v>
      </c>
    </row>
    <row r="605" spans="1:27">
      <c r="A605" s="37">
        <f>600</f>
        <v>600</v>
      </c>
      <c r="B605" s="38">
        <f>EDATE(入力!$B$6,A605-1)</f>
        <v>64467</v>
      </c>
      <c r="C605" s="39">
        <f t="shared" si="149"/>
        <v>0</v>
      </c>
      <c r="D605" s="39">
        <f t="shared" si="150"/>
        <v>0</v>
      </c>
      <c r="E605" s="40">
        <f>IF(AND(T604="",A605&lt;=S604),IF(A605&lt;入力!$B$11,入力!$B$10,入力!$B$12),0)</f>
        <v>0</v>
      </c>
      <c r="F605" s="39">
        <f t="shared" si="151"/>
        <v>0</v>
      </c>
      <c r="G605" s="39">
        <f>ROUND(IF(NOT(AND(T604="",A605&lt;=S604)),0,IF(A605=入力!$B$15+1,IF(E605=0,ROUND(C605/入力!$B$19,0),ROUND(-PMT(E605/12,入力!$B$19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),0)</f>
        <v>0</v>
      </c>
      <c r="H605" s="39">
        <f t="shared" si="152"/>
        <v>0</v>
      </c>
      <c r="I605" s="39">
        <f t="shared" si="153"/>
        <v>0</v>
      </c>
      <c r="J605" s="39">
        <f t="shared" si="154"/>
        <v>0</v>
      </c>
      <c r="K605" s="39">
        <f t="shared" si="155"/>
        <v>0</v>
      </c>
      <c r="L605" s="39">
        <f t="shared" si="156"/>
        <v>0</v>
      </c>
      <c r="M605" s="39">
        <f>IF(AND(AND(T604="",A605&lt;=S604),A605=入力!$B$15),ROUND(MIN(入力!$B$16,MAX(0,C605-L605)),0),0)</f>
        <v>0</v>
      </c>
      <c r="N605" s="39">
        <f t="shared" si="157"/>
        <v>0</v>
      </c>
      <c r="O605" s="39">
        <f t="shared" si="158"/>
        <v>10751874</v>
      </c>
      <c r="P605" s="41" t="str">
        <f>IF(NOT(AND(T604="",A605&lt;=S604)),"",IF(A605=入力!$B$15+1,"繰上返済後再計算","")&amp;IF(AND(入力!$B$13="有効",A605&gt;1,MOD(A605-1,60)=0),IF(A605=入力!$B$15+1,"・","")&amp;"5年見直し","")&amp;IF(AND(A605=入力!$B$11,A605&gt;1),IF(OR(A605=入力!$B$15+1,AND(入力!$B$13="有効",A605&gt;1,MOD(A605-1,60)=0)),"・","")&amp;"金利変更","")&amp;IF(AND(OR(AND(入力!$B$13="有効",A605&gt;1,MOD(A605-1,60)=0),AND(A605=入力!$B$11,A605&gt;1)),入力!$B$14="有効",IF(E605=0,ROUND(C605/MAX(1,S604-A605+1),0),ROUND(-PMT(E605/12,MAX(1,S604-A605+1),C605),0))&gt;ROUND(G604*1.25,0),NOT(A605=入力!$B$15+1)),"・上限適用",""))</f>
        <v/>
      </c>
      <c r="Q605" s="42" t="str">
        <f>IF(AND(T604="",A605&lt;=S604),入力!$B$13,"")</f>
        <v/>
      </c>
      <c r="R605" s="39" t="str">
        <f>IF(AND(AND(T604="",A605&lt;=S604),OR(AND(入力!$B$13="有効",A605&gt;1,MOD(A605-1,60)=0),AND(A605=入力!$B$11,A605&gt;1)),入力!$B$14="有効"),ROUND(G604*1.25,0),"")</f>
        <v/>
      </c>
      <c r="S605" s="43">
        <f>IF(A605=入力!$B$15,A605+入力!$B$19,S604)</f>
        <v>360</v>
      </c>
      <c r="T605" s="42" t="str">
        <f t="shared" si="159"/>
        <v/>
      </c>
      <c r="U605" s="3">
        <f t="shared" si="144"/>
        <v>0</v>
      </c>
      <c r="V605" s="3">
        <f t="shared" si="145"/>
        <v>0</v>
      </c>
      <c r="W605" s="3">
        <f t="shared" si="146"/>
        <v>0</v>
      </c>
      <c r="X605" s="3">
        <f t="shared" si="147"/>
        <v>0</v>
      </c>
      <c r="Y605" s="3">
        <f>IF(A605&lt;入力!$B$15,ABS(G605-何もしない_月次!G605),0)</f>
        <v>0</v>
      </c>
      <c r="Z605" s="3">
        <f t="shared" si="148"/>
        <v>0</v>
      </c>
      <c r="AA605">
        <f>ROUND(IF(A605=入力!$B$15+1,IF(E605=0,ROUND(C605/入力!$B$19,0),ROUND(-PMT(E605/12,入力!$B$19,C605),0)),IF(OR(AND(入力!$B$13="有効",A605&gt;1,MOD(A605-1,60)=0),AND(A605=入力!$B$11,A605&gt;1)),IF(入力!$B$14="有効",MIN(IF(E605=0,ROUND(C605/MAX(1,S604-A605+1),0),ROUND(-PMT(E605/12,MAX(1,S604-A605+1),C605),0)),ROUND(G604*1.25,0)),IF(E605=0,ROUND(C605/MAX(1,S604-A605+1),0),ROUND(-PMT(E605/12,MAX(1,S604-A605+1),C605),0))),G604)),0)</f>
        <v>0</v>
      </c>
    </row>
  </sheetData>
  <mergeCells count="2">
    <mergeCell ref="A1:T1"/>
    <mergeCell ref="A2:T3"/>
  </mergeCells>
  <phoneticPr fontId="1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605"/>
  <sheetViews>
    <sheetView showGridLines="0" workbookViewId="0"/>
  </sheetViews>
  <sheetFormatPr baseColWidth="10" defaultColWidth="8.83203125" defaultRowHeight="14"/>
  <cols>
    <col min="1" max="1" width="26" customWidth="1"/>
    <col min="2" max="2" width="38" customWidth="1"/>
    <col min="3" max="5" width="18" customWidth="1"/>
    <col min="6" max="6" width="12" customWidth="1"/>
    <col min="7" max="7" width="36" customWidth="1"/>
  </cols>
  <sheetData>
    <row r="1" spans="1:26" ht="30" customHeight="1">
      <c r="A1" s="47" t="s">
        <v>85</v>
      </c>
      <c r="B1" s="47"/>
      <c r="C1" s="47"/>
      <c r="D1" s="47"/>
      <c r="E1" s="47"/>
      <c r="F1" s="47"/>
      <c r="G1" s="4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8" t="s">
        <v>1</v>
      </c>
      <c r="B2" s="49"/>
      <c r="C2" s="49"/>
      <c r="D2" s="49"/>
      <c r="E2" s="49"/>
      <c r="F2" s="49"/>
      <c r="G2" s="5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51"/>
      <c r="B3" s="52"/>
      <c r="C3" s="52"/>
      <c r="D3" s="52"/>
      <c r="E3" s="52"/>
      <c r="F3" s="52"/>
      <c r="G3" s="5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">
      <c r="A5" s="1" t="s">
        <v>86</v>
      </c>
      <c r="B5" s="1" t="s">
        <v>87</v>
      </c>
      <c r="C5" s="1" t="s">
        <v>88</v>
      </c>
      <c r="D5" s="1" t="s">
        <v>89</v>
      </c>
      <c r="E5" s="1" t="s">
        <v>90</v>
      </c>
      <c r="F5" s="1" t="s">
        <v>91</v>
      </c>
      <c r="G5" s="1" t="s">
        <v>92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44" t="s">
        <v>40</v>
      </c>
      <c r="B6" s="44" t="s">
        <v>93</v>
      </c>
      <c r="C6" s="45">
        <f>SUM(何もしない_月次!$U$6:$U$605)</f>
        <v>0</v>
      </c>
      <c r="D6" s="45">
        <f>0</f>
        <v>0</v>
      </c>
      <c r="E6" s="45">
        <f>ROUND(C6-D6,0)</f>
        <v>0</v>
      </c>
      <c r="F6" s="46" t="str">
        <f t="shared" ref="F6:F26" si="0">IF(E6=0,"OK","要確認")</f>
        <v>OK</v>
      </c>
      <c r="G6" s="44" t="s">
        <v>94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44" t="s">
        <v>40</v>
      </c>
      <c r="B7" s="44" t="s">
        <v>95</v>
      </c>
      <c r="C7" s="45">
        <f>SUM(何もしない_月次!$V$6:$V$605)</f>
        <v>0</v>
      </c>
      <c r="D7" s="45">
        <f>0</f>
        <v>0</v>
      </c>
      <c r="E7" s="45">
        <f>ROUND(C7-D7,0)</f>
        <v>0</v>
      </c>
      <c r="F7" s="46" t="str">
        <f t="shared" si="0"/>
        <v>OK</v>
      </c>
      <c r="G7" s="44" t="s">
        <v>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44" t="s">
        <v>40</v>
      </c>
      <c r="B8" s="44" t="s">
        <v>97</v>
      </c>
      <c r="C8" s="45">
        <f>SUM(何もしない_月次!$W$6:$W$605)</f>
        <v>0</v>
      </c>
      <c r="D8" s="45">
        <f>0</f>
        <v>0</v>
      </c>
      <c r="E8" s="45">
        <f>ROUND(C8-D8,0)</f>
        <v>0</v>
      </c>
      <c r="F8" s="46" t="str">
        <f t="shared" si="0"/>
        <v>OK</v>
      </c>
      <c r="G8" s="44" t="s">
        <v>98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44" t="s">
        <v>40</v>
      </c>
      <c r="B9" s="44" t="s">
        <v>99</v>
      </c>
      <c r="C9" s="45">
        <f>比較結果!B14</f>
        <v>14115936</v>
      </c>
      <c r="D9" s="45">
        <f>INDEX(何もしない_月次!$O$6:$O$605,IFERROR(MATCH("完済",何もしない_月次!$T$6:$T$605,0),MATCH("最終回清算",何もしない_月次!$T$6:$T$605,0)))</f>
        <v>14115936</v>
      </c>
      <c r="E9" s="45">
        <f>ROUND(C9-D9,0)</f>
        <v>0</v>
      </c>
      <c r="F9" s="46" t="str">
        <f t="shared" si="0"/>
        <v>OK</v>
      </c>
      <c r="G9" s="44" t="s">
        <v>100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44" t="s">
        <v>40</v>
      </c>
      <c r="B10" s="44" t="s">
        <v>101</v>
      </c>
      <c r="C10" s="45">
        <f>INDEX(何もしない_月次!$H$6:$H$605,IFERROR(MATCH("完済",何もしない_月次!$T$6:$T$605,0),MATCH("最終回清算",何もしない_月次!$T$6:$T$605,0)))</f>
        <v>121423</v>
      </c>
      <c r="D10" s="45">
        <f>ROUND(INDEX(何もしない_月次!$C$6:$C$605,IFERROR(MATCH("完済",何もしない_月次!$T$6:$T$605,0),MATCH("最終回清算",何もしない_月次!$T$6:$T$605,0)))+INDEX(何もしない_月次!$D$6:$D$605,IFERROR(MATCH("完済",何もしない_月次!$T$6:$T$605,0),MATCH("最終回清算",何もしない_月次!$T$6:$T$605,0)))+INDEX(何もしない_月次!$F$6:$F$605,IFERROR(MATCH("完済",何もしない_月次!$T$6:$T$605,0),MATCH("最終回清算",何もしない_月次!$T$6:$T$605,0))),0)</f>
        <v>121423</v>
      </c>
      <c r="E10" s="45">
        <f>MAX(0,C10-D10)</f>
        <v>0</v>
      </c>
      <c r="F10" s="46" t="str">
        <f t="shared" si="0"/>
        <v>OK</v>
      </c>
      <c r="G10" s="44" t="s">
        <v>102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44" t="s">
        <v>41</v>
      </c>
      <c r="B11" s="44" t="s">
        <v>93</v>
      </c>
      <c r="C11" s="45">
        <f>SUM(方式1_月次!$U$6:$U$605)</f>
        <v>0</v>
      </c>
      <c r="D11" s="45">
        <f>0</f>
        <v>0</v>
      </c>
      <c r="E11" s="45">
        <f>ROUND(C11-D11,0)</f>
        <v>0</v>
      </c>
      <c r="F11" s="46" t="str">
        <f t="shared" si="0"/>
        <v>OK</v>
      </c>
      <c r="G11" s="44" t="s">
        <v>94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44" t="s">
        <v>41</v>
      </c>
      <c r="B12" s="44" t="s">
        <v>95</v>
      </c>
      <c r="C12" s="45">
        <f>SUM(方式1_月次!$V$6:$V$605)</f>
        <v>0</v>
      </c>
      <c r="D12" s="45">
        <f>0</f>
        <v>0</v>
      </c>
      <c r="E12" s="45">
        <f>ROUND(C12-D12,0)</f>
        <v>0</v>
      </c>
      <c r="F12" s="46" t="str">
        <f t="shared" si="0"/>
        <v>OK</v>
      </c>
      <c r="G12" s="44" t="s">
        <v>96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44" t="s">
        <v>41</v>
      </c>
      <c r="B13" s="44" t="s">
        <v>97</v>
      </c>
      <c r="C13" s="45">
        <f>SUM(方式1_月次!$W$6:$W$605)</f>
        <v>0</v>
      </c>
      <c r="D13" s="45">
        <f>0</f>
        <v>0</v>
      </c>
      <c r="E13" s="45">
        <f>ROUND(C13-D13,0)</f>
        <v>0</v>
      </c>
      <c r="F13" s="46" t="str">
        <f t="shared" si="0"/>
        <v>OK</v>
      </c>
      <c r="G13" s="44" t="s">
        <v>98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44" t="s">
        <v>41</v>
      </c>
      <c r="B14" s="44" t="s">
        <v>99</v>
      </c>
      <c r="C14" s="45">
        <f>比較結果!C14</f>
        <v>10725103</v>
      </c>
      <c r="D14" s="45">
        <f>INDEX(方式1_月次!$O$6:$O$605,IFERROR(MATCH("完済",方式1_月次!$T$6:$T$605,0),MATCH("最終回清算",方式1_月次!$T$6:$T$605,0)))</f>
        <v>10725103</v>
      </c>
      <c r="E14" s="45">
        <f>ROUND(C14-D14,0)</f>
        <v>0</v>
      </c>
      <c r="F14" s="46" t="str">
        <f t="shared" si="0"/>
        <v>OK</v>
      </c>
      <c r="G14" s="44" t="s">
        <v>100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44" t="s">
        <v>41</v>
      </c>
      <c r="B15" s="44" t="s">
        <v>101</v>
      </c>
      <c r="C15" s="45">
        <f>INDEX(方式1_月次!$H$6:$H$605,IFERROR(MATCH("完済",方式1_月次!$T$6:$T$605,0),MATCH("最終回清算",方式1_月次!$T$6:$T$605,0)))</f>
        <v>117307</v>
      </c>
      <c r="D15" s="45">
        <f>ROUND(INDEX(方式1_月次!$C$6:$C$605,IFERROR(MATCH("完済",方式1_月次!$T$6:$T$605,0),MATCH("最終回清算",方式1_月次!$T$6:$T$605,0)))+INDEX(方式1_月次!$D$6:$D$605,IFERROR(MATCH("完済",方式1_月次!$T$6:$T$605,0),MATCH("最終回清算",方式1_月次!$T$6:$T$605,0)))+INDEX(方式1_月次!$F$6:$F$605,IFERROR(MATCH("完済",方式1_月次!$T$6:$T$605,0),MATCH("最終回清算",方式1_月次!$T$6:$T$605,0))),0)</f>
        <v>117307</v>
      </c>
      <c r="E15" s="45">
        <f>MAX(0,C15-D15)</f>
        <v>0</v>
      </c>
      <c r="F15" s="46" t="str">
        <f t="shared" si="0"/>
        <v>OK</v>
      </c>
      <c r="G15" s="44" t="s">
        <v>102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44" t="s">
        <v>42</v>
      </c>
      <c r="B16" s="44" t="s">
        <v>93</v>
      </c>
      <c r="C16" s="45">
        <f>SUM(方式2_月次!$U$6:$U$605)</f>
        <v>0</v>
      </c>
      <c r="D16" s="45">
        <f>0</f>
        <v>0</v>
      </c>
      <c r="E16" s="45">
        <f>ROUND(C16-D16,0)</f>
        <v>0</v>
      </c>
      <c r="F16" s="46" t="str">
        <f t="shared" si="0"/>
        <v>OK</v>
      </c>
      <c r="G16" s="44" t="s">
        <v>94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44" t="s">
        <v>42</v>
      </c>
      <c r="B17" s="44" t="s">
        <v>95</v>
      </c>
      <c r="C17" s="45">
        <f>SUM(方式2_月次!$V$6:$V$605)</f>
        <v>0</v>
      </c>
      <c r="D17" s="45">
        <f>0</f>
        <v>0</v>
      </c>
      <c r="E17" s="45">
        <f>ROUND(C17-D17,0)</f>
        <v>0</v>
      </c>
      <c r="F17" s="46" t="str">
        <f t="shared" si="0"/>
        <v>OK</v>
      </c>
      <c r="G17" s="44" t="s">
        <v>96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44" t="s">
        <v>42</v>
      </c>
      <c r="B18" s="44" t="s">
        <v>97</v>
      </c>
      <c r="C18" s="45">
        <f>SUM(方式2_月次!$W$6:$W$605)</f>
        <v>0</v>
      </c>
      <c r="D18" s="45">
        <f>0</f>
        <v>0</v>
      </c>
      <c r="E18" s="45">
        <f>ROUND(C18-D18,0)</f>
        <v>0</v>
      </c>
      <c r="F18" s="46" t="str">
        <f t="shared" si="0"/>
        <v>OK</v>
      </c>
      <c r="G18" s="44" t="s">
        <v>98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44" t="s">
        <v>42</v>
      </c>
      <c r="B19" s="44" t="s">
        <v>99</v>
      </c>
      <c r="C19" s="45">
        <f>比較結果!D14</f>
        <v>12386706</v>
      </c>
      <c r="D19" s="45">
        <f>INDEX(方式2_月次!$O$6:$O$605,IFERROR(MATCH("完済",方式2_月次!$T$6:$T$605,0),MATCH("最終回清算",方式2_月次!$T$6:$T$605,0)))</f>
        <v>12386706</v>
      </c>
      <c r="E19" s="45">
        <f>ROUND(C19-D19,0)</f>
        <v>0</v>
      </c>
      <c r="F19" s="46" t="str">
        <f t="shared" si="0"/>
        <v>OK</v>
      </c>
      <c r="G19" s="44" t="s">
        <v>100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44" t="s">
        <v>42</v>
      </c>
      <c r="B20" s="44" t="s">
        <v>101</v>
      </c>
      <c r="C20" s="45">
        <f>INDEX(方式2_月次!$H$6:$H$605,IFERROR(MATCH("完済",方式2_月次!$T$6:$T$605,0),MATCH("最終回清算",方式2_月次!$T$6:$T$605,0)))</f>
        <v>98997</v>
      </c>
      <c r="D20" s="45">
        <f>ROUND(INDEX(方式2_月次!$C$6:$C$605,IFERROR(MATCH("完済",方式2_月次!$T$6:$T$605,0),MATCH("最終回清算",方式2_月次!$T$6:$T$605,0)))+INDEX(方式2_月次!$D$6:$D$605,IFERROR(MATCH("完済",方式2_月次!$T$6:$T$605,0),MATCH("最終回清算",方式2_月次!$T$6:$T$605,0)))+INDEX(方式2_月次!$F$6:$F$605,IFERROR(MATCH("完済",方式2_月次!$T$6:$T$605,0),MATCH("最終回清算",方式2_月次!$T$6:$T$605,0))),0)</f>
        <v>99003</v>
      </c>
      <c r="E20" s="45">
        <f>MAX(0,C20-D20)</f>
        <v>0</v>
      </c>
      <c r="F20" s="46" t="str">
        <f t="shared" si="0"/>
        <v>OK</v>
      </c>
      <c r="G20" s="44" t="s">
        <v>102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0">
      <c r="A21" s="44" t="s">
        <v>103</v>
      </c>
      <c r="B21" s="44" t="s">
        <v>93</v>
      </c>
      <c r="C21" s="45">
        <f>SUM(方式3_月次!$U$6:$U$605)</f>
        <v>0</v>
      </c>
      <c r="D21" s="45">
        <f>0</f>
        <v>0</v>
      </c>
      <c r="E21" s="45">
        <f>ROUND(C21-D21,0)</f>
        <v>0</v>
      </c>
      <c r="F21" s="46" t="str">
        <f t="shared" si="0"/>
        <v>OK</v>
      </c>
      <c r="G21" s="44" t="s">
        <v>94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0">
      <c r="A22" s="44" t="s">
        <v>103</v>
      </c>
      <c r="B22" s="44" t="s">
        <v>95</v>
      </c>
      <c r="C22" s="45">
        <f>SUM(方式3_月次!$V$6:$V$605)</f>
        <v>0</v>
      </c>
      <c r="D22" s="45">
        <f>0</f>
        <v>0</v>
      </c>
      <c r="E22" s="45">
        <f>ROUND(C22-D22,0)</f>
        <v>0</v>
      </c>
      <c r="F22" s="46" t="str">
        <f t="shared" si="0"/>
        <v>OK</v>
      </c>
      <c r="G22" s="44" t="s">
        <v>96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0">
      <c r="A23" s="44" t="s">
        <v>103</v>
      </c>
      <c r="B23" s="44" t="s">
        <v>97</v>
      </c>
      <c r="C23" s="45">
        <f>SUM(方式3_月次!$W$6:$W$605)</f>
        <v>0</v>
      </c>
      <c r="D23" s="45">
        <f>0</f>
        <v>0</v>
      </c>
      <c r="E23" s="45">
        <f>ROUND(C23-D23,0)</f>
        <v>0</v>
      </c>
      <c r="F23" s="46" t="str">
        <f t="shared" si="0"/>
        <v>OK</v>
      </c>
      <c r="G23" s="44" t="s">
        <v>98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0">
      <c r="A24" s="44" t="s">
        <v>103</v>
      </c>
      <c r="B24" s="44" t="s">
        <v>99</v>
      </c>
      <c r="C24" s="45">
        <f>比較結果!E14</f>
        <v>10751874</v>
      </c>
      <c r="D24" s="45">
        <f>INDEX(方式3_月次!$O$6:$O$605,IFERROR(MATCH("完済",方式3_月次!$T$6:$T$605,0),MATCH("最終回清算",方式3_月次!$T$6:$T$605,0)))</f>
        <v>10751874</v>
      </c>
      <c r="E24" s="45">
        <f>ROUND(C24-D24,0)</f>
        <v>0</v>
      </c>
      <c r="F24" s="46" t="str">
        <f t="shared" si="0"/>
        <v>OK</v>
      </c>
      <c r="G24" s="44" t="s">
        <v>100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0">
      <c r="A25" s="44" t="s">
        <v>103</v>
      </c>
      <c r="B25" s="44" t="s">
        <v>101</v>
      </c>
      <c r="C25" s="45">
        <f>INDEX(方式3_月次!$H$6:$H$605,IFERROR(MATCH("完済",方式3_月次!$T$6:$T$605,0),MATCH("最終回清算",方式3_月次!$T$6:$T$605,0)))</f>
        <v>116928</v>
      </c>
      <c r="D25" s="45">
        <f>ROUND(INDEX(方式3_月次!$C$6:$C$605,IFERROR(MATCH("完済",方式3_月次!$T$6:$T$605,0),MATCH("最終回清算",方式3_月次!$T$6:$T$605,0)))+INDEX(方式3_月次!$D$6:$D$605,IFERROR(MATCH("完済",方式3_月次!$T$6:$T$605,0),MATCH("最終回清算",方式3_月次!$T$6:$T$605,0)))+INDEX(方式3_月次!$F$6:$F$605,IFERROR(MATCH("完済",方式3_月次!$T$6:$T$605,0),MATCH("最終回清算",方式3_月次!$T$6:$T$605,0))),0)</f>
        <v>116928</v>
      </c>
      <c r="E25" s="45">
        <f>MAX(0,C25-D25)</f>
        <v>0</v>
      </c>
      <c r="F25" s="46" t="str">
        <f t="shared" si="0"/>
        <v>OK</v>
      </c>
      <c r="G25" s="44" t="s">
        <v>102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44" t="s">
        <v>104</v>
      </c>
      <c r="B26" s="44" t="s">
        <v>105</v>
      </c>
      <c r="C26" s="45">
        <f>入力!$B$19</f>
        <v>240</v>
      </c>
      <c r="D26" s="45">
        <f>入力!$B$20</f>
        <v>300</v>
      </c>
      <c r="E26" s="45">
        <f>MAX(0,C26-D26)</f>
        <v>0</v>
      </c>
      <c r="F26" s="46" t="str">
        <f t="shared" si="0"/>
        <v>OK</v>
      </c>
      <c r="G26" s="44" t="str">
        <f>IF(E26=0,"入力値が上限を超えていない","入力値が上限を超えている")</f>
        <v>入力値が上限を超えていない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</sheetData>
  <mergeCells count="2">
    <mergeCell ref="A1:G1"/>
    <mergeCell ref="A2:G3"/>
  </mergeCells>
  <phoneticPr fontId="11"/>
  <conditionalFormatting sqref="F6:F26">
    <cfRule type="containsText" dxfId="3" priority="1" operator="containsText" text="OK"/>
    <cfRule type="containsText" dxfId="2" priority="2" operator="containsText" text="要確認"/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605"/>
  <sheetViews>
    <sheetView showGridLines="0" workbookViewId="0"/>
  </sheetViews>
  <sheetFormatPr baseColWidth="10" defaultColWidth="8.83203125" defaultRowHeight="14"/>
  <cols>
    <col min="1" max="1" width="7" customWidth="1"/>
    <col min="2" max="2" width="38" customWidth="1"/>
    <col min="3" max="5" width="22" customWidth="1"/>
    <col min="6" max="6" width="12" customWidth="1"/>
    <col min="7" max="7" width="42" customWidth="1"/>
  </cols>
  <sheetData>
    <row r="1" spans="1:26" ht="30" customHeight="1">
      <c r="A1" s="47" t="s">
        <v>106</v>
      </c>
      <c r="B1" s="47"/>
      <c r="C1" s="47"/>
      <c r="D1" s="47"/>
      <c r="E1" s="47"/>
      <c r="F1" s="47"/>
      <c r="G1" s="4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8" t="s">
        <v>1</v>
      </c>
      <c r="B2" s="49"/>
      <c r="C2" s="49"/>
      <c r="D2" s="49"/>
      <c r="E2" s="49"/>
      <c r="F2" s="49"/>
      <c r="G2" s="50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>
      <c r="A3" s="51"/>
      <c r="B3" s="52"/>
      <c r="C3" s="52"/>
      <c r="D3" s="52"/>
      <c r="E3" s="52"/>
      <c r="F3" s="52"/>
      <c r="G3" s="5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6">
      <c r="A5" s="1" t="s">
        <v>107</v>
      </c>
      <c r="B5" s="1" t="s">
        <v>108</v>
      </c>
      <c r="C5" s="1" t="s">
        <v>88</v>
      </c>
      <c r="D5" s="1" t="s">
        <v>109</v>
      </c>
      <c r="E5" s="1" t="s">
        <v>90</v>
      </c>
      <c r="F5" s="1" t="s">
        <v>91</v>
      </c>
      <c r="G5" s="1" t="s">
        <v>92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46">
        <v>1</v>
      </c>
      <c r="B6" s="44" t="s">
        <v>110</v>
      </c>
      <c r="C6" s="45" t="str">
        <f>INDEX(方式2_月次!$A$6:$A$605,入力!$B$15+1)&amp;" / "&amp;INDEX(方式3_月次!$A$6:$A$605,入力!$B$15+1)</f>
        <v>121 / 121</v>
      </c>
      <c r="D6" s="45" t="str">
        <f>(入力!$B$15+1)&amp;" / "&amp;(入力!$B$15+1)</f>
        <v>121 / 121</v>
      </c>
      <c r="E6" s="45">
        <f>IF(AND(ISNUMBER(SEARCH("繰上返済後再計算",INDEX(方式2_月次!$P$6:$P$605,入力!$B$15+1))),ISNUMBER(SEARCH("繰上返済後再計算",INDEX(方式3_月次!$P$6:$P$605,入力!$B$15+1)))),0,1)</f>
        <v>0</v>
      </c>
      <c r="F6" s="46" t="str">
        <f t="shared" ref="F6:F13" si="0">IF(E6=0,"OK","要確認")</f>
        <v>OK</v>
      </c>
      <c r="G6" s="44" t="s">
        <v>111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46">
        <v>2</v>
      </c>
      <c r="B7" s="44" t="s">
        <v>112</v>
      </c>
      <c r="C7" s="45">
        <f>SUM(比較結果!B14:E14)</f>
        <v>47979619</v>
      </c>
      <c r="D7" s="45">
        <f>INDEX(何もしない_月次!$O$6:$O$605,IFERROR(MATCH("完済",何もしない_月次!$T$6:$T$605,0),MATCH("最終回清算",何もしない_月次!$T$6:$T$605,0)))+INDEX(方式1_月次!$O$6:$O$605,IFERROR(MATCH("完済",方式1_月次!$T$6:$T$605,0),MATCH("最終回清算",方式1_月次!$T$6:$T$605,0)))+INDEX(方式2_月次!$O$6:$O$605,IFERROR(MATCH("完済",方式2_月次!$T$6:$T$605,0),MATCH("最終回清算",方式2_月次!$T$6:$T$605,0)))+INDEX(方式3_月次!$O$6:$O$605,IFERROR(MATCH("完済",方式3_月次!$T$6:$T$605,0),MATCH("最終回清算",方式3_月次!$T$6:$T$605,0)))</f>
        <v>47979619</v>
      </c>
      <c r="E7" s="45">
        <f>ROUND(C7-D7,0)</f>
        <v>0</v>
      </c>
      <c r="F7" s="46" t="str">
        <f t="shared" si="0"/>
        <v>OK</v>
      </c>
      <c r="G7" s="44" t="s">
        <v>113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46">
        <v>3</v>
      </c>
      <c r="B8" s="44" t="s">
        <v>114</v>
      </c>
      <c r="C8" s="45">
        <f>INDEX(方式1_月次!$G$6:$G$605,入力!$B$15)</f>
        <v>117478</v>
      </c>
      <c r="D8" s="45">
        <f>INDEX(方式1_月次!$G$6:$G$605,入力!$B$15-1)</f>
        <v>117478</v>
      </c>
      <c r="E8" s="45">
        <f>ROUND(C8-D8,0)</f>
        <v>0</v>
      </c>
      <c r="F8" s="46" t="str">
        <f t="shared" si="0"/>
        <v>OK</v>
      </c>
      <c r="G8" s="44" t="s">
        <v>115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46">
        <v>4</v>
      </c>
      <c r="B9" s="44" t="s">
        <v>116</v>
      </c>
      <c r="C9" s="45">
        <f>SUM(方式3_月次!$Y$6:$Y$605)</f>
        <v>0</v>
      </c>
      <c r="D9" s="45">
        <f>0</f>
        <v>0</v>
      </c>
      <c r="E9" s="45">
        <f>ROUND(C9-D9,0)</f>
        <v>0</v>
      </c>
      <c r="F9" s="46" t="str">
        <f t="shared" si="0"/>
        <v>OK</v>
      </c>
      <c r="G9" s="44" t="s">
        <v>117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46">
        <v>5</v>
      </c>
      <c r="B10" s="44" t="s">
        <v>118</v>
      </c>
      <c r="C10" s="45" t="str">
        <f>INDEX(方式1_月次!$P$6:$P$605,1+60*ROUNDUP(入力!$B$15/60,0))</f>
        <v>5年見直し</v>
      </c>
      <c r="D10" s="45" t="s">
        <v>119</v>
      </c>
      <c r="E10" s="45">
        <f>IF(ISNUMBER(SEARCH("5年見直し",C10)),0,1)</f>
        <v>0</v>
      </c>
      <c r="F10" s="46" t="str">
        <f t="shared" si="0"/>
        <v>OK</v>
      </c>
      <c r="G10" s="44" t="str">
        <f>"繰上返済後の最初の見直し月："&amp;(1+60*ROUNDUP(入力!$B$15/60,0))&amp;"か月目"</f>
        <v>繰上返済後の最初の見直し月：121か月目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46">
        <v>6</v>
      </c>
      <c r="B11" s="44" t="s">
        <v>120</v>
      </c>
      <c r="C11" s="45">
        <f>INDEX(方式1_月次!$G$6:$G$605,1+60*ROUNDUP(入力!$B$15/60,0))</f>
        <v>117312</v>
      </c>
      <c r="D11" s="45">
        <f>INDEX(方式1_月次!$AA$6:$AA$605,1+60*ROUNDUP(入力!$B$15/60,0))</f>
        <v>117312</v>
      </c>
      <c r="E11" s="45">
        <f>ROUND(C11-D11,0)</f>
        <v>0</v>
      </c>
      <c r="F11" s="46" t="str">
        <f t="shared" si="0"/>
        <v>OK</v>
      </c>
      <c r="G11" s="44" t="s">
        <v>121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46">
        <v>7</v>
      </c>
      <c r="B12" s="44" t="s">
        <v>122</v>
      </c>
      <c r="C12" s="45">
        <f>SUM(何もしない_月次!$X$6:$X$605)+SUM(方式1_月次!$X$6:$X$605)+SUM(方式2_月次!$X$6:$X$605)+SUM(方式3_月次!$X$6:$X$605)+ABS(比較結果!B6-ROUND(比較結果!B6,0))+ABS(比較結果!C6-ROUND(比較結果!C6,0))+ABS(比較結果!D6-ROUND(比較結果!D6,0))+ABS(比較結果!E6-ROUND(比較結果!E6,0))+ABS(比較結果!B7-ROUND(比較結果!B7,0))+ABS(比較結果!C7-ROUND(比較結果!C7,0))+ABS(比較結果!D7-ROUND(比較結果!D7,0))+ABS(比較結果!E7-ROUND(比較結果!E7,0))+ABS(比較結果!B8-ROUND(比較結果!B8,0))+ABS(比較結果!C8-ROUND(比較結果!C8,0))+ABS(比較結果!D8-ROUND(比較結果!D8,0))+ABS(比較結果!E8-ROUND(比較結果!E8,0))+ABS(比較結果!B9-ROUND(比較結果!B9,0))+ABS(比較結果!C9-ROUND(比較結果!C9,0))+ABS(比較結果!D9-ROUND(比較結果!D9,0))+ABS(比較結果!E9-ROUND(比較結果!E9,0))+ABS(比較結果!B10-ROUND(比較結果!B10,0))+ABS(比較結果!C10-ROUND(比較結果!C10,0))+ABS(比較結果!D10-ROUND(比較結果!D10,0))+ABS(比較結果!E10-ROUND(比較結果!E10,0))+ABS(比較結果!B11-ROUND(比較結果!B11,0))+ABS(比較結果!C11-ROUND(比較結果!C11,0))+ABS(比較結果!D11-ROUND(比較結果!D11,0))+ABS(比較結果!E11-ROUND(比較結果!E11,0))+ABS(比較結果!B12-ROUND(比較結果!B12,0))+ABS(比較結果!C12-ROUND(比較結果!C12,0))+ABS(比較結果!D12-ROUND(比較結果!D12,0))+ABS(比較結果!E12-ROUND(比較結果!E12,0))+ABS(比較結果!B13-ROUND(比較結果!B13,0))+ABS(比較結果!C13-ROUND(比較結果!C13,0))+ABS(比較結果!D13-ROUND(比較結果!D13,0))+ABS(比較結果!E13-ROUND(比較結果!E13,0))+ABS(比較結果!B14-ROUND(比較結果!B14,0))+ABS(比較結果!C14-ROUND(比較結果!C14,0))+ABS(比較結果!D14-ROUND(比較結果!D14,0))+ABS(比較結果!E14-ROUND(比較結果!E14,0))+ABS(比較結果!B15-ROUND(比較結果!B15,0))+ABS(比較結果!C15-ROUND(比較結果!C15,0))+ABS(比較結果!D15-ROUND(比較結果!D15,0))+ABS(比較結果!E15-ROUND(比較結果!E15,0))</f>
        <v>0</v>
      </c>
      <c r="D12" s="45">
        <f>0</f>
        <v>0</v>
      </c>
      <c r="E12" s="45">
        <f>C12-D12</f>
        <v>0</v>
      </c>
      <c r="F12" s="46" t="str">
        <f t="shared" si="0"/>
        <v>OK</v>
      </c>
      <c r="G12" s="44" t="s">
        <v>123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>
      <c r="A13" s="46">
        <v>8</v>
      </c>
      <c r="B13" s="44" t="s">
        <v>124</v>
      </c>
      <c r="C13" s="45">
        <f>SUM(何もしない_月次!$Z$6:$Z$605)+SUM(方式1_月次!$Z$6:$Z$605)+SUM(方式2_月次!$Z$6:$Z$605)+SUM(方式3_月次!$Z$6:$Z$605)</f>
        <v>0</v>
      </c>
      <c r="D13" s="45">
        <f>0</f>
        <v>0</v>
      </c>
      <c r="E13" s="45">
        <f>C13-D13</f>
        <v>0</v>
      </c>
      <c r="F13" s="46" t="str">
        <f t="shared" si="0"/>
        <v>OK</v>
      </c>
      <c r="G13" s="44" t="s">
        <v>125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</sheetData>
  <mergeCells count="2">
    <mergeCell ref="A1:G1"/>
    <mergeCell ref="A2:G3"/>
  </mergeCells>
  <phoneticPr fontId="11"/>
  <conditionalFormatting sqref="F6:F13">
    <cfRule type="containsText" dxfId="1" priority="1" operator="containsText" text="OK"/>
    <cfRule type="containsText" dxfId="0" priority="2" operator="containsText" text="要確認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入力</vt:lpstr>
      <vt:lpstr>比較結果</vt:lpstr>
      <vt:lpstr>何もしない_月次</vt:lpstr>
      <vt:lpstr>方式1_月次</vt:lpstr>
      <vt:lpstr>方式2_月次</vt:lpstr>
      <vt:lpstr>方式3_月次</vt:lpstr>
      <vt:lpstr>計算チェック</vt:lpstr>
      <vt:lpstr>テストケース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宮本 壱臣</cp:lastModifiedBy>
  <dcterms:created xsi:type="dcterms:W3CDTF">2026-07-29T13:21:48Z</dcterms:created>
  <dcterms:modified xsi:type="dcterms:W3CDTF">2026-07-29T13:21:49Z</dcterms:modified>
</cp:coreProperties>
</file>